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501" sheetId="1" r:id="rId1"/>
  </sheets>
  <calcPr calcId="0"/>
</workbook>
</file>

<file path=xl/calcChain.xml><?xml version="1.0" encoding="utf-8"?>
<calcChain xmlns="http://schemas.openxmlformats.org/spreadsheetml/2006/main">
  <c r="A2" i="1" l="1"/>
  <c r="F2" i="1"/>
  <c r="G2" i="1"/>
  <c r="I2" i="1"/>
  <c r="A3" i="1"/>
  <c r="F3" i="1"/>
  <c r="G3" i="1"/>
  <c r="I3" i="1"/>
  <c r="A4" i="1"/>
  <c r="F4" i="1"/>
  <c r="G4" i="1"/>
  <c r="I4" i="1"/>
  <c r="A5" i="1"/>
  <c r="F5" i="1"/>
  <c r="G5" i="1"/>
  <c r="I5" i="1"/>
  <c r="A6" i="1"/>
  <c r="F6" i="1"/>
  <c r="G6" i="1"/>
  <c r="I6" i="1"/>
  <c r="A7" i="1"/>
  <c r="F7" i="1"/>
  <c r="G7" i="1"/>
  <c r="I7" i="1"/>
  <c r="A8" i="1"/>
  <c r="F8" i="1"/>
  <c r="G8" i="1"/>
  <c r="I8" i="1"/>
  <c r="A9" i="1"/>
  <c r="F9" i="1"/>
  <c r="G9" i="1"/>
  <c r="I9" i="1"/>
  <c r="A10" i="1"/>
  <c r="F10" i="1"/>
  <c r="G10" i="1"/>
  <c r="I10" i="1"/>
  <c r="A11" i="1"/>
  <c r="F11" i="1"/>
  <c r="G11" i="1"/>
  <c r="I11" i="1"/>
  <c r="A12" i="1"/>
  <c r="F12" i="1"/>
  <c r="G12" i="1"/>
  <c r="I12" i="1"/>
  <c r="A13" i="1"/>
  <c r="F13" i="1"/>
  <c r="G13" i="1"/>
  <c r="I13" i="1"/>
  <c r="A14" i="1"/>
  <c r="F14" i="1"/>
  <c r="G14" i="1"/>
  <c r="I14" i="1"/>
  <c r="A15" i="1"/>
  <c r="F15" i="1"/>
  <c r="G15" i="1"/>
  <c r="I15" i="1"/>
  <c r="A16" i="1"/>
  <c r="F16" i="1"/>
  <c r="G16" i="1"/>
  <c r="I16" i="1"/>
  <c r="A17" i="1"/>
  <c r="F17" i="1"/>
  <c r="G17" i="1"/>
  <c r="I17" i="1"/>
  <c r="A18" i="1"/>
  <c r="F18" i="1"/>
  <c r="G18" i="1"/>
  <c r="I18" i="1"/>
  <c r="A19" i="1"/>
  <c r="F19" i="1"/>
  <c r="G19" i="1"/>
  <c r="I19" i="1"/>
  <c r="A20" i="1"/>
  <c r="F20" i="1"/>
  <c r="G20" i="1"/>
  <c r="I20" i="1"/>
  <c r="A21" i="1"/>
  <c r="F21" i="1"/>
  <c r="G21" i="1"/>
  <c r="I21" i="1"/>
  <c r="A22" i="1"/>
  <c r="F22" i="1"/>
  <c r="G22" i="1"/>
  <c r="I22" i="1"/>
  <c r="A23" i="1"/>
  <c r="F23" i="1"/>
  <c r="G23" i="1"/>
  <c r="I23" i="1"/>
  <c r="A24" i="1"/>
  <c r="F24" i="1"/>
  <c r="G24" i="1"/>
  <c r="I24" i="1"/>
  <c r="A25" i="1"/>
  <c r="F25" i="1"/>
  <c r="G25" i="1"/>
  <c r="I25" i="1"/>
  <c r="A26" i="1"/>
  <c r="F26" i="1"/>
  <c r="G26" i="1"/>
  <c r="I26" i="1"/>
  <c r="A27" i="1"/>
  <c r="F27" i="1"/>
  <c r="G27" i="1"/>
  <c r="I27" i="1"/>
  <c r="A28" i="1"/>
  <c r="F28" i="1"/>
  <c r="G28" i="1"/>
  <c r="I28" i="1"/>
  <c r="A29" i="1"/>
  <c r="F29" i="1"/>
  <c r="G29" i="1"/>
  <c r="I29" i="1"/>
  <c r="A30" i="1"/>
  <c r="F30" i="1"/>
  <c r="G30" i="1"/>
  <c r="I30" i="1"/>
  <c r="A31" i="1"/>
  <c r="F31" i="1"/>
  <c r="G31" i="1"/>
  <c r="I31" i="1"/>
  <c r="A32" i="1"/>
  <c r="F32" i="1"/>
  <c r="G32" i="1"/>
  <c r="I32" i="1"/>
  <c r="A33" i="1"/>
  <c r="F33" i="1"/>
  <c r="G33" i="1"/>
  <c r="I33" i="1"/>
  <c r="A34" i="1"/>
  <c r="F34" i="1"/>
  <c r="G34" i="1"/>
  <c r="I34" i="1"/>
  <c r="A35" i="1"/>
  <c r="F35" i="1"/>
  <c r="G35" i="1"/>
  <c r="I35" i="1"/>
  <c r="A36" i="1"/>
  <c r="F36" i="1"/>
  <c r="G36" i="1"/>
  <c r="I36" i="1"/>
  <c r="A37" i="1"/>
  <c r="F37" i="1"/>
  <c r="G37" i="1"/>
  <c r="I37" i="1"/>
  <c r="A38" i="1"/>
  <c r="F38" i="1"/>
  <c r="G38" i="1"/>
  <c r="I38" i="1"/>
  <c r="A39" i="1"/>
  <c r="F39" i="1"/>
  <c r="G39" i="1"/>
  <c r="I39" i="1"/>
  <c r="A40" i="1"/>
  <c r="F40" i="1"/>
  <c r="G40" i="1"/>
  <c r="I40" i="1"/>
  <c r="A41" i="1"/>
  <c r="F41" i="1"/>
  <c r="G41" i="1"/>
  <c r="I41" i="1"/>
  <c r="A42" i="1"/>
  <c r="F42" i="1"/>
  <c r="G42" i="1"/>
  <c r="I42" i="1"/>
  <c r="A43" i="1"/>
  <c r="F43" i="1"/>
  <c r="G43" i="1"/>
  <c r="I43" i="1"/>
  <c r="A44" i="1"/>
  <c r="F44" i="1"/>
  <c r="G44" i="1"/>
  <c r="I44" i="1"/>
  <c r="A45" i="1"/>
  <c r="F45" i="1"/>
  <c r="G45" i="1"/>
  <c r="I45" i="1"/>
  <c r="A46" i="1"/>
  <c r="F46" i="1"/>
  <c r="G46" i="1"/>
  <c r="I46" i="1"/>
  <c r="A47" i="1"/>
  <c r="F47" i="1"/>
  <c r="G47" i="1"/>
  <c r="I47" i="1"/>
  <c r="A48" i="1"/>
  <c r="F48" i="1"/>
  <c r="G48" i="1"/>
  <c r="I48" i="1"/>
  <c r="A49" i="1"/>
  <c r="F49" i="1"/>
  <c r="G49" i="1"/>
  <c r="I49" i="1"/>
  <c r="A50" i="1"/>
  <c r="F50" i="1"/>
  <c r="G50" i="1"/>
  <c r="I50" i="1"/>
  <c r="A51" i="1"/>
  <c r="F51" i="1"/>
  <c r="G51" i="1"/>
  <c r="I51" i="1"/>
  <c r="A52" i="1"/>
  <c r="F52" i="1"/>
  <c r="G52" i="1"/>
  <c r="I52" i="1"/>
  <c r="A53" i="1"/>
  <c r="F53" i="1"/>
  <c r="G53" i="1"/>
  <c r="I53" i="1"/>
  <c r="A54" i="1"/>
  <c r="F54" i="1"/>
  <c r="G54" i="1"/>
  <c r="I54" i="1"/>
  <c r="A55" i="1"/>
  <c r="F55" i="1"/>
  <c r="G55" i="1"/>
  <c r="I55" i="1"/>
  <c r="A56" i="1"/>
  <c r="F56" i="1"/>
  <c r="G56" i="1"/>
  <c r="I56" i="1"/>
  <c r="A57" i="1"/>
  <c r="F57" i="1"/>
  <c r="G57" i="1"/>
  <c r="I57" i="1"/>
  <c r="A58" i="1"/>
  <c r="F58" i="1"/>
  <c r="G58" i="1"/>
  <c r="I58" i="1"/>
  <c r="A59" i="1"/>
  <c r="F59" i="1"/>
  <c r="G59" i="1"/>
  <c r="I59" i="1"/>
  <c r="A60" i="1"/>
  <c r="F60" i="1"/>
  <c r="G60" i="1"/>
  <c r="I60" i="1"/>
  <c r="A61" i="1"/>
  <c r="F61" i="1"/>
  <c r="G61" i="1"/>
  <c r="I61" i="1"/>
  <c r="A62" i="1"/>
  <c r="F62" i="1"/>
  <c r="G62" i="1"/>
  <c r="I62" i="1"/>
  <c r="A63" i="1"/>
  <c r="F63" i="1"/>
  <c r="G63" i="1"/>
  <c r="I63" i="1"/>
  <c r="A64" i="1"/>
  <c r="F64" i="1"/>
  <c r="G64" i="1"/>
  <c r="I64" i="1"/>
  <c r="A65" i="1"/>
  <c r="F65" i="1"/>
  <c r="G65" i="1"/>
  <c r="I65" i="1"/>
  <c r="A66" i="1"/>
  <c r="F66" i="1"/>
  <c r="G66" i="1"/>
  <c r="I66" i="1"/>
  <c r="A67" i="1"/>
  <c r="F67" i="1"/>
  <c r="G67" i="1"/>
  <c r="I67" i="1"/>
  <c r="A68" i="1"/>
  <c r="F68" i="1"/>
  <c r="G68" i="1"/>
  <c r="I68" i="1"/>
  <c r="A69" i="1"/>
  <c r="F69" i="1"/>
  <c r="G69" i="1"/>
  <c r="I69" i="1"/>
  <c r="A70" i="1"/>
  <c r="F70" i="1"/>
  <c r="G70" i="1"/>
  <c r="I70" i="1"/>
  <c r="A71" i="1"/>
  <c r="F71" i="1"/>
  <c r="G71" i="1"/>
  <c r="I71" i="1"/>
  <c r="A72" i="1"/>
  <c r="F72" i="1"/>
  <c r="G72" i="1"/>
  <c r="I72" i="1"/>
  <c r="A73" i="1"/>
  <c r="F73" i="1"/>
  <c r="G73" i="1"/>
  <c r="I73" i="1"/>
  <c r="A74" i="1"/>
  <c r="F74" i="1"/>
  <c r="G74" i="1"/>
  <c r="I74" i="1"/>
  <c r="A75" i="1"/>
  <c r="F75" i="1"/>
  <c r="G75" i="1"/>
  <c r="I75" i="1"/>
  <c r="A76" i="1"/>
  <c r="F76" i="1"/>
  <c r="G76" i="1"/>
  <c r="I76" i="1"/>
  <c r="A77" i="1"/>
  <c r="F77" i="1"/>
  <c r="G77" i="1"/>
  <c r="I77" i="1"/>
  <c r="A78" i="1"/>
  <c r="F78" i="1"/>
  <c r="G78" i="1"/>
  <c r="I78" i="1"/>
  <c r="A79" i="1"/>
  <c r="F79" i="1"/>
  <c r="G79" i="1"/>
  <c r="I79" i="1"/>
  <c r="A80" i="1"/>
  <c r="F80" i="1"/>
  <c r="G80" i="1"/>
  <c r="I80" i="1"/>
  <c r="A81" i="1"/>
  <c r="F81" i="1"/>
  <c r="G81" i="1"/>
  <c r="I81" i="1"/>
  <c r="A82" i="1"/>
  <c r="F82" i="1"/>
  <c r="G82" i="1"/>
  <c r="I82" i="1"/>
  <c r="A83" i="1"/>
  <c r="F83" i="1"/>
  <c r="G83" i="1"/>
  <c r="I83" i="1"/>
  <c r="A84" i="1"/>
  <c r="F84" i="1"/>
  <c r="G84" i="1"/>
  <c r="I84" i="1"/>
  <c r="A85" i="1"/>
  <c r="F85" i="1"/>
  <c r="G85" i="1"/>
  <c r="I85" i="1"/>
  <c r="A86" i="1"/>
  <c r="F86" i="1"/>
  <c r="G86" i="1"/>
  <c r="I86" i="1"/>
  <c r="A87" i="1"/>
  <c r="F87" i="1"/>
  <c r="G87" i="1"/>
  <c r="I87" i="1"/>
  <c r="A88" i="1"/>
  <c r="F88" i="1"/>
  <c r="G88" i="1"/>
  <c r="I88" i="1"/>
  <c r="A89" i="1"/>
  <c r="F89" i="1"/>
  <c r="G89" i="1"/>
  <c r="I89" i="1"/>
  <c r="A90" i="1"/>
  <c r="F90" i="1"/>
  <c r="G90" i="1"/>
  <c r="I90" i="1"/>
  <c r="A91" i="1"/>
  <c r="F91" i="1"/>
  <c r="G91" i="1"/>
  <c r="I91" i="1"/>
  <c r="A92" i="1"/>
  <c r="F92" i="1"/>
  <c r="G92" i="1"/>
  <c r="I92" i="1"/>
  <c r="A93" i="1"/>
  <c r="F93" i="1"/>
  <c r="G93" i="1"/>
  <c r="I93" i="1"/>
  <c r="A94" i="1"/>
  <c r="F94" i="1"/>
  <c r="G94" i="1"/>
  <c r="I94" i="1"/>
  <c r="A95" i="1"/>
  <c r="F95" i="1"/>
  <c r="G95" i="1"/>
  <c r="I95" i="1"/>
  <c r="A96" i="1"/>
  <c r="F96" i="1"/>
  <c r="G96" i="1"/>
  <c r="I96" i="1"/>
  <c r="A97" i="1"/>
  <c r="F97" i="1"/>
  <c r="G97" i="1"/>
  <c r="I97" i="1"/>
  <c r="A98" i="1"/>
  <c r="F98" i="1"/>
  <c r="G98" i="1"/>
  <c r="I98" i="1"/>
  <c r="A99" i="1"/>
  <c r="F99" i="1"/>
  <c r="G99" i="1"/>
  <c r="I99" i="1"/>
  <c r="A100" i="1"/>
  <c r="F100" i="1"/>
  <c r="G100" i="1"/>
  <c r="I100" i="1"/>
  <c r="A101" i="1"/>
  <c r="F101" i="1"/>
  <c r="G101" i="1"/>
  <c r="I101" i="1"/>
  <c r="A102" i="1"/>
  <c r="F102" i="1"/>
  <c r="G102" i="1"/>
  <c r="I102" i="1"/>
  <c r="A103" i="1"/>
  <c r="F103" i="1"/>
  <c r="G103" i="1"/>
  <c r="I103" i="1"/>
  <c r="A104" i="1"/>
  <c r="F104" i="1"/>
  <c r="G104" i="1"/>
  <c r="I104" i="1"/>
  <c r="A105" i="1"/>
  <c r="F105" i="1"/>
  <c r="G105" i="1"/>
  <c r="I105" i="1"/>
  <c r="A106" i="1"/>
  <c r="F106" i="1"/>
  <c r="G106" i="1"/>
  <c r="I106" i="1"/>
  <c r="A107" i="1"/>
  <c r="F107" i="1"/>
  <c r="G107" i="1"/>
  <c r="I107" i="1"/>
  <c r="A108" i="1"/>
  <c r="F108" i="1"/>
  <c r="G108" i="1"/>
  <c r="I108" i="1"/>
  <c r="A109" i="1"/>
  <c r="F109" i="1"/>
  <c r="G109" i="1"/>
  <c r="I109" i="1"/>
  <c r="A110" i="1"/>
  <c r="F110" i="1"/>
  <c r="G110" i="1"/>
  <c r="I110" i="1"/>
  <c r="A111" i="1"/>
  <c r="F111" i="1"/>
  <c r="G111" i="1"/>
  <c r="I111" i="1"/>
  <c r="A112" i="1"/>
  <c r="F112" i="1"/>
  <c r="G112" i="1"/>
  <c r="I112" i="1"/>
  <c r="A113" i="1"/>
  <c r="F113" i="1"/>
  <c r="G113" i="1"/>
  <c r="I113" i="1"/>
  <c r="A114" i="1"/>
  <c r="F114" i="1"/>
  <c r="G114" i="1"/>
  <c r="I114" i="1"/>
  <c r="A115" i="1"/>
  <c r="F115" i="1"/>
  <c r="G115" i="1"/>
  <c r="I115" i="1"/>
  <c r="A116" i="1"/>
  <c r="F116" i="1"/>
  <c r="G116" i="1"/>
  <c r="I116" i="1"/>
  <c r="A117" i="1"/>
  <c r="F117" i="1"/>
  <c r="G117" i="1"/>
  <c r="I117" i="1"/>
  <c r="A118" i="1"/>
  <c r="F118" i="1"/>
  <c r="G118" i="1"/>
  <c r="I118" i="1"/>
  <c r="A119" i="1"/>
  <c r="F119" i="1"/>
  <c r="G119" i="1"/>
  <c r="I119" i="1"/>
  <c r="A120" i="1"/>
  <c r="F120" i="1"/>
  <c r="G120" i="1"/>
  <c r="I120" i="1"/>
  <c r="A121" i="1"/>
  <c r="F121" i="1"/>
  <c r="G121" i="1"/>
  <c r="I121" i="1"/>
  <c r="A122" i="1"/>
  <c r="F122" i="1"/>
  <c r="G122" i="1"/>
  <c r="I122" i="1"/>
  <c r="A123" i="1"/>
  <c r="F123" i="1"/>
  <c r="G123" i="1"/>
  <c r="I123" i="1"/>
  <c r="A124" i="1"/>
  <c r="F124" i="1"/>
  <c r="G124" i="1"/>
  <c r="I124" i="1"/>
  <c r="A125" i="1"/>
  <c r="F125" i="1"/>
  <c r="G125" i="1"/>
  <c r="I125" i="1"/>
  <c r="A126" i="1"/>
  <c r="F126" i="1"/>
  <c r="G126" i="1"/>
  <c r="I126" i="1"/>
  <c r="A127" i="1"/>
  <c r="F127" i="1"/>
  <c r="G127" i="1"/>
  <c r="I127" i="1"/>
  <c r="A128" i="1"/>
  <c r="F128" i="1"/>
  <c r="G128" i="1"/>
  <c r="A129" i="1"/>
  <c r="F129" i="1"/>
  <c r="G129" i="1"/>
  <c r="A130" i="1"/>
  <c r="F130" i="1"/>
  <c r="G130" i="1"/>
  <c r="A131" i="1"/>
  <c r="F131" i="1"/>
  <c r="G131" i="1"/>
  <c r="I131" i="1"/>
  <c r="A132" i="1"/>
  <c r="F132" i="1"/>
  <c r="G132" i="1"/>
  <c r="I132" i="1"/>
  <c r="A133" i="1"/>
  <c r="F133" i="1"/>
  <c r="G133" i="1"/>
  <c r="I133" i="1"/>
  <c r="A134" i="1"/>
  <c r="F134" i="1"/>
  <c r="G134" i="1"/>
  <c r="I134" i="1"/>
  <c r="A135" i="1"/>
  <c r="F135" i="1"/>
  <c r="G135" i="1"/>
  <c r="I135" i="1"/>
  <c r="A136" i="1"/>
  <c r="F136" i="1"/>
  <c r="G136" i="1"/>
  <c r="I136" i="1"/>
  <c r="A137" i="1"/>
  <c r="F137" i="1"/>
  <c r="G137" i="1"/>
  <c r="I137" i="1"/>
  <c r="A138" i="1"/>
  <c r="F138" i="1"/>
  <c r="G138" i="1"/>
  <c r="I138" i="1"/>
  <c r="A139" i="1"/>
  <c r="H139" i="1"/>
  <c r="I139" i="1"/>
  <c r="A140" i="1"/>
  <c r="F140" i="1"/>
  <c r="G140" i="1"/>
  <c r="I140" i="1"/>
  <c r="A141" i="1"/>
  <c r="F141" i="1"/>
  <c r="G141" i="1"/>
  <c r="I141" i="1"/>
  <c r="A142" i="1"/>
  <c r="F142" i="1"/>
  <c r="G142" i="1"/>
  <c r="I142" i="1"/>
  <c r="A143" i="1"/>
  <c r="F143" i="1"/>
  <c r="G143" i="1"/>
  <c r="I143" i="1"/>
  <c r="A144" i="1"/>
  <c r="F144" i="1"/>
  <c r="G144" i="1"/>
  <c r="I144" i="1"/>
  <c r="A145" i="1"/>
  <c r="F145" i="1"/>
  <c r="G145" i="1"/>
  <c r="I145" i="1"/>
  <c r="A146" i="1"/>
  <c r="F146" i="1"/>
  <c r="G146" i="1"/>
  <c r="I146" i="1"/>
  <c r="A147" i="1"/>
  <c r="F147" i="1"/>
  <c r="G147" i="1"/>
  <c r="I147" i="1"/>
  <c r="A148" i="1"/>
  <c r="F148" i="1"/>
  <c r="G148" i="1"/>
  <c r="I148" i="1"/>
  <c r="A149" i="1"/>
  <c r="F149" i="1"/>
  <c r="G149" i="1"/>
  <c r="I149" i="1"/>
  <c r="A150" i="1"/>
  <c r="H150" i="1"/>
  <c r="I150" i="1"/>
  <c r="A151" i="1"/>
  <c r="H151" i="1"/>
  <c r="I151" i="1"/>
  <c r="A152" i="1"/>
  <c r="F152" i="1"/>
  <c r="G152" i="1"/>
  <c r="I152" i="1"/>
  <c r="A153" i="1"/>
  <c r="F153" i="1"/>
  <c r="G153" i="1"/>
  <c r="I153" i="1"/>
  <c r="A154" i="1"/>
  <c r="F154" i="1"/>
  <c r="G154" i="1"/>
  <c r="I154" i="1"/>
  <c r="A155" i="1"/>
  <c r="F155" i="1"/>
  <c r="G155" i="1"/>
  <c r="I155" i="1"/>
  <c r="A156" i="1"/>
  <c r="F156" i="1"/>
  <c r="G156" i="1"/>
  <c r="I156" i="1"/>
  <c r="A157" i="1"/>
  <c r="F157" i="1"/>
  <c r="G157" i="1"/>
  <c r="I157" i="1"/>
  <c r="A158" i="1"/>
  <c r="F158" i="1"/>
  <c r="G158" i="1"/>
  <c r="I158" i="1"/>
  <c r="A159" i="1"/>
  <c r="F159" i="1"/>
  <c r="G159" i="1"/>
  <c r="I159" i="1"/>
  <c r="A160" i="1"/>
  <c r="F160" i="1"/>
  <c r="G160" i="1"/>
  <c r="I160" i="1"/>
  <c r="A161" i="1"/>
  <c r="F161" i="1"/>
  <c r="G161" i="1"/>
  <c r="I161" i="1"/>
  <c r="A162" i="1"/>
  <c r="F162" i="1"/>
  <c r="G162" i="1"/>
  <c r="I162" i="1"/>
  <c r="A163" i="1"/>
  <c r="F163" i="1"/>
  <c r="G163" i="1"/>
  <c r="I163" i="1"/>
  <c r="A164" i="1"/>
  <c r="F164" i="1"/>
  <c r="G164" i="1"/>
  <c r="I164" i="1"/>
  <c r="A165" i="1"/>
  <c r="F165" i="1"/>
  <c r="G165" i="1"/>
  <c r="I165" i="1"/>
  <c r="A166" i="1"/>
  <c r="F166" i="1"/>
  <c r="G166" i="1"/>
  <c r="I166" i="1"/>
  <c r="A167" i="1"/>
  <c r="F167" i="1"/>
  <c r="G167" i="1"/>
  <c r="I167" i="1"/>
  <c r="A168" i="1"/>
  <c r="F168" i="1"/>
  <c r="G168" i="1"/>
  <c r="I168" i="1"/>
  <c r="A169" i="1"/>
  <c r="F169" i="1"/>
  <c r="G169" i="1"/>
  <c r="I169" i="1"/>
  <c r="A170" i="1"/>
  <c r="F170" i="1"/>
  <c r="G170" i="1"/>
  <c r="I170" i="1"/>
  <c r="A171" i="1"/>
  <c r="F171" i="1"/>
  <c r="G171" i="1"/>
  <c r="I171" i="1"/>
  <c r="A172" i="1"/>
  <c r="F172" i="1"/>
  <c r="G172" i="1"/>
  <c r="I172" i="1"/>
  <c r="A173" i="1"/>
  <c r="F173" i="1"/>
  <c r="G173" i="1"/>
  <c r="I173" i="1"/>
  <c r="A174" i="1"/>
  <c r="F174" i="1"/>
  <c r="G174" i="1"/>
  <c r="I174" i="1"/>
  <c r="A175" i="1"/>
  <c r="F175" i="1"/>
  <c r="G175" i="1"/>
  <c r="I175" i="1"/>
  <c r="A176" i="1"/>
  <c r="F176" i="1"/>
  <c r="G176" i="1"/>
  <c r="I176" i="1"/>
  <c r="A177" i="1"/>
  <c r="F177" i="1"/>
  <c r="G177" i="1"/>
  <c r="I177" i="1"/>
  <c r="A178" i="1"/>
  <c r="F178" i="1"/>
  <c r="G178" i="1"/>
  <c r="I178" i="1"/>
  <c r="A179" i="1"/>
  <c r="F179" i="1"/>
  <c r="G179" i="1"/>
  <c r="I179" i="1"/>
  <c r="A180" i="1"/>
  <c r="F180" i="1"/>
  <c r="G180" i="1"/>
  <c r="I180" i="1"/>
  <c r="A181" i="1"/>
  <c r="F181" i="1"/>
  <c r="G181" i="1"/>
  <c r="I181" i="1"/>
  <c r="A182" i="1"/>
  <c r="F182" i="1"/>
  <c r="G182" i="1"/>
  <c r="I182" i="1"/>
  <c r="A183" i="1"/>
  <c r="F183" i="1"/>
  <c r="G183" i="1"/>
  <c r="I183" i="1"/>
  <c r="A184" i="1"/>
  <c r="F184" i="1"/>
  <c r="G184" i="1"/>
  <c r="I184" i="1"/>
  <c r="A185" i="1"/>
  <c r="F185" i="1"/>
  <c r="G185" i="1"/>
  <c r="I185" i="1"/>
  <c r="A186" i="1"/>
  <c r="F186" i="1"/>
  <c r="G186" i="1"/>
  <c r="I186" i="1"/>
  <c r="A187" i="1"/>
  <c r="F187" i="1"/>
  <c r="G187" i="1"/>
  <c r="I187" i="1"/>
  <c r="A188" i="1"/>
  <c r="F188" i="1"/>
  <c r="G188" i="1"/>
  <c r="I188" i="1"/>
  <c r="A189" i="1"/>
  <c r="F189" i="1"/>
  <c r="G189" i="1"/>
  <c r="I189" i="1"/>
  <c r="A190" i="1"/>
  <c r="F190" i="1"/>
  <c r="G190" i="1"/>
  <c r="I190" i="1"/>
  <c r="A191" i="1"/>
  <c r="F191" i="1"/>
  <c r="G191" i="1"/>
  <c r="I191" i="1"/>
  <c r="A192" i="1"/>
  <c r="F192" i="1"/>
  <c r="G192" i="1"/>
  <c r="I192" i="1"/>
  <c r="A193" i="1"/>
  <c r="F193" i="1"/>
  <c r="G193" i="1"/>
  <c r="I193" i="1"/>
  <c r="A194" i="1"/>
  <c r="F194" i="1"/>
  <c r="G194" i="1"/>
  <c r="I194" i="1"/>
  <c r="A195" i="1"/>
  <c r="F195" i="1"/>
  <c r="G195" i="1"/>
  <c r="I195" i="1"/>
  <c r="A196" i="1"/>
  <c r="F196" i="1"/>
  <c r="G196" i="1"/>
  <c r="I196" i="1"/>
  <c r="A197" i="1"/>
  <c r="F197" i="1"/>
  <c r="G197" i="1"/>
  <c r="I197" i="1"/>
  <c r="A198" i="1"/>
  <c r="F198" i="1"/>
  <c r="G198" i="1"/>
  <c r="I198" i="1"/>
  <c r="A199" i="1"/>
  <c r="F199" i="1"/>
  <c r="G199" i="1"/>
  <c r="I199" i="1"/>
  <c r="A200" i="1"/>
  <c r="F200" i="1"/>
  <c r="G200" i="1"/>
  <c r="I200" i="1"/>
  <c r="A201" i="1"/>
  <c r="F201" i="1"/>
  <c r="G201" i="1"/>
  <c r="I201" i="1"/>
  <c r="A202" i="1"/>
  <c r="F202" i="1"/>
  <c r="G202" i="1"/>
  <c r="I202" i="1"/>
  <c r="A203" i="1"/>
  <c r="F203" i="1"/>
  <c r="G203" i="1"/>
  <c r="I203" i="1"/>
  <c r="A204" i="1"/>
  <c r="F204" i="1"/>
  <c r="G204" i="1"/>
  <c r="I204" i="1"/>
  <c r="A205" i="1"/>
  <c r="F205" i="1"/>
  <c r="G205" i="1"/>
  <c r="I205" i="1"/>
  <c r="A206" i="1"/>
  <c r="F206" i="1"/>
  <c r="G206" i="1"/>
  <c r="I206" i="1"/>
  <c r="A207" i="1"/>
  <c r="F207" i="1"/>
  <c r="G207" i="1"/>
  <c r="I207" i="1"/>
  <c r="A208" i="1"/>
  <c r="F208" i="1"/>
  <c r="G208" i="1"/>
  <c r="I208" i="1"/>
  <c r="A209" i="1"/>
  <c r="F209" i="1"/>
  <c r="G209" i="1"/>
  <c r="I209" i="1"/>
  <c r="A210" i="1"/>
  <c r="F210" i="1"/>
  <c r="G210" i="1"/>
  <c r="I210" i="1"/>
  <c r="A211" i="1"/>
  <c r="F211" i="1"/>
  <c r="G211" i="1"/>
  <c r="I211" i="1"/>
  <c r="A212" i="1"/>
  <c r="F212" i="1"/>
  <c r="G212" i="1"/>
  <c r="I212" i="1"/>
  <c r="A213" i="1"/>
  <c r="F213" i="1"/>
  <c r="G213" i="1"/>
  <c r="I213" i="1"/>
  <c r="A214" i="1"/>
  <c r="F214" i="1"/>
  <c r="G214" i="1"/>
  <c r="I214" i="1"/>
  <c r="A215" i="1"/>
  <c r="F215" i="1"/>
  <c r="G215" i="1"/>
  <c r="I215" i="1"/>
  <c r="A216" i="1"/>
  <c r="F216" i="1"/>
  <c r="G216" i="1"/>
  <c r="I216" i="1"/>
  <c r="A217" i="1"/>
  <c r="F217" i="1"/>
  <c r="G217" i="1"/>
  <c r="I217" i="1"/>
  <c r="A218" i="1"/>
  <c r="F218" i="1"/>
  <c r="G218" i="1"/>
  <c r="I218" i="1"/>
  <c r="A219" i="1"/>
  <c r="F219" i="1"/>
  <c r="G219" i="1"/>
  <c r="I219" i="1"/>
  <c r="A220" i="1"/>
  <c r="F220" i="1"/>
  <c r="G220" i="1"/>
  <c r="I220" i="1"/>
  <c r="A221" i="1"/>
  <c r="F221" i="1"/>
  <c r="G221" i="1"/>
  <c r="I221" i="1"/>
  <c r="A222" i="1"/>
  <c r="F222" i="1"/>
  <c r="G222" i="1"/>
  <c r="I222" i="1"/>
  <c r="A223" i="1"/>
  <c r="F223" i="1"/>
  <c r="G223" i="1"/>
  <c r="I223" i="1"/>
  <c r="A224" i="1"/>
  <c r="F224" i="1"/>
  <c r="G224" i="1"/>
  <c r="I224" i="1"/>
  <c r="A225" i="1"/>
  <c r="F225" i="1"/>
  <c r="G225" i="1"/>
  <c r="I225" i="1"/>
  <c r="A226" i="1"/>
  <c r="F226" i="1"/>
  <c r="G226" i="1"/>
  <c r="I226" i="1"/>
  <c r="A227" i="1"/>
  <c r="F227" i="1"/>
  <c r="G227" i="1"/>
  <c r="I227" i="1"/>
  <c r="A228" i="1"/>
  <c r="F228" i="1"/>
  <c r="G228" i="1"/>
  <c r="I228" i="1"/>
  <c r="A229" i="1"/>
  <c r="F229" i="1"/>
  <c r="G229" i="1"/>
  <c r="I229" i="1"/>
  <c r="A230" i="1"/>
  <c r="F230" i="1"/>
  <c r="G230" i="1"/>
  <c r="I230" i="1"/>
  <c r="A231" i="1"/>
  <c r="F231" i="1"/>
  <c r="G231" i="1"/>
  <c r="I231" i="1"/>
  <c r="A232" i="1"/>
  <c r="F232" i="1"/>
  <c r="G232" i="1"/>
  <c r="I232" i="1"/>
  <c r="A233" i="1"/>
  <c r="F233" i="1"/>
  <c r="G233" i="1"/>
  <c r="I233" i="1"/>
  <c r="A234" i="1"/>
  <c r="F234" i="1"/>
  <c r="G234" i="1"/>
  <c r="I234" i="1"/>
  <c r="A235" i="1"/>
  <c r="F235" i="1"/>
  <c r="G235" i="1"/>
  <c r="I235" i="1"/>
  <c r="A236" i="1"/>
  <c r="F236" i="1"/>
  <c r="G236" i="1"/>
  <c r="I236" i="1"/>
  <c r="A237" i="1"/>
  <c r="F237" i="1"/>
  <c r="G237" i="1"/>
  <c r="I237" i="1"/>
  <c r="A238" i="1"/>
  <c r="F238" i="1"/>
  <c r="G238" i="1"/>
  <c r="I238" i="1"/>
  <c r="A239" i="1"/>
  <c r="F239" i="1"/>
  <c r="G239" i="1"/>
  <c r="I239" i="1"/>
  <c r="A240" i="1"/>
  <c r="F240" i="1"/>
  <c r="G240" i="1"/>
  <c r="I240" i="1"/>
  <c r="A241" i="1"/>
  <c r="F241" i="1"/>
  <c r="G241" i="1"/>
  <c r="I241" i="1"/>
  <c r="A242" i="1"/>
  <c r="F242" i="1"/>
  <c r="G242" i="1"/>
  <c r="I242" i="1"/>
  <c r="A243" i="1"/>
  <c r="F243" i="1"/>
  <c r="G243" i="1"/>
  <c r="I243" i="1"/>
  <c r="A244" i="1"/>
  <c r="F244" i="1"/>
  <c r="G244" i="1"/>
  <c r="I244" i="1"/>
  <c r="A245" i="1"/>
  <c r="F245" i="1"/>
  <c r="G245" i="1"/>
  <c r="I245" i="1"/>
  <c r="A246" i="1"/>
  <c r="F246" i="1"/>
  <c r="G246" i="1"/>
  <c r="I246" i="1"/>
  <c r="A247" i="1"/>
  <c r="F247" i="1"/>
  <c r="G247" i="1"/>
  <c r="I247" i="1"/>
  <c r="A248" i="1"/>
  <c r="F248" i="1"/>
  <c r="G248" i="1"/>
  <c r="I248" i="1"/>
  <c r="A249" i="1"/>
  <c r="F249" i="1"/>
  <c r="G249" i="1"/>
  <c r="I249" i="1"/>
  <c r="A250" i="1"/>
  <c r="F250" i="1"/>
  <c r="G250" i="1"/>
  <c r="I250" i="1"/>
  <c r="A251" i="1"/>
  <c r="F251" i="1"/>
  <c r="G251" i="1"/>
  <c r="I251" i="1"/>
  <c r="A252" i="1"/>
  <c r="F252" i="1"/>
  <c r="G252" i="1"/>
  <c r="I252" i="1"/>
  <c r="A253" i="1"/>
  <c r="F253" i="1"/>
  <c r="G253" i="1"/>
  <c r="I253" i="1"/>
  <c r="A254" i="1"/>
  <c r="F254" i="1"/>
  <c r="G254" i="1"/>
  <c r="I254" i="1"/>
  <c r="A255" i="1"/>
  <c r="F255" i="1"/>
  <c r="G255" i="1"/>
  <c r="I255" i="1"/>
  <c r="A256" i="1"/>
  <c r="F256" i="1"/>
  <c r="G256" i="1"/>
  <c r="I256" i="1"/>
  <c r="A257" i="1"/>
  <c r="F257" i="1"/>
  <c r="G257" i="1"/>
  <c r="I257" i="1"/>
  <c r="A258" i="1"/>
  <c r="F258" i="1"/>
  <c r="G258" i="1"/>
  <c r="I258" i="1"/>
  <c r="A259" i="1"/>
  <c r="F259" i="1"/>
  <c r="G259" i="1"/>
  <c r="I259" i="1"/>
  <c r="A260" i="1"/>
  <c r="F260" i="1"/>
  <c r="G260" i="1"/>
  <c r="I260" i="1"/>
  <c r="A261" i="1"/>
  <c r="F261" i="1"/>
  <c r="G261" i="1"/>
  <c r="I261" i="1"/>
  <c r="A262" i="1"/>
  <c r="F262" i="1"/>
  <c r="G262" i="1"/>
  <c r="I262" i="1"/>
  <c r="A263" i="1"/>
  <c r="F263" i="1"/>
  <c r="G263" i="1"/>
  <c r="I263" i="1"/>
  <c r="A264" i="1"/>
  <c r="F264" i="1"/>
  <c r="G264" i="1"/>
  <c r="I264" i="1"/>
  <c r="A265" i="1"/>
  <c r="F265" i="1"/>
  <c r="G265" i="1"/>
  <c r="I265" i="1"/>
  <c r="A266" i="1"/>
  <c r="F266" i="1"/>
  <c r="G266" i="1"/>
  <c r="I266" i="1"/>
  <c r="A267" i="1"/>
  <c r="F267" i="1"/>
  <c r="G267" i="1"/>
  <c r="I267" i="1"/>
  <c r="A268" i="1"/>
  <c r="F268" i="1"/>
  <c r="G268" i="1"/>
  <c r="I268" i="1"/>
  <c r="A269" i="1"/>
  <c r="F269" i="1"/>
  <c r="G269" i="1"/>
  <c r="I269" i="1"/>
  <c r="A270" i="1"/>
  <c r="F270" i="1"/>
  <c r="G270" i="1"/>
  <c r="I270" i="1"/>
  <c r="A271" i="1"/>
  <c r="F271" i="1"/>
  <c r="G271" i="1"/>
  <c r="I271" i="1"/>
  <c r="A272" i="1"/>
  <c r="F272" i="1"/>
  <c r="G272" i="1"/>
  <c r="I272" i="1"/>
  <c r="A273" i="1"/>
  <c r="F273" i="1"/>
  <c r="G273" i="1"/>
  <c r="I273" i="1"/>
  <c r="A274" i="1"/>
  <c r="F274" i="1"/>
  <c r="G274" i="1"/>
  <c r="I274" i="1"/>
  <c r="A275" i="1"/>
  <c r="F275" i="1"/>
  <c r="G275" i="1"/>
  <c r="I275" i="1"/>
  <c r="A276" i="1"/>
  <c r="F276" i="1"/>
  <c r="G276" i="1"/>
  <c r="I276" i="1"/>
  <c r="A277" i="1"/>
  <c r="F277" i="1"/>
  <c r="G277" i="1"/>
  <c r="I277" i="1"/>
  <c r="A278" i="1"/>
  <c r="F278" i="1"/>
  <c r="G278" i="1"/>
  <c r="I278" i="1"/>
  <c r="A279" i="1"/>
  <c r="F279" i="1"/>
  <c r="G279" i="1"/>
  <c r="I279" i="1"/>
  <c r="A280" i="1"/>
  <c r="F280" i="1"/>
  <c r="G280" i="1"/>
  <c r="I280" i="1"/>
  <c r="A281" i="1"/>
  <c r="F281" i="1"/>
  <c r="G281" i="1"/>
  <c r="I281" i="1"/>
  <c r="A282" i="1"/>
  <c r="F282" i="1"/>
  <c r="G282" i="1"/>
  <c r="I282" i="1"/>
  <c r="A283" i="1"/>
  <c r="F283" i="1"/>
  <c r="G283" i="1"/>
  <c r="I283" i="1"/>
  <c r="A284" i="1"/>
  <c r="F284" i="1"/>
  <c r="G284" i="1"/>
  <c r="I284" i="1"/>
  <c r="A285" i="1"/>
  <c r="F285" i="1"/>
  <c r="G285" i="1"/>
  <c r="I285" i="1"/>
  <c r="A286" i="1"/>
  <c r="F286" i="1"/>
  <c r="G286" i="1"/>
  <c r="I286" i="1"/>
  <c r="A287" i="1"/>
  <c r="F287" i="1"/>
  <c r="G287" i="1"/>
  <c r="I287" i="1"/>
  <c r="A288" i="1"/>
  <c r="F288" i="1"/>
  <c r="G288" i="1"/>
  <c r="I288" i="1"/>
  <c r="A289" i="1"/>
  <c r="F289" i="1"/>
  <c r="G289" i="1"/>
  <c r="I289" i="1"/>
  <c r="A290" i="1"/>
  <c r="F290" i="1"/>
  <c r="G290" i="1"/>
  <c r="I290" i="1"/>
  <c r="A291" i="1"/>
  <c r="F291" i="1"/>
  <c r="G291" i="1"/>
  <c r="I291" i="1"/>
  <c r="A292" i="1"/>
  <c r="F292" i="1"/>
  <c r="G292" i="1"/>
  <c r="I292" i="1"/>
  <c r="A293" i="1"/>
  <c r="F293" i="1"/>
  <c r="G293" i="1"/>
  <c r="I293" i="1"/>
  <c r="A294" i="1"/>
  <c r="F294" i="1"/>
  <c r="G294" i="1"/>
  <c r="I294" i="1"/>
  <c r="A295" i="1"/>
  <c r="F295" i="1"/>
  <c r="G295" i="1"/>
  <c r="I295" i="1"/>
  <c r="A296" i="1"/>
  <c r="F296" i="1"/>
  <c r="G296" i="1"/>
  <c r="I296" i="1"/>
  <c r="A297" i="1"/>
  <c r="F297" i="1"/>
  <c r="G297" i="1"/>
  <c r="I297" i="1"/>
  <c r="A298" i="1"/>
  <c r="F298" i="1"/>
  <c r="G298" i="1"/>
  <c r="I298" i="1"/>
  <c r="A299" i="1"/>
  <c r="F299" i="1"/>
  <c r="G299" i="1"/>
  <c r="I299" i="1"/>
  <c r="A300" i="1"/>
  <c r="F300" i="1"/>
  <c r="G300" i="1"/>
  <c r="I300" i="1"/>
  <c r="A301" i="1"/>
  <c r="F301" i="1"/>
  <c r="G301" i="1"/>
  <c r="I301" i="1"/>
  <c r="A302" i="1"/>
  <c r="F302" i="1"/>
  <c r="G302" i="1"/>
  <c r="I302" i="1"/>
  <c r="A303" i="1"/>
  <c r="F303" i="1"/>
  <c r="G303" i="1"/>
  <c r="I303" i="1"/>
  <c r="A304" i="1"/>
  <c r="F304" i="1"/>
  <c r="G304" i="1"/>
  <c r="I304" i="1"/>
  <c r="A305" i="1"/>
  <c r="F305" i="1"/>
  <c r="G305" i="1"/>
  <c r="I305" i="1"/>
  <c r="A306" i="1"/>
  <c r="F306" i="1"/>
  <c r="G306" i="1"/>
  <c r="I306" i="1"/>
  <c r="A307" i="1"/>
  <c r="F307" i="1"/>
  <c r="G307" i="1"/>
  <c r="I307" i="1"/>
  <c r="A308" i="1"/>
  <c r="F308" i="1"/>
  <c r="G308" i="1"/>
  <c r="I308" i="1"/>
  <c r="A309" i="1"/>
  <c r="F309" i="1"/>
  <c r="G309" i="1"/>
  <c r="I309" i="1"/>
  <c r="A310" i="1"/>
  <c r="F310" i="1"/>
  <c r="G310" i="1"/>
  <c r="I310" i="1"/>
  <c r="A311" i="1"/>
  <c r="F311" i="1"/>
  <c r="G311" i="1"/>
  <c r="I311" i="1"/>
  <c r="A312" i="1"/>
  <c r="F312" i="1"/>
  <c r="G312" i="1"/>
  <c r="I312" i="1"/>
  <c r="A313" i="1"/>
  <c r="F313" i="1"/>
  <c r="G313" i="1"/>
  <c r="I313" i="1"/>
  <c r="A314" i="1"/>
  <c r="F314" i="1"/>
  <c r="G314" i="1"/>
  <c r="I314" i="1"/>
  <c r="A315" i="1"/>
  <c r="F315" i="1"/>
  <c r="G315" i="1"/>
  <c r="I315" i="1"/>
  <c r="A316" i="1"/>
  <c r="F316" i="1"/>
  <c r="G316" i="1"/>
  <c r="I316" i="1"/>
  <c r="A317" i="1"/>
  <c r="F317" i="1"/>
  <c r="G317" i="1"/>
  <c r="I317" i="1"/>
  <c r="A318" i="1"/>
  <c r="F318" i="1"/>
  <c r="G318" i="1"/>
  <c r="I318" i="1"/>
  <c r="A319" i="1"/>
  <c r="F319" i="1"/>
  <c r="G319" i="1"/>
  <c r="I319" i="1"/>
  <c r="A320" i="1"/>
  <c r="F320" i="1"/>
  <c r="G320" i="1"/>
  <c r="I320" i="1"/>
  <c r="A321" i="1"/>
  <c r="F321" i="1"/>
  <c r="G321" i="1"/>
  <c r="I321" i="1"/>
  <c r="A322" i="1"/>
  <c r="F322" i="1"/>
  <c r="G322" i="1"/>
  <c r="I322" i="1"/>
  <c r="A323" i="1"/>
  <c r="F323" i="1"/>
  <c r="G323" i="1"/>
  <c r="I323" i="1"/>
  <c r="A324" i="1"/>
  <c r="F324" i="1"/>
  <c r="G324" i="1"/>
  <c r="I324" i="1"/>
  <c r="A325" i="1"/>
  <c r="F325" i="1"/>
  <c r="G325" i="1"/>
  <c r="I325" i="1"/>
  <c r="A326" i="1"/>
  <c r="F326" i="1"/>
  <c r="G326" i="1"/>
  <c r="I326" i="1"/>
  <c r="A327" i="1"/>
  <c r="F327" i="1"/>
  <c r="G327" i="1"/>
  <c r="I327" i="1"/>
  <c r="A328" i="1"/>
  <c r="F328" i="1"/>
  <c r="G328" i="1"/>
  <c r="I328" i="1"/>
  <c r="A329" i="1"/>
  <c r="F329" i="1"/>
  <c r="G329" i="1"/>
  <c r="I329" i="1"/>
  <c r="A330" i="1"/>
  <c r="F330" i="1"/>
  <c r="G330" i="1"/>
  <c r="I330" i="1"/>
  <c r="A331" i="1"/>
  <c r="F331" i="1"/>
  <c r="G331" i="1"/>
  <c r="I331" i="1"/>
  <c r="A332" i="1"/>
  <c r="F332" i="1"/>
  <c r="G332" i="1"/>
  <c r="I332" i="1"/>
  <c r="A333" i="1"/>
  <c r="F333" i="1"/>
  <c r="G333" i="1"/>
  <c r="I333" i="1"/>
  <c r="A334" i="1"/>
  <c r="F334" i="1"/>
  <c r="G334" i="1"/>
  <c r="I334" i="1"/>
  <c r="A335" i="1"/>
  <c r="F335" i="1"/>
  <c r="G335" i="1"/>
  <c r="I335" i="1"/>
  <c r="A336" i="1"/>
  <c r="F336" i="1"/>
  <c r="G336" i="1"/>
  <c r="I336" i="1"/>
  <c r="A337" i="1"/>
  <c r="F337" i="1"/>
  <c r="G337" i="1"/>
  <c r="I337" i="1"/>
  <c r="A338" i="1"/>
  <c r="F338" i="1"/>
  <c r="G338" i="1"/>
  <c r="I338" i="1"/>
  <c r="A339" i="1"/>
  <c r="F339" i="1"/>
  <c r="G339" i="1"/>
  <c r="I339" i="1"/>
  <c r="A340" i="1"/>
  <c r="F340" i="1"/>
  <c r="G340" i="1"/>
  <c r="I340" i="1"/>
  <c r="A341" i="1"/>
  <c r="F341" i="1"/>
  <c r="G341" i="1"/>
  <c r="I341" i="1"/>
  <c r="A342" i="1"/>
  <c r="F342" i="1"/>
  <c r="G342" i="1"/>
  <c r="I342" i="1"/>
  <c r="A343" i="1"/>
  <c r="F343" i="1"/>
  <c r="G343" i="1"/>
  <c r="I343" i="1"/>
  <c r="A344" i="1"/>
  <c r="F344" i="1"/>
  <c r="G344" i="1"/>
  <c r="I344" i="1"/>
  <c r="A345" i="1"/>
  <c r="F345" i="1"/>
  <c r="G345" i="1"/>
  <c r="I345" i="1"/>
  <c r="A346" i="1"/>
  <c r="F346" i="1"/>
  <c r="G346" i="1"/>
  <c r="I346" i="1"/>
  <c r="A347" i="1"/>
  <c r="F347" i="1"/>
  <c r="G347" i="1"/>
  <c r="I347" i="1"/>
  <c r="A348" i="1"/>
  <c r="F348" i="1"/>
  <c r="G348" i="1"/>
  <c r="I348" i="1"/>
  <c r="A349" i="1"/>
  <c r="F349" i="1"/>
  <c r="G349" i="1"/>
  <c r="I349" i="1"/>
  <c r="A350" i="1"/>
  <c r="F350" i="1"/>
  <c r="G350" i="1"/>
  <c r="I350" i="1"/>
  <c r="A351" i="1"/>
  <c r="F351" i="1"/>
  <c r="G351" i="1"/>
  <c r="I351" i="1"/>
  <c r="A352" i="1"/>
  <c r="F352" i="1"/>
  <c r="G352" i="1"/>
  <c r="I352" i="1"/>
  <c r="A353" i="1"/>
  <c r="F353" i="1"/>
  <c r="G353" i="1"/>
  <c r="I353" i="1"/>
  <c r="A354" i="1"/>
  <c r="F354" i="1"/>
  <c r="G354" i="1"/>
  <c r="I354" i="1"/>
  <c r="A355" i="1"/>
  <c r="F355" i="1"/>
  <c r="G355" i="1"/>
  <c r="I355" i="1"/>
  <c r="A356" i="1"/>
  <c r="F356" i="1"/>
  <c r="G356" i="1"/>
  <c r="I356" i="1"/>
  <c r="A357" i="1"/>
  <c r="F357" i="1"/>
  <c r="G357" i="1"/>
  <c r="I357" i="1"/>
  <c r="A358" i="1"/>
  <c r="F358" i="1"/>
  <c r="G358" i="1"/>
  <c r="I358" i="1"/>
  <c r="A359" i="1"/>
  <c r="F359" i="1"/>
  <c r="G359" i="1"/>
  <c r="I359" i="1"/>
  <c r="A360" i="1"/>
  <c r="F360" i="1"/>
  <c r="G360" i="1"/>
  <c r="I360" i="1"/>
  <c r="A361" i="1"/>
  <c r="F361" i="1"/>
  <c r="G361" i="1"/>
  <c r="I361" i="1"/>
  <c r="A362" i="1"/>
  <c r="F362" i="1"/>
  <c r="G362" i="1"/>
  <c r="I362" i="1"/>
  <c r="A363" i="1"/>
  <c r="F363" i="1"/>
  <c r="G363" i="1"/>
  <c r="I363" i="1"/>
  <c r="A364" i="1"/>
  <c r="F364" i="1"/>
  <c r="G364" i="1"/>
  <c r="I364" i="1"/>
  <c r="A365" i="1"/>
  <c r="F365" i="1"/>
  <c r="G365" i="1"/>
  <c r="I365" i="1"/>
  <c r="A366" i="1"/>
  <c r="F366" i="1"/>
  <c r="G366" i="1"/>
  <c r="I366" i="1"/>
  <c r="A367" i="1"/>
  <c r="F367" i="1"/>
  <c r="G367" i="1"/>
  <c r="I367" i="1"/>
  <c r="A368" i="1"/>
  <c r="F368" i="1"/>
  <c r="G368" i="1"/>
  <c r="I368" i="1"/>
  <c r="A369" i="1"/>
  <c r="F369" i="1"/>
  <c r="G369" i="1"/>
  <c r="I369" i="1"/>
  <c r="A370" i="1"/>
  <c r="F370" i="1"/>
  <c r="G370" i="1"/>
  <c r="I370" i="1"/>
  <c r="A371" i="1"/>
  <c r="F371" i="1"/>
  <c r="G371" i="1"/>
  <c r="I371" i="1"/>
  <c r="A372" i="1"/>
  <c r="F372" i="1"/>
  <c r="G372" i="1"/>
  <c r="I372" i="1"/>
  <c r="A373" i="1"/>
  <c r="F373" i="1"/>
  <c r="G373" i="1"/>
  <c r="I373" i="1"/>
  <c r="A374" i="1"/>
  <c r="F374" i="1"/>
  <c r="G374" i="1"/>
  <c r="I374" i="1"/>
  <c r="A375" i="1"/>
  <c r="F375" i="1"/>
  <c r="G375" i="1"/>
  <c r="I375" i="1"/>
  <c r="A376" i="1"/>
  <c r="F376" i="1"/>
  <c r="G376" i="1"/>
  <c r="I376" i="1"/>
  <c r="A377" i="1"/>
  <c r="F377" i="1"/>
  <c r="G377" i="1"/>
  <c r="I377" i="1"/>
  <c r="A378" i="1"/>
  <c r="F378" i="1"/>
  <c r="G378" i="1"/>
  <c r="I378" i="1"/>
  <c r="A379" i="1"/>
  <c r="F379" i="1"/>
  <c r="G379" i="1"/>
  <c r="I379" i="1"/>
  <c r="A380" i="1"/>
  <c r="F380" i="1"/>
  <c r="G380" i="1"/>
  <c r="I380" i="1"/>
  <c r="A381" i="1"/>
  <c r="F381" i="1"/>
  <c r="G381" i="1"/>
  <c r="I381" i="1"/>
  <c r="A382" i="1"/>
  <c r="F382" i="1"/>
  <c r="G382" i="1"/>
  <c r="I382" i="1"/>
  <c r="A383" i="1"/>
  <c r="F383" i="1"/>
  <c r="G383" i="1"/>
  <c r="I383" i="1"/>
  <c r="A384" i="1"/>
  <c r="F384" i="1"/>
  <c r="G384" i="1"/>
  <c r="I384" i="1"/>
  <c r="A385" i="1"/>
  <c r="F385" i="1"/>
  <c r="G385" i="1"/>
  <c r="I385" i="1"/>
  <c r="A386" i="1"/>
  <c r="F386" i="1"/>
  <c r="G386" i="1"/>
  <c r="I386" i="1"/>
  <c r="A387" i="1"/>
  <c r="F387" i="1"/>
  <c r="G387" i="1"/>
  <c r="I387" i="1"/>
  <c r="A388" i="1"/>
  <c r="F388" i="1"/>
  <c r="G388" i="1"/>
  <c r="I388" i="1"/>
  <c r="A389" i="1"/>
  <c r="F389" i="1"/>
  <c r="G389" i="1"/>
  <c r="I389" i="1"/>
  <c r="A390" i="1"/>
  <c r="F390" i="1"/>
  <c r="G390" i="1"/>
  <c r="I390" i="1"/>
  <c r="A391" i="1"/>
  <c r="F391" i="1"/>
  <c r="G391" i="1"/>
  <c r="I391" i="1"/>
  <c r="A392" i="1"/>
  <c r="F392" i="1"/>
  <c r="G392" i="1"/>
  <c r="I392" i="1"/>
  <c r="A393" i="1"/>
  <c r="F393" i="1"/>
  <c r="G393" i="1"/>
  <c r="I393" i="1"/>
  <c r="A394" i="1"/>
  <c r="F394" i="1"/>
  <c r="G394" i="1"/>
  <c r="I394" i="1"/>
  <c r="A395" i="1"/>
  <c r="F395" i="1"/>
  <c r="G395" i="1"/>
  <c r="I395" i="1"/>
  <c r="A396" i="1"/>
  <c r="F396" i="1"/>
  <c r="G396" i="1"/>
  <c r="I396" i="1"/>
  <c r="A397" i="1"/>
  <c r="F397" i="1"/>
  <c r="G397" i="1"/>
  <c r="I397" i="1"/>
  <c r="A398" i="1"/>
  <c r="F398" i="1"/>
  <c r="G398" i="1"/>
  <c r="I398" i="1"/>
  <c r="A399" i="1"/>
  <c r="F399" i="1"/>
  <c r="G399" i="1"/>
  <c r="I399" i="1"/>
  <c r="A400" i="1"/>
  <c r="F400" i="1"/>
  <c r="G400" i="1"/>
  <c r="I400" i="1"/>
  <c r="A401" i="1"/>
  <c r="F401" i="1"/>
  <c r="G401" i="1"/>
  <c r="I401" i="1"/>
  <c r="A402" i="1"/>
  <c r="F402" i="1"/>
  <c r="G402" i="1"/>
  <c r="I402" i="1"/>
  <c r="A403" i="1"/>
  <c r="F403" i="1"/>
  <c r="G403" i="1"/>
  <c r="I403" i="1"/>
  <c r="A404" i="1"/>
  <c r="F404" i="1"/>
  <c r="G404" i="1"/>
  <c r="I404" i="1"/>
  <c r="A405" i="1"/>
  <c r="F405" i="1"/>
  <c r="G405" i="1"/>
  <c r="I405" i="1"/>
  <c r="A406" i="1"/>
  <c r="F406" i="1"/>
  <c r="G406" i="1"/>
  <c r="I406" i="1"/>
  <c r="A407" i="1"/>
  <c r="F407" i="1"/>
  <c r="G407" i="1"/>
  <c r="I407" i="1"/>
  <c r="A408" i="1"/>
  <c r="F408" i="1"/>
  <c r="G408" i="1"/>
  <c r="I408" i="1"/>
  <c r="A409" i="1"/>
  <c r="F409" i="1"/>
  <c r="G409" i="1"/>
  <c r="I409" i="1"/>
  <c r="A410" i="1"/>
  <c r="F410" i="1"/>
  <c r="G410" i="1"/>
  <c r="I410" i="1"/>
  <c r="A411" i="1"/>
  <c r="F411" i="1"/>
  <c r="G411" i="1"/>
  <c r="I411" i="1"/>
  <c r="A412" i="1"/>
  <c r="F412" i="1"/>
  <c r="G412" i="1"/>
  <c r="I412" i="1"/>
  <c r="A413" i="1"/>
  <c r="F413" i="1"/>
  <c r="G413" i="1"/>
  <c r="I413" i="1"/>
  <c r="A414" i="1"/>
  <c r="F414" i="1"/>
  <c r="G414" i="1"/>
  <c r="I414" i="1"/>
  <c r="A415" i="1"/>
  <c r="F415" i="1"/>
  <c r="G415" i="1"/>
  <c r="I415" i="1"/>
  <c r="A416" i="1"/>
  <c r="F416" i="1"/>
  <c r="G416" i="1"/>
  <c r="I416" i="1"/>
  <c r="A417" i="1"/>
  <c r="F417" i="1"/>
  <c r="G417" i="1"/>
  <c r="I417" i="1"/>
  <c r="A418" i="1"/>
  <c r="F418" i="1"/>
  <c r="G418" i="1"/>
  <c r="I418" i="1"/>
  <c r="A419" i="1"/>
  <c r="F419" i="1"/>
  <c r="G419" i="1"/>
  <c r="I419" i="1"/>
  <c r="A420" i="1"/>
  <c r="F420" i="1"/>
  <c r="G420" i="1"/>
  <c r="I420" i="1"/>
  <c r="A421" i="1"/>
  <c r="F421" i="1"/>
  <c r="G421" i="1"/>
  <c r="I421" i="1"/>
  <c r="A422" i="1"/>
  <c r="F422" i="1"/>
  <c r="G422" i="1"/>
  <c r="I422" i="1"/>
  <c r="A423" i="1"/>
  <c r="F423" i="1"/>
  <c r="G423" i="1"/>
  <c r="I423" i="1"/>
  <c r="A424" i="1"/>
  <c r="F424" i="1"/>
  <c r="G424" i="1"/>
  <c r="I424" i="1"/>
  <c r="A425" i="1"/>
  <c r="F425" i="1"/>
  <c r="G425" i="1"/>
  <c r="I425" i="1"/>
  <c r="A426" i="1"/>
  <c r="F426" i="1"/>
  <c r="G426" i="1"/>
  <c r="I426" i="1"/>
  <c r="A427" i="1"/>
  <c r="F427" i="1"/>
  <c r="G427" i="1"/>
  <c r="I427" i="1"/>
  <c r="A428" i="1"/>
  <c r="F428" i="1"/>
  <c r="G428" i="1"/>
  <c r="I428" i="1"/>
  <c r="A429" i="1"/>
  <c r="F429" i="1"/>
  <c r="G429" i="1"/>
  <c r="I429" i="1"/>
  <c r="A430" i="1"/>
  <c r="F430" i="1"/>
  <c r="G430" i="1"/>
  <c r="I430" i="1"/>
  <c r="A431" i="1"/>
  <c r="F431" i="1"/>
  <c r="G431" i="1"/>
  <c r="I431" i="1"/>
  <c r="A432" i="1"/>
  <c r="F432" i="1"/>
  <c r="G432" i="1"/>
  <c r="I432" i="1"/>
  <c r="A433" i="1"/>
  <c r="F433" i="1"/>
  <c r="G433" i="1"/>
  <c r="I433" i="1"/>
  <c r="A434" i="1"/>
  <c r="F434" i="1"/>
  <c r="G434" i="1"/>
  <c r="I434" i="1"/>
  <c r="A435" i="1"/>
  <c r="F435" i="1"/>
  <c r="G435" i="1"/>
  <c r="I435" i="1"/>
  <c r="A436" i="1"/>
  <c r="F436" i="1"/>
  <c r="G436" i="1"/>
  <c r="I436" i="1"/>
  <c r="A437" i="1"/>
  <c r="F437" i="1"/>
  <c r="G437" i="1"/>
  <c r="I437" i="1"/>
  <c r="A438" i="1"/>
  <c r="F438" i="1"/>
  <c r="G438" i="1"/>
  <c r="I438" i="1"/>
  <c r="A439" i="1"/>
  <c r="F439" i="1"/>
  <c r="G439" i="1"/>
  <c r="I439" i="1"/>
  <c r="A440" i="1"/>
  <c r="F440" i="1"/>
  <c r="G440" i="1"/>
  <c r="I440" i="1"/>
  <c r="A441" i="1"/>
  <c r="F441" i="1"/>
  <c r="G441" i="1"/>
  <c r="I441" i="1"/>
  <c r="A442" i="1"/>
  <c r="F442" i="1"/>
  <c r="G442" i="1"/>
  <c r="I442" i="1"/>
  <c r="A443" i="1"/>
  <c r="F443" i="1"/>
  <c r="G443" i="1"/>
  <c r="I443" i="1"/>
  <c r="A444" i="1"/>
  <c r="F444" i="1"/>
  <c r="G444" i="1"/>
  <c r="I444" i="1"/>
  <c r="A445" i="1"/>
  <c r="F445" i="1"/>
  <c r="G445" i="1"/>
  <c r="I445" i="1"/>
  <c r="A446" i="1"/>
  <c r="F446" i="1"/>
  <c r="G446" i="1"/>
  <c r="I446" i="1"/>
  <c r="A447" i="1"/>
  <c r="F447" i="1"/>
  <c r="G447" i="1"/>
  <c r="I447" i="1"/>
  <c r="A448" i="1"/>
  <c r="F448" i="1"/>
  <c r="G448" i="1"/>
  <c r="I448" i="1"/>
  <c r="A449" i="1"/>
  <c r="F449" i="1"/>
  <c r="G449" i="1"/>
  <c r="I449" i="1"/>
  <c r="A450" i="1"/>
  <c r="F450" i="1"/>
  <c r="G450" i="1"/>
  <c r="I450" i="1"/>
  <c r="A451" i="1"/>
  <c r="F451" i="1"/>
  <c r="G451" i="1"/>
  <c r="I451" i="1"/>
  <c r="A452" i="1"/>
  <c r="F452" i="1"/>
  <c r="G452" i="1"/>
  <c r="I452" i="1"/>
  <c r="A453" i="1"/>
  <c r="F453" i="1"/>
  <c r="G453" i="1"/>
  <c r="I453" i="1"/>
  <c r="A454" i="1"/>
  <c r="F454" i="1"/>
  <c r="G454" i="1"/>
  <c r="I454" i="1"/>
  <c r="A455" i="1"/>
  <c r="F455" i="1"/>
  <c r="G455" i="1"/>
  <c r="I455" i="1"/>
  <c r="A456" i="1"/>
  <c r="F456" i="1"/>
  <c r="G456" i="1"/>
  <c r="I456" i="1"/>
  <c r="A457" i="1"/>
  <c r="F457" i="1"/>
  <c r="G457" i="1"/>
  <c r="I457" i="1"/>
  <c r="A458" i="1"/>
  <c r="F458" i="1"/>
  <c r="G458" i="1"/>
  <c r="I458" i="1"/>
  <c r="A459" i="1"/>
  <c r="F459" i="1"/>
  <c r="G459" i="1"/>
  <c r="I459" i="1"/>
  <c r="A460" i="1"/>
  <c r="F460" i="1"/>
  <c r="G460" i="1"/>
  <c r="I460" i="1"/>
  <c r="A461" i="1"/>
  <c r="F461" i="1"/>
  <c r="G461" i="1"/>
  <c r="I461" i="1"/>
  <c r="A462" i="1"/>
  <c r="F462" i="1"/>
  <c r="G462" i="1"/>
  <c r="I462" i="1"/>
  <c r="A463" i="1"/>
  <c r="F463" i="1"/>
  <c r="G463" i="1"/>
  <c r="I463" i="1"/>
  <c r="A464" i="1"/>
  <c r="F464" i="1"/>
  <c r="G464" i="1"/>
  <c r="I464" i="1"/>
  <c r="A465" i="1"/>
  <c r="F465" i="1"/>
  <c r="G465" i="1"/>
  <c r="I465" i="1"/>
  <c r="A466" i="1"/>
  <c r="F466" i="1"/>
  <c r="G466" i="1"/>
  <c r="I466" i="1"/>
  <c r="A467" i="1"/>
  <c r="F467" i="1"/>
  <c r="G467" i="1"/>
  <c r="I467" i="1"/>
  <c r="A468" i="1"/>
  <c r="F468" i="1"/>
  <c r="G468" i="1"/>
  <c r="I468" i="1"/>
  <c r="A469" i="1"/>
  <c r="F469" i="1"/>
  <c r="G469" i="1"/>
  <c r="I469" i="1"/>
  <c r="A470" i="1"/>
  <c r="F470" i="1"/>
  <c r="G470" i="1"/>
  <c r="I470" i="1"/>
  <c r="A471" i="1"/>
  <c r="F471" i="1"/>
  <c r="G471" i="1"/>
  <c r="I471" i="1"/>
  <c r="A472" i="1"/>
  <c r="F472" i="1"/>
  <c r="G472" i="1"/>
  <c r="I472" i="1"/>
  <c r="A473" i="1"/>
  <c r="F473" i="1"/>
  <c r="G473" i="1"/>
  <c r="I473" i="1"/>
  <c r="A474" i="1"/>
  <c r="F474" i="1"/>
  <c r="G474" i="1"/>
  <c r="I474" i="1"/>
  <c r="A475" i="1"/>
  <c r="F475" i="1"/>
  <c r="G475" i="1"/>
  <c r="I475" i="1"/>
  <c r="A476" i="1"/>
  <c r="F476" i="1"/>
  <c r="G476" i="1"/>
  <c r="I476" i="1"/>
  <c r="A477" i="1"/>
  <c r="F477" i="1"/>
  <c r="G477" i="1"/>
  <c r="I477" i="1"/>
  <c r="A478" i="1"/>
  <c r="F478" i="1"/>
  <c r="G478" i="1"/>
  <c r="I478" i="1"/>
  <c r="A479" i="1"/>
  <c r="F479" i="1"/>
  <c r="G479" i="1"/>
  <c r="I479" i="1"/>
  <c r="A480" i="1"/>
  <c r="F480" i="1"/>
  <c r="G480" i="1"/>
  <c r="I480" i="1"/>
  <c r="A481" i="1"/>
  <c r="F481" i="1"/>
  <c r="G481" i="1"/>
  <c r="I481" i="1"/>
  <c r="A482" i="1"/>
  <c r="F482" i="1"/>
  <c r="G482" i="1"/>
  <c r="I482" i="1"/>
  <c r="A483" i="1"/>
  <c r="F483" i="1"/>
  <c r="G483" i="1"/>
  <c r="I483" i="1"/>
  <c r="A484" i="1"/>
  <c r="F484" i="1"/>
  <c r="G484" i="1"/>
  <c r="I484" i="1"/>
  <c r="A485" i="1"/>
  <c r="F485" i="1"/>
  <c r="G485" i="1"/>
  <c r="I485" i="1"/>
  <c r="A486" i="1"/>
  <c r="F486" i="1"/>
  <c r="G486" i="1"/>
  <c r="I486" i="1"/>
  <c r="A487" i="1"/>
  <c r="F487" i="1"/>
  <c r="G487" i="1"/>
  <c r="I487" i="1"/>
  <c r="A488" i="1"/>
  <c r="F488" i="1"/>
  <c r="G488" i="1"/>
  <c r="I488" i="1"/>
  <c r="A489" i="1"/>
  <c r="F489" i="1"/>
  <c r="G489" i="1"/>
  <c r="I489" i="1"/>
  <c r="A490" i="1"/>
  <c r="F490" i="1"/>
  <c r="G490" i="1"/>
  <c r="I490" i="1"/>
  <c r="A491" i="1"/>
  <c r="F491" i="1"/>
  <c r="G491" i="1"/>
  <c r="I491" i="1"/>
  <c r="A492" i="1"/>
  <c r="F492" i="1"/>
  <c r="G492" i="1"/>
  <c r="I492" i="1"/>
  <c r="A493" i="1"/>
  <c r="F493" i="1"/>
  <c r="G493" i="1"/>
  <c r="I493" i="1"/>
  <c r="A494" i="1"/>
  <c r="F494" i="1"/>
  <c r="G494" i="1"/>
  <c r="I494" i="1"/>
  <c r="A495" i="1"/>
  <c r="F495" i="1"/>
  <c r="G495" i="1"/>
  <c r="I495" i="1"/>
  <c r="A496" i="1"/>
  <c r="F496" i="1"/>
  <c r="G496" i="1"/>
  <c r="I496" i="1"/>
  <c r="A497" i="1"/>
  <c r="F497" i="1"/>
  <c r="G497" i="1"/>
  <c r="I497" i="1"/>
  <c r="A498" i="1"/>
  <c r="F498" i="1"/>
  <c r="G498" i="1"/>
  <c r="I498" i="1"/>
  <c r="A499" i="1"/>
  <c r="F499" i="1"/>
  <c r="G499" i="1"/>
  <c r="I499" i="1"/>
  <c r="A500" i="1"/>
  <c r="F500" i="1"/>
  <c r="G500" i="1"/>
  <c r="I500" i="1"/>
  <c r="A501" i="1"/>
  <c r="F501" i="1"/>
  <c r="G501" i="1"/>
  <c r="A502" i="1"/>
  <c r="F502" i="1"/>
  <c r="G502" i="1"/>
  <c r="I502" i="1"/>
  <c r="A503" i="1"/>
  <c r="F503" i="1"/>
  <c r="G503" i="1"/>
  <c r="I503" i="1"/>
  <c r="A504" i="1"/>
  <c r="F504" i="1"/>
  <c r="G504" i="1"/>
  <c r="I504" i="1"/>
  <c r="A505" i="1"/>
  <c r="F505" i="1"/>
  <c r="G505" i="1"/>
  <c r="I505" i="1"/>
  <c r="A506" i="1"/>
  <c r="F506" i="1"/>
  <c r="G506" i="1"/>
  <c r="I506" i="1"/>
  <c r="A507" i="1"/>
  <c r="F507" i="1"/>
  <c r="G507" i="1"/>
  <c r="I507" i="1"/>
  <c r="A508" i="1"/>
  <c r="F508" i="1"/>
  <c r="G508" i="1"/>
  <c r="I508" i="1"/>
  <c r="A509" i="1"/>
  <c r="F509" i="1"/>
  <c r="G509" i="1"/>
  <c r="I509" i="1"/>
  <c r="A510" i="1"/>
  <c r="F510" i="1"/>
  <c r="G510" i="1"/>
  <c r="I510" i="1"/>
  <c r="A511" i="1"/>
  <c r="F511" i="1"/>
  <c r="G511" i="1"/>
  <c r="I511" i="1"/>
  <c r="A512" i="1"/>
  <c r="F512" i="1"/>
  <c r="G512" i="1"/>
  <c r="I512" i="1"/>
  <c r="A513" i="1"/>
  <c r="F513" i="1"/>
  <c r="G513" i="1"/>
  <c r="I513" i="1"/>
  <c r="A514" i="1"/>
  <c r="F514" i="1"/>
  <c r="G514" i="1"/>
  <c r="I514" i="1"/>
  <c r="A515" i="1"/>
  <c r="F515" i="1"/>
  <c r="G515" i="1"/>
  <c r="I515" i="1"/>
  <c r="A516" i="1"/>
  <c r="F516" i="1"/>
  <c r="G516" i="1"/>
  <c r="I516" i="1"/>
  <c r="A517" i="1"/>
  <c r="F517" i="1"/>
  <c r="G517" i="1"/>
  <c r="I517" i="1"/>
  <c r="A518" i="1"/>
  <c r="F518" i="1"/>
  <c r="G518" i="1"/>
  <c r="I518" i="1"/>
  <c r="A519" i="1"/>
  <c r="F519" i="1"/>
  <c r="G519" i="1"/>
  <c r="I519" i="1"/>
  <c r="A520" i="1"/>
  <c r="F520" i="1"/>
  <c r="G520" i="1"/>
  <c r="I520" i="1"/>
  <c r="A521" i="1"/>
  <c r="F521" i="1"/>
  <c r="G521" i="1"/>
  <c r="I521" i="1"/>
  <c r="A522" i="1"/>
  <c r="F522" i="1"/>
  <c r="G522" i="1"/>
  <c r="I522" i="1"/>
  <c r="A523" i="1"/>
  <c r="F523" i="1"/>
  <c r="G523" i="1"/>
  <c r="I523" i="1"/>
  <c r="A524" i="1"/>
  <c r="F524" i="1"/>
  <c r="G524" i="1"/>
  <c r="I524" i="1"/>
  <c r="A525" i="1"/>
  <c r="F525" i="1"/>
  <c r="G525" i="1"/>
  <c r="I525" i="1"/>
  <c r="A526" i="1"/>
  <c r="F526" i="1"/>
  <c r="G526" i="1"/>
  <c r="I526" i="1"/>
  <c r="A527" i="1"/>
  <c r="F527" i="1"/>
  <c r="G527" i="1"/>
  <c r="I527" i="1"/>
  <c r="A528" i="1"/>
  <c r="F528" i="1"/>
  <c r="G528" i="1"/>
  <c r="I528" i="1"/>
  <c r="A529" i="1"/>
  <c r="F529" i="1"/>
  <c r="G529" i="1"/>
  <c r="I529" i="1"/>
  <c r="A530" i="1"/>
  <c r="F530" i="1"/>
  <c r="G530" i="1"/>
  <c r="I530" i="1"/>
  <c r="A531" i="1"/>
  <c r="F531" i="1"/>
  <c r="G531" i="1"/>
  <c r="I531" i="1"/>
  <c r="A532" i="1"/>
  <c r="F532" i="1"/>
  <c r="G532" i="1"/>
  <c r="I532" i="1"/>
  <c r="A533" i="1"/>
  <c r="F533" i="1"/>
  <c r="G533" i="1"/>
  <c r="I533" i="1"/>
  <c r="A534" i="1"/>
  <c r="F534" i="1"/>
  <c r="G534" i="1"/>
  <c r="I534" i="1"/>
  <c r="A535" i="1"/>
  <c r="F535" i="1"/>
  <c r="G535" i="1"/>
  <c r="I535" i="1"/>
  <c r="A536" i="1"/>
  <c r="F536" i="1"/>
  <c r="G536" i="1"/>
  <c r="I536" i="1"/>
  <c r="A537" i="1"/>
  <c r="F537" i="1"/>
  <c r="G537" i="1"/>
  <c r="I537" i="1"/>
  <c r="A538" i="1"/>
  <c r="F538" i="1"/>
  <c r="G538" i="1"/>
  <c r="I538" i="1"/>
  <c r="A539" i="1"/>
  <c r="F539" i="1"/>
  <c r="G539" i="1"/>
  <c r="I539" i="1"/>
  <c r="A540" i="1"/>
  <c r="F540" i="1"/>
  <c r="G540" i="1"/>
  <c r="I540" i="1"/>
  <c r="A541" i="1"/>
  <c r="F541" i="1"/>
  <c r="G541" i="1"/>
  <c r="I541" i="1"/>
  <c r="A542" i="1"/>
  <c r="F542" i="1"/>
  <c r="G542" i="1"/>
  <c r="I542" i="1"/>
  <c r="A543" i="1"/>
  <c r="F543" i="1"/>
  <c r="G543" i="1"/>
  <c r="I543" i="1"/>
  <c r="A544" i="1"/>
  <c r="F544" i="1"/>
  <c r="G544" i="1"/>
  <c r="I544" i="1"/>
  <c r="A545" i="1"/>
  <c r="F545" i="1"/>
  <c r="G545" i="1"/>
  <c r="I545" i="1"/>
  <c r="A546" i="1"/>
  <c r="F546" i="1"/>
  <c r="G546" i="1"/>
  <c r="I546" i="1"/>
  <c r="A547" i="1"/>
  <c r="F547" i="1"/>
  <c r="G547" i="1"/>
  <c r="I547" i="1"/>
  <c r="A548" i="1"/>
  <c r="F548" i="1"/>
  <c r="G548" i="1"/>
  <c r="I548" i="1"/>
  <c r="A549" i="1"/>
  <c r="F549" i="1"/>
  <c r="G549" i="1"/>
  <c r="I549" i="1"/>
  <c r="A550" i="1"/>
  <c r="F550" i="1"/>
  <c r="G550" i="1"/>
  <c r="I550" i="1"/>
  <c r="A551" i="1"/>
  <c r="F551" i="1"/>
  <c r="G551" i="1"/>
  <c r="I551" i="1"/>
  <c r="A552" i="1"/>
  <c r="F552" i="1"/>
  <c r="G552" i="1"/>
  <c r="I552" i="1"/>
  <c r="A553" i="1"/>
  <c r="F553" i="1"/>
  <c r="G553" i="1"/>
  <c r="I553" i="1"/>
  <c r="A554" i="1"/>
  <c r="F554" i="1"/>
  <c r="G554" i="1"/>
  <c r="I554" i="1"/>
  <c r="A555" i="1"/>
  <c r="F555" i="1"/>
  <c r="G555" i="1"/>
  <c r="I555" i="1"/>
  <c r="A556" i="1"/>
  <c r="F556" i="1"/>
  <c r="G556" i="1"/>
  <c r="I556" i="1"/>
  <c r="A557" i="1"/>
  <c r="H557" i="1"/>
  <c r="I557" i="1"/>
  <c r="A558" i="1"/>
  <c r="H558" i="1"/>
  <c r="I558" i="1"/>
  <c r="A559" i="1"/>
  <c r="F559" i="1"/>
  <c r="G559" i="1"/>
  <c r="I559" i="1"/>
  <c r="A560" i="1"/>
  <c r="F560" i="1"/>
  <c r="G560" i="1"/>
  <c r="A561" i="1"/>
  <c r="F561" i="1"/>
  <c r="G561" i="1"/>
  <c r="A562" i="1"/>
  <c r="F562" i="1"/>
  <c r="G562" i="1"/>
  <c r="I562" i="1"/>
  <c r="A563" i="1"/>
  <c r="F563" i="1"/>
  <c r="G563" i="1"/>
  <c r="I563" i="1"/>
  <c r="A564" i="1"/>
  <c r="F564" i="1"/>
  <c r="G564" i="1"/>
  <c r="I564" i="1"/>
  <c r="A565" i="1"/>
  <c r="F565" i="1"/>
  <c r="G565" i="1"/>
  <c r="I565" i="1"/>
  <c r="A566" i="1"/>
  <c r="F566" i="1"/>
  <c r="G566" i="1"/>
  <c r="I566" i="1"/>
  <c r="A567" i="1"/>
  <c r="F567" i="1"/>
  <c r="G567" i="1"/>
  <c r="I567" i="1"/>
  <c r="A568" i="1"/>
  <c r="F568" i="1"/>
  <c r="G568" i="1"/>
  <c r="I568" i="1"/>
  <c r="A569" i="1"/>
  <c r="F569" i="1"/>
  <c r="G569" i="1"/>
  <c r="I569" i="1"/>
  <c r="A570" i="1"/>
  <c r="F570" i="1"/>
  <c r="G570" i="1"/>
  <c r="I570" i="1"/>
  <c r="A571" i="1"/>
  <c r="F571" i="1"/>
  <c r="G571" i="1"/>
  <c r="I571" i="1"/>
  <c r="A572" i="1"/>
  <c r="F572" i="1"/>
  <c r="G572" i="1"/>
  <c r="I572" i="1"/>
  <c r="A573" i="1"/>
  <c r="F573" i="1"/>
  <c r="G573" i="1"/>
  <c r="I573" i="1"/>
  <c r="A574" i="1"/>
  <c r="F574" i="1"/>
  <c r="G574" i="1"/>
  <c r="I574" i="1"/>
  <c r="A575" i="1"/>
  <c r="F575" i="1"/>
  <c r="G575" i="1"/>
  <c r="I575" i="1"/>
  <c r="A576" i="1"/>
  <c r="F576" i="1"/>
  <c r="G576" i="1"/>
  <c r="I576" i="1"/>
  <c r="A577" i="1"/>
  <c r="F577" i="1"/>
  <c r="G577" i="1"/>
  <c r="I577" i="1"/>
  <c r="A578" i="1"/>
  <c r="F578" i="1"/>
  <c r="G578" i="1"/>
  <c r="I578" i="1"/>
  <c r="A579" i="1"/>
  <c r="F579" i="1"/>
  <c r="G579" i="1"/>
  <c r="I579" i="1"/>
  <c r="A580" i="1"/>
  <c r="F580" i="1"/>
  <c r="G580" i="1"/>
  <c r="I580" i="1"/>
  <c r="A581" i="1"/>
  <c r="F581" i="1"/>
  <c r="G581" i="1"/>
  <c r="I581" i="1"/>
  <c r="A582" i="1"/>
  <c r="F582" i="1"/>
  <c r="G582" i="1"/>
  <c r="I582" i="1"/>
  <c r="A583" i="1"/>
  <c r="F583" i="1"/>
  <c r="G583" i="1"/>
  <c r="I583" i="1"/>
  <c r="A584" i="1"/>
  <c r="F584" i="1"/>
  <c r="G584" i="1"/>
  <c r="I584" i="1"/>
  <c r="A585" i="1"/>
  <c r="F585" i="1"/>
  <c r="G585" i="1"/>
  <c r="I585" i="1"/>
  <c r="A586" i="1"/>
  <c r="F586" i="1"/>
  <c r="G586" i="1"/>
  <c r="I586" i="1"/>
  <c r="A587" i="1"/>
  <c r="F587" i="1"/>
  <c r="G587" i="1"/>
  <c r="I587" i="1"/>
  <c r="A588" i="1"/>
  <c r="F588" i="1"/>
  <c r="G588" i="1"/>
  <c r="I588" i="1"/>
  <c r="A589" i="1"/>
  <c r="F589" i="1"/>
  <c r="G589" i="1"/>
  <c r="I589" i="1"/>
  <c r="A590" i="1"/>
  <c r="F590" i="1"/>
  <c r="G590" i="1"/>
  <c r="I590" i="1"/>
  <c r="A591" i="1"/>
  <c r="F591" i="1"/>
  <c r="G591" i="1"/>
  <c r="I591" i="1"/>
  <c r="A592" i="1"/>
  <c r="F592" i="1"/>
  <c r="G592" i="1"/>
  <c r="I592" i="1"/>
  <c r="A593" i="1"/>
  <c r="F593" i="1"/>
  <c r="G593" i="1"/>
  <c r="I593" i="1"/>
  <c r="A594" i="1"/>
  <c r="F594" i="1"/>
  <c r="G594" i="1"/>
  <c r="I594" i="1"/>
  <c r="A595" i="1"/>
  <c r="F595" i="1"/>
  <c r="G595" i="1"/>
  <c r="I595" i="1"/>
  <c r="A596" i="1"/>
  <c r="F596" i="1"/>
  <c r="G596" i="1"/>
  <c r="I596" i="1"/>
  <c r="A597" i="1"/>
  <c r="F597" i="1"/>
  <c r="G597" i="1"/>
  <c r="I597" i="1"/>
  <c r="A598" i="1"/>
  <c r="F598" i="1"/>
  <c r="G598" i="1"/>
  <c r="I598" i="1"/>
  <c r="A599" i="1"/>
  <c r="F599" i="1"/>
  <c r="G599" i="1"/>
  <c r="I599" i="1"/>
  <c r="A600" i="1"/>
  <c r="F600" i="1"/>
  <c r="G600" i="1"/>
  <c r="I600" i="1"/>
  <c r="A601" i="1"/>
  <c r="F601" i="1"/>
  <c r="G601" i="1"/>
  <c r="I601" i="1"/>
  <c r="A602" i="1"/>
  <c r="F602" i="1"/>
  <c r="G602" i="1"/>
  <c r="I602" i="1"/>
  <c r="A603" i="1"/>
  <c r="F603" i="1"/>
  <c r="G603" i="1"/>
  <c r="I603" i="1"/>
  <c r="A604" i="1"/>
  <c r="F604" i="1"/>
  <c r="G604" i="1"/>
  <c r="I604" i="1"/>
  <c r="A605" i="1"/>
  <c r="F605" i="1"/>
  <c r="G605" i="1"/>
  <c r="I605" i="1"/>
  <c r="A606" i="1"/>
  <c r="F606" i="1"/>
  <c r="G606" i="1"/>
  <c r="I606" i="1"/>
  <c r="A607" i="1"/>
  <c r="F607" i="1"/>
  <c r="G607" i="1"/>
  <c r="I607" i="1"/>
  <c r="A608" i="1"/>
  <c r="F608" i="1"/>
  <c r="G608" i="1"/>
  <c r="I608" i="1"/>
  <c r="A609" i="1"/>
  <c r="F609" i="1"/>
  <c r="G609" i="1"/>
  <c r="I609" i="1"/>
  <c r="A610" i="1"/>
  <c r="F610" i="1"/>
  <c r="G610" i="1"/>
  <c r="I610" i="1"/>
  <c r="A611" i="1"/>
  <c r="F611" i="1"/>
  <c r="G611" i="1"/>
  <c r="I611" i="1"/>
  <c r="A612" i="1"/>
  <c r="F612" i="1"/>
  <c r="G612" i="1"/>
  <c r="I612" i="1"/>
  <c r="A613" i="1"/>
  <c r="F613" i="1"/>
  <c r="G613" i="1"/>
  <c r="I613" i="1"/>
  <c r="A614" i="1"/>
  <c r="F614" i="1"/>
  <c r="G614" i="1"/>
  <c r="I614" i="1"/>
  <c r="A615" i="1"/>
  <c r="F615" i="1"/>
  <c r="G615" i="1"/>
  <c r="I615" i="1"/>
  <c r="A616" i="1"/>
  <c r="F616" i="1"/>
  <c r="G616" i="1"/>
  <c r="I616" i="1"/>
  <c r="A617" i="1"/>
  <c r="F617" i="1"/>
  <c r="G617" i="1"/>
  <c r="I617" i="1"/>
  <c r="A618" i="1"/>
  <c r="F618" i="1"/>
  <c r="G618" i="1"/>
  <c r="I618" i="1"/>
  <c r="A619" i="1"/>
  <c r="F619" i="1"/>
  <c r="G619" i="1"/>
  <c r="I619" i="1"/>
  <c r="A620" i="1"/>
  <c r="F620" i="1"/>
  <c r="G620" i="1"/>
  <c r="I620" i="1"/>
  <c r="A621" i="1"/>
  <c r="F621" i="1"/>
  <c r="G621" i="1"/>
  <c r="I621" i="1"/>
  <c r="A622" i="1"/>
  <c r="F622" i="1"/>
  <c r="G622" i="1"/>
  <c r="I622" i="1"/>
  <c r="A623" i="1"/>
  <c r="F623" i="1"/>
  <c r="G623" i="1"/>
  <c r="A624" i="1"/>
  <c r="F624" i="1"/>
  <c r="G624" i="1"/>
  <c r="I624" i="1"/>
  <c r="A625" i="1"/>
  <c r="F625" i="1"/>
  <c r="G625" i="1"/>
  <c r="I625" i="1"/>
  <c r="A626" i="1"/>
  <c r="F626" i="1"/>
  <c r="G626" i="1"/>
  <c r="I626" i="1"/>
  <c r="A627" i="1"/>
  <c r="F627" i="1"/>
  <c r="G627" i="1"/>
  <c r="I627" i="1"/>
  <c r="A628" i="1"/>
  <c r="F628" i="1"/>
  <c r="G628" i="1"/>
  <c r="I628" i="1"/>
  <c r="A629" i="1"/>
  <c r="F629" i="1"/>
  <c r="G629" i="1"/>
  <c r="I629" i="1"/>
  <c r="A630" i="1"/>
  <c r="F630" i="1"/>
  <c r="G630" i="1"/>
  <c r="I630" i="1"/>
  <c r="A631" i="1"/>
  <c r="F631" i="1"/>
  <c r="G631" i="1"/>
  <c r="I631" i="1"/>
  <c r="A632" i="1"/>
  <c r="H632" i="1"/>
  <c r="I632" i="1"/>
  <c r="A633" i="1"/>
  <c r="F633" i="1"/>
  <c r="G633" i="1"/>
  <c r="I633" i="1"/>
  <c r="A634" i="1"/>
  <c r="F634" i="1"/>
  <c r="G634" i="1"/>
  <c r="I634" i="1"/>
  <c r="A635" i="1"/>
  <c r="F635" i="1"/>
  <c r="G635" i="1"/>
  <c r="I635" i="1"/>
  <c r="A636" i="1"/>
  <c r="F636" i="1"/>
  <c r="G636" i="1"/>
  <c r="I636" i="1"/>
  <c r="A637" i="1"/>
  <c r="F637" i="1"/>
  <c r="G637" i="1"/>
  <c r="I637" i="1"/>
  <c r="A638" i="1"/>
  <c r="F638" i="1"/>
  <c r="G638" i="1"/>
  <c r="I638" i="1"/>
  <c r="A639" i="1"/>
  <c r="F639" i="1"/>
  <c r="G639" i="1"/>
  <c r="I639" i="1"/>
  <c r="A640" i="1"/>
  <c r="F640" i="1"/>
  <c r="G640" i="1"/>
  <c r="I640" i="1"/>
  <c r="A641" i="1"/>
  <c r="F641" i="1"/>
  <c r="G641" i="1"/>
  <c r="I641" i="1"/>
  <c r="A642" i="1"/>
  <c r="F642" i="1"/>
  <c r="G642" i="1"/>
  <c r="I642" i="1"/>
  <c r="A643" i="1"/>
  <c r="F643" i="1"/>
  <c r="G643" i="1"/>
  <c r="I643" i="1"/>
  <c r="A644" i="1"/>
  <c r="F644" i="1"/>
  <c r="G644" i="1"/>
  <c r="I644" i="1"/>
  <c r="A645" i="1"/>
  <c r="F645" i="1"/>
  <c r="G645" i="1"/>
  <c r="I645" i="1"/>
  <c r="A646" i="1"/>
  <c r="F646" i="1"/>
  <c r="G646" i="1"/>
  <c r="I646" i="1"/>
  <c r="A647" i="1"/>
  <c r="F647" i="1"/>
  <c r="G647" i="1"/>
  <c r="I647" i="1"/>
  <c r="A648" i="1"/>
  <c r="F648" i="1"/>
  <c r="G648" i="1"/>
  <c r="A649" i="1"/>
  <c r="F649" i="1"/>
  <c r="G649" i="1"/>
  <c r="I649" i="1"/>
  <c r="A650" i="1"/>
  <c r="F650" i="1"/>
  <c r="G650" i="1"/>
  <c r="I650" i="1"/>
  <c r="A651" i="1"/>
  <c r="F651" i="1"/>
  <c r="G651" i="1"/>
  <c r="I651" i="1"/>
  <c r="A652" i="1"/>
  <c r="F652" i="1"/>
  <c r="G652" i="1"/>
  <c r="I652" i="1"/>
  <c r="A653" i="1"/>
  <c r="F653" i="1"/>
  <c r="G653" i="1"/>
  <c r="I653" i="1"/>
  <c r="A654" i="1"/>
  <c r="F654" i="1"/>
  <c r="G654" i="1"/>
  <c r="I654" i="1"/>
  <c r="A655" i="1"/>
  <c r="F655" i="1"/>
  <c r="G655" i="1"/>
  <c r="I655" i="1"/>
  <c r="A656" i="1"/>
  <c r="F656" i="1"/>
  <c r="G656" i="1"/>
  <c r="I656" i="1"/>
  <c r="A657" i="1"/>
  <c r="F657" i="1"/>
  <c r="G657" i="1"/>
  <c r="I657" i="1"/>
  <c r="A658" i="1"/>
  <c r="F658" i="1"/>
  <c r="G658" i="1"/>
  <c r="I658" i="1"/>
  <c r="A659" i="1"/>
  <c r="F659" i="1"/>
  <c r="G659" i="1"/>
  <c r="I659" i="1"/>
  <c r="A660" i="1"/>
  <c r="F660" i="1"/>
  <c r="G660" i="1"/>
  <c r="I660" i="1"/>
  <c r="A661" i="1"/>
  <c r="F661" i="1"/>
  <c r="G661" i="1"/>
  <c r="I661" i="1"/>
  <c r="A662" i="1"/>
  <c r="F662" i="1"/>
  <c r="G662" i="1"/>
  <c r="I662" i="1"/>
  <c r="A663" i="1"/>
  <c r="F663" i="1"/>
  <c r="G663" i="1"/>
  <c r="I663" i="1"/>
  <c r="A664" i="1"/>
  <c r="F664" i="1"/>
  <c r="G664" i="1"/>
  <c r="I664" i="1"/>
  <c r="A665" i="1"/>
  <c r="F665" i="1"/>
  <c r="G665" i="1"/>
  <c r="I665" i="1"/>
  <c r="A666" i="1"/>
  <c r="F666" i="1"/>
  <c r="G666" i="1"/>
  <c r="I666" i="1"/>
  <c r="A667" i="1"/>
  <c r="F667" i="1"/>
  <c r="G667" i="1"/>
  <c r="I667" i="1"/>
  <c r="A668" i="1"/>
  <c r="F668" i="1"/>
  <c r="G668" i="1"/>
  <c r="I668" i="1"/>
  <c r="A669" i="1"/>
  <c r="F669" i="1"/>
  <c r="G669" i="1"/>
  <c r="I669" i="1"/>
  <c r="A670" i="1"/>
  <c r="F670" i="1"/>
  <c r="G670" i="1"/>
  <c r="I670" i="1"/>
  <c r="A671" i="1"/>
  <c r="F671" i="1"/>
  <c r="G671" i="1"/>
  <c r="I671" i="1"/>
  <c r="A672" i="1"/>
  <c r="F672" i="1"/>
  <c r="G672" i="1"/>
  <c r="I672" i="1"/>
  <c r="A673" i="1"/>
  <c r="F673" i="1"/>
  <c r="G673" i="1"/>
  <c r="I673" i="1"/>
  <c r="A674" i="1"/>
  <c r="F674" i="1"/>
  <c r="G674" i="1"/>
  <c r="I674" i="1"/>
  <c r="A675" i="1"/>
  <c r="F675" i="1"/>
  <c r="G675" i="1"/>
  <c r="I675" i="1"/>
  <c r="A676" i="1"/>
  <c r="F676" i="1"/>
  <c r="G676" i="1"/>
  <c r="I676" i="1"/>
  <c r="A677" i="1"/>
  <c r="F677" i="1"/>
  <c r="G677" i="1"/>
  <c r="A678" i="1"/>
  <c r="F678" i="1"/>
  <c r="G678" i="1"/>
  <c r="A679" i="1"/>
  <c r="F679" i="1"/>
  <c r="G679" i="1"/>
  <c r="I679" i="1"/>
  <c r="A680" i="1"/>
  <c r="F680" i="1"/>
  <c r="G680" i="1"/>
  <c r="I680" i="1"/>
  <c r="A681" i="1"/>
  <c r="F681" i="1"/>
  <c r="G681" i="1"/>
  <c r="I681" i="1"/>
  <c r="A682" i="1"/>
  <c r="F682" i="1"/>
  <c r="G682" i="1"/>
  <c r="I682" i="1"/>
  <c r="A683" i="1"/>
  <c r="F683" i="1"/>
  <c r="G683" i="1"/>
  <c r="I683" i="1"/>
  <c r="A684" i="1"/>
  <c r="F684" i="1"/>
  <c r="G684" i="1"/>
  <c r="I684" i="1"/>
  <c r="A685" i="1"/>
  <c r="F685" i="1"/>
  <c r="G685" i="1"/>
  <c r="I685" i="1"/>
  <c r="A686" i="1"/>
  <c r="F686" i="1"/>
  <c r="G686" i="1"/>
  <c r="I686" i="1"/>
  <c r="A687" i="1"/>
  <c r="F687" i="1"/>
  <c r="G687" i="1"/>
  <c r="I687" i="1"/>
  <c r="A688" i="1"/>
  <c r="F688" i="1"/>
  <c r="G688" i="1"/>
  <c r="I688" i="1"/>
  <c r="A689" i="1"/>
  <c r="F689" i="1"/>
  <c r="G689" i="1"/>
  <c r="I689" i="1"/>
  <c r="A690" i="1"/>
  <c r="F690" i="1"/>
  <c r="G690" i="1"/>
  <c r="I690" i="1"/>
  <c r="A691" i="1"/>
  <c r="F691" i="1"/>
  <c r="G691" i="1"/>
  <c r="I691" i="1"/>
  <c r="A692" i="1"/>
  <c r="F692" i="1"/>
  <c r="G692" i="1"/>
  <c r="I692" i="1"/>
  <c r="A693" i="1"/>
  <c r="F693" i="1"/>
  <c r="G693" i="1"/>
  <c r="I693" i="1"/>
  <c r="A694" i="1"/>
  <c r="F694" i="1"/>
  <c r="G694" i="1"/>
  <c r="I694" i="1"/>
  <c r="A695" i="1"/>
  <c r="F695" i="1"/>
  <c r="G695" i="1"/>
  <c r="I695" i="1"/>
  <c r="A696" i="1"/>
  <c r="F696" i="1"/>
  <c r="G696" i="1"/>
  <c r="I696" i="1"/>
  <c r="A697" i="1"/>
  <c r="F697" i="1"/>
  <c r="G697" i="1"/>
  <c r="I697" i="1"/>
  <c r="A698" i="1"/>
  <c r="F698" i="1"/>
  <c r="G698" i="1"/>
  <c r="I698" i="1"/>
  <c r="A699" i="1"/>
  <c r="F699" i="1"/>
  <c r="G699" i="1"/>
  <c r="I699" i="1"/>
  <c r="A700" i="1"/>
  <c r="F700" i="1"/>
  <c r="G700" i="1"/>
  <c r="I700" i="1"/>
  <c r="A701" i="1"/>
  <c r="F701" i="1"/>
  <c r="G701" i="1"/>
  <c r="I701" i="1"/>
  <c r="A702" i="1"/>
  <c r="F702" i="1"/>
  <c r="G702" i="1"/>
  <c r="I702" i="1"/>
  <c r="A703" i="1"/>
  <c r="F703" i="1"/>
  <c r="G703" i="1"/>
  <c r="I703" i="1"/>
  <c r="A704" i="1"/>
  <c r="F704" i="1"/>
  <c r="G704" i="1"/>
  <c r="I704" i="1"/>
  <c r="A705" i="1"/>
  <c r="F705" i="1"/>
  <c r="G705" i="1"/>
  <c r="I705" i="1"/>
  <c r="A706" i="1"/>
  <c r="F706" i="1"/>
  <c r="G706" i="1"/>
  <c r="I706" i="1"/>
  <c r="A707" i="1"/>
  <c r="F707" i="1"/>
  <c r="G707" i="1"/>
  <c r="I707" i="1"/>
  <c r="A708" i="1"/>
  <c r="F708" i="1"/>
  <c r="G708" i="1"/>
  <c r="I708" i="1"/>
  <c r="A709" i="1"/>
  <c r="F709" i="1"/>
  <c r="G709" i="1"/>
  <c r="I709" i="1"/>
  <c r="A710" i="1"/>
  <c r="F710" i="1"/>
  <c r="G710" i="1"/>
  <c r="I710" i="1"/>
  <c r="A711" i="1"/>
  <c r="F711" i="1"/>
  <c r="G711" i="1"/>
  <c r="I711" i="1"/>
  <c r="A712" i="1"/>
  <c r="F712" i="1"/>
  <c r="G712" i="1"/>
  <c r="I712" i="1"/>
  <c r="A713" i="1"/>
  <c r="F713" i="1"/>
  <c r="G713" i="1"/>
  <c r="I713" i="1"/>
  <c r="A714" i="1"/>
  <c r="F714" i="1"/>
  <c r="G714" i="1"/>
  <c r="I714" i="1"/>
  <c r="A715" i="1"/>
  <c r="F715" i="1"/>
  <c r="G715" i="1"/>
  <c r="I715" i="1"/>
  <c r="A716" i="1"/>
  <c r="F716" i="1"/>
  <c r="G716" i="1"/>
  <c r="I716" i="1"/>
  <c r="A717" i="1"/>
  <c r="F717" i="1"/>
  <c r="G717" i="1"/>
  <c r="I717" i="1"/>
  <c r="A718" i="1"/>
  <c r="F718" i="1"/>
  <c r="G718" i="1"/>
  <c r="I718" i="1"/>
  <c r="A719" i="1"/>
  <c r="F719" i="1"/>
  <c r="G719" i="1"/>
  <c r="I719" i="1"/>
  <c r="A720" i="1"/>
  <c r="F720" i="1"/>
  <c r="G720" i="1"/>
  <c r="I720" i="1"/>
  <c r="A721" i="1"/>
  <c r="F721" i="1"/>
  <c r="G721" i="1"/>
  <c r="I721" i="1"/>
  <c r="A722" i="1"/>
  <c r="F722" i="1"/>
  <c r="G722" i="1"/>
  <c r="I722" i="1"/>
  <c r="A723" i="1"/>
  <c r="F723" i="1"/>
  <c r="G723" i="1"/>
  <c r="I723" i="1"/>
  <c r="A724" i="1"/>
  <c r="F724" i="1"/>
  <c r="G724" i="1"/>
  <c r="I724" i="1"/>
  <c r="A725" i="1"/>
  <c r="F725" i="1"/>
  <c r="G725" i="1"/>
  <c r="I725" i="1"/>
  <c r="A726" i="1"/>
  <c r="F726" i="1"/>
  <c r="G726" i="1"/>
  <c r="I726" i="1"/>
  <c r="A727" i="1"/>
  <c r="F727" i="1"/>
  <c r="G727" i="1"/>
  <c r="I727" i="1"/>
  <c r="A728" i="1"/>
  <c r="F728" i="1"/>
  <c r="G728" i="1"/>
  <c r="I728" i="1"/>
  <c r="A729" i="1"/>
  <c r="F729" i="1"/>
  <c r="G729" i="1"/>
  <c r="I729" i="1"/>
  <c r="A730" i="1"/>
  <c r="F730" i="1"/>
  <c r="G730" i="1"/>
  <c r="I730" i="1"/>
  <c r="A731" i="1"/>
  <c r="F731" i="1"/>
  <c r="G731" i="1"/>
  <c r="I731" i="1"/>
  <c r="A732" i="1"/>
  <c r="F732" i="1"/>
  <c r="G732" i="1"/>
  <c r="I732" i="1"/>
  <c r="A733" i="1"/>
  <c r="F733" i="1"/>
  <c r="G733" i="1"/>
  <c r="I733" i="1"/>
  <c r="A734" i="1"/>
  <c r="F734" i="1"/>
  <c r="G734" i="1"/>
  <c r="I734" i="1"/>
  <c r="A735" i="1"/>
  <c r="F735" i="1"/>
  <c r="G735" i="1"/>
  <c r="I735" i="1"/>
  <c r="A736" i="1"/>
  <c r="F736" i="1"/>
  <c r="G736" i="1"/>
  <c r="I736" i="1"/>
  <c r="A737" i="1"/>
  <c r="F737" i="1"/>
  <c r="G737" i="1"/>
  <c r="I737" i="1"/>
  <c r="A738" i="1"/>
  <c r="F738" i="1"/>
  <c r="G738" i="1"/>
  <c r="I738" i="1"/>
  <c r="A739" i="1"/>
  <c r="F739" i="1"/>
  <c r="G739" i="1"/>
  <c r="I739" i="1"/>
  <c r="A740" i="1"/>
  <c r="F740" i="1"/>
  <c r="G740" i="1"/>
  <c r="I740" i="1"/>
  <c r="A741" i="1"/>
  <c r="F741" i="1"/>
  <c r="G741" i="1"/>
  <c r="I741" i="1"/>
  <c r="A742" i="1"/>
  <c r="F742" i="1"/>
  <c r="G742" i="1"/>
  <c r="I742" i="1"/>
  <c r="A743" i="1"/>
  <c r="F743" i="1"/>
  <c r="G743" i="1"/>
  <c r="I743" i="1"/>
  <c r="A744" i="1"/>
  <c r="F744" i="1"/>
  <c r="G744" i="1"/>
  <c r="I744" i="1"/>
  <c r="A745" i="1"/>
  <c r="F745" i="1"/>
  <c r="G745" i="1"/>
  <c r="I745" i="1"/>
  <c r="A746" i="1"/>
  <c r="F746" i="1"/>
  <c r="G746" i="1"/>
  <c r="I746" i="1"/>
  <c r="A747" i="1"/>
  <c r="F747" i="1"/>
  <c r="G747" i="1"/>
  <c r="I747" i="1"/>
  <c r="A748" i="1"/>
  <c r="F748" i="1"/>
  <c r="G748" i="1"/>
  <c r="I748" i="1"/>
  <c r="A749" i="1"/>
  <c r="F749" i="1"/>
  <c r="G749" i="1"/>
  <c r="I749" i="1"/>
  <c r="A750" i="1"/>
  <c r="F750" i="1"/>
  <c r="G750" i="1"/>
  <c r="I750" i="1"/>
  <c r="A751" i="1"/>
  <c r="F751" i="1"/>
  <c r="G751" i="1"/>
  <c r="I751" i="1"/>
  <c r="A752" i="1"/>
  <c r="F752" i="1"/>
  <c r="G752" i="1"/>
  <c r="I752" i="1"/>
  <c r="A753" i="1"/>
  <c r="F753" i="1"/>
  <c r="G753" i="1"/>
  <c r="I753" i="1"/>
  <c r="A754" i="1"/>
  <c r="F754" i="1"/>
  <c r="G754" i="1"/>
  <c r="I754" i="1"/>
  <c r="A755" i="1"/>
  <c r="F755" i="1"/>
  <c r="G755" i="1"/>
  <c r="I755" i="1"/>
  <c r="A756" i="1"/>
  <c r="F756" i="1"/>
  <c r="G756" i="1"/>
  <c r="I756" i="1"/>
  <c r="A757" i="1"/>
  <c r="F757" i="1"/>
  <c r="G757" i="1"/>
  <c r="I757" i="1"/>
  <c r="A758" i="1"/>
  <c r="F758" i="1"/>
  <c r="G758" i="1"/>
  <c r="I758" i="1"/>
  <c r="A759" i="1"/>
  <c r="F759" i="1"/>
  <c r="G759" i="1"/>
  <c r="I759" i="1"/>
  <c r="A760" i="1"/>
  <c r="F760" i="1"/>
  <c r="G760" i="1"/>
  <c r="I760" i="1"/>
  <c r="A761" i="1"/>
  <c r="F761" i="1"/>
  <c r="G761" i="1"/>
  <c r="I761" i="1"/>
  <c r="A762" i="1"/>
  <c r="F762" i="1"/>
  <c r="G762" i="1"/>
  <c r="I762" i="1"/>
  <c r="A763" i="1"/>
  <c r="F763" i="1"/>
  <c r="G763" i="1"/>
  <c r="I763" i="1"/>
  <c r="A764" i="1"/>
  <c r="F764" i="1"/>
  <c r="G764" i="1"/>
  <c r="I764" i="1"/>
  <c r="A765" i="1"/>
  <c r="F765" i="1"/>
  <c r="G765" i="1"/>
  <c r="I765" i="1"/>
  <c r="A766" i="1"/>
  <c r="F766" i="1"/>
  <c r="G766" i="1"/>
  <c r="I766" i="1"/>
  <c r="A767" i="1"/>
  <c r="F767" i="1"/>
  <c r="G767" i="1"/>
  <c r="I767" i="1"/>
  <c r="A768" i="1"/>
  <c r="F768" i="1"/>
  <c r="G768" i="1"/>
  <c r="I768" i="1"/>
  <c r="A769" i="1"/>
  <c r="F769" i="1"/>
  <c r="G769" i="1"/>
  <c r="I769" i="1"/>
  <c r="A770" i="1"/>
  <c r="F770" i="1"/>
  <c r="G770" i="1"/>
  <c r="I770" i="1"/>
  <c r="A771" i="1"/>
  <c r="F771" i="1"/>
  <c r="G771" i="1"/>
  <c r="I771" i="1"/>
  <c r="A772" i="1"/>
  <c r="F772" i="1"/>
  <c r="G772" i="1"/>
  <c r="I772" i="1"/>
  <c r="A773" i="1"/>
  <c r="F773" i="1"/>
  <c r="G773" i="1"/>
  <c r="I773" i="1"/>
  <c r="A774" i="1"/>
  <c r="F774" i="1"/>
  <c r="G774" i="1"/>
  <c r="I774" i="1"/>
  <c r="A775" i="1"/>
  <c r="F775" i="1"/>
  <c r="G775" i="1"/>
  <c r="I775" i="1"/>
  <c r="A776" i="1"/>
  <c r="F776" i="1"/>
  <c r="G776" i="1"/>
  <c r="I776" i="1"/>
  <c r="A777" i="1"/>
  <c r="F777" i="1"/>
  <c r="G777" i="1"/>
  <c r="I777" i="1"/>
  <c r="A778" i="1"/>
  <c r="F778" i="1"/>
  <c r="G778" i="1"/>
  <c r="I778" i="1"/>
  <c r="A779" i="1"/>
  <c r="F779" i="1"/>
  <c r="G779" i="1"/>
  <c r="I779" i="1"/>
  <c r="A780" i="1"/>
  <c r="F780" i="1"/>
  <c r="G780" i="1"/>
  <c r="I780" i="1"/>
  <c r="A781" i="1"/>
  <c r="F781" i="1"/>
  <c r="G781" i="1"/>
  <c r="I781" i="1"/>
  <c r="A782" i="1"/>
  <c r="F782" i="1"/>
  <c r="G782" i="1"/>
  <c r="I782" i="1"/>
  <c r="A783" i="1"/>
  <c r="F783" i="1"/>
  <c r="G783" i="1"/>
  <c r="I783" i="1"/>
  <c r="A784" i="1"/>
  <c r="F784" i="1"/>
  <c r="G784" i="1"/>
  <c r="I784" i="1"/>
  <c r="A785" i="1"/>
  <c r="F785" i="1"/>
  <c r="G785" i="1"/>
  <c r="I785" i="1"/>
  <c r="A786" i="1"/>
  <c r="F786" i="1"/>
  <c r="G786" i="1"/>
  <c r="I786" i="1"/>
  <c r="A787" i="1"/>
  <c r="F787" i="1"/>
  <c r="G787" i="1"/>
  <c r="I787" i="1"/>
  <c r="A788" i="1"/>
  <c r="F788" i="1"/>
  <c r="G788" i="1"/>
  <c r="I788" i="1"/>
  <c r="A789" i="1"/>
  <c r="F789" i="1"/>
  <c r="G789" i="1"/>
  <c r="I789" i="1"/>
  <c r="A790" i="1"/>
  <c r="F790" i="1"/>
  <c r="G790" i="1"/>
  <c r="I790" i="1"/>
  <c r="A791" i="1"/>
  <c r="F791" i="1"/>
  <c r="G791" i="1"/>
  <c r="I791" i="1"/>
  <c r="A792" i="1"/>
  <c r="F792" i="1"/>
  <c r="G792" i="1"/>
  <c r="I792" i="1"/>
  <c r="A793" i="1"/>
  <c r="H793" i="1"/>
  <c r="I793" i="1"/>
  <c r="A794" i="1"/>
  <c r="H794" i="1"/>
  <c r="I794" i="1"/>
  <c r="A795" i="1"/>
  <c r="F795" i="1"/>
  <c r="G795" i="1"/>
  <c r="I795" i="1"/>
  <c r="A796" i="1"/>
  <c r="F796" i="1"/>
  <c r="G796" i="1"/>
  <c r="I796" i="1"/>
  <c r="A797" i="1"/>
  <c r="F797" i="1"/>
  <c r="G797" i="1"/>
  <c r="I797" i="1"/>
  <c r="A798" i="1"/>
  <c r="F798" i="1"/>
  <c r="G798" i="1"/>
  <c r="I798" i="1"/>
  <c r="A799" i="1"/>
  <c r="F799" i="1"/>
  <c r="G799" i="1"/>
  <c r="I799" i="1"/>
  <c r="A800" i="1"/>
  <c r="F800" i="1"/>
  <c r="G800" i="1"/>
  <c r="I800" i="1"/>
  <c r="A801" i="1"/>
  <c r="F801" i="1"/>
  <c r="G801" i="1"/>
  <c r="I801" i="1"/>
  <c r="A802" i="1"/>
  <c r="F802" i="1"/>
  <c r="G802" i="1"/>
  <c r="I802" i="1"/>
  <c r="A803" i="1"/>
  <c r="F803" i="1"/>
  <c r="G803" i="1"/>
  <c r="I803" i="1"/>
  <c r="A804" i="1"/>
  <c r="F804" i="1"/>
  <c r="G804" i="1"/>
  <c r="I804" i="1"/>
  <c r="A805" i="1"/>
  <c r="F805" i="1"/>
  <c r="G805" i="1"/>
  <c r="I805" i="1"/>
  <c r="A806" i="1"/>
  <c r="F806" i="1"/>
  <c r="G806" i="1"/>
  <c r="I806" i="1"/>
  <c r="A807" i="1"/>
  <c r="F807" i="1"/>
  <c r="G807" i="1"/>
  <c r="I807" i="1"/>
  <c r="A808" i="1"/>
  <c r="F808" i="1"/>
  <c r="G808" i="1"/>
  <c r="I808" i="1"/>
  <c r="A809" i="1"/>
  <c r="H809" i="1"/>
  <c r="I809" i="1"/>
  <c r="A810" i="1"/>
  <c r="F810" i="1"/>
  <c r="G810" i="1"/>
  <c r="I810" i="1"/>
  <c r="A811" i="1"/>
  <c r="F811" i="1"/>
  <c r="G811" i="1"/>
  <c r="I811" i="1"/>
  <c r="A812" i="1"/>
  <c r="F812" i="1"/>
  <c r="G812" i="1"/>
  <c r="I812" i="1"/>
  <c r="A813" i="1"/>
  <c r="F813" i="1"/>
  <c r="G813" i="1"/>
  <c r="I813" i="1"/>
  <c r="A814" i="1"/>
  <c r="F814" i="1"/>
  <c r="G814" i="1"/>
  <c r="I814" i="1"/>
  <c r="A815" i="1"/>
  <c r="F815" i="1"/>
  <c r="G815" i="1"/>
  <c r="I815" i="1"/>
  <c r="A816" i="1"/>
  <c r="F816" i="1"/>
  <c r="G816" i="1"/>
  <c r="I816" i="1"/>
  <c r="A817" i="1"/>
  <c r="F817" i="1"/>
  <c r="G817" i="1"/>
  <c r="I817" i="1"/>
  <c r="A818" i="1"/>
  <c r="F818" i="1"/>
  <c r="G818" i="1"/>
  <c r="I818" i="1"/>
  <c r="A819" i="1"/>
  <c r="F819" i="1"/>
  <c r="G819" i="1"/>
  <c r="I819" i="1"/>
  <c r="A820" i="1"/>
  <c r="F820" i="1"/>
  <c r="G820" i="1"/>
  <c r="I820" i="1"/>
  <c r="A821" i="1"/>
  <c r="F821" i="1"/>
  <c r="G821" i="1"/>
  <c r="I821" i="1"/>
  <c r="A822" i="1"/>
  <c r="F822" i="1"/>
  <c r="G822" i="1"/>
  <c r="I822" i="1"/>
  <c r="A823" i="1"/>
  <c r="F823" i="1"/>
  <c r="G823" i="1"/>
  <c r="I823" i="1"/>
  <c r="A824" i="1"/>
  <c r="F824" i="1"/>
  <c r="G824" i="1"/>
  <c r="I824" i="1"/>
  <c r="A825" i="1"/>
  <c r="F825" i="1"/>
  <c r="G825" i="1"/>
  <c r="I825" i="1"/>
  <c r="A826" i="1"/>
  <c r="F826" i="1"/>
  <c r="G826" i="1"/>
  <c r="I826" i="1"/>
  <c r="A827" i="1"/>
  <c r="F827" i="1"/>
  <c r="G827" i="1"/>
  <c r="I827" i="1"/>
  <c r="A828" i="1"/>
  <c r="F828" i="1"/>
  <c r="G828" i="1"/>
  <c r="I828" i="1"/>
  <c r="A829" i="1"/>
  <c r="F829" i="1"/>
  <c r="G829" i="1"/>
  <c r="I829" i="1"/>
  <c r="A830" i="1"/>
  <c r="F830" i="1"/>
  <c r="G830" i="1"/>
  <c r="I830" i="1"/>
  <c r="A831" i="1"/>
  <c r="F831" i="1"/>
  <c r="G831" i="1"/>
  <c r="I831" i="1"/>
  <c r="A832" i="1"/>
  <c r="F832" i="1"/>
  <c r="G832" i="1"/>
  <c r="I832" i="1"/>
  <c r="A833" i="1"/>
  <c r="F833" i="1"/>
  <c r="G833" i="1"/>
  <c r="I833" i="1"/>
  <c r="A834" i="1"/>
  <c r="F834" i="1"/>
  <c r="G834" i="1"/>
  <c r="I834" i="1"/>
  <c r="A835" i="1"/>
  <c r="F835" i="1"/>
  <c r="G835" i="1"/>
  <c r="I835" i="1"/>
  <c r="A836" i="1"/>
  <c r="F836" i="1"/>
  <c r="G836" i="1"/>
  <c r="I836" i="1"/>
  <c r="A837" i="1"/>
  <c r="F837" i="1"/>
  <c r="G837" i="1"/>
  <c r="I837" i="1"/>
  <c r="A838" i="1"/>
  <c r="F838" i="1"/>
  <c r="G838" i="1"/>
  <c r="I838" i="1"/>
  <c r="A839" i="1"/>
  <c r="F839" i="1"/>
  <c r="G839" i="1"/>
  <c r="I839" i="1"/>
  <c r="A840" i="1"/>
  <c r="F840" i="1"/>
  <c r="G840" i="1"/>
  <c r="I840" i="1"/>
  <c r="A841" i="1"/>
  <c r="F841" i="1"/>
  <c r="G841" i="1"/>
  <c r="I841" i="1"/>
  <c r="A842" i="1"/>
  <c r="H842" i="1"/>
  <c r="I842" i="1"/>
  <c r="A843" i="1"/>
  <c r="F843" i="1"/>
  <c r="G843" i="1"/>
  <c r="I843" i="1"/>
  <c r="A844" i="1"/>
  <c r="F844" i="1"/>
  <c r="G844" i="1"/>
  <c r="I844" i="1"/>
  <c r="A845" i="1"/>
  <c r="F845" i="1"/>
  <c r="G845" i="1"/>
  <c r="I845" i="1"/>
  <c r="A846" i="1"/>
  <c r="F846" i="1"/>
  <c r="G846" i="1"/>
  <c r="I846" i="1"/>
  <c r="A847" i="1"/>
  <c r="F847" i="1"/>
  <c r="G847" i="1"/>
  <c r="I847" i="1"/>
  <c r="A848" i="1"/>
  <c r="F848" i="1"/>
  <c r="G848" i="1"/>
  <c r="I848" i="1"/>
  <c r="A849" i="1"/>
  <c r="F849" i="1"/>
  <c r="G849" i="1"/>
  <c r="I849" i="1"/>
  <c r="A850" i="1"/>
  <c r="F850" i="1"/>
  <c r="G850" i="1"/>
  <c r="I850" i="1"/>
  <c r="A851" i="1"/>
  <c r="F851" i="1"/>
  <c r="G851" i="1"/>
  <c r="I851" i="1"/>
  <c r="A852" i="1"/>
  <c r="F852" i="1"/>
  <c r="G852" i="1"/>
  <c r="I852" i="1"/>
  <c r="A853" i="1"/>
  <c r="F853" i="1"/>
  <c r="G853" i="1"/>
  <c r="I853" i="1"/>
  <c r="A854" i="1"/>
  <c r="F854" i="1"/>
  <c r="G854" i="1"/>
  <c r="I854" i="1"/>
  <c r="A855" i="1"/>
  <c r="F855" i="1"/>
  <c r="G855" i="1"/>
  <c r="I855" i="1"/>
  <c r="A856" i="1"/>
  <c r="F856" i="1"/>
  <c r="G856" i="1"/>
  <c r="I856" i="1"/>
  <c r="A857" i="1"/>
  <c r="F857" i="1"/>
  <c r="G857" i="1"/>
  <c r="I857" i="1"/>
  <c r="A858" i="1"/>
  <c r="F858" i="1"/>
  <c r="G858" i="1"/>
  <c r="I858" i="1"/>
  <c r="A859" i="1"/>
  <c r="F859" i="1"/>
  <c r="G859" i="1"/>
  <c r="I859" i="1"/>
  <c r="A860" i="1"/>
  <c r="F860" i="1"/>
  <c r="G860" i="1"/>
  <c r="I860" i="1"/>
  <c r="A861" i="1"/>
  <c r="F861" i="1"/>
  <c r="G861" i="1"/>
  <c r="I861" i="1"/>
  <c r="A862" i="1"/>
  <c r="F862" i="1"/>
  <c r="G862" i="1"/>
  <c r="I862" i="1"/>
  <c r="A863" i="1"/>
  <c r="F863" i="1"/>
  <c r="G863" i="1"/>
  <c r="I863" i="1"/>
  <c r="A864" i="1"/>
  <c r="F864" i="1"/>
  <c r="G864" i="1"/>
  <c r="I864" i="1"/>
  <c r="A865" i="1"/>
  <c r="F865" i="1"/>
  <c r="G865" i="1"/>
  <c r="I865" i="1"/>
  <c r="A866" i="1"/>
  <c r="F866" i="1"/>
  <c r="G866" i="1"/>
  <c r="I866" i="1"/>
  <c r="A867" i="1"/>
  <c r="F867" i="1"/>
  <c r="G867" i="1"/>
  <c r="I867" i="1"/>
  <c r="A868" i="1"/>
  <c r="F868" i="1"/>
  <c r="G868" i="1"/>
  <c r="I868" i="1"/>
  <c r="A869" i="1"/>
  <c r="F869" i="1"/>
  <c r="G869" i="1"/>
  <c r="I869" i="1"/>
  <c r="A870" i="1"/>
  <c r="F870" i="1"/>
  <c r="G870" i="1"/>
  <c r="I870" i="1"/>
  <c r="A871" i="1"/>
  <c r="F871" i="1"/>
  <c r="G871" i="1"/>
  <c r="I871" i="1"/>
  <c r="A872" i="1"/>
  <c r="F872" i="1"/>
  <c r="G872" i="1"/>
  <c r="I872" i="1"/>
  <c r="A873" i="1"/>
  <c r="F873" i="1"/>
  <c r="G873" i="1"/>
  <c r="I873" i="1"/>
  <c r="A874" i="1"/>
  <c r="F874" i="1"/>
  <c r="G874" i="1"/>
  <c r="I874" i="1"/>
  <c r="A875" i="1"/>
  <c r="F875" i="1"/>
  <c r="G875" i="1"/>
  <c r="I875" i="1"/>
  <c r="A876" i="1"/>
  <c r="F876" i="1"/>
  <c r="G876" i="1"/>
  <c r="I876" i="1"/>
  <c r="A877" i="1"/>
  <c r="F877" i="1"/>
  <c r="G877" i="1"/>
  <c r="I877" i="1"/>
  <c r="A878" i="1"/>
  <c r="F878" i="1"/>
  <c r="G878" i="1"/>
  <c r="I878" i="1"/>
  <c r="A879" i="1"/>
  <c r="F879" i="1"/>
  <c r="G879" i="1"/>
  <c r="I879" i="1"/>
  <c r="A880" i="1"/>
  <c r="F880" i="1"/>
  <c r="G880" i="1"/>
  <c r="I880" i="1"/>
  <c r="A881" i="1"/>
  <c r="F881" i="1"/>
  <c r="G881" i="1"/>
  <c r="I881" i="1"/>
  <c r="A882" i="1"/>
  <c r="F882" i="1"/>
  <c r="G882" i="1"/>
  <c r="I882" i="1"/>
  <c r="A883" i="1"/>
  <c r="F883" i="1"/>
  <c r="G883" i="1"/>
  <c r="I883" i="1"/>
  <c r="A884" i="1"/>
  <c r="F884" i="1"/>
  <c r="G884" i="1"/>
  <c r="I884" i="1"/>
  <c r="A885" i="1"/>
  <c r="F885" i="1"/>
  <c r="G885" i="1"/>
  <c r="I885" i="1"/>
  <c r="A886" i="1"/>
  <c r="F886" i="1"/>
  <c r="G886" i="1"/>
  <c r="I886" i="1"/>
  <c r="A887" i="1"/>
  <c r="F887" i="1"/>
  <c r="G887" i="1"/>
  <c r="I887" i="1"/>
  <c r="A888" i="1"/>
  <c r="F888" i="1"/>
  <c r="G888" i="1"/>
  <c r="I888" i="1"/>
  <c r="A889" i="1"/>
  <c r="F889" i="1"/>
  <c r="G889" i="1"/>
  <c r="I889" i="1"/>
  <c r="A890" i="1"/>
  <c r="F890" i="1"/>
  <c r="G890" i="1"/>
  <c r="I890" i="1"/>
  <c r="A891" i="1"/>
  <c r="F891" i="1"/>
  <c r="G891" i="1"/>
  <c r="I891" i="1"/>
  <c r="A892" i="1"/>
  <c r="F892" i="1"/>
  <c r="G892" i="1"/>
  <c r="I892" i="1"/>
  <c r="A893" i="1"/>
  <c r="F893" i="1"/>
  <c r="G893" i="1"/>
  <c r="I893" i="1"/>
  <c r="A894" i="1"/>
  <c r="F894" i="1"/>
  <c r="G894" i="1"/>
  <c r="I894" i="1"/>
  <c r="A895" i="1"/>
  <c r="F895" i="1"/>
  <c r="G895" i="1"/>
  <c r="I895" i="1"/>
  <c r="A896" i="1"/>
  <c r="F896" i="1"/>
  <c r="G896" i="1"/>
  <c r="I896" i="1"/>
  <c r="A897" i="1"/>
  <c r="F897" i="1"/>
  <c r="G897" i="1"/>
  <c r="I897" i="1"/>
  <c r="A898" i="1"/>
  <c r="F898" i="1"/>
  <c r="G898" i="1"/>
  <c r="I898" i="1"/>
  <c r="A899" i="1"/>
  <c r="F899" i="1"/>
  <c r="G899" i="1"/>
  <c r="I899" i="1"/>
  <c r="A900" i="1"/>
  <c r="F900" i="1"/>
  <c r="G900" i="1"/>
  <c r="I900" i="1"/>
  <c r="A901" i="1"/>
  <c r="F901" i="1"/>
  <c r="G901" i="1"/>
  <c r="I901" i="1"/>
  <c r="A902" i="1"/>
  <c r="F902" i="1"/>
  <c r="G902" i="1"/>
  <c r="I902" i="1"/>
  <c r="A903" i="1"/>
  <c r="F903" i="1"/>
  <c r="G903" i="1"/>
  <c r="I903" i="1"/>
  <c r="A904" i="1"/>
  <c r="F904" i="1"/>
  <c r="G904" i="1"/>
  <c r="I904" i="1"/>
  <c r="A905" i="1"/>
  <c r="F905" i="1"/>
  <c r="G905" i="1"/>
  <c r="I905" i="1"/>
  <c r="A906" i="1"/>
  <c r="F906" i="1"/>
  <c r="G906" i="1"/>
  <c r="I906" i="1"/>
  <c r="A907" i="1"/>
  <c r="F907" i="1"/>
  <c r="G907" i="1"/>
  <c r="I907" i="1"/>
  <c r="A908" i="1"/>
  <c r="F908" i="1"/>
  <c r="G908" i="1"/>
  <c r="I908" i="1"/>
  <c r="A909" i="1"/>
  <c r="F909" i="1"/>
  <c r="G909" i="1"/>
  <c r="I909" i="1"/>
  <c r="A910" i="1"/>
  <c r="F910" i="1"/>
  <c r="G910" i="1"/>
  <c r="I910" i="1"/>
  <c r="A911" i="1"/>
  <c r="F911" i="1"/>
  <c r="G911" i="1"/>
  <c r="I911" i="1"/>
  <c r="A912" i="1"/>
  <c r="F912" i="1"/>
  <c r="G912" i="1"/>
  <c r="I912" i="1"/>
  <c r="A913" i="1"/>
  <c r="F913" i="1"/>
  <c r="G913" i="1"/>
  <c r="I913" i="1"/>
  <c r="A914" i="1"/>
  <c r="F914" i="1"/>
  <c r="G914" i="1"/>
  <c r="I914" i="1"/>
  <c r="A915" i="1"/>
  <c r="F915" i="1"/>
  <c r="G915" i="1"/>
  <c r="I915" i="1"/>
  <c r="A916" i="1"/>
  <c r="F916" i="1"/>
  <c r="G916" i="1"/>
  <c r="I916" i="1"/>
  <c r="A917" i="1"/>
  <c r="F917" i="1"/>
  <c r="G917" i="1"/>
  <c r="I917" i="1"/>
  <c r="A918" i="1"/>
  <c r="F918" i="1"/>
  <c r="G918" i="1"/>
  <c r="I918" i="1"/>
  <c r="A919" i="1"/>
  <c r="F919" i="1"/>
  <c r="G919" i="1"/>
  <c r="A920" i="1"/>
  <c r="F920" i="1"/>
  <c r="G920" i="1"/>
  <c r="A921" i="1"/>
  <c r="F921" i="1"/>
  <c r="G921" i="1"/>
  <c r="I921" i="1"/>
  <c r="A922" i="1"/>
  <c r="F922" i="1"/>
  <c r="G922" i="1"/>
  <c r="I922" i="1"/>
  <c r="A923" i="1"/>
  <c r="F923" i="1"/>
  <c r="G923" i="1"/>
  <c r="I923" i="1"/>
  <c r="A924" i="1"/>
  <c r="F924" i="1"/>
  <c r="G924" i="1"/>
  <c r="I924" i="1"/>
  <c r="A925" i="1"/>
  <c r="F925" i="1"/>
  <c r="G925" i="1"/>
  <c r="I925" i="1"/>
  <c r="A926" i="1"/>
  <c r="F926" i="1"/>
  <c r="G926" i="1"/>
  <c r="I926" i="1"/>
  <c r="A927" i="1"/>
  <c r="F927" i="1"/>
  <c r="G927" i="1"/>
  <c r="I927" i="1"/>
  <c r="A928" i="1"/>
  <c r="F928" i="1"/>
  <c r="G928" i="1"/>
  <c r="I928" i="1"/>
  <c r="A929" i="1"/>
  <c r="F929" i="1"/>
  <c r="G929" i="1"/>
  <c r="I929" i="1"/>
  <c r="A930" i="1"/>
  <c r="F930" i="1"/>
  <c r="G930" i="1"/>
  <c r="I930" i="1"/>
  <c r="A931" i="1"/>
  <c r="F931" i="1"/>
  <c r="G931" i="1"/>
  <c r="I931" i="1"/>
  <c r="A932" i="1"/>
  <c r="F932" i="1"/>
  <c r="G932" i="1"/>
  <c r="I932" i="1"/>
  <c r="A933" i="1"/>
  <c r="F933" i="1"/>
  <c r="G933" i="1"/>
  <c r="I933" i="1"/>
  <c r="A934" i="1"/>
  <c r="F934" i="1"/>
  <c r="G934" i="1"/>
  <c r="I934" i="1"/>
  <c r="A935" i="1"/>
  <c r="F935" i="1"/>
  <c r="G935" i="1"/>
  <c r="I935" i="1"/>
  <c r="A936" i="1"/>
  <c r="F936" i="1"/>
  <c r="G936" i="1"/>
  <c r="I936" i="1"/>
  <c r="A937" i="1"/>
  <c r="F937" i="1"/>
  <c r="G937" i="1"/>
  <c r="I937" i="1"/>
  <c r="A938" i="1"/>
  <c r="F938" i="1"/>
  <c r="G938" i="1"/>
  <c r="I938" i="1"/>
  <c r="A939" i="1"/>
  <c r="F939" i="1"/>
  <c r="G939" i="1"/>
  <c r="I939" i="1"/>
  <c r="A940" i="1"/>
  <c r="F940" i="1"/>
  <c r="G940" i="1"/>
  <c r="I940" i="1"/>
  <c r="A941" i="1"/>
  <c r="F941" i="1"/>
  <c r="G941" i="1"/>
  <c r="I941" i="1"/>
  <c r="A942" i="1"/>
  <c r="F942" i="1"/>
  <c r="G942" i="1"/>
  <c r="I942" i="1"/>
  <c r="A943" i="1"/>
  <c r="F943" i="1"/>
  <c r="G943" i="1"/>
  <c r="I943" i="1"/>
  <c r="A944" i="1"/>
  <c r="F944" i="1"/>
  <c r="G944" i="1"/>
  <c r="I944" i="1"/>
  <c r="A945" i="1"/>
  <c r="F945" i="1"/>
  <c r="G945" i="1"/>
  <c r="I945" i="1"/>
  <c r="A946" i="1"/>
  <c r="F946" i="1"/>
  <c r="G946" i="1"/>
  <c r="I946" i="1"/>
  <c r="A947" i="1"/>
  <c r="F947" i="1"/>
  <c r="G947" i="1"/>
  <c r="I947" i="1"/>
  <c r="A948" i="1"/>
  <c r="F948" i="1"/>
  <c r="G948" i="1"/>
  <c r="I948" i="1"/>
  <c r="A949" i="1"/>
  <c r="F949" i="1"/>
  <c r="G949" i="1"/>
  <c r="I949" i="1"/>
  <c r="A950" i="1"/>
  <c r="F950" i="1"/>
  <c r="G950" i="1"/>
  <c r="I950" i="1"/>
  <c r="A951" i="1"/>
  <c r="F951" i="1"/>
  <c r="G951" i="1"/>
  <c r="I951" i="1"/>
  <c r="A952" i="1"/>
  <c r="F952" i="1"/>
  <c r="G952" i="1"/>
  <c r="I952" i="1"/>
  <c r="A953" i="1"/>
  <c r="F953" i="1"/>
  <c r="G953" i="1"/>
  <c r="I953" i="1"/>
  <c r="A954" i="1"/>
  <c r="F954" i="1"/>
  <c r="G954" i="1"/>
  <c r="I954" i="1"/>
  <c r="A955" i="1"/>
  <c r="F955" i="1"/>
  <c r="G955" i="1"/>
  <c r="I955" i="1"/>
  <c r="A956" i="1"/>
  <c r="F956" i="1"/>
  <c r="G956" i="1"/>
  <c r="I956" i="1"/>
  <c r="A957" i="1"/>
  <c r="F957" i="1"/>
  <c r="G957" i="1"/>
  <c r="I957" i="1"/>
  <c r="A958" i="1"/>
  <c r="F958" i="1"/>
  <c r="G958" i="1"/>
  <c r="I958" i="1"/>
  <c r="A959" i="1"/>
  <c r="F959" i="1"/>
  <c r="G959" i="1"/>
  <c r="I959" i="1"/>
  <c r="A960" i="1"/>
  <c r="F960" i="1"/>
  <c r="G960" i="1"/>
  <c r="I960" i="1"/>
  <c r="A961" i="1"/>
  <c r="F961" i="1"/>
  <c r="G961" i="1"/>
  <c r="I961" i="1"/>
  <c r="A962" i="1"/>
  <c r="F962" i="1"/>
  <c r="G962" i="1"/>
  <c r="I962" i="1"/>
  <c r="A963" i="1"/>
  <c r="F963" i="1"/>
  <c r="G963" i="1"/>
  <c r="I963" i="1"/>
  <c r="A964" i="1"/>
  <c r="F964" i="1"/>
  <c r="G964" i="1"/>
  <c r="I964" i="1"/>
  <c r="A965" i="1"/>
  <c r="F965" i="1"/>
  <c r="G965" i="1"/>
  <c r="I965" i="1"/>
  <c r="A966" i="1"/>
  <c r="F966" i="1"/>
  <c r="G966" i="1"/>
  <c r="I966" i="1"/>
  <c r="A967" i="1"/>
  <c r="F967" i="1"/>
  <c r="G967" i="1"/>
  <c r="I967" i="1"/>
  <c r="A968" i="1"/>
  <c r="F968" i="1"/>
  <c r="G968" i="1"/>
  <c r="I968" i="1"/>
  <c r="A969" i="1"/>
  <c r="F969" i="1"/>
  <c r="G969" i="1"/>
  <c r="I969" i="1"/>
  <c r="A970" i="1"/>
  <c r="F970" i="1"/>
  <c r="G970" i="1"/>
  <c r="I970" i="1"/>
  <c r="A971" i="1"/>
  <c r="F971" i="1"/>
  <c r="G971" i="1"/>
  <c r="I971" i="1"/>
  <c r="A972" i="1"/>
  <c r="F972" i="1"/>
  <c r="G972" i="1"/>
  <c r="I972" i="1"/>
  <c r="A973" i="1"/>
  <c r="F973" i="1"/>
  <c r="G973" i="1"/>
  <c r="I973" i="1"/>
  <c r="A974" i="1"/>
  <c r="F974" i="1"/>
  <c r="G974" i="1"/>
  <c r="I974" i="1"/>
  <c r="A975" i="1"/>
  <c r="F975" i="1"/>
  <c r="G975" i="1"/>
  <c r="I975" i="1"/>
  <c r="A976" i="1"/>
  <c r="F976" i="1"/>
  <c r="G976" i="1"/>
  <c r="I976" i="1"/>
  <c r="A977" i="1"/>
  <c r="F977" i="1"/>
  <c r="G977" i="1"/>
  <c r="I977" i="1"/>
  <c r="A978" i="1"/>
  <c r="F978" i="1"/>
  <c r="G978" i="1"/>
  <c r="I978" i="1"/>
  <c r="A979" i="1"/>
  <c r="F979" i="1"/>
  <c r="G979" i="1"/>
  <c r="I979" i="1"/>
  <c r="A980" i="1"/>
  <c r="F980" i="1"/>
  <c r="G980" i="1"/>
  <c r="I980" i="1"/>
  <c r="A981" i="1"/>
  <c r="F981" i="1"/>
  <c r="G981" i="1"/>
  <c r="I981" i="1"/>
  <c r="A982" i="1"/>
  <c r="F982" i="1"/>
  <c r="G982" i="1"/>
  <c r="I982" i="1"/>
  <c r="A983" i="1"/>
  <c r="F983" i="1"/>
  <c r="G983" i="1"/>
  <c r="I983" i="1"/>
  <c r="A984" i="1"/>
  <c r="F984" i="1"/>
  <c r="G984" i="1"/>
  <c r="I984" i="1"/>
  <c r="A985" i="1"/>
  <c r="F985" i="1"/>
  <c r="G985" i="1"/>
  <c r="I985" i="1"/>
  <c r="A986" i="1"/>
  <c r="F986" i="1"/>
  <c r="G986" i="1"/>
  <c r="I986" i="1"/>
  <c r="A987" i="1"/>
  <c r="F987" i="1"/>
  <c r="G987" i="1"/>
  <c r="I987" i="1"/>
  <c r="A988" i="1"/>
  <c r="F988" i="1"/>
  <c r="G988" i="1"/>
  <c r="I988" i="1"/>
  <c r="A989" i="1"/>
  <c r="F989" i="1"/>
  <c r="G989" i="1"/>
  <c r="I989" i="1"/>
  <c r="A990" i="1"/>
  <c r="F990" i="1"/>
  <c r="G990" i="1"/>
  <c r="I990" i="1"/>
  <c r="A991" i="1"/>
  <c r="F991" i="1"/>
  <c r="G991" i="1"/>
  <c r="I991" i="1"/>
  <c r="A992" i="1"/>
  <c r="F992" i="1"/>
  <c r="G992" i="1"/>
  <c r="I992" i="1"/>
  <c r="A993" i="1"/>
  <c r="F993" i="1"/>
  <c r="G993" i="1"/>
  <c r="I993" i="1"/>
  <c r="A994" i="1"/>
  <c r="F994" i="1"/>
  <c r="G994" i="1"/>
  <c r="I994" i="1"/>
  <c r="A995" i="1"/>
  <c r="F995" i="1"/>
  <c r="G995" i="1"/>
  <c r="I995" i="1"/>
  <c r="A996" i="1"/>
  <c r="F996" i="1"/>
  <c r="G996" i="1"/>
  <c r="I996" i="1"/>
  <c r="A997" i="1"/>
  <c r="F997" i="1"/>
  <c r="G997" i="1"/>
  <c r="A998" i="1"/>
  <c r="F998" i="1"/>
  <c r="G998" i="1"/>
  <c r="A999" i="1"/>
  <c r="F999" i="1"/>
  <c r="G999" i="1"/>
  <c r="I999" i="1"/>
  <c r="A1000" i="1"/>
  <c r="F1000" i="1"/>
  <c r="G1000" i="1"/>
  <c r="I1000" i="1"/>
  <c r="A1001" i="1"/>
  <c r="F1001" i="1"/>
  <c r="G1001" i="1"/>
  <c r="I1001" i="1"/>
  <c r="A1002" i="1"/>
  <c r="F1002" i="1"/>
  <c r="G1002" i="1"/>
  <c r="I1002" i="1"/>
  <c r="A1003" i="1"/>
  <c r="F1003" i="1"/>
  <c r="G1003" i="1"/>
  <c r="I1003" i="1"/>
  <c r="A1004" i="1"/>
  <c r="F1004" i="1"/>
  <c r="G1004" i="1"/>
  <c r="I1004" i="1"/>
  <c r="A1005" i="1"/>
  <c r="F1005" i="1"/>
  <c r="G1005" i="1"/>
  <c r="I1005" i="1"/>
  <c r="A1006" i="1"/>
  <c r="F1006" i="1"/>
  <c r="G1006" i="1"/>
  <c r="I1006" i="1"/>
  <c r="A1007" i="1"/>
  <c r="F1007" i="1"/>
  <c r="G1007" i="1"/>
  <c r="I1007" i="1"/>
  <c r="A1008" i="1"/>
  <c r="F1008" i="1"/>
  <c r="G1008" i="1"/>
  <c r="I1008" i="1"/>
  <c r="A1009" i="1"/>
  <c r="F1009" i="1"/>
  <c r="G1009" i="1"/>
  <c r="I1009" i="1"/>
  <c r="A1010" i="1"/>
  <c r="F1010" i="1"/>
  <c r="G1010" i="1"/>
  <c r="I1010" i="1"/>
  <c r="A1011" i="1"/>
  <c r="F1011" i="1"/>
  <c r="G1011" i="1"/>
  <c r="I1011" i="1"/>
  <c r="A1012" i="1"/>
  <c r="F1012" i="1"/>
  <c r="G1012" i="1"/>
  <c r="I1012" i="1"/>
  <c r="A1013" i="1"/>
  <c r="F1013" i="1"/>
  <c r="G1013" i="1"/>
  <c r="I1013" i="1"/>
  <c r="A1014" i="1"/>
  <c r="F1014" i="1"/>
  <c r="G1014" i="1"/>
  <c r="I1014" i="1"/>
  <c r="A1015" i="1"/>
  <c r="F1015" i="1"/>
  <c r="G1015" i="1"/>
  <c r="I1015" i="1"/>
  <c r="A1016" i="1"/>
  <c r="F1016" i="1"/>
  <c r="G1016" i="1"/>
  <c r="I1016" i="1"/>
  <c r="A1017" i="1"/>
  <c r="F1017" i="1"/>
  <c r="G1017" i="1"/>
  <c r="I1017" i="1"/>
  <c r="A1018" i="1"/>
  <c r="F1018" i="1"/>
  <c r="G1018" i="1"/>
  <c r="I1018" i="1"/>
  <c r="A1019" i="1"/>
  <c r="F1019" i="1"/>
  <c r="G1019" i="1"/>
  <c r="I1019" i="1"/>
  <c r="A1020" i="1"/>
  <c r="F1020" i="1"/>
  <c r="G1020" i="1"/>
  <c r="I1020" i="1"/>
  <c r="A1021" i="1"/>
  <c r="F1021" i="1"/>
  <c r="G1021" i="1"/>
  <c r="I1021" i="1"/>
  <c r="A1022" i="1"/>
  <c r="F1022" i="1"/>
  <c r="G1022" i="1"/>
  <c r="I1022" i="1"/>
  <c r="A1023" i="1"/>
  <c r="F1023" i="1"/>
  <c r="G1023" i="1"/>
  <c r="I1023" i="1"/>
  <c r="A1024" i="1"/>
  <c r="F1024" i="1"/>
  <c r="G1024" i="1"/>
  <c r="I1024" i="1"/>
  <c r="A1025" i="1"/>
  <c r="F1025" i="1"/>
  <c r="G1025" i="1"/>
  <c r="I1025" i="1"/>
  <c r="A1026" i="1"/>
  <c r="F1026" i="1"/>
  <c r="G1026" i="1"/>
  <c r="I1026" i="1"/>
  <c r="A1027" i="1"/>
  <c r="F1027" i="1"/>
  <c r="G1027" i="1"/>
  <c r="I1027" i="1"/>
  <c r="A1028" i="1"/>
  <c r="F1028" i="1"/>
  <c r="G1028" i="1"/>
  <c r="I1028" i="1"/>
  <c r="A1029" i="1"/>
  <c r="F1029" i="1"/>
  <c r="G1029" i="1"/>
  <c r="I1029" i="1"/>
  <c r="A1030" i="1"/>
  <c r="F1030" i="1"/>
  <c r="G1030" i="1"/>
  <c r="I1030" i="1"/>
  <c r="A1031" i="1"/>
  <c r="F1031" i="1"/>
  <c r="G1031" i="1"/>
  <c r="I1031" i="1"/>
  <c r="A1032" i="1"/>
  <c r="F1032" i="1"/>
  <c r="G1032" i="1"/>
  <c r="I1032" i="1"/>
  <c r="A1033" i="1"/>
  <c r="F1033" i="1"/>
  <c r="G1033" i="1"/>
  <c r="I1033" i="1"/>
  <c r="A1034" i="1"/>
  <c r="F1034" i="1"/>
  <c r="G1034" i="1"/>
  <c r="I1034" i="1"/>
  <c r="A1035" i="1"/>
  <c r="F1035" i="1"/>
  <c r="G1035" i="1"/>
  <c r="I1035" i="1"/>
  <c r="A1036" i="1"/>
  <c r="F1036" i="1"/>
  <c r="G1036" i="1"/>
  <c r="I1036" i="1"/>
  <c r="A1037" i="1"/>
  <c r="F1037" i="1"/>
  <c r="G1037" i="1"/>
  <c r="I1037" i="1"/>
  <c r="A1038" i="1"/>
  <c r="F1038" i="1"/>
  <c r="G1038" i="1"/>
  <c r="I1038" i="1"/>
  <c r="A1039" i="1"/>
  <c r="F1039" i="1"/>
  <c r="G1039" i="1"/>
  <c r="I1039" i="1"/>
  <c r="A1040" i="1"/>
  <c r="F1040" i="1"/>
  <c r="G1040" i="1"/>
  <c r="I1040" i="1"/>
  <c r="A1041" i="1"/>
  <c r="F1041" i="1"/>
  <c r="G1041" i="1"/>
  <c r="I1041" i="1"/>
  <c r="A1042" i="1"/>
  <c r="F1042" i="1"/>
  <c r="G1042" i="1"/>
  <c r="I1042" i="1"/>
  <c r="A1043" i="1"/>
  <c r="F1043" i="1"/>
  <c r="G1043" i="1"/>
  <c r="I1043" i="1"/>
  <c r="A1044" i="1"/>
  <c r="F1044" i="1"/>
  <c r="G1044" i="1"/>
  <c r="I1044" i="1"/>
  <c r="A1045" i="1"/>
  <c r="F1045" i="1"/>
  <c r="G1045" i="1"/>
  <c r="I1045" i="1"/>
  <c r="A1046" i="1"/>
  <c r="F1046" i="1"/>
  <c r="G1046" i="1"/>
  <c r="I1046" i="1"/>
  <c r="A1047" i="1"/>
  <c r="F1047" i="1"/>
  <c r="G1047" i="1"/>
  <c r="I1047" i="1"/>
  <c r="A1048" i="1"/>
  <c r="F1048" i="1"/>
  <c r="G1048" i="1"/>
  <c r="I1048" i="1"/>
  <c r="A1049" i="1"/>
  <c r="F1049" i="1"/>
  <c r="G1049" i="1"/>
  <c r="I1049" i="1"/>
  <c r="A1050" i="1"/>
  <c r="F1050" i="1"/>
  <c r="G1050" i="1"/>
  <c r="I1050" i="1"/>
  <c r="A1051" i="1"/>
  <c r="F1051" i="1"/>
  <c r="G1051" i="1"/>
  <c r="I1051" i="1"/>
  <c r="A1052" i="1"/>
  <c r="F1052" i="1"/>
  <c r="G1052" i="1"/>
  <c r="I1052" i="1"/>
  <c r="A1053" i="1"/>
  <c r="F1053" i="1"/>
  <c r="G1053" i="1"/>
  <c r="I1053" i="1"/>
  <c r="A1054" i="1"/>
  <c r="F1054" i="1"/>
  <c r="G1054" i="1"/>
  <c r="I1054" i="1"/>
  <c r="A1055" i="1"/>
  <c r="F1055" i="1"/>
  <c r="G1055" i="1"/>
  <c r="I1055" i="1"/>
  <c r="A1056" i="1"/>
  <c r="F1056" i="1"/>
  <c r="G1056" i="1"/>
  <c r="I1056" i="1"/>
  <c r="A1057" i="1"/>
  <c r="F1057" i="1"/>
  <c r="G1057" i="1"/>
  <c r="I1057" i="1"/>
  <c r="A1058" i="1"/>
  <c r="F1058" i="1"/>
  <c r="G1058" i="1"/>
  <c r="I1058" i="1"/>
  <c r="A1059" i="1"/>
  <c r="F1059" i="1"/>
  <c r="G1059" i="1"/>
  <c r="I1059" i="1"/>
  <c r="A1060" i="1"/>
  <c r="F1060" i="1"/>
  <c r="G1060" i="1"/>
  <c r="I1060" i="1"/>
  <c r="A1061" i="1"/>
  <c r="F1061" i="1"/>
  <c r="G1061" i="1"/>
  <c r="I1061" i="1"/>
  <c r="A1062" i="1"/>
  <c r="F1062" i="1"/>
  <c r="G1062" i="1"/>
  <c r="I1062" i="1"/>
  <c r="A1063" i="1"/>
  <c r="F1063" i="1"/>
  <c r="G1063" i="1"/>
  <c r="I1063" i="1"/>
  <c r="A1064" i="1"/>
  <c r="F1064" i="1"/>
  <c r="G1064" i="1"/>
  <c r="I1064" i="1"/>
  <c r="A1065" i="1"/>
  <c r="F1065" i="1"/>
  <c r="G1065" i="1"/>
  <c r="I1065" i="1"/>
  <c r="A1066" i="1"/>
  <c r="F1066" i="1"/>
  <c r="G1066" i="1"/>
  <c r="I1066" i="1"/>
  <c r="A1067" i="1"/>
  <c r="F1067" i="1"/>
  <c r="G1067" i="1"/>
  <c r="I1067" i="1"/>
  <c r="A1068" i="1"/>
  <c r="F1068" i="1"/>
  <c r="G1068" i="1"/>
  <c r="I1068" i="1"/>
  <c r="A1069" i="1"/>
  <c r="F1069" i="1"/>
  <c r="G1069" i="1"/>
  <c r="A1070" i="1"/>
  <c r="F1070" i="1"/>
  <c r="G1070" i="1"/>
  <c r="A1071" i="1"/>
  <c r="F1071" i="1"/>
  <c r="G1071" i="1"/>
  <c r="I1071" i="1"/>
  <c r="A1072" i="1"/>
  <c r="F1072" i="1"/>
  <c r="G1072" i="1"/>
  <c r="I1072" i="1"/>
  <c r="A1073" i="1"/>
  <c r="F1073" i="1"/>
  <c r="G1073" i="1"/>
  <c r="I1073" i="1"/>
  <c r="A1074" i="1"/>
  <c r="F1074" i="1"/>
  <c r="G1074" i="1"/>
  <c r="I1074" i="1"/>
  <c r="A1075" i="1"/>
  <c r="F1075" i="1"/>
  <c r="G1075" i="1"/>
  <c r="I1075" i="1"/>
  <c r="A1076" i="1"/>
  <c r="F1076" i="1"/>
  <c r="G1076" i="1"/>
  <c r="I1076" i="1"/>
  <c r="A1077" i="1"/>
  <c r="F1077" i="1"/>
  <c r="G1077" i="1"/>
  <c r="I1077" i="1"/>
  <c r="A1078" i="1"/>
  <c r="F1078" i="1"/>
  <c r="G1078" i="1"/>
  <c r="I1078" i="1"/>
  <c r="A1079" i="1"/>
  <c r="F1079" i="1"/>
  <c r="G1079" i="1"/>
  <c r="I1079" i="1"/>
  <c r="A1080" i="1"/>
  <c r="F1080" i="1"/>
  <c r="G1080" i="1"/>
  <c r="I1080" i="1"/>
  <c r="A1081" i="1"/>
  <c r="F1081" i="1"/>
  <c r="G1081" i="1"/>
  <c r="I1081" i="1"/>
  <c r="A1082" i="1"/>
  <c r="F1082" i="1"/>
  <c r="G1082" i="1"/>
  <c r="I1082" i="1"/>
  <c r="A1083" i="1"/>
  <c r="F1083" i="1"/>
  <c r="G1083" i="1"/>
  <c r="I1083" i="1"/>
  <c r="A1084" i="1"/>
  <c r="F1084" i="1"/>
  <c r="G1084" i="1"/>
  <c r="I1084" i="1"/>
  <c r="A1085" i="1"/>
  <c r="F1085" i="1"/>
  <c r="G1085" i="1"/>
  <c r="I1085" i="1"/>
  <c r="A1086" i="1"/>
  <c r="F1086" i="1"/>
  <c r="G1086" i="1"/>
  <c r="I1086" i="1"/>
  <c r="A1087" i="1"/>
  <c r="F1087" i="1"/>
  <c r="G1087" i="1"/>
  <c r="I1087" i="1"/>
  <c r="A1088" i="1"/>
  <c r="F1088" i="1"/>
  <c r="G1088" i="1"/>
  <c r="I1088" i="1"/>
  <c r="A1089" i="1"/>
  <c r="F1089" i="1"/>
  <c r="G1089" i="1"/>
  <c r="I1089" i="1"/>
  <c r="A1090" i="1"/>
  <c r="F1090" i="1"/>
  <c r="G1090" i="1"/>
  <c r="I1090" i="1"/>
  <c r="A1091" i="1"/>
  <c r="F1091" i="1"/>
  <c r="G1091" i="1"/>
  <c r="I1091" i="1"/>
  <c r="A1092" i="1"/>
  <c r="F1092" i="1"/>
  <c r="G1092" i="1"/>
  <c r="I1092" i="1"/>
  <c r="A1093" i="1"/>
  <c r="F1093" i="1"/>
  <c r="G1093" i="1"/>
  <c r="I1093" i="1"/>
  <c r="A1094" i="1"/>
  <c r="F1094" i="1"/>
  <c r="G1094" i="1"/>
  <c r="I1094" i="1"/>
  <c r="A1095" i="1"/>
  <c r="F1095" i="1"/>
  <c r="G1095" i="1"/>
  <c r="I1095" i="1"/>
  <c r="A1096" i="1"/>
  <c r="F1096" i="1"/>
  <c r="G1096" i="1"/>
  <c r="I1096" i="1"/>
  <c r="A1097" i="1"/>
  <c r="F1097" i="1"/>
  <c r="G1097" i="1"/>
  <c r="I1097" i="1"/>
  <c r="A1098" i="1"/>
  <c r="F1098" i="1"/>
  <c r="G1098" i="1"/>
  <c r="I1098" i="1"/>
  <c r="A1099" i="1"/>
  <c r="F1099" i="1"/>
  <c r="G1099" i="1"/>
  <c r="I1099" i="1"/>
  <c r="A1100" i="1"/>
  <c r="F1100" i="1"/>
  <c r="G1100" i="1"/>
  <c r="I1100" i="1"/>
  <c r="A1101" i="1"/>
  <c r="F1101" i="1"/>
  <c r="G1101" i="1"/>
  <c r="I1101" i="1"/>
  <c r="A1102" i="1"/>
  <c r="F1102" i="1"/>
  <c r="G1102" i="1"/>
  <c r="I1102" i="1"/>
  <c r="A1103" i="1"/>
  <c r="F1103" i="1"/>
  <c r="G1103" i="1"/>
  <c r="I1103" i="1"/>
  <c r="A1104" i="1"/>
  <c r="F1104" i="1"/>
  <c r="G1104" i="1"/>
  <c r="I1104" i="1"/>
  <c r="A1105" i="1"/>
  <c r="F1105" i="1"/>
  <c r="G1105" i="1"/>
  <c r="I1105" i="1"/>
  <c r="A1106" i="1"/>
  <c r="F1106" i="1"/>
  <c r="G1106" i="1"/>
  <c r="I1106" i="1"/>
  <c r="A1107" i="1"/>
  <c r="F1107" i="1"/>
  <c r="G1107" i="1"/>
  <c r="I1107" i="1"/>
  <c r="A1108" i="1"/>
  <c r="F1108" i="1"/>
  <c r="G1108" i="1"/>
  <c r="I1108" i="1"/>
  <c r="A1109" i="1"/>
  <c r="F1109" i="1"/>
  <c r="G1109" i="1"/>
  <c r="I1109" i="1"/>
  <c r="A1110" i="1"/>
  <c r="F1110" i="1"/>
  <c r="G1110" i="1"/>
  <c r="I1110" i="1"/>
  <c r="A1111" i="1"/>
  <c r="F1111" i="1"/>
  <c r="G1111" i="1"/>
  <c r="I1111" i="1"/>
  <c r="A1112" i="1"/>
  <c r="F1112" i="1"/>
  <c r="G1112" i="1"/>
  <c r="I1112" i="1"/>
  <c r="A1113" i="1"/>
  <c r="F1113" i="1"/>
  <c r="G1113" i="1"/>
  <c r="I1113" i="1"/>
  <c r="A1114" i="1"/>
  <c r="F1114" i="1"/>
  <c r="G1114" i="1"/>
  <c r="I1114" i="1"/>
  <c r="A1115" i="1"/>
  <c r="F1115" i="1"/>
  <c r="G1115" i="1"/>
  <c r="I1115" i="1"/>
  <c r="A1116" i="1"/>
  <c r="F1116" i="1"/>
  <c r="G1116" i="1"/>
  <c r="I1116" i="1"/>
  <c r="A1117" i="1"/>
  <c r="F1117" i="1"/>
  <c r="G1117" i="1"/>
  <c r="I1117" i="1"/>
  <c r="A1118" i="1"/>
  <c r="F1118" i="1"/>
  <c r="G1118" i="1"/>
  <c r="I1118" i="1"/>
  <c r="A1119" i="1"/>
  <c r="F1119" i="1"/>
  <c r="G1119" i="1"/>
  <c r="I1119" i="1"/>
  <c r="A1120" i="1"/>
  <c r="F1120" i="1"/>
  <c r="G1120" i="1"/>
  <c r="I1120" i="1"/>
  <c r="A1121" i="1"/>
  <c r="F1121" i="1"/>
  <c r="G1121" i="1"/>
  <c r="I1121" i="1"/>
  <c r="A1122" i="1"/>
  <c r="F1122" i="1"/>
  <c r="G1122" i="1"/>
  <c r="I1122" i="1"/>
  <c r="A1123" i="1"/>
  <c r="F1123" i="1"/>
  <c r="G1123" i="1"/>
  <c r="I1123" i="1"/>
  <c r="A1124" i="1"/>
  <c r="F1124" i="1"/>
  <c r="G1124" i="1"/>
  <c r="I1124" i="1"/>
  <c r="A1125" i="1"/>
  <c r="F1125" i="1"/>
  <c r="G1125" i="1"/>
  <c r="I1125" i="1"/>
  <c r="A1126" i="1"/>
  <c r="F1126" i="1"/>
  <c r="G1126" i="1"/>
  <c r="I1126" i="1"/>
  <c r="A1127" i="1"/>
  <c r="F1127" i="1"/>
  <c r="G1127" i="1"/>
  <c r="I1127" i="1"/>
  <c r="A1128" i="1"/>
  <c r="F1128" i="1"/>
  <c r="G1128" i="1"/>
  <c r="I1128" i="1"/>
  <c r="A1129" i="1"/>
  <c r="F1129" i="1"/>
  <c r="G1129" i="1"/>
  <c r="I1129" i="1"/>
  <c r="A1130" i="1"/>
  <c r="F1130" i="1"/>
  <c r="G1130" i="1"/>
  <c r="I1130" i="1"/>
  <c r="A1131" i="1"/>
  <c r="F1131" i="1"/>
  <c r="G1131" i="1"/>
  <c r="I1131" i="1"/>
  <c r="A1132" i="1"/>
  <c r="F1132" i="1"/>
  <c r="G1132" i="1"/>
  <c r="I1132" i="1"/>
  <c r="A1133" i="1"/>
  <c r="F1133" i="1"/>
  <c r="G1133" i="1"/>
  <c r="I1133" i="1"/>
  <c r="A1134" i="1"/>
  <c r="F1134" i="1"/>
  <c r="G1134" i="1"/>
  <c r="I1134" i="1"/>
  <c r="A1135" i="1"/>
  <c r="F1135" i="1"/>
  <c r="G1135" i="1"/>
  <c r="I1135" i="1"/>
  <c r="A1136" i="1"/>
  <c r="F1136" i="1"/>
  <c r="G1136" i="1"/>
  <c r="I1136" i="1"/>
  <c r="A1137" i="1"/>
  <c r="F1137" i="1"/>
  <c r="G1137" i="1"/>
  <c r="I1137" i="1"/>
  <c r="A1138" i="1"/>
  <c r="F1138" i="1"/>
  <c r="G1138" i="1"/>
  <c r="I1138" i="1"/>
  <c r="A1139" i="1"/>
  <c r="F1139" i="1"/>
  <c r="G1139" i="1"/>
  <c r="I1139" i="1"/>
  <c r="A1140" i="1"/>
  <c r="F1140" i="1"/>
  <c r="G1140" i="1"/>
  <c r="I1140" i="1"/>
  <c r="A1141" i="1"/>
  <c r="F1141" i="1"/>
  <c r="G1141" i="1"/>
  <c r="I1141" i="1"/>
  <c r="A1142" i="1"/>
  <c r="F1142" i="1"/>
  <c r="G1142" i="1"/>
  <c r="I1142" i="1"/>
  <c r="A1143" i="1"/>
  <c r="F1143" i="1"/>
  <c r="G1143" i="1"/>
  <c r="I1143" i="1"/>
  <c r="A1144" i="1"/>
  <c r="F1144" i="1"/>
  <c r="G1144" i="1"/>
  <c r="I1144" i="1"/>
  <c r="A1145" i="1"/>
  <c r="F1145" i="1"/>
  <c r="G1145" i="1"/>
  <c r="I1145" i="1"/>
  <c r="A1146" i="1"/>
  <c r="F1146" i="1"/>
  <c r="G1146" i="1"/>
  <c r="I1146" i="1"/>
  <c r="A1147" i="1"/>
  <c r="F1147" i="1"/>
  <c r="G1147" i="1"/>
  <c r="I1147" i="1"/>
  <c r="A1148" i="1"/>
  <c r="F1148" i="1"/>
  <c r="G1148" i="1"/>
  <c r="I1148" i="1"/>
  <c r="A1149" i="1"/>
  <c r="F1149" i="1"/>
  <c r="G1149" i="1"/>
  <c r="I1149" i="1"/>
  <c r="A1150" i="1"/>
  <c r="F1150" i="1"/>
  <c r="G1150" i="1"/>
  <c r="I1150" i="1"/>
  <c r="A1151" i="1"/>
  <c r="F1151" i="1"/>
  <c r="G1151" i="1"/>
  <c r="I1151" i="1"/>
  <c r="A1152" i="1"/>
  <c r="F1152" i="1"/>
  <c r="G1152" i="1"/>
  <c r="I1152" i="1"/>
  <c r="A1153" i="1"/>
  <c r="F1153" i="1"/>
  <c r="G1153" i="1"/>
  <c r="I1153" i="1"/>
  <c r="A1154" i="1"/>
  <c r="F1154" i="1"/>
  <c r="G1154" i="1"/>
  <c r="I1154" i="1"/>
  <c r="A1155" i="1"/>
  <c r="F1155" i="1"/>
  <c r="G1155" i="1"/>
  <c r="I1155" i="1"/>
  <c r="A1156" i="1"/>
  <c r="F1156" i="1"/>
  <c r="G1156" i="1"/>
  <c r="I1156" i="1"/>
  <c r="A1157" i="1"/>
  <c r="F1157" i="1"/>
  <c r="G1157" i="1"/>
  <c r="I1157" i="1"/>
  <c r="A1158" i="1"/>
  <c r="F1158" i="1"/>
  <c r="G1158" i="1"/>
  <c r="I1158" i="1"/>
  <c r="A1159" i="1"/>
  <c r="F1159" i="1"/>
  <c r="G1159" i="1"/>
  <c r="I1159" i="1"/>
  <c r="A1160" i="1"/>
  <c r="F1160" i="1"/>
  <c r="G1160" i="1"/>
  <c r="A1161" i="1"/>
  <c r="F1161" i="1"/>
  <c r="G1161" i="1"/>
  <c r="A1162" i="1"/>
  <c r="F1162" i="1"/>
  <c r="G1162" i="1"/>
  <c r="A1163" i="1"/>
  <c r="F1163" i="1"/>
  <c r="G1163" i="1"/>
  <c r="I1163" i="1"/>
  <c r="A1164" i="1"/>
  <c r="F1164" i="1"/>
  <c r="G1164" i="1"/>
  <c r="I1164" i="1"/>
  <c r="A1165" i="1"/>
  <c r="F1165" i="1"/>
  <c r="G1165" i="1"/>
  <c r="I1165" i="1"/>
  <c r="A1166" i="1"/>
  <c r="F1166" i="1"/>
  <c r="G1166" i="1"/>
  <c r="I1166" i="1"/>
  <c r="A1167" i="1"/>
  <c r="F1167" i="1"/>
  <c r="G1167" i="1"/>
  <c r="I1167" i="1"/>
  <c r="A1168" i="1"/>
  <c r="F1168" i="1"/>
  <c r="G1168" i="1"/>
  <c r="I1168" i="1"/>
  <c r="A1169" i="1"/>
  <c r="F1169" i="1"/>
  <c r="G1169" i="1"/>
  <c r="I1169" i="1"/>
  <c r="A1170" i="1"/>
  <c r="F1170" i="1"/>
  <c r="G1170" i="1"/>
  <c r="I1170" i="1"/>
  <c r="A1171" i="1"/>
  <c r="F1171" i="1"/>
  <c r="G1171" i="1"/>
  <c r="I1171" i="1"/>
  <c r="A1172" i="1"/>
  <c r="F1172" i="1"/>
  <c r="G1172" i="1"/>
  <c r="I1172" i="1"/>
  <c r="A1173" i="1"/>
  <c r="F1173" i="1"/>
  <c r="G1173" i="1"/>
  <c r="I1173" i="1"/>
  <c r="A1174" i="1"/>
  <c r="F1174" i="1"/>
  <c r="G1174" i="1"/>
  <c r="I1174" i="1"/>
  <c r="A1175" i="1"/>
  <c r="F1175" i="1"/>
  <c r="G1175" i="1"/>
  <c r="I1175" i="1"/>
  <c r="A1176" i="1"/>
  <c r="F1176" i="1"/>
  <c r="G1176" i="1"/>
  <c r="I1176" i="1"/>
  <c r="A1177" i="1"/>
  <c r="F1177" i="1"/>
  <c r="G1177" i="1"/>
  <c r="I1177" i="1"/>
  <c r="A1178" i="1"/>
  <c r="F1178" i="1"/>
  <c r="G1178" i="1"/>
  <c r="I1178" i="1"/>
  <c r="A1179" i="1"/>
  <c r="F1179" i="1"/>
  <c r="G1179" i="1"/>
  <c r="I1179" i="1"/>
  <c r="A1180" i="1"/>
  <c r="F1180" i="1"/>
  <c r="G1180" i="1"/>
  <c r="I1180" i="1"/>
  <c r="A1181" i="1"/>
  <c r="F1181" i="1"/>
  <c r="G1181" i="1"/>
  <c r="I1181" i="1"/>
  <c r="A1182" i="1"/>
  <c r="F1182" i="1"/>
  <c r="G1182" i="1"/>
  <c r="I1182" i="1"/>
  <c r="A1183" i="1"/>
  <c r="F1183" i="1"/>
  <c r="G1183" i="1"/>
  <c r="I1183" i="1"/>
  <c r="A1184" i="1"/>
  <c r="F1184" i="1"/>
  <c r="G1184" i="1"/>
  <c r="I1184" i="1"/>
  <c r="A1185" i="1"/>
  <c r="F1185" i="1"/>
  <c r="G1185" i="1"/>
  <c r="I1185" i="1"/>
  <c r="A1186" i="1"/>
  <c r="F1186" i="1"/>
  <c r="G1186" i="1"/>
  <c r="I1186" i="1"/>
  <c r="A1187" i="1"/>
  <c r="F1187" i="1"/>
  <c r="G1187" i="1"/>
  <c r="I1187" i="1"/>
  <c r="A1188" i="1"/>
  <c r="F1188" i="1"/>
  <c r="G1188" i="1"/>
  <c r="I1188" i="1"/>
  <c r="A1189" i="1"/>
  <c r="F1189" i="1"/>
  <c r="G1189" i="1"/>
  <c r="I1189" i="1"/>
  <c r="A1190" i="1"/>
  <c r="F1190" i="1"/>
  <c r="G1190" i="1"/>
  <c r="I1190" i="1"/>
  <c r="A1191" i="1"/>
  <c r="F1191" i="1"/>
  <c r="G1191" i="1"/>
  <c r="I1191" i="1"/>
  <c r="A1192" i="1"/>
  <c r="F1192" i="1"/>
  <c r="G1192" i="1"/>
  <c r="I1192" i="1"/>
  <c r="A1193" i="1"/>
  <c r="F1193" i="1"/>
  <c r="G1193" i="1"/>
  <c r="I1193" i="1"/>
  <c r="A1194" i="1"/>
  <c r="F1194" i="1"/>
  <c r="G1194" i="1"/>
  <c r="I1194" i="1"/>
  <c r="A1195" i="1"/>
  <c r="F1195" i="1"/>
  <c r="G1195" i="1"/>
  <c r="I1195" i="1"/>
  <c r="A1196" i="1"/>
  <c r="F1196" i="1"/>
  <c r="G1196" i="1"/>
  <c r="I1196" i="1"/>
  <c r="A1197" i="1"/>
  <c r="F1197" i="1"/>
  <c r="G1197" i="1"/>
  <c r="I1197" i="1"/>
  <c r="A1198" i="1"/>
  <c r="F1198" i="1"/>
  <c r="G1198" i="1"/>
  <c r="I1198" i="1"/>
  <c r="A1199" i="1"/>
  <c r="F1199" i="1"/>
  <c r="G1199" i="1"/>
  <c r="I1199" i="1"/>
  <c r="A1200" i="1"/>
  <c r="H1200" i="1"/>
  <c r="I1200" i="1"/>
  <c r="A1201" i="1"/>
  <c r="F1201" i="1"/>
  <c r="G1201" i="1"/>
  <c r="I1201" i="1"/>
  <c r="A1202" i="1"/>
  <c r="F1202" i="1"/>
  <c r="G1202" i="1"/>
  <c r="I1202" i="1"/>
  <c r="A1203" i="1"/>
  <c r="F1203" i="1"/>
  <c r="G1203" i="1"/>
  <c r="I1203" i="1"/>
  <c r="A1204" i="1"/>
  <c r="F1204" i="1"/>
  <c r="G1204" i="1"/>
  <c r="I1204" i="1"/>
  <c r="A1205" i="1"/>
  <c r="F1205" i="1"/>
  <c r="G1205" i="1"/>
  <c r="I1205" i="1"/>
  <c r="A1206" i="1"/>
  <c r="F1206" i="1"/>
  <c r="G1206" i="1"/>
  <c r="I1206" i="1"/>
  <c r="A1207" i="1"/>
  <c r="F1207" i="1"/>
  <c r="G1207" i="1"/>
  <c r="I1207" i="1"/>
  <c r="A1208" i="1"/>
  <c r="F1208" i="1"/>
  <c r="G1208" i="1"/>
  <c r="I1208" i="1"/>
  <c r="A1209" i="1"/>
  <c r="F1209" i="1"/>
  <c r="G1209" i="1"/>
  <c r="I1209" i="1"/>
  <c r="A1210" i="1"/>
  <c r="F1210" i="1"/>
  <c r="G1210" i="1"/>
  <c r="I1210" i="1"/>
  <c r="A1211" i="1"/>
  <c r="F1211" i="1"/>
  <c r="G1211" i="1"/>
  <c r="I1211" i="1"/>
  <c r="A1212" i="1"/>
  <c r="F1212" i="1"/>
  <c r="G1212" i="1"/>
  <c r="I1212" i="1"/>
  <c r="A1213" i="1"/>
  <c r="F1213" i="1"/>
  <c r="G1213" i="1"/>
  <c r="I1213" i="1"/>
  <c r="A1214" i="1"/>
  <c r="F1214" i="1"/>
  <c r="G1214" i="1"/>
  <c r="I1214" i="1"/>
  <c r="A1215" i="1"/>
  <c r="F1215" i="1"/>
  <c r="G1215" i="1"/>
  <c r="I1215" i="1"/>
  <c r="A1216" i="1"/>
  <c r="F1216" i="1"/>
  <c r="G1216" i="1"/>
  <c r="I1216" i="1"/>
  <c r="A1217" i="1"/>
  <c r="F1217" i="1"/>
  <c r="G1217" i="1"/>
  <c r="I1217" i="1"/>
  <c r="A1218" i="1"/>
  <c r="F1218" i="1"/>
  <c r="G1218" i="1"/>
  <c r="I1218" i="1"/>
  <c r="A1219" i="1"/>
  <c r="F1219" i="1"/>
  <c r="G1219" i="1"/>
  <c r="I1219" i="1"/>
  <c r="A1220" i="1"/>
  <c r="F1220" i="1"/>
  <c r="G1220" i="1"/>
  <c r="I1220" i="1"/>
  <c r="A1221" i="1"/>
  <c r="F1221" i="1"/>
  <c r="G1221" i="1"/>
  <c r="I1221" i="1"/>
  <c r="A1222" i="1"/>
  <c r="F1222" i="1"/>
  <c r="G1222" i="1"/>
  <c r="I1222" i="1"/>
  <c r="A1223" i="1"/>
  <c r="F1223" i="1"/>
  <c r="G1223" i="1"/>
  <c r="I1223" i="1"/>
  <c r="A1224" i="1"/>
  <c r="F1224" i="1"/>
  <c r="G1224" i="1"/>
  <c r="I1224" i="1"/>
  <c r="A1225" i="1"/>
  <c r="F1225" i="1"/>
  <c r="G1225" i="1"/>
  <c r="I1225" i="1"/>
  <c r="A1226" i="1"/>
  <c r="F1226" i="1"/>
  <c r="G1226" i="1"/>
  <c r="I1226" i="1"/>
  <c r="A1227" i="1"/>
  <c r="F1227" i="1"/>
  <c r="G1227" i="1"/>
  <c r="I1227" i="1"/>
  <c r="A1228" i="1"/>
  <c r="F1228" i="1"/>
  <c r="G1228" i="1"/>
  <c r="I1228" i="1"/>
  <c r="A1229" i="1"/>
  <c r="F1229" i="1"/>
  <c r="G1229" i="1"/>
  <c r="I1229" i="1"/>
  <c r="A1230" i="1"/>
  <c r="F1230" i="1"/>
  <c r="G1230" i="1"/>
  <c r="I1230" i="1"/>
  <c r="A1231" i="1"/>
  <c r="F1231" i="1"/>
  <c r="G1231" i="1"/>
  <c r="I1231" i="1"/>
  <c r="A1232" i="1"/>
  <c r="F1232" i="1"/>
  <c r="G1232" i="1"/>
  <c r="I1232" i="1"/>
  <c r="A1233" i="1"/>
  <c r="F1233" i="1"/>
  <c r="G1233" i="1"/>
  <c r="I1233" i="1"/>
  <c r="A1234" i="1"/>
  <c r="F1234" i="1"/>
  <c r="G1234" i="1"/>
  <c r="I1234" i="1"/>
  <c r="A1235" i="1"/>
  <c r="F1235" i="1"/>
  <c r="G1235" i="1"/>
  <c r="I1235" i="1"/>
  <c r="A1236" i="1"/>
  <c r="F1236" i="1"/>
  <c r="G1236" i="1"/>
  <c r="I1236" i="1"/>
  <c r="A1237" i="1"/>
  <c r="F1237" i="1"/>
  <c r="G1237" i="1"/>
  <c r="I1237" i="1"/>
  <c r="A1238" i="1"/>
  <c r="F1238" i="1"/>
  <c r="G1238" i="1"/>
  <c r="I1238" i="1"/>
  <c r="A1239" i="1"/>
  <c r="F1239" i="1"/>
  <c r="G1239" i="1"/>
  <c r="I1239" i="1"/>
  <c r="A1240" i="1"/>
  <c r="F1240" i="1"/>
  <c r="G1240" i="1"/>
  <c r="I1240" i="1"/>
  <c r="A1241" i="1"/>
  <c r="F1241" i="1"/>
  <c r="G1241" i="1"/>
  <c r="I1241" i="1"/>
  <c r="A1242" i="1"/>
  <c r="F1242" i="1"/>
  <c r="G1242" i="1"/>
  <c r="I1242" i="1"/>
  <c r="A1243" i="1"/>
  <c r="F1243" i="1"/>
  <c r="G1243" i="1"/>
  <c r="I1243" i="1"/>
  <c r="A1244" i="1"/>
  <c r="F1244" i="1"/>
  <c r="G1244" i="1"/>
  <c r="I1244" i="1"/>
  <c r="A1245" i="1"/>
  <c r="F1245" i="1"/>
  <c r="G1245" i="1"/>
  <c r="I1245" i="1"/>
  <c r="A1246" i="1"/>
  <c r="F1246" i="1"/>
  <c r="G1246" i="1"/>
  <c r="I1246" i="1"/>
  <c r="A1247" i="1"/>
  <c r="F1247" i="1"/>
  <c r="G1247" i="1"/>
  <c r="I1247" i="1"/>
  <c r="A1248" i="1"/>
  <c r="F1248" i="1"/>
  <c r="G1248" i="1"/>
  <c r="I1248" i="1"/>
  <c r="A1249" i="1"/>
  <c r="F1249" i="1"/>
  <c r="G1249" i="1"/>
  <c r="I1249" i="1"/>
  <c r="A1250" i="1"/>
  <c r="F1250" i="1"/>
  <c r="G1250" i="1"/>
  <c r="I1250" i="1"/>
  <c r="A1251" i="1"/>
  <c r="F1251" i="1"/>
  <c r="G1251" i="1"/>
  <c r="I1251" i="1"/>
  <c r="A1252" i="1"/>
  <c r="F1252" i="1"/>
  <c r="G1252" i="1"/>
  <c r="I1252" i="1"/>
  <c r="A1253" i="1"/>
  <c r="F1253" i="1"/>
  <c r="G1253" i="1"/>
  <c r="I1253" i="1"/>
  <c r="A1254" i="1"/>
  <c r="F1254" i="1"/>
  <c r="G1254" i="1"/>
  <c r="I1254" i="1"/>
  <c r="A1255" i="1"/>
  <c r="F1255" i="1"/>
  <c r="G1255" i="1"/>
  <c r="I1255" i="1"/>
  <c r="A1256" i="1"/>
  <c r="F1256" i="1"/>
  <c r="G1256" i="1"/>
  <c r="I1256" i="1"/>
  <c r="A1257" i="1"/>
  <c r="F1257" i="1"/>
  <c r="G1257" i="1"/>
  <c r="I1257" i="1"/>
  <c r="A1258" i="1"/>
  <c r="F1258" i="1"/>
  <c r="G1258" i="1"/>
  <c r="I1258" i="1"/>
  <c r="A1259" i="1"/>
  <c r="F1259" i="1"/>
  <c r="G1259" i="1"/>
  <c r="I1259" i="1"/>
  <c r="A1260" i="1"/>
  <c r="F1260" i="1"/>
  <c r="G1260" i="1"/>
  <c r="I1260" i="1"/>
  <c r="A1261" i="1"/>
  <c r="F1261" i="1"/>
  <c r="G1261" i="1"/>
  <c r="I1261" i="1"/>
  <c r="A1262" i="1"/>
  <c r="F1262" i="1"/>
  <c r="G1262" i="1"/>
  <c r="I1262" i="1"/>
  <c r="A1263" i="1"/>
  <c r="F1263" i="1"/>
  <c r="G1263" i="1"/>
  <c r="I1263" i="1"/>
  <c r="A1264" i="1"/>
  <c r="F1264" i="1"/>
  <c r="G1264" i="1"/>
  <c r="I1264" i="1"/>
  <c r="A1265" i="1"/>
  <c r="F1265" i="1"/>
  <c r="G1265" i="1"/>
  <c r="I1265" i="1"/>
  <c r="A1266" i="1"/>
  <c r="F1266" i="1"/>
  <c r="G1266" i="1"/>
  <c r="I1266" i="1"/>
  <c r="A1267" i="1"/>
  <c r="F1267" i="1"/>
  <c r="G1267" i="1"/>
  <c r="I1267" i="1"/>
  <c r="A1268" i="1"/>
  <c r="F1268" i="1"/>
  <c r="G1268" i="1"/>
  <c r="I1268" i="1"/>
  <c r="A1269" i="1"/>
  <c r="F1269" i="1"/>
  <c r="G1269" i="1"/>
  <c r="I1269" i="1"/>
  <c r="A1270" i="1"/>
  <c r="H1270" i="1"/>
  <c r="I1270" i="1"/>
  <c r="A1271" i="1"/>
  <c r="F1271" i="1"/>
  <c r="G1271" i="1"/>
  <c r="I1271" i="1"/>
  <c r="A1272" i="1"/>
  <c r="F1272" i="1"/>
  <c r="G1272" i="1"/>
  <c r="I1272" i="1"/>
  <c r="A1273" i="1"/>
  <c r="F1273" i="1"/>
  <c r="G1273" i="1"/>
  <c r="I1273" i="1"/>
  <c r="A1274" i="1"/>
  <c r="F1274" i="1"/>
  <c r="G1274" i="1"/>
  <c r="I1274" i="1"/>
  <c r="A1275" i="1"/>
  <c r="F1275" i="1"/>
  <c r="G1275" i="1"/>
  <c r="I1275" i="1"/>
  <c r="A1276" i="1"/>
  <c r="F1276" i="1"/>
  <c r="G1276" i="1"/>
  <c r="I1276" i="1"/>
  <c r="A1277" i="1"/>
  <c r="F1277" i="1"/>
  <c r="G1277" i="1"/>
  <c r="I1277" i="1"/>
  <c r="A1278" i="1"/>
  <c r="F1278" i="1"/>
  <c r="G1278" i="1"/>
  <c r="I1278" i="1"/>
  <c r="A1279" i="1"/>
  <c r="F1279" i="1"/>
  <c r="G1279" i="1"/>
  <c r="I1279" i="1"/>
  <c r="A1280" i="1"/>
  <c r="F1280" i="1"/>
  <c r="G1280" i="1"/>
  <c r="I1280" i="1"/>
  <c r="A1281" i="1"/>
  <c r="F1281" i="1"/>
  <c r="G1281" i="1"/>
  <c r="I1281" i="1"/>
  <c r="A1282" i="1"/>
  <c r="F1282" i="1"/>
  <c r="G1282" i="1"/>
  <c r="I1282" i="1"/>
  <c r="A1283" i="1"/>
  <c r="F1283" i="1"/>
  <c r="G1283" i="1"/>
  <c r="I1283" i="1"/>
  <c r="A1284" i="1"/>
  <c r="F1284" i="1"/>
  <c r="G1284" i="1"/>
  <c r="I1284" i="1"/>
  <c r="A1285" i="1"/>
  <c r="F1285" i="1"/>
  <c r="G1285" i="1"/>
  <c r="I1285" i="1"/>
  <c r="A1286" i="1"/>
  <c r="F1286" i="1"/>
  <c r="G1286" i="1"/>
  <c r="I1286" i="1"/>
  <c r="A1287" i="1"/>
  <c r="F1287" i="1"/>
  <c r="G1287" i="1"/>
  <c r="I1287" i="1"/>
  <c r="A1288" i="1"/>
  <c r="F1288" i="1"/>
  <c r="G1288" i="1"/>
  <c r="I1288" i="1"/>
  <c r="A1289" i="1"/>
  <c r="F1289" i="1"/>
  <c r="G1289" i="1"/>
  <c r="I1289" i="1"/>
  <c r="A1290" i="1"/>
  <c r="F1290" i="1"/>
  <c r="G1290" i="1"/>
  <c r="I1290" i="1"/>
  <c r="A1291" i="1"/>
  <c r="F1291" i="1"/>
  <c r="G1291" i="1"/>
  <c r="I1291" i="1"/>
  <c r="A1292" i="1"/>
  <c r="F1292" i="1"/>
  <c r="G1292" i="1"/>
  <c r="I1292" i="1"/>
  <c r="A1293" i="1"/>
  <c r="F1293" i="1"/>
  <c r="G1293" i="1"/>
  <c r="I1293" i="1"/>
  <c r="A1294" i="1"/>
  <c r="F1294" i="1"/>
  <c r="G1294" i="1"/>
  <c r="I1294" i="1"/>
  <c r="A1295" i="1"/>
  <c r="F1295" i="1"/>
  <c r="G1295" i="1"/>
  <c r="I1295" i="1"/>
  <c r="A1296" i="1"/>
  <c r="H1296" i="1"/>
  <c r="I1296" i="1"/>
  <c r="A1297" i="1"/>
  <c r="F1297" i="1"/>
  <c r="G1297" i="1"/>
  <c r="I1297" i="1"/>
  <c r="A1298" i="1"/>
  <c r="F1298" i="1"/>
  <c r="G1298" i="1"/>
  <c r="I1298" i="1"/>
  <c r="A1299" i="1"/>
  <c r="F1299" i="1"/>
  <c r="G1299" i="1"/>
  <c r="I1299" i="1"/>
  <c r="A1300" i="1"/>
  <c r="F1300" i="1"/>
  <c r="G1300" i="1"/>
  <c r="I1300" i="1"/>
  <c r="A1301" i="1"/>
  <c r="F1301" i="1"/>
  <c r="G1301" i="1"/>
  <c r="I1301" i="1"/>
  <c r="A1302" i="1"/>
  <c r="F1302" i="1"/>
  <c r="G1302" i="1"/>
  <c r="I1302" i="1"/>
  <c r="A1303" i="1"/>
  <c r="F1303" i="1"/>
  <c r="G1303" i="1"/>
  <c r="A1304" i="1"/>
  <c r="F1304" i="1"/>
  <c r="G1304" i="1"/>
  <c r="I1304" i="1"/>
  <c r="A1305" i="1"/>
  <c r="F1305" i="1"/>
  <c r="G1305" i="1"/>
  <c r="A1306" i="1"/>
  <c r="F1306" i="1"/>
  <c r="G1306" i="1"/>
  <c r="A1307" i="1"/>
  <c r="F1307" i="1"/>
  <c r="G1307" i="1"/>
  <c r="I1307" i="1"/>
  <c r="A1308" i="1"/>
  <c r="F1308" i="1"/>
  <c r="G1308" i="1"/>
  <c r="I1308" i="1"/>
  <c r="A1309" i="1"/>
  <c r="F1309" i="1"/>
  <c r="G1309" i="1"/>
  <c r="I1309" i="1"/>
  <c r="A1310" i="1"/>
  <c r="F1310" i="1"/>
  <c r="G1310" i="1"/>
  <c r="I1310" i="1"/>
  <c r="A1311" i="1"/>
  <c r="F1311" i="1"/>
  <c r="G1311" i="1"/>
  <c r="I1311" i="1"/>
  <c r="A1312" i="1"/>
  <c r="F1312" i="1"/>
  <c r="G1312" i="1"/>
  <c r="I1312" i="1"/>
  <c r="A1313" i="1"/>
  <c r="F1313" i="1"/>
  <c r="G1313" i="1"/>
  <c r="I1313" i="1"/>
  <c r="A1314" i="1"/>
  <c r="F1314" i="1"/>
  <c r="G1314" i="1"/>
  <c r="I1314" i="1"/>
  <c r="A1315" i="1"/>
  <c r="F1315" i="1"/>
  <c r="G1315" i="1"/>
  <c r="I1315" i="1"/>
  <c r="A1316" i="1"/>
  <c r="F1316" i="1"/>
  <c r="G1316" i="1"/>
  <c r="I1316" i="1"/>
  <c r="A1317" i="1"/>
  <c r="F1317" i="1"/>
  <c r="G1317" i="1"/>
  <c r="I1317" i="1"/>
  <c r="A1318" i="1"/>
  <c r="F1318" i="1"/>
  <c r="G1318" i="1"/>
  <c r="I1318" i="1"/>
  <c r="A1319" i="1"/>
  <c r="F1319" i="1"/>
  <c r="G1319" i="1"/>
  <c r="I1319" i="1"/>
  <c r="A1320" i="1"/>
  <c r="F1320" i="1"/>
  <c r="G1320" i="1"/>
  <c r="I1320" i="1"/>
  <c r="A1321" i="1"/>
  <c r="F1321" i="1"/>
  <c r="G1321" i="1"/>
  <c r="I1321" i="1"/>
  <c r="A1322" i="1"/>
  <c r="F1322" i="1"/>
  <c r="G1322" i="1"/>
  <c r="I1322" i="1"/>
  <c r="A1323" i="1"/>
  <c r="F1323" i="1"/>
  <c r="G1323" i="1"/>
  <c r="I1323" i="1"/>
  <c r="A1324" i="1"/>
  <c r="F1324" i="1"/>
  <c r="G1324" i="1"/>
  <c r="I1324" i="1"/>
  <c r="A1325" i="1"/>
  <c r="F1325" i="1"/>
  <c r="G1325" i="1"/>
  <c r="I1325" i="1"/>
  <c r="A1326" i="1"/>
  <c r="F1326" i="1"/>
  <c r="G1326" i="1"/>
  <c r="I1326" i="1"/>
  <c r="A1327" i="1"/>
  <c r="F1327" i="1"/>
  <c r="G1327" i="1"/>
  <c r="I1327" i="1"/>
  <c r="A1328" i="1"/>
  <c r="F1328" i="1"/>
  <c r="G1328" i="1"/>
  <c r="I1328" i="1"/>
  <c r="A1329" i="1"/>
  <c r="F1329" i="1"/>
  <c r="G1329" i="1"/>
  <c r="I1329" i="1"/>
  <c r="A1330" i="1"/>
  <c r="F1330" i="1"/>
  <c r="G1330" i="1"/>
  <c r="I1330" i="1"/>
  <c r="A1331" i="1"/>
  <c r="F1331" i="1"/>
  <c r="G1331" i="1"/>
  <c r="I1331" i="1"/>
  <c r="A1332" i="1"/>
  <c r="F1332" i="1"/>
  <c r="G1332" i="1"/>
  <c r="I1332" i="1"/>
  <c r="A1333" i="1"/>
  <c r="F1333" i="1"/>
  <c r="G1333" i="1"/>
  <c r="I1333" i="1"/>
  <c r="A1334" i="1"/>
  <c r="F1334" i="1"/>
  <c r="G1334" i="1"/>
  <c r="I1334" i="1"/>
  <c r="A1335" i="1"/>
  <c r="F1335" i="1"/>
  <c r="G1335" i="1"/>
  <c r="I1335" i="1"/>
  <c r="A1336" i="1"/>
  <c r="F1336" i="1"/>
  <c r="G1336" i="1"/>
  <c r="I1336" i="1"/>
  <c r="A1337" i="1"/>
  <c r="F1337" i="1"/>
  <c r="G1337" i="1"/>
  <c r="I1337" i="1"/>
  <c r="A1338" i="1"/>
  <c r="F1338" i="1"/>
  <c r="G1338" i="1"/>
  <c r="I1338" i="1"/>
  <c r="A1339" i="1"/>
  <c r="F1339" i="1"/>
  <c r="G1339" i="1"/>
  <c r="I1339" i="1"/>
  <c r="A1340" i="1"/>
  <c r="H1340" i="1"/>
  <c r="I1340" i="1"/>
  <c r="A1341" i="1"/>
  <c r="F1341" i="1"/>
  <c r="G1341" i="1"/>
  <c r="I1341" i="1"/>
  <c r="A1342" i="1"/>
  <c r="F1342" i="1"/>
  <c r="G1342" i="1"/>
  <c r="I1342" i="1"/>
  <c r="A1343" i="1"/>
  <c r="F1343" i="1"/>
  <c r="G1343" i="1"/>
  <c r="I1343" i="1"/>
  <c r="A1344" i="1"/>
  <c r="F1344" i="1"/>
  <c r="G1344" i="1"/>
  <c r="I1344" i="1"/>
  <c r="A1345" i="1"/>
  <c r="F1345" i="1"/>
  <c r="G1345" i="1"/>
  <c r="I1345" i="1"/>
  <c r="A1346" i="1"/>
  <c r="F1346" i="1"/>
  <c r="G1346" i="1"/>
  <c r="I1346" i="1"/>
  <c r="A1347" i="1"/>
  <c r="F1347" i="1"/>
  <c r="G1347" i="1"/>
  <c r="I1347" i="1"/>
  <c r="A1348" i="1"/>
  <c r="H1348" i="1"/>
  <c r="I1348" i="1"/>
  <c r="A1349" i="1"/>
  <c r="F1349" i="1"/>
  <c r="G1349" i="1"/>
  <c r="I1349" i="1"/>
  <c r="A1350" i="1"/>
  <c r="F1350" i="1"/>
  <c r="G1350" i="1"/>
  <c r="I1350" i="1"/>
  <c r="A1351" i="1"/>
  <c r="F1351" i="1"/>
  <c r="G1351" i="1"/>
  <c r="I1351" i="1"/>
  <c r="A1352" i="1"/>
  <c r="F1352" i="1"/>
  <c r="G1352" i="1"/>
  <c r="I1352" i="1"/>
  <c r="A1353" i="1"/>
  <c r="F1353" i="1"/>
  <c r="G1353" i="1"/>
  <c r="I1353" i="1"/>
  <c r="A1354" i="1"/>
  <c r="F1354" i="1"/>
  <c r="G1354" i="1"/>
  <c r="I1354" i="1"/>
  <c r="A1355" i="1"/>
  <c r="F1355" i="1"/>
  <c r="G1355" i="1"/>
  <c r="I1355" i="1"/>
  <c r="A1356" i="1"/>
  <c r="F1356" i="1"/>
  <c r="G1356" i="1"/>
  <c r="I1356" i="1"/>
  <c r="A1357" i="1"/>
  <c r="F1357" i="1"/>
  <c r="G1357" i="1"/>
  <c r="I1357" i="1"/>
  <c r="A1358" i="1"/>
  <c r="F1358" i="1"/>
  <c r="G1358" i="1"/>
  <c r="I1358" i="1"/>
  <c r="A1359" i="1"/>
  <c r="F1359" i="1"/>
  <c r="G1359" i="1"/>
  <c r="I1359" i="1"/>
  <c r="A1360" i="1"/>
  <c r="F1360" i="1"/>
  <c r="G1360" i="1"/>
  <c r="I1360" i="1"/>
  <c r="A1361" i="1"/>
  <c r="F1361" i="1"/>
  <c r="G1361" i="1"/>
  <c r="I1361" i="1"/>
  <c r="A1362" i="1"/>
  <c r="F1362" i="1"/>
  <c r="G1362" i="1"/>
  <c r="I1362" i="1"/>
  <c r="A1363" i="1"/>
  <c r="F1363" i="1"/>
  <c r="G1363" i="1"/>
  <c r="I1363" i="1"/>
  <c r="A1364" i="1"/>
  <c r="F1364" i="1"/>
  <c r="G1364" i="1"/>
  <c r="I1364" i="1"/>
  <c r="A1365" i="1"/>
  <c r="F1365" i="1"/>
  <c r="G1365" i="1"/>
  <c r="I1365" i="1"/>
  <c r="A1366" i="1"/>
  <c r="F1366" i="1"/>
  <c r="G1366" i="1"/>
  <c r="I1366" i="1"/>
  <c r="A1367" i="1"/>
  <c r="F1367" i="1"/>
  <c r="G1367" i="1"/>
  <c r="I1367" i="1"/>
  <c r="A1368" i="1"/>
  <c r="F1368" i="1"/>
  <c r="G1368" i="1"/>
  <c r="I1368" i="1"/>
  <c r="A1369" i="1"/>
  <c r="F1369" i="1"/>
  <c r="G1369" i="1"/>
  <c r="I1369" i="1"/>
  <c r="A1370" i="1"/>
  <c r="F1370" i="1"/>
  <c r="G1370" i="1"/>
  <c r="I1370" i="1"/>
  <c r="A1371" i="1"/>
  <c r="F1371" i="1"/>
  <c r="G1371" i="1"/>
  <c r="I1371" i="1"/>
  <c r="A1372" i="1"/>
  <c r="F1372" i="1"/>
  <c r="G1372" i="1"/>
  <c r="I1372" i="1"/>
  <c r="A1373" i="1"/>
  <c r="F1373" i="1"/>
  <c r="G1373" i="1"/>
  <c r="I1373" i="1"/>
  <c r="A1374" i="1"/>
  <c r="F1374" i="1"/>
  <c r="G1374" i="1"/>
  <c r="I1374" i="1"/>
  <c r="A1375" i="1"/>
  <c r="F1375" i="1"/>
  <c r="G1375" i="1"/>
  <c r="I1375" i="1"/>
  <c r="A1376" i="1"/>
  <c r="F1376" i="1"/>
  <c r="G1376" i="1"/>
  <c r="I1376" i="1"/>
  <c r="A1377" i="1"/>
  <c r="F1377" i="1"/>
  <c r="G1377" i="1"/>
  <c r="I1377" i="1"/>
  <c r="A1378" i="1"/>
  <c r="F1378" i="1"/>
  <c r="G1378" i="1"/>
  <c r="I1378" i="1"/>
  <c r="A1379" i="1"/>
  <c r="F1379" i="1"/>
  <c r="G1379" i="1"/>
  <c r="I1379" i="1"/>
  <c r="A1380" i="1"/>
  <c r="F1380" i="1"/>
  <c r="G1380" i="1"/>
  <c r="I1380" i="1"/>
  <c r="A1381" i="1"/>
  <c r="F1381" i="1"/>
  <c r="G1381" i="1"/>
  <c r="I1381" i="1"/>
  <c r="A1382" i="1"/>
  <c r="F1382" i="1"/>
  <c r="G1382" i="1"/>
  <c r="I1382" i="1"/>
  <c r="A1383" i="1"/>
  <c r="F1383" i="1"/>
  <c r="G1383" i="1"/>
  <c r="I1383" i="1"/>
  <c r="A1384" i="1"/>
  <c r="F1384" i="1"/>
  <c r="G1384" i="1"/>
  <c r="I1384" i="1"/>
  <c r="A1385" i="1"/>
  <c r="F1385" i="1"/>
  <c r="G1385" i="1"/>
  <c r="I1385" i="1"/>
  <c r="A1386" i="1"/>
  <c r="F1386" i="1"/>
  <c r="G1386" i="1"/>
  <c r="I1386" i="1"/>
  <c r="A1387" i="1"/>
  <c r="F1387" i="1"/>
  <c r="G1387" i="1"/>
  <c r="I1387" i="1"/>
  <c r="A1388" i="1"/>
  <c r="F1388" i="1"/>
  <c r="G1388" i="1"/>
  <c r="I1388" i="1"/>
  <c r="A1389" i="1"/>
  <c r="F1389" i="1"/>
  <c r="G1389" i="1"/>
  <c r="I1389" i="1"/>
  <c r="A1390" i="1"/>
  <c r="F1390" i="1"/>
  <c r="G1390" i="1"/>
  <c r="I1390" i="1"/>
  <c r="A1391" i="1"/>
  <c r="F1391" i="1"/>
  <c r="G1391" i="1"/>
  <c r="I1391" i="1"/>
  <c r="A1392" i="1"/>
  <c r="F1392" i="1"/>
  <c r="G1392" i="1"/>
  <c r="I1392" i="1"/>
  <c r="A1393" i="1"/>
  <c r="F1393" i="1"/>
  <c r="G1393" i="1"/>
  <c r="I1393" i="1"/>
  <c r="A1394" i="1"/>
  <c r="F1394" i="1"/>
  <c r="G1394" i="1"/>
  <c r="I1394" i="1"/>
  <c r="A1395" i="1"/>
  <c r="F1395" i="1"/>
  <c r="G1395" i="1"/>
  <c r="I1395" i="1"/>
  <c r="A1396" i="1"/>
  <c r="F1396" i="1"/>
  <c r="G1396" i="1"/>
  <c r="I1396" i="1"/>
  <c r="A1397" i="1"/>
  <c r="F1397" i="1"/>
  <c r="G1397" i="1"/>
  <c r="I1397" i="1"/>
  <c r="A1398" i="1"/>
  <c r="F1398" i="1"/>
  <c r="G1398" i="1"/>
  <c r="I1398" i="1"/>
  <c r="A1399" i="1"/>
  <c r="F1399" i="1"/>
  <c r="G1399" i="1"/>
  <c r="I1399" i="1"/>
  <c r="A1400" i="1"/>
  <c r="F1400" i="1"/>
  <c r="G1400" i="1"/>
  <c r="I1400" i="1"/>
  <c r="A1401" i="1"/>
  <c r="F1401" i="1"/>
  <c r="G1401" i="1"/>
  <c r="I1401" i="1"/>
  <c r="A1402" i="1"/>
  <c r="F1402" i="1"/>
  <c r="G1402" i="1"/>
  <c r="I1402" i="1"/>
  <c r="A1403" i="1"/>
  <c r="F1403" i="1"/>
  <c r="G1403" i="1"/>
  <c r="I1403" i="1"/>
  <c r="A1404" i="1"/>
  <c r="F1404" i="1"/>
  <c r="G1404" i="1"/>
  <c r="I1404" i="1"/>
  <c r="A1405" i="1"/>
  <c r="F1405" i="1"/>
  <c r="G1405" i="1"/>
  <c r="I1405" i="1"/>
  <c r="A1406" i="1"/>
  <c r="F1406" i="1"/>
  <c r="G1406" i="1"/>
  <c r="I1406" i="1"/>
  <c r="A1407" i="1"/>
  <c r="F1407" i="1"/>
  <c r="G1407" i="1"/>
  <c r="I1407" i="1"/>
  <c r="A1408" i="1"/>
  <c r="F1408" i="1"/>
  <c r="G1408" i="1"/>
  <c r="I1408" i="1"/>
  <c r="A1409" i="1"/>
  <c r="F1409" i="1"/>
  <c r="G1409" i="1"/>
  <c r="I1409" i="1"/>
  <c r="A1410" i="1"/>
  <c r="F1410" i="1"/>
  <c r="G1410" i="1"/>
  <c r="I1410" i="1"/>
  <c r="A1411" i="1"/>
  <c r="F1411" i="1"/>
  <c r="G1411" i="1"/>
  <c r="I1411" i="1"/>
  <c r="A1412" i="1"/>
  <c r="F1412" i="1"/>
  <c r="G1412" i="1"/>
  <c r="I1412" i="1"/>
  <c r="A1413" i="1"/>
  <c r="F1413" i="1"/>
  <c r="G1413" i="1"/>
  <c r="I1413" i="1"/>
  <c r="A1414" i="1"/>
  <c r="F1414" i="1"/>
  <c r="G1414" i="1"/>
  <c r="I1414" i="1"/>
  <c r="A1415" i="1"/>
  <c r="F1415" i="1"/>
  <c r="G1415" i="1"/>
  <c r="I1415" i="1"/>
  <c r="A1416" i="1"/>
  <c r="F1416" i="1"/>
  <c r="G1416" i="1"/>
  <c r="I1416" i="1"/>
  <c r="A1417" i="1"/>
  <c r="F1417" i="1"/>
  <c r="G1417" i="1"/>
  <c r="I1417" i="1"/>
  <c r="A1418" i="1"/>
  <c r="F1418" i="1"/>
  <c r="G1418" i="1"/>
  <c r="I1418" i="1"/>
  <c r="A1419" i="1"/>
  <c r="F1419" i="1"/>
  <c r="G1419" i="1"/>
  <c r="I1419" i="1"/>
  <c r="A1420" i="1"/>
  <c r="F1420" i="1"/>
  <c r="G1420" i="1"/>
  <c r="I1420" i="1"/>
  <c r="A1421" i="1"/>
  <c r="F1421" i="1"/>
  <c r="G1421" i="1"/>
  <c r="I1421" i="1"/>
  <c r="A1422" i="1"/>
  <c r="F1422" i="1"/>
  <c r="G1422" i="1"/>
  <c r="I1422" i="1"/>
  <c r="A1423" i="1"/>
  <c r="F1423" i="1"/>
  <c r="G1423" i="1"/>
  <c r="I1423" i="1"/>
  <c r="A1424" i="1"/>
  <c r="F1424" i="1"/>
  <c r="G1424" i="1"/>
  <c r="I1424" i="1"/>
  <c r="A1425" i="1"/>
  <c r="F1425" i="1"/>
  <c r="G1425" i="1"/>
  <c r="I1425" i="1"/>
  <c r="A1426" i="1"/>
  <c r="F1426" i="1"/>
  <c r="G1426" i="1"/>
  <c r="I1426" i="1"/>
  <c r="A1427" i="1"/>
  <c r="F1427" i="1"/>
  <c r="G1427" i="1"/>
  <c r="I1427" i="1"/>
  <c r="A1428" i="1"/>
  <c r="F1428" i="1"/>
  <c r="G1428" i="1"/>
  <c r="I1428" i="1"/>
  <c r="A1429" i="1"/>
  <c r="F1429" i="1"/>
  <c r="G1429" i="1"/>
  <c r="I1429" i="1"/>
  <c r="A1430" i="1"/>
  <c r="F1430" i="1"/>
  <c r="G1430" i="1"/>
  <c r="I1430" i="1"/>
  <c r="A1431" i="1"/>
  <c r="F1431" i="1"/>
  <c r="G1431" i="1"/>
  <c r="I1431" i="1"/>
  <c r="A1432" i="1"/>
  <c r="F1432" i="1"/>
  <c r="G1432" i="1"/>
  <c r="I1432" i="1"/>
  <c r="A1433" i="1"/>
  <c r="F1433" i="1"/>
  <c r="G1433" i="1"/>
  <c r="I1433" i="1"/>
  <c r="A1434" i="1"/>
  <c r="F1434" i="1"/>
  <c r="G1434" i="1"/>
  <c r="I1434" i="1"/>
  <c r="A1435" i="1"/>
  <c r="F1435" i="1"/>
  <c r="G1435" i="1"/>
  <c r="I1435" i="1"/>
  <c r="A1436" i="1"/>
  <c r="F1436" i="1"/>
  <c r="G1436" i="1"/>
  <c r="I1436" i="1"/>
  <c r="A1437" i="1"/>
  <c r="F1437" i="1"/>
  <c r="G1437" i="1"/>
  <c r="I1437" i="1"/>
  <c r="A1438" i="1"/>
  <c r="F1438" i="1"/>
  <c r="G1438" i="1"/>
  <c r="I1438" i="1"/>
  <c r="A1439" i="1"/>
  <c r="F1439" i="1"/>
  <c r="G1439" i="1"/>
  <c r="I1439" i="1"/>
  <c r="A1440" i="1"/>
  <c r="F1440" i="1"/>
  <c r="G1440" i="1"/>
  <c r="I1440" i="1"/>
  <c r="A1441" i="1"/>
  <c r="F1441" i="1"/>
  <c r="G1441" i="1"/>
  <c r="I1441" i="1"/>
  <c r="A1442" i="1"/>
  <c r="F1442" i="1"/>
  <c r="G1442" i="1"/>
  <c r="I1442" i="1"/>
  <c r="A1443" i="1"/>
  <c r="F1443" i="1"/>
  <c r="G1443" i="1"/>
  <c r="I1443" i="1"/>
  <c r="A1444" i="1"/>
  <c r="F1444" i="1"/>
  <c r="G1444" i="1"/>
  <c r="I1444" i="1"/>
  <c r="A1445" i="1"/>
  <c r="F1445" i="1"/>
  <c r="G1445" i="1"/>
  <c r="I1445" i="1"/>
  <c r="A1446" i="1"/>
  <c r="F1446" i="1"/>
  <c r="G1446" i="1"/>
  <c r="I1446" i="1"/>
  <c r="A1447" i="1"/>
  <c r="F1447" i="1"/>
  <c r="G1447" i="1"/>
  <c r="I1447" i="1"/>
  <c r="A1448" i="1"/>
  <c r="F1448" i="1"/>
  <c r="G1448" i="1"/>
  <c r="I1448" i="1"/>
  <c r="A1449" i="1"/>
  <c r="F1449" i="1"/>
  <c r="G1449" i="1"/>
  <c r="I1449" i="1"/>
  <c r="A1450" i="1"/>
  <c r="F1450" i="1"/>
  <c r="G1450" i="1"/>
  <c r="I1450" i="1"/>
  <c r="A1451" i="1"/>
  <c r="F1451" i="1"/>
  <c r="G1451" i="1"/>
  <c r="I1451" i="1"/>
  <c r="A1452" i="1"/>
  <c r="F1452" i="1"/>
  <c r="G1452" i="1"/>
  <c r="I1452" i="1"/>
  <c r="A1453" i="1"/>
  <c r="F1453" i="1"/>
  <c r="G1453" i="1"/>
  <c r="I1453" i="1"/>
  <c r="A1454" i="1"/>
  <c r="F1454" i="1"/>
  <c r="G1454" i="1"/>
  <c r="I1454" i="1"/>
  <c r="A1455" i="1"/>
  <c r="F1455" i="1"/>
  <c r="G1455" i="1"/>
  <c r="I1455" i="1"/>
  <c r="A1456" i="1"/>
  <c r="F1456" i="1"/>
  <c r="G1456" i="1"/>
  <c r="I1456" i="1"/>
  <c r="A1457" i="1"/>
  <c r="F1457" i="1"/>
  <c r="G1457" i="1"/>
  <c r="I1457" i="1"/>
  <c r="A1458" i="1"/>
  <c r="F1458" i="1"/>
  <c r="G1458" i="1"/>
  <c r="I1458" i="1"/>
  <c r="A1459" i="1"/>
  <c r="F1459" i="1"/>
  <c r="G1459" i="1"/>
  <c r="I1459" i="1"/>
  <c r="A1460" i="1"/>
  <c r="F1460" i="1"/>
  <c r="G1460" i="1"/>
  <c r="I1460" i="1"/>
  <c r="A1461" i="1"/>
  <c r="F1461" i="1"/>
  <c r="G1461" i="1"/>
  <c r="I1461" i="1"/>
  <c r="A1462" i="1"/>
  <c r="F1462" i="1"/>
  <c r="G1462" i="1"/>
  <c r="I1462" i="1"/>
  <c r="A1463" i="1"/>
  <c r="F1463" i="1"/>
  <c r="G1463" i="1"/>
  <c r="I1463" i="1"/>
  <c r="A1464" i="1"/>
  <c r="F1464" i="1"/>
  <c r="G1464" i="1"/>
  <c r="I1464" i="1"/>
  <c r="A1465" i="1"/>
  <c r="F1465" i="1"/>
  <c r="G1465" i="1"/>
  <c r="I1465" i="1"/>
  <c r="A1466" i="1"/>
  <c r="F1466" i="1"/>
  <c r="G1466" i="1"/>
  <c r="I1466" i="1"/>
  <c r="A1467" i="1"/>
  <c r="F1467" i="1"/>
  <c r="G1467" i="1"/>
  <c r="I1467" i="1"/>
  <c r="A1468" i="1"/>
  <c r="F1468" i="1"/>
  <c r="G1468" i="1"/>
  <c r="I1468" i="1"/>
  <c r="A1469" i="1"/>
  <c r="F1469" i="1"/>
  <c r="G1469" i="1"/>
  <c r="I1469" i="1"/>
  <c r="A1470" i="1"/>
  <c r="F1470" i="1"/>
  <c r="G1470" i="1"/>
  <c r="I1470" i="1"/>
  <c r="A1471" i="1"/>
  <c r="F1471" i="1"/>
  <c r="G1471" i="1"/>
  <c r="I1471" i="1"/>
  <c r="A1472" i="1"/>
  <c r="F1472" i="1"/>
  <c r="G1472" i="1"/>
  <c r="I1472" i="1"/>
  <c r="A1473" i="1"/>
  <c r="F1473" i="1"/>
  <c r="G1473" i="1"/>
  <c r="I1473" i="1"/>
  <c r="A1474" i="1"/>
  <c r="F1474" i="1"/>
  <c r="G1474" i="1"/>
  <c r="I1474" i="1"/>
  <c r="A1475" i="1"/>
  <c r="F1475" i="1"/>
  <c r="G1475" i="1"/>
  <c r="I1475" i="1"/>
  <c r="A1476" i="1"/>
  <c r="F1476" i="1"/>
  <c r="G1476" i="1"/>
  <c r="I1476" i="1"/>
  <c r="A1477" i="1"/>
  <c r="F1477" i="1"/>
  <c r="G1477" i="1"/>
  <c r="I1477" i="1"/>
  <c r="A1478" i="1"/>
  <c r="F1478" i="1"/>
  <c r="G1478" i="1"/>
  <c r="I1478" i="1"/>
  <c r="A1479" i="1"/>
  <c r="F1479" i="1"/>
  <c r="G1479" i="1"/>
  <c r="I1479" i="1"/>
  <c r="A1480" i="1"/>
  <c r="F1480" i="1"/>
  <c r="G1480" i="1"/>
  <c r="I1480" i="1"/>
  <c r="A1481" i="1"/>
  <c r="F1481" i="1"/>
  <c r="G1481" i="1"/>
  <c r="I1481" i="1"/>
  <c r="A1482" i="1"/>
  <c r="F1482" i="1"/>
  <c r="G1482" i="1"/>
  <c r="I1482" i="1"/>
  <c r="A1483" i="1"/>
  <c r="F1483" i="1"/>
  <c r="G1483" i="1"/>
  <c r="I1483" i="1"/>
  <c r="A1484" i="1"/>
  <c r="F1484" i="1"/>
  <c r="G1484" i="1"/>
  <c r="I1484" i="1"/>
  <c r="A1485" i="1"/>
  <c r="F1485" i="1"/>
  <c r="G1485" i="1"/>
  <c r="I1485" i="1"/>
  <c r="A1486" i="1"/>
  <c r="F1486" i="1"/>
  <c r="G1486" i="1"/>
  <c r="I1486" i="1"/>
  <c r="A1487" i="1"/>
  <c r="F1487" i="1"/>
  <c r="G1487" i="1"/>
  <c r="I1487" i="1"/>
  <c r="A1488" i="1"/>
  <c r="F1488" i="1"/>
  <c r="G1488" i="1"/>
  <c r="I1488" i="1"/>
  <c r="A1489" i="1"/>
  <c r="F1489" i="1"/>
  <c r="G1489" i="1"/>
  <c r="I1489" i="1"/>
  <c r="A1490" i="1"/>
  <c r="F1490" i="1"/>
  <c r="G1490" i="1"/>
  <c r="I1490" i="1"/>
  <c r="A1491" i="1"/>
  <c r="F1491" i="1"/>
  <c r="G1491" i="1"/>
  <c r="I1491" i="1"/>
  <c r="A1492" i="1"/>
  <c r="F1492" i="1"/>
  <c r="G1492" i="1"/>
  <c r="I1492" i="1"/>
  <c r="A1493" i="1"/>
  <c r="F1493" i="1"/>
  <c r="G1493" i="1"/>
  <c r="I1493" i="1"/>
  <c r="A1494" i="1"/>
  <c r="F1494" i="1"/>
  <c r="G1494" i="1"/>
  <c r="I1494" i="1"/>
  <c r="A1495" i="1"/>
  <c r="F1495" i="1"/>
  <c r="G1495" i="1"/>
  <c r="I1495" i="1"/>
  <c r="A1496" i="1"/>
  <c r="F1496" i="1"/>
  <c r="G1496" i="1"/>
  <c r="I1496" i="1"/>
  <c r="A1497" i="1"/>
  <c r="F1497" i="1"/>
  <c r="G1497" i="1"/>
  <c r="I1497" i="1"/>
  <c r="A1498" i="1"/>
  <c r="F1498" i="1"/>
  <c r="G1498" i="1"/>
  <c r="I1498" i="1"/>
  <c r="A1499" i="1"/>
  <c r="F1499" i="1"/>
  <c r="G1499" i="1"/>
  <c r="I1499" i="1"/>
  <c r="A1500" i="1"/>
  <c r="F1500" i="1"/>
  <c r="G1500" i="1"/>
  <c r="I1500" i="1"/>
  <c r="A1501" i="1"/>
  <c r="F1501" i="1"/>
  <c r="G1501" i="1"/>
  <c r="I1501" i="1"/>
  <c r="A1502" i="1"/>
  <c r="F1502" i="1"/>
  <c r="G1502" i="1"/>
  <c r="I1502" i="1"/>
  <c r="A1503" i="1"/>
  <c r="F1503" i="1"/>
  <c r="G1503" i="1"/>
  <c r="I1503" i="1"/>
  <c r="A1504" i="1"/>
  <c r="F1504" i="1"/>
  <c r="G1504" i="1"/>
  <c r="I1504" i="1"/>
  <c r="A1505" i="1"/>
  <c r="F1505" i="1"/>
  <c r="G1505" i="1"/>
  <c r="I1505" i="1"/>
  <c r="A1506" i="1"/>
  <c r="F1506" i="1"/>
  <c r="G1506" i="1"/>
  <c r="I1506" i="1"/>
  <c r="A1507" i="1"/>
  <c r="F1507" i="1"/>
  <c r="G1507" i="1"/>
  <c r="I1507" i="1"/>
  <c r="A1508" i="1"/>
  <c r="F1508" i="1"/>
  <c r="G1508" i="1"/>
  <c r="I1508" i="1"/>
  <c r="A1509" i="1"/>
  <c r="F1509" i="1"/>
  <c r="G1509" i="1"/>
  <c r="I1509" i="1"/>
  <c r="A1510" i="1"/>
  <c r="F1510" i="1"/>
  <c r="G1510" i="1"/>
  <c r="I1510" i="1"/>
  <c r="A1511" i="1"/>
  <c r="F1511" i="1"/>
  <c r="G1511" i="1"/>
  <c r="I1511" i="1"/>
  <c r="A1512" i="1"/>
  <c r="F1512" i="1"/>
  <c r="G1512" i="1"/>
  <c r="I1512" i="1"/>
  <c r="A1513" i="1"/>
  <c r="F1513" i="1"/>
  <c r="G1513" i="1"/>
  <c r="I1513" i="1"/>
  <c r="A1514" i="1"/>
  <c r="F1514" i="1"/>
  <c r="G1514" i="1"/>
  <c r="I1514" i="1"/>
  <c r="A1515" i="1"/>
  <c r="F1515" i="1"/>
  <c r="G1515" i="1"/>
  <c r="I1515" i="1"/>
  <c r="A1516" i="1"/>
  <c r="F1516" i="1"/>
  <c r="G1516" i="1"/>
  <c r="I1516" i="1"/>
  <c r="A1517" i="1"/>
  <c r="F1517" i="1"/>
  <c r="G1517" i="1"/>
  <c r="I1517" i="1"/>
  <c r="A1518" i="1"/>
  <c r="F1518" i="1"/>
  <c r="G1518" i="1"/>
  <c r="I1518" i="1"/>
  <c r="A1519" i="1"/>
  <c r="F1519" i="1"/>
  <c r="G1519" i="1"/>
  <c r="I1519" i="1"/>
  <c r="A1520" i="1"/>
  <c r="F1520" i="1"/>
  <c r="G1520" i="1"/>
  <c r="I1520" i="1"/>
  <c r="A1521" i="1"/>
  <c r="F1521" i="1"/>
  <c r="G1521" i="1"/>
  <c r="I1521" i="1"/>
  <c r="A1522" i="1"/>
  <c r="F1522" i="1"/>
  <c r="G1522" i="1"/>
  <c r="I1522" i="1"/>
  <c r="A1523" i="1"/>
  <c r="F1523" i="1"/>
  <c r="G1523" i="1"/>
  <c r="I1523" i="1"/>
  <c r="A1524" i="1"/>
  <c r="F1524" i="1"/>
  <c r="G1524" i="1"/>
  <c r="I1524" i="1"/>
  <c r="A1525" i="1"/>
  <c r="F1525" i="1"/>
  <c r="G1525" i="1"/>
  <c r="I1525" i="1"/>
  <c r="A1526" i="1"/>
  <c r="F1526" i="1"/>
  <c r="G1526" i="1"/>
  <c r="I1526" i="1"/>
  <c r="A1527" i="1"/>
  <c r="F1527" i="1"/>
  <c r="G1527" i="1"/>
  <c r="I1527" i="1"/>
  <c r="A1528" i="1"/>
  <c r="F1528" i="1"/>
  <c r="G1528" i="1"/>
  <c r="I1528" i="1"/>
  <c r="A1529" i="1"/>
  <c r="F1529" i="1"/>
  <c r="G1529" i="1"/>
  <c r="I1529" i="1"/>
  <c r="A1530" i="1"/>
  <c r="F1530" i="1"/>
  <c r="G1530" i="1"/>
  <c r="I1530" i="1"/>
  <c r="A1531" i="1"/>
  <c r="F1531" i="1"/>
  <c r="G1531" i="1"/>
  <c r="I1531" i="1"/>
  <c r="A1532" i="1"/>
  <c r="F1532" i="1"/>
  <c r="G1532" i="1"/>
  <c r="I1532" i="1"/>
  <c r="A1533" i="1"/>
  <c r="F1533" i="1"/>
  <c r="G1533" i="1"/>
  <c r="I1533" i="1"/>
  <c r="A1534" i="1"/>
  <c r="F1534" i="1"/>
  <c r="G1534" i="1"/>
  <c r="I1534" i="1"/>
  <c r="A1535" i="1"/>
  <c r="F1535" i="1"/>
  <c r="G1535" i="1"/>
  <c r="I1535" i="1"/>
  <c r="A1536" i="1"/>
  <c r="F1536" i="1"/>
  <c r="G1536" i="1"/>
  <c r="I1536" i="1"/>
  <c r="A1537" i="1"/>
  <c r="F1537" i="1"/>
  <c r="G1537" i="1"/>
  <c r="I1537" i="1"/>
  <c r="A1538" i="1"/>
  <c r="F1538" i="1"/>
  <c r="G1538" i="1"/>
  <c r="I1538" i="1"/>
  <c r="A1539" i="1"/>
  <c r="F1539" i="1"/>
  <c r="G1539" i="1"/>
  <c r="I1539" i="1"/>
  <c r="A1540" i="1"/>
  <c r="F1540" i="1"/>
  <c r="G1540" i="1"/>
  <c r="I1540" i="1"/>
  <c r="A1541" i="1"/>
  <c r="F1541" i="1"/>
  <c r="G1541" i="1"/>
  <c r="I1541" i="1"/>
  <c r="A1542" i="1"/>
  <c r="F1542" i="1"/>
  <c r="G1542" i="1"/>
  <c r="I1542" i="1"/>
  <c r="A1543" i="1"/>
  <c r="F1543" i="1"/>
  <c r="G1543" i="1"/>
  <c r="I1543" i="1"/>
  <c r="A1544" i="1"/>
  <c r="F1544" i="1"/>
  <c r="G1544" i="1"/>
  <c r="I1544" i="1"/>
  <c r="A1545" i="1"/>
  <c r="F1545" i="1"/>
  <c r="G1545" i="1"/>
  <c r="I1545" i="1"/>
  <c r="A1546" i="1"/>
  <c r="F1546" i="1"/>
  <c r="G1546" i="1"/>
  <c r="I1546" i="1"/>
  <c r="A1547" i="1"/>
  <c r="F1547" i="1"/>
  <c r="G1547" i="1"/>
  <c r="I1547" i="1"/>
  <c r="A1548" i="1"/>
  <c r="F1548" i="1"/>
  <c r="G1548" i="1"/>
  <c r="I1548" i="1"/>
  <c r="A1549" i="1"/>
  <c r="F1549" i="1"/>
  <c r="G1549" i="1"/>
  <c r="I1549" i="1"/>
  <c r="A1550" i="1"/>
  <c r="F1550" i="1"/>
  <c r="G1550" i="1"/>
  <c r="I1550" i="1"/>
  <c r="A1551" i="1"/>
  <c r="F1551" i="1"/>
  <c r="G1551" i="1"/>
  <c r="I1551" i="1"/>
  <c r="A1552" i="1"/>
  <c r="F1552" i="1"/>
  <c r="G1552" i="1"/>
  <c r="I1552" i="1"/>
  <c r="A1553" i="1"/>
  <c r="F1553" i="1"/>
  <c r="G1553" i="1"/>
  <c r="I1553" i="1"/>
  <c r="A1554" i="1"/>
  <c r="F1554" i="1"/>
  <c r="G1554" i="1"/>
  <c r="I1554" i="1"/>
  <c r="A1555" i="1"/>
  <c r="F1555" i="1"/>
  <c r="G1555" i="1"/>
  <c r="I1555" i="1"/>
  <c r="A1556" i="1"/>
  <c r="F1556" i="1"/>
  <c r="G1556" i="1"/>
  <c r="I1556" i="1"/>
  <c r="A1557" i="1"/>
  <c r="F1557" i="1"/>
  <c r="G1557" i="1"/>
  <c r="I1557" i="1"/>
  <c r="A1558" i="1"/>
  <c r="F1558" i="1"/>
  <c r="G1558" i="1"/>
  <c r="I1558" i="1"/>
  <c r="A1559" i="1"/>
  <c r="F1559" i="1"/>
  <c r="G1559" i="1"/>
  <c r="I1559" i="1"/>
  <c r="A1560" i="1"/>
  <c r="F1560" i="1"/>
  <c r="G1560" i="1"/>
  <c r="I1560" i="1"/>
  <c r="A1561" i="1"/>
  <c r="F1561" i="1"/>
  <c r="G1561" i="1"/>
  <c r="I1561" i="1"/>
  <c r="A1562" i="1"/>
  <c r="F1562" i="1"/>
  <c r="G1562" i="1"/>
  <c r="I1562" i="1"/>
  <c r="A1563" i="1"/>
  <c r="F1563" i="1"/>
  <c r="G1563" i="1"/>
  <c r="I1563" i="1"/>
  <c r="A1564" i="1"/>
  <c r="F1564" i="1"/>
  <c r="G1564" i="1"/>
  <c r="I1564" i="1"/>
  <c r="A1565" i="1"/>
  <c r="F1565" i="1"/>
  <c r="G1565" i="1"/>
  <c r="I1565" i="1"/>
  <c r="A1566" i="1"/>
  <c r="F1566" i="1"/>
  <c r="G1566" i="1"/>
  <c r="I1566" i="1"/>
  <c r="A1567" i="1"/>
  <c r="F1567" i="1"/>
  <c r="G1567" i="1"/>
  <c r="I1567" i="1"/>
  <c r="A1568" i="1"/>
  <c r="F1568" i="1"/>
  <c r="G1568" i="1"/>
  <c r="I1568" i="1"/>
  <c r="A1569" i="1"/>
  <c r="F1569" i="1"/>
  <c r="G1569" i="1"/>
  <c r="I1569" i="1"/>
  <c r="A1570" i="1"/>
  <c r="F1570" i="1"/>
  <c r="G1570" i="1"/>
  <c r="I1570" i="1"/>
  <c r="A1571" i="1"/>
  <c r="F1571" i="1"/>
  <c r="G1571" i="1"/>
  <c r="I1571" i="1"/>
  <c r="A1572" i="1"/>
  <c r="F1572" i="1"/>
  <c r="G1572" i="1"/>
  <c r="I1572" i="1"/>
  <c r="A1573" i="1"/>
  <c r="F1573" i="1"/>
  <c r="G1573" i="1"/>
  <c r="I1573" i="1"/>
  <c r="A1574" i="1"/>
  <c r="F1574" i="1"/>
  <c r="G1574" i="1"/>
  <c r="I1574" i="1"/>
  <c r="A1575" i="1"/>
  <c r="F1575" i="1"/>
  <c r="G1575" i="1"/>
  <c r="I1575" i="1"/>
  <c r="A1576" i="1"/>
  <c r="F1576" i="1"/>
  <c r="G1576" i="1"/>
  <c r="I1576" i="1"/>
  <c r="A1577" i="1"/>
  <c r="F1577" i="1"/>
  <c r="G1577" i="1"/>
  <c r="I1577" i="1"/>
  <c r="A1578" i="1"/>
  <c r="F1578" i="1"/>
  <c r="G1578" i="1"/>
  <c r="I1578" i="1"/>
  <c r="A1579" i="1"/>
  <c r="F1579" i="1"/>
  <c r="G1579" i="1"/>
  <c r="I1579" i="1"/>
  <c r="A1580" i="1"/>
  <c r="F1580" i="1"/>
  <c r="G1580" i="1"/>
  <c r="I1580" i="1"/>
  <c r="A1581" i="1"/>
  <c r="F1581" i="1"/>
  <c r="G1581" i="1"/>
  <c r="I1581" i="1"/>
  <c r="A1582" i="1"/>
  <c r="F1582" i="1"/>
  <c r="G1582" i="1"/>
  <c r="I1582" i="1"/>
  <c r="A1583" i="1"/>
  <c r="F1583" i="1"/>
  <c r="G1583" i="1"/>
  <c r="I1583" i="1"/>
  <c r="A1584" i="1"/>
  <c r="F1584" i="1"/>
  <c r="G1584" i="1"/>
  <c r="I1584" i="1"/>
  <c r="A1585" i="1"/>
  <c r="F1585" i="1"/>
  <c r="G1585" i="1"/>
  <c r="I1585" i="1"/>
  <c r="A1586" i="1"/>
  <c r="F1586" i="1"/>
  <c r="G1586" i="1"/>
  <c r="I1586" i="1"/>
  <c r="A1587" i="1"/>
  <c r="F1587" i="1"/>
  <c r="G1587" i="1"/>
  <c r="I1587" i="1"/>
  <c r="A1588" i="1"/>
  <c r="F1588" i="1"/>
  <c r="G1588" i="1"/>
  <c r="I1588" i="1"/>
  <c r="A1589" i="1"/>
  <c r="F1589" i="1"/>
  <c r="G1589" i="1"/>
  <c r="I1589" i="1"/>
  <c r="A1590" i="1"/>
  <c r="F1590" i="1"/>
  <c r="G1590" i="1"/>
  <c r="I1590" i="1"/>
  <c r="A1591" i="1"/>
  <c r="F1591" i="1"/>
  <c r="G1591" i="1"/>
  <c r="I1591" i="1"/>
  <c r="A1592" i="1"/>
  <c r="F1592" i="1"/>
  <c r="G1592" i="1"/>
  <c r="I1592" i="1"/>
  <c r="A1593" i="1"/>
  <c r="F1593" i="1"/>
  <c r="G1593" i="1"/>
  <c r="I1593" i="1"/>
  <c r="A1594" i="1"/>
  <c r="F1594" i="1"/>
  <c r="G1594" i="1"/>
  <c r="I1594" i="1"/>
  <c r="A1595" i="1"/>
  <c r="F1595" i="1"/>
  <c r="G1595" i="1"/>
  <c r="I1595" i="1"/>
  <c r="A1596" i="1"/>
  <c r="F1596" i="1"/>
  <c r="G1596" i="1"/>
  <c r="I1596" i="1"/>
  <c r="A1597" i="1"/>
  <c r="F1597" i="1"/>
  <c r="G1597" i="1"/>
  <c r="I1597" i="1"/>
  <c r="A1598" i="1"/>
  <c r="F1598" i="1"/>
  <c r="G1598" i="1"/>
  <c r="I1598" i="1"/>
  <c r="A1599" i="1"/>
  <c r="F1599" i="1"/>
  <c r="G1599" i="1"/>
  <c r="I1599" i="1"/>
  <c r="A1600" i="1"/>
  <c r="F1600" i="1"/>
  <c r="G1600" i="1"/>
  <c r="I1600" i="1"/>
  <c r="A1601" i="1"/>
  <c r="F1601" i="1"/>
  <c r="G1601" i="1"/>
  <c r="I1601" i="1"/>
  <c r="A1602" i="1"/>
  <c r="F1602" i="1"/>
  <c r="G1602" i="1"/>
  <c r="I1602" i="1"/>
  <c r="A1603" i="1"/>
  <c r="F1603" i="1"/>
  <c r="G1603" i="1"/>
  <c r="I1603" i="1"/>
  <c r="A1604" i="1"/>
  <c r="F1604" i="1"/>
  <c r="G1604" i="1"/>
  <c r="I1604" i="1"/>
  <c r="A1605" i="1"/>
  <c r="F1605" i="1"/>
  <c r="G1605" i="1"/>
  <c r="I1605" i="1"/>
  <c r="A1606" i="1"/>
  <c r="F1606" i="1"/>
  <c r="G1606" i="1"/>
  <c r="I1606" i="1"/>
  <c r="A1607" i="1"/>
  <c r="F1607" i="1"/>
  <c r="G1607" i="1"/>
  <c r="I1607" i="1"/>
  <c r="A1608" i="1"/>
  <c r="F1608" i="1"/>
  <c r="G1608" i="1"/>
  <c r="I1608" i="1"/>
  <c r="A1609" i="1"/>
  <c r="F1609" i="1"/>
  <c r="G1609" i="1"/>
  <c r="I1609" i="1"/>
  <c r="A1610" i="1"/>
  <c r="F1610" i="1"/>
  <c r="G1610" i="1"/>
  <c r="I1610" i="1"/>
  <c r="A1611" i="1"/>
  <c r="F1611" i="1"/>
  <c r="G1611" i="1"/>
  <c r="I1611" i="1"/>
  <c r="A1612" i="1"/>
  <c r="F1612" i="1"/>
  <c r="G1612" i="1"/>
  <c r="I1612" i="1"/>
  <c r="A1613" i="1"/>
  <c r="F1613" i="1"/>
  <c r="G1613" i="1"/>
  <c r="I1613" i="1"/>
  <c r="A1614" i="1"/>
  <c r="F1614" i="1"/>
  <c r="G1614" i="1"/>
  <c r="I1614" i="1"/>
  <c r="A1615" i="1"/>
  <c r="F1615" i="1"/>
  <c r="G1615" i="1"/>
  <c r="I1615" i="1"/>
  <c r="A1616" i="1"/>
  <c r="F1616" i="1"/>
  <c r="G1616" i="1"/>
  <c r="I1616" i="1"/>
  <c r="A1617" i="1"/>
  <c r="F1617" i="1"/>
  <c r="G1617" i="1"/>
  <c r="I1617" i="1"/>
  <c r="A1618" i="1"/>
  <c r="F1618" i="1"/>
  <c r="G1618" i="1"/>
  <c r="I1618" i="1"/>
  <c r="A1619" i="1"/>
  <c r="F1619" i="1"/>
  <c r="G1619" i="1"/>
  <c r="I1619" i="1"/>
  <c r="A1620" i="1"/>
  <c r="F1620" i="1"/>
  <c r="G1620" i="1"/>
  <c r="I1620" i="1"/>
  <c r="A1621" i="1"/>
  <c r="F1621" i="1"/>
  <c r="G1621" i="1"/>
  <c r="I1621" i="1"/>
  <c r="A1622" i="1"/>
  <c r="F1622" i="1"/>
  <c r="G1622" i="1"/>
  <c r="I1622" i="1"/>
  <c r="A1623" i="1"/>
  <c r="F1623" i="1"/>
  <c r="G1623" i="1"/>
  <c r="I1623" i="1"/>
  <c r="A1624" i="1"/>
  <c r="F1624" i="1"/>
  <c r="G1624" i="1"/>
  <c r="I1624" i="1"/>
  <c r="A1625" i="1"/>
  <c r="F1625" i="1"/>
  <c r="G1625" i="1"/>
  <c r="I1625" i="1"/>
  <c r="A1626" i="1"/>
  <c r="F1626" i="1"/>
  <c r="G1626" i="1"/>
  <c r="I1626" i="1"/>
  <c r="A1627" i="1"/>
  <c r="F1627" i="1"/>
  <c r="G1627" i="1"/>
  <c r="I1627" i="1"/>
  <c r="A1628" i="1"/>
  <c r="F1628" i="1"/>
  <c r="G1628" i="1"/>
  <c r="I1628" i="1"/>
  <c r="A1629" i="1"/>
  <c r="F1629" i="1"/>
  <c r="G1629" i="1"/>
  <c r="I1629" i="1"/>
  <c r="A1630" i="1"/>
  <c r="F1630" i="1"/>
  <c r="G1630" i="1"/>
  <c r="I1630" i="1"/>
  <c r="A1631" i="1"/>
  <c r="F1631" i="1"/>
  <c r="G1631" i="1"/>
  <c r="I1631" i="1"/>
  <c r="A1632" i="1"/>
  <c r="F1632" i="1"/>
  <c r="G1632" i="1"/>
  <c r="I1632" i="1"/>
  <c r="A1633" i="1"/>
  <c r="F1633" i="1"/>
  <c r="G1633" i="1"/>
  <c r="I1633" i="1"/>
  <c r="A1634" i="1"/>
  <c r="F1634" i="1"/>
  <c r="G1634" i="1"/>
  <c r="I1634" i="1"/>
  <c r="A1635" i="1"/>
  <c r="F1635" i="1"/>
  <c r="G1635" i="1"/>
  <c r="I1635" i="1"/>
  <c r="A1636" i="1"/>
  <c r="F1636" i="1"/>
  <c r="G1636" i="1"/>
  <c r="I1636" i="1"/>
  <c r="A1637" i="1"/>
  <c r="F1637" i="1"/>
  <c r="G1637" i="1"/>
  <c r="I1637" i="1"/>
  <c r="A1638" i="1"/>
  <c r="F1638" i="1"/>
  <c r="G1638" i="1"/>
  <c r="I1638" i="1"/>
  <c r="A1639" i="1"/>
  <c r="F1639" i="1"/>
  <c r="G1639" i="1"/>
  <c r="I1639" i="1"/>
  <c r="A1640" i="1"/>
  <c r="F1640" i="1"/>
  <c r="G1640" i="1"/>
  <c r="I1640" i="1"/>
  <c r="A1641" i="1"/>
  <c r="F1641" i="1"/>
  <c r="G1641" i="1"/>
  <c r="I1641" i="1"/>
  <c r="A1642" i="1"/>
  <c r="F1642" i="1"/>
  <c r="G1642" i="1"/>
  <c r="I1642" i="1"/>
  <c r="A1643" i="1"/>
  <c r="F1643" i="1"/>
  <c r="G1643" i="1"/>
  <c r="I1643" i="1"/>
  <c r="A1644" i="1"/>
  <c r="F1644" i="1"/>
  <c r="G1644" i="1"/>
  <c r="I1644" i="1"/>
  <c r="A1645" i="1"/>
  <c r="F1645" i="1"/>
  <c r="G1645" i="1"/>
  <c r="I1645" i="1"/>
  <c r="A1646" i="1"/>
  <c r="F1646" i="1"/>
  <c r="G1646" i="1"/>
  <c r="I1646" i="1"/>
  <c r="A1647" i="1"/>
  <c r="F1647" i="1"/>
  <c r="G1647" i="1"/>
  <c r="I1647" i="1"/>
  <c r="A1648" i="1"/>
  <c r="F1648" i="1"/>
  <c r="G1648" i="1"/>
  <c r="I1648" i="1"/>
  <c r="A1649" i="1"/>
  <c r="F1649" i="1"/>
  <c r="G1649" i="1"/>
  <c r="I1649" i="1"/>
  <c r="A1650" i="1"/>
  <c r="F1650" i="1"/>
  <c r="G1650" i="1"/>
  <c r="I1650" i="1"/>
  <c r="A1651" i="1"/>
  <c r="F1651" i="1"/>
  <c r="G1651" i="1"/>
  <c r="I1651" i="1"/>
  <c r="A1652" i="1"/>
  <c r="F1652" i="1"/>
  <c r="G1652" i="1"/>
  <c r="I1652" i="1"/>
  <c r="A1653" i="1"/>
  <c r="F1653" i="1"/>
  <c r="G1653" i="1"/>
  <c r="I1653" i="1"/>
  <c r="A1654" i="1"/>
  <c r="F1654" i="1"/>
  <c r="G1654" i="1"/>
  <c r="I1654" i="1"/>
  <c r="A1655" i="1"/>
  <c r="F1655" i="1"/>
  <c r="G1655" i="1"/>
  <c r="I1655" i="1"/>
  <c r="A1656" i="1"/>
  <c r="F1656" i="1"/>
  <c r="G1656" i="1"/>
  <c r="I1656" i="1"/>
  <c r="A1657" i="1"/>
  <c r="F1657" i="1"/>
  <c r="G1657" i="1"/>
  <c r="I1657" i="1"/>
  <c r="A1658" i="1"/>
  <c r="F1658" i="1"/>
  <c r="G1658" i="1"/>
  <c r="I1658" i="1"/>
  <c r="A1659" i="1"/>
  <c r="F1659" i="1"/>
  <c r="G1659" i="1"/>
  <c r="I1659" i="1"/>
  <c r="A1660" i="1"/>
  <c r="F1660" i="1"/>
  <c r="G1660" i="1"/>
  <c r="I1660" i="1"/>
  <c r="A1661" i="1"/>
  <c r="F1661" i="1"/>
  <c r="G1661" i="1"/>
  <c r="I1661" i="1"/>
  <c r="A1662" i="1"/>
  <c r="F1662" i="1"/>
  <c r="G1662" i="1"/>
  <c r="I1662" i="1"/>
  <c r="A1663" i="1"/>
  <c r="F1663" i="1"/>
  <c r="G1663" i="1"/>
  <c r="I1663" i="1"/>
  <c r="A1664" i="1"/>
  <c r="F1664" i="1"/>
  <c r="G1664" i="1"/>
  <c r="I1664" i="1"/>
  <c r="A1665" i="1"/>
  <c r="F1665" i="1"/>
  <c r="G1665" i="1"/>
  <c r="I1665" i="1"/>
  <c r="A1666" i="1"/>
  <c r="F1666" i="1"/>
  <c r="G1666" i="1"/>
  <c r="I1666" i="1"/>
  <c r="A1667" i="1"/>
  <c r="F1667" i="1"/>
  <c r="G1667" i="1"/>
  <c r="I1667" i="1"/>
  <c r="A1668" i="1"/>
  <c r="F1668" i="1"/>
  <c r="G1668" i="1"/>
  <c r="I1668" i="1"/>
  <c r="A1669" i="1"/>
  <c r="F1669" i="1"/>
  <c r="G1669" i="1"/>
  <c r="I1669" i="1"/>
  <c r="A1670" i="1"/>
  <c r="F1670" i="1"/>
  <c r="G1670" i="1"/>
  <c r="I1670" i="1"/>
  <c r="A1671" i="1"/>
  <c r="F1671" i="1"/>
  <c r="G1671" i="1"/>
  <c r="I1671" i="1"/>
  <c r="A1672" i="1"/>
  <c r="F1672" i="1"/>
  <c r="G1672" i="1"/>
  <c r="I1672" i="1"/>
  <c r="A1673" i="1"/>
  <c r="F1673" i="1"/>
  <c r="G1673" i="1"/>
  <c r="I1673" i="1"/>
  <c r="A1674" i="1"/>
  <c r="F1674" i="1"/>
  <c r="G1674" i="1"/>
  <c r="I1674" i="1"/>
  <c r="A1675" i="1"/>
  <c r="F1675" i="1"/>
  <c r="G1675" i="1"/>
  <c r="I1675" i="1"/>
  <c r="A1676" i="1"/>
  <c r="F1676" i="1"/>
  <c r="G1676" i="1"/>
  <c r="I1676" i="1"/>
  <c r="A1677" i="1"/>
  <c r="F1677" i="1"/>
  <c r="G1677" i="1"/>
  <c r="I1677" i="1"/>
  <c r="A1678" i="1"/>
  <c r="F1678" i="1"/>
  <c r="G1678" i="1"/>
  <c r="I1678" i="1"/>
  <c r="A1679" i="1"/>
  <c r="F1679" i="1"/>
  <c r="G1679" i="1"/>
  <c r="I1679" i="1"/>
  <c r="A1680" i="1"/>
  <c r="F1680" i="1"/>
  <c r="G1680" i="1"/>
  <c r="I1680" i="1"/>
  <c r="A1681" i="1"/>
  <c r="F1681" i="1"/>
  <c r="G1681" i="1"/>
  <c r="I1681" i="1"/>
  <c r="A1682" i="1"/>
  <c r="F1682" i="1"/>
  <c r="G1682" i="1"/>
  <c r="I1682" i="1"/>
  <c r="A1683" i="1"/>
  <c r="F1683" i="1"/>
  <c r="G1683" i="1"/>
  <c r="I1683" i="1"/>
  <c r="A1684" i="1"/>
  <c r="F1684" i="1"/>
  <c r="G1684" i="1"/>
  <c r="I1684" i="1"/>
  <c r="A1685" i="1"/>
  <c r="F1685" i="1"/>
  <c r="G1685" i="1"/>
  <c r="I1685" i="1"/>
  <c r="A1686" i="1"/>
  <c r="F1686" i="1"/>
  <c r="G1686" i="1"/>
  <c r="I1686" i="1"/>
  <c r="A1687" i="1"/>
  <c r="F1687" i="1"/>
  <c r="G1687" i="1"/>
  <c r="I1687" i="1"/>
  <c r="A1688" i="1"/>
  <c r="F1688" i="1"/>
  <c r="G1688" i="1"/>
  <c r="I1688" i="1"/>
  <c r="A1689" i="1"/>
  <c r="F1689" i="1"/>
  <c r="G1689" i="1"/>
  <c r="I1689" i="1"/>
  <c r="A1690" i="1"/>
  <c r="F1690" i="1"/>
  <c r="G1690" i="1"/>
  <c r="I1690" i="1"/>
  <c r="A1691" i="1"/>
  <c r="F1691" i="1"/>
  <c r="G1691" i="1"/>
  <c r="I1691" i="1"/>
  <c r="A1692" i="1"/>
  <c r="F1692" i="1"/>
  <c r="G1692" i="1"/>
  <c r="I1692" i="1"/>
  <c r="A1693" i="1"/>
  <c r="F1693" i="1"/>
  <c r="G1693" i="1"/>
  <c r="I1693" i="1"/>
  <c r="A1694" i="1"/>
  <c r="F1694" i="1"/>
  <c r="G1694" i="1"/>
  <c r="I1694" i="1"/>
  <c r="A1695" i="1"/>
  <c r="F1695" i="1"/>
  <c r="G1695" i="1"/>
  <c r="I1695" i="1"/>
  <c r="A1696" i="1"/>
  <c r="F1696" i="1"/>
  <c r="G1696" i="1"/>
  <c r="I1696" i="1"/>
  <c r="A1697" i="1"/>
  <c r="F1697" i="1"/>
  <c r="G1697" i="1"/>
  <c r="I1697" i="1"/>
  <c r="A1698" i="1"/>
  <c r="F1698" i="1"/>
  <c r="G1698" i="1"/>
  <c r="I1698" i="1"/>
  <c r="A1699" i="1"/>
  <c r="F1699" i="1"/>
  <c r="G1699" i="1"/>
  <c r="I1699" i="1"/>
  <c r="A1700" i="1"/>
  <c r="F1700" i="1"/>
  <c r="G1700" i="1"/>
  <c r="I1700" i="1"/>
  <c r="A1701" i="1"/>
  <c r="F1701" i="1"/>
  <c r="G1701" i="1"/>
  <c r="I1701" i="1"/>
  <c r="A1702" i="1"/>
  <c r="F1702" i="1"/>
  <c r="G1702" i="1"/>
  <c r="I1702" i="1"/>
  <c r="A1703" i="1"/>
  <c r="F1703" i="1"/>
  <c r="G1703" i="1"/>
  <c r="I1703" i="1"/>
  <c r="A1704" i="1"/>
  <c r="F1704" i="1"/>
  <c r="G1704" i="1"/>
  <c r="I1704" i="1"/>
  <c r="A1705" i="1"/>
  <c r="F1705" i="1"/>
  <c r="G1705" i="1"/>
  <c r="I1705" i="1"/>
  <c r="A1706" i="1"/>
  <c r="F1706" i="1"/>
  <c r="G1706" i="1"/>
  <c r="I1706" i="1"/>
  <c r="A1707" i="1"/>
  <c r="F1707" i="1"/>
  <c r="G1707" i="1"/>
  <c r="I1707" i="1"/>
  <c r="A1708" i="1"/>
  <c r="F1708" i="1"/>
  <c r="G1708" i="1"/>
  <c r="I1708" i="1"/>
  <c r="A1709" i="1"/>
  <c r="F1709" i="1"/>
  <c r="G1709" i="1"/>
  <c r="I1709" i="1"/>
  <c r="A1710" i="1"/>
  <c r="F1710" i="1"/>
  <c r="G1710" i="1"/>
  <c r="I1710" i="1"/>
  <c r="A1711" i="1"/>
  <c r="F1711" i="1"/>
  <c r="G1711" i="1"/>
  <c r="I1711" i="1"/>
  <c r="A1712" i="1"/>
  <c r="F1712" i="1"/>
  <c r="G1712" i="1"/>
  <c r="I1712" i="1"/>
  <c r="A1713" i="1"/>
  <c r="F1713" i="1"/>
  <c r="G1713" i="1"/>
  <c r="I1713" i="1"/>
  <c r="A1714" i="1"/>
  <c r="F1714" i="1"/>
  <c r="G1714" i="1"/>
  <c r="I1714" i="1"/>
  <c r="A1715" i="1"/>
  <c r="F1715" i="1"/>
  <c r="G1715" i="1"/>
  <c r="I1715" i="1"/>
  <c r="A1716" i="1"/>
  <c r="F1716" i="1"/>
  <c r="G1716" i="1"/>
  <c r="I1716" i="1"/>
  <c r="A1717" i="1"/>
  <c r="F1717" i="1"/>
  <c r="G1717" i="1"/>
  <c r="I1717" i="1"/>
  <c r="A1718" i="1"/>
  <c r="F1718" i="1"/>
  <c r="G1718" i="1"/>
  <c r="I1718" i="1"/>
  <c r="A1719" i="1"/>
  <c r="F1719" i="1"/>
  <c r="G1719" i="1"/>
  <c r="I1719" i="1"/>
  <c r="A1720" i="1"/>
  <c r="F1720" i="1"/>
  <c r="G1720" i="1"/>
  <c r="I1720" i="1"/>
  <c r="A1721" i="1"/>
  <c r="F1721" i="1"/>
  <c r="G1721" i="1"/>
  <c r="I1721" i="1"/>
  <c r="A1722" i="1"/>
  <c r="F1722" i="1"/>
  <c r="G1722" i="1"/>
  <c r="I1722" i="1"/>
  <c r="A1723" i="1"/>
  <c r="F1723" i="1"/>
  <c r="G1723" i="1"/>
  <c r="I1723" i="1"/>
  <c r="A1724" i="1"/>
  <c r="F1724" i="1"/>
  <c r="G1724" i="1"/>
  <c r="I1724" i="1"/>
  <c r="A1725" i="1"/>
  <c r="F1725" i="1"/>
  <c r="G1725" i="1"/>
  <c r="I1725" i="1"/>
  <c r="A1726" i="1"/>
  <c r="F1726" i="1"/>
  <c r="G1726" i="1"/>
  <c r="I1726" i="1"/>
  <c r="A1727" i="1"/>
  <c r="F1727" i="1"/>
  <c r="G1727" i="1"/>
  <c r="I1727" i="1"/>
  <c r="A1728" i="1"/>
  <c r="F1728" i="1"/>
  <c r="G1728" i="1"/>
  <c r="I1728" i="1"/>
  <c r="A1729" i="1"/>
  <c r="F1729" i="1"/>
  <c r="G1729" i="1"/>
  <c r="I1729" i="1"/>
  <c r="A1730" i="1"/>
  <c r="F1730" i="1"/>
  <c r="G1730" i="1"/>
  <c r="I1730" i="1"/>
  <c r="A1731" i="1"/>
  <c r="F1731" i="1"/>
  <c r="G1731" i="1"/>
  <c r="I1731" i="1"/>
  <c r="A1732" i="1"/>
  <c r="F1732" i="1"/>
  <c r="G1732" i="1"/>
  <c r="I1732" i="1"/>
  <c r="A1733" i="1"/>
  <c r="F1733" i="1"/>
  <c r="G1733" i="1"/>
  <c r="I1733" i="1"/>
  <c r="A1734" i="1"/>
  <c r="F1734" i="1"/>
  <c r="G1734" i="1"/>
  <c r="I1734" i="1"/>
  <c r="A1735" i="1"/>
  <c r="F1735" i="1"/>
  <c r="G1735" i="1"/>
  <c r="I1735" i="1"/>
  <c r="A1736" i="1"/>
  <c r="F1736" i="1"/>
  <c r="G1736" i="1"/>
  <c r="I1736" i="1"/>
  <c r="A1737" i="1"/>
  <c r="F1737" i="1"/>
  <c r="G1737" i="1"/>
  <c r="I1737" i="1"/>
  <c r="A1738" i="1"/>
  <c r="F1738" i="1"/>
  <c r="G1738" i="1"/>
  <c r="I1738" i="1"/>
  <c r="A1739" i="1"/>
  <c r="F1739" i="1"/>
  <c r="G1739" i="1"/>
  <c r="I1739" i="1"/>
  <c r="A1740" i="1"/>
  <c r="F1740" i="1"/>
  <c r="G1740" i="1"/>
  <c r="I1740" i="1"/>
  <c r="A1741" i="1"/>
  <c r="F1741" i="1"/>
  <c r="G1741" i="1"/>
  <c r="I1741" i="1"/>
  <c r="A1742" i="1"/>
  <c r="F1742" i="1"/>
  <c r="G1742" i="1"/>
  <c r="I1742" i="1"/>
  <c r="A1743" i="1"/>
  <c r="F1743" i="1"/>
  <c r="G1743" i="1"/>
  <c r="I1743" i="1"/>
  <c r="A1744" i="1"/>
  <c r="F1744" i="1"/>
  <c r="G1744" i="1"/>
  <c r="I1744" i="1"/>
  <c r="A1745" i="1"/>
  <c r="F1745" i="1"/>
  <c r="G1745" i="1"/>
  <c r="I1745" i="1"/>
  <c r="A1746" i="1"/>
  <c r="F1746" i="1"/>
  <c r="G1746" i="1"/>
  <c r="I1746" i="1"/>
  <c r="A1747" i="1"/>
  <c r="F1747" i="1"/>
  <c r="G1747" i="1"/>
  <c r="I1747" i="1"/>
  <c r="A1748" i="1"/>
  <c r="F1748" i="1"/>
  <c r="G1748" i="1"/>
  <c r="I1748" i="1"/>
  <c r="A1749" i="1"/>
  <c r="F1749" i="1"/>
  <c r="G1749" i="1"/>
  <c r="I1749" i="1"/>
  <c r="A1750" i="1"/>
  <c r="F1750" i="1"/>
  <c r="G1750" i="1"/>
  <c r="I1750" i="1"/>
  <c r="A1751" i="1"/>
  <c r="F1751" i="1"/>
  <c r="G1751" i="1"/>
  <c r="I1751" i="1"/>
  <c r="A1752" i="1"/>
  <c r="F1752" i="1"/>
  <c r="G1752" i="1"/>
  <c r="I1752" i="1"/>
  <c r="A1753" i="1"/>
  <c r="F1753" i="1"/>
  <c r="G1753" i="1"/>
  <c r="I1753" i="1"/>
  <c r="A1754" i="1"/>
  <c r="F1754" i="1"/>
  <c r="G1754" i="1"/>
  <c r="I1754" i="1"/>
  <c r="A1755" i="1"/>
  <c r="F1755" i="1"/>
  <c r="G1755" i="1"/>
  <c r="I1755" i="1"/>
  <c r="A1756" i="1"/>
  <c r="F1756" i="1"/>
  <c r="G1756" i="1"/>
  <c r="I1756" i="1"/>
  <c r="A1757" i="1"/>
  <c r="F1757" i="1"/>
  <c r="G1757" i="1"/>
  <c r="I1757" i="1"/>
  <c r="A1758" i="1"/>
  <c r="F1758" i="1"/>
  <c r="G1758" i="1"/>
  <c r="I1758" i="1"/>
  <c r="A1759" i="1"/>
  <c r="F1759" i="1"/>
  <c r="G1759" i="1"/>
  <c r="I1759" i="1"/>
  <c r="A1760" i="1"/>
  <c r="F1760" i="1"/>
  <c r="G1760" i="1"/>
  <c r="I1760" i="1"/>
  <c r="A1761" i="1"/>
  <c r="F1761" i="1"/>
  <c r="G1761" i="1"/>
  <c r="I1761" i="1"/>
  <c r="A1762" i="1"/>
  <c r="F1762" i="1"/>
  <c r="G1762" i="1"/>
  <c r="I1762" i="1"/>
  <c r="A1763" i="1"/>
  <c r="F1763" i="1"/>
  <c r="G1763" i="1"/>
  <c r="I1763" i="1"/>
  <c r="A1764" i="1"/>
  <c r="F1764" i="1"/>
  <c r="G1764" i="1"/>
  <c r="I1764" i="1"/>
  <c r="A1765" i="1"/>
  <c r="F1765" i="1"/>
  <c r="G1765" i="1"/>
  <c r="I1765" i="1"/>
  <c r="A1766" i="1"/>
  <c r="F1766" i="1"/>
  <c r="G1766" i="1"/>
  <c r="I1766" i="1"/>
  <c r="A1767" i="1"/>
  <c r="F1767" i="1"/>
  <c r="G1767" i="1"/>
  <c r="I1767" i="1"/>
  <c r="A1768" i="1"/>
  <c r="F1768" i="1"/>
  <c r="G1768" i="1"/>
  <c r="I1768" i="1"/>
  <c r="A1769" i="1"/>
  <c r="F1769" i="1"/>
  <c r="G1769" i="1"/>
  <c r="I1769" i="1"/>
  <c r="A1770" i="1"/>
  <c r="F1770" i="1"/>
  <c r="G1770" i="1"/>
  <c r="I1770" i="1"/>
  <c r="A1771" i="1"/>
  <c r="F1771" i="1"/>
  <c r="G1771" i="1"/>
  <c r="I1771" i="1"/>
  <c r="A1772" i="1"/>
  <c r="F1772" i="1"/>
  <c r="G1772" i="1"/>
  <c r="I1772" i="1"/>
  <c r="A1773" i="1"/>
  <c r="F1773" i="1"/>
  <c r="G1773" i="1"/>
  <c r="I1773" i="1"/>
  <c r="A1774" i="1"/>
  <c r="F1774" i="1"/>
  <c r="G1774" i="1"/>
  <c r="I1774" i="1"/>
  <c r="A1775" i="1"/>
  <c r="F1775" i="1"/>
  <c r="G1775" i="1"/>
  <c r="I1775" i="1"/>
  <c r="A1776" i="1"/>
  <c r="F1776" i="1"/>
  <c r="G1776" i="1"/>
  <c r="I1776" i="1"/>
  <c r="A1777" i="1"/>
  <c r="F1777" i="1"/>
  <c r="G1777" i="1"/>
  <c r="I1777" i="1"/>
  <c r="A1778" i="1"/>
  <c r="F1778" i="1"/>
  <c r="G1778" i="1"/>
  <c r="I1778" i="1"/>
  <c r="A1779" i="1"/>
  <c r="F1779" i="1"/>
  <c r="G1779" i="1"/>
  <c r="I1779" i="1"/>
  <c r="A1780" i="1"/>
  <c r="F1780" i="1"/>
  <c r="G1780" i="1"/>
  <c r="I1780" i="1"/>
  <c r="A1781" i="1"/>
  <c r="F1781" i="1"/>
  <c r="G1781" i="1"/>
  <c r="I1781" i="1"/>
  <c r="A1782" i="1"/>
  <c r="F1782" i="1"/>
  <c r="G1782" i="1"/>
  <c r="I1782" i="1"/>
  <c r="A1783" i="1"/>
  <c r="F1783" i="1"/>
  <c r="G1783" i="1"/>
  <c r="I1783" i="1"/>
  <c r="A1784" i="1"/>
  <c r="F1784" i="1"/>
  <c r="G1784" i="1"/>
  <c r="I1784" i="1"/>
  <c r="A1785" i="1"/>
  <c r="F1785" i="1"/>
  <c r="G1785" i="1"/>
  <c r="I1785" i="1"/>
  <c r="A1786" i="1"/>
  <c r="F1786" i="1"/>
  <c r="G1786" i="1"/>
  <c r="I1786" i="1"/>
  <c r="A1787" i="1"/>
  <c r="F1787" i="1"/>
  <c r="G1787" i="1"/>
  <c r="I1787" i="1"/>
  <c r="A1788" i="1"/>
  <c r="F1788" i="1"/>
  <c r="G1788" i="1"/>
  <c r="I1788" i="1"/>
  <c r="A1789" i="1"/>
  <c r="F1789" i="1"/>
  <c r="G1789" i="1"/>
  <c r="I1789" i="1"/>
  <c r="A1790" i="1"/>
  <c r="F1790" i="1"/>
  <c r="G1790" i="1"/>
  <c r="I1790" i="1"/>
  <c r="A1791" i="1"/>
  <c r="F1791" i="1"/>
  <c r="G1791" i="1"/>
  <c r="I1791" i="1"/>
  <c r="A1792" i="1"/>
  <c r="F1792" i="1"/>
  <c r="G1792" i="1"/>
  <c r="I1792" i="1"/>
  <c r="A1793" i="1"/>
  <c r="F1793" i="1"/>
  <c r="G1793" i="1"/>
  <c r="I1793" i="1"/>
  <c r="A1794" i="1"/>
  <c r="F1794" i="1"/>
  <c r="G1794" i="1"/>
  <c r="I1794" i="1"/>
  <c r="A1795" i="1"/>
  <c r="F1795" i="1"/>
  <c r="G1795" i="1"/>
  <c r="I1795" i="1"/>
  <c r="A1796" i="1"/>
  <c r="F1796" i="1"/>
  <c r="G1796" i="1"/>
  <c r="I1796" i="1"/>
  <c r="A1797" i="1"/>
  <c r="F1797" i="1"/>
  <c r="G1797" i="1"/>
  <c r="I1797" i="1"/>
  <c r="A1798" i="1"/>
  <c r="F1798" i="1"/>
  <c r="G1798" i="1"/>
  <c r="I1798" i="1"/>
  <c r="A1799" i="1"/>
  <c r="F1799" i="1"/>
  <c r="G1799" i="1"/>
  <c r="I1799" i="1"/>
  <c r="A1800" i="1"/>
  <c r="F1800" i="1"/>
  <c r="G1800" i="1"/>
  <c r="I1800" i="1"/>
  <c r="A1801" i="1"/>
  <c r="F1801" i="1"/>
  <c r="G1801" i="1"/>
  <c r="I1801" i="1"/>
  <c r="A1802" i="1"/>
  <c r="F1802" i="1"/>
  <c r="G1802" i="1"/>
  <c r="I1802" i="1"/>
  <c r="A1803" i="1"/>
  <c r="F1803" i="1"/>
  <c r="G1803" i="1"/>
  <c r="I1803" i="1"/>
  <c r="A1804" i="1"/>
  <c r="F1804" i="1"/>
  <c r="G1804" i="1"/>
  <c r="I1804" i="1"/>
  <c r="A1805" i="1"/>
  <c r="F1805" i="1"/>
  <c r="G1805" i="1"/>
  <c r="I1805" i="1"/>
  <c r="A1806" i="1"/>
  <c r="F1806" i="1"/>
  <c r="G1806" i="1"/>
  <c r="I1806" i="1"/>
  <c r="A1807" i="1"/>
  <c r="F1807" i="1"/>
  <c r="G1807" i="1"/>
  <c r="I1807" i="1"/>
  <c r="A1808" i="1"/>
  <c r="F1808" i="1"/>
  <c r="G1808" i="1"/>
  <c r="I1808" i="1"/>
  <c r="A1809" i="1"/>
  <c r="F1809" i="1"/>
  <c r="G1809" i="1"/>
  <c r="I1809" i="1"/>
  <c r="A1810" i="1"/>
  <c r="F1810" i="1"/>
  <c r="G1810" i="1"/>
  <c r="I1810" i="1"/>
  <c r="A1811" i="1"/>
  <c r="F1811" i="1"/>
  <c r="G1811" i="1"/>
  <c r="I1811" i="1"/>
  <c r="A1812" i="1"/>
  <c r="F1812" i="1"/>
  <c r="G1812" i="1"/>
  <c r="I1812" i="1"/>
  <c r="A1813" i="1"/>
  <c r="F1813" i="1"/>
  <c r="G1813" i="1"/>
  <c r="I1813" i="1"/>
  <c r="A1814" i="1"/>
  <c r="F1814" i="1"/>
  <c r="G1814" i="1"/>
  <c r="I1814" i="1"/>
  <c r="A1815" i="1"/>
  <c r="F1815" i="1"/>
  <c r="G1815" i="1"/>
  <c r="I1815" i="1"/>
  <c r="A1816" i="1"/>
  <c r="F1816" i="1"/>
  <c r="G1816" i="1"/>
  <c r="I1816" i="1"/>
  <c r="A1817" i="1"/>
  <c r="F1817" i="1"/>
  <c r="G1817" i="1"/>
  <c r="I1817" i="1"/>
  <c r="A1818" i="1"/>
  <c r="F1818" i="1"/>
  <c r="G1818" i="1"/>
  <c r="I1818" i="1"/>
  <c r="A1819" i="1"/>
  <c r="F1819" i="1"/>
  <c r="G1819" i="1"/>
  <c r="I1819" i="1"/>
  <c r="A1820" i="1"/>
  <c r="F1820" i="1"/>
  <c r="G1820" i="1"/>
  <c r="I1820" i="1"/>
  <c r="A1821" i="1"/>
  <c r="F1821" i="1"/>
  <c r="G1821" i="1"/>
  <c r="I1821" i="1"/>
  <c r="A1822" i="1"/>
  <c r="F1822" i="1"/>
  <c r="G1822" i="1"/>
  <c r="I1822" i="1"/>
  <c r="A1823" i="1"/>
  <c r="F1823" i="1"/>
  <c r="G1823" i="1"/>
  <c r="I1823" i="1"/>
  <c r="A1824" i="1"/>
  <c r="F1824" i="1"/>
  <c r="G1824" i="1"/>
  <c r="I1824" i="1"/>
  <c r="A1825" i="1"/>
  <c r="F1825" i="1"/>
  <c r="G1825" i="1"/>
  <c r="I1825" i="1"/>
  <c r="A1826" i="1"/>
  <c r="F1826" i="1"/>
  <c r="G1826" i="1"/>
  <c r="I1826" i="1"/>
  <c r="A1827" i="1"/>
  <c r="F1827" i="1"/>
  <c r="G1827" i="1"/>
  <c r="I1827" i="1"/>
  <c r="A1828" i="1"/>
  <c r="F1828" i="1"/>
  <c r="G1828" i="1"/>
  <c r="I1828" i="1"/>
  <c r="A1829" i="1"/>
  <c r="F1829" i="1"/>
  <c r="G1829" i="1"/>
  <c r="I1829" i="1"/>
  <c r="A1830" i="1"/>
  <c r="F1830" i="1"/>
  <c r="G1830" i="1"/>
  <c r="I1830" i="1"/>
  <c r="A1831" i="1"/>
  <c r="F1831" i="1"/>
  <c r="G1831" i="1"/>
  <c r="I1831" i="1"/>
  <c r="A1832" i="1"/>
  <c r="F1832" i="1"/>
  <c r="G1832" i="1"/>
  <c r="I1832" i="1"/>
  <c r="A1833" i="1"/>
  <c r="F1833" i="1"/>
  <c r="G1833" i="1"/>
  <c r="I1833" i="1"/>
  <c r="A1834" i="1"/>
  <c r="F1834" i="1"/>
  <c r="G1834" i="1"/>
  <c r="I1834" i="1"/>
  <c r="A1835" i="1"/>
  <c r="F1835" i="1"/>
  <c r="G1835" i="1"/>
  <c r="I1835" i="1"/>
  <c r="A1836" i="1"/>
  <c r="F1836" i="1"/>
  <c r="G1836" i="1"/>
  <c r="I1836" i="1"/>
  <c r="A1837" i="1"/>
  <c r="F1837" i="1"/>
  <c r="G1837" i="1"/>
  <c r="I1837" i="1"/>
  <c r="A1838" i="1"/>
  <c r="F1838" i="1"/>
  <c r="G1838" i="1"/>
  <c r="I1838" i="1"/>
  <c r="A1839" i="1"/>
  <c r="F1839" i="1"/>
  <c r="G1839" i="1"/>
  <c r="I1839" i="1"/>
  <c r="A1840" i="1"/>
  <c r="F1840" i="1"/>
  <c r="G1840" i="1"/>
  <c r="I1840" i="1"/>
  <c r="A1841" i="1"/>
  <c r="F1841" i="1"/>
  <c r="G1841" i="1"/>
  <c r="I1841" i="1"/>
  <c r="A1842" i="1"/>
  <c r="F1842" i="1"/>
  <c r="G1842" i="1"/>
  <c r="I1842" i="1"/>
  <c r="A1843" i="1"/>
  <c r="F1843" i="1"/>
  <c r="G1843" i="1"/>
  <c r="I1843" i="1"/>
  <c r="A1844" i="1"/>
  <c r="F1844" i="1"/>
  <c r="G1844" i="1"/>
  <c r="I1844" i="1"/>
  <c r="A1845" i="1"/>
  <c r="F1845" i="1"/>
  <c r="G1845" i="1"/>
  <c r="I1845" i="1"/>
  <c r="A1846" i="1"/>
  <c r="F1846" i="1"/>
  <c r="G1846" i="1"/>
  <c r="I1846" i="1"/>
  <c r="A1847" i="1"/>
  <c r="F1847" i="1"/>
  <c r="G1847" i="1"/>
  <c r="I1847" i="1"/>
  <c r="A1848" i="1"/>
  <c r="F1848" i="1"/>
  <c r="G1848" i="1"/>
  <c r="I1848" i="1"/>
  <c r="A1849" i="1"/>
  <c r="F1849" i="1"/>
  <c r="G1849" i="1"/>
  <c r="I1849" i="1"/>
  <c r="A1850" i="1"/>
  <c r="F1850" i="1"/>
  <c r="G1850" i="1"/>
  <c r="I1850" i="1"/>
  <c r="A1851" i="1"/>
  <c r="F1851" i="1"/>
  <c r="G1851" i="1"/>
  <c r="I1851" i="1"/>
  <c r="A1852" i="1"/>
  <c r="F1852" i="1"/>
  <c r="G1852" i="1"/>
  <c r="I1852" i="1"/>
  <c r="A1853" i="1"/>
  <c r="F1853" i="1"/>
  <c r="G1853" i="1"/>
  <c r="I1853" i="1"/>
  <c r="A1854" i="1"/>
  <c r="F1854" i="1"/>
  <c r="G1854" i="1"/>
  <c r="I1854" i="1"/>
  <c r="A1855" i="1"/>
  <c r="F1855" i="1"/>
  <c r="G1855" i="1"/>
  <c r="I1855" i="1"/>
  <c r="A1856" i="1"/>
  <c r="F1856" i="1"/>
  <c r="G1856" i="1"/>
  <c r="I1856" i="1"/>
  <c r="A1857" i="1"/>
  <c r="F1857" i="1"/>
  <c r="G1857" i="1"/>
  <c r="I1857" i="1"/>
  <c r="A1858" i="1"/>
  <c r="F1858" i="1"/>
  <c r="G1858" i="1"/>
  <c r="I1858" i="1"/>
  <c r="A1859" i="1"/>
  <c r="F1859" i="1"/>
  <c r="G1859" i="1"/>
  <c r="I1859" i="1"/>
  <c r="A1860" i="1"/>
  <c r="F1860" i="1"/>
  <c r="G1860" i="1"/>
  <c r="I1860" i="1"/>
  <c r="A1861" i="1"/>
  <c r="F1861" i="1"/>
  <c r="G1861" i="1"/>
  <c r="I1861" i="1"/>
  <c r="A1862" i="1"/>
  <c r="F1862" i="1"/>
  <c r="G1862" i="1"/>
  <c r="I1862" i="1"/>
  <c r="A1863" i="1"/>
  <c r="F1863" i="1"/>
  <c r="G1863" i="1"/>
  <c r="I1863" i="1"/>
  <c r="A1864" i="1"/>
  <c r="F1864" i="1"/>
  <c r="G1864" i="1"/>
  <c r="I1864" i="1"/>
  <c r="A1865" i="1"/>
  <c r="F1865" i="1"/>
  <c r="G1865" i="1"/>
  <c r="I1865" i="1"/>
  <c r="A1866" i="1"/>
  <c r="F1866" i="1"/>
  <c r="G1866" i="1"/>
  <c r="I1866" i="1"/>
  <c r="A1867" i="1"/>
  <c r="F1867" i="1"/>
  <c r="G1867" i="1"/>
  <c r="I1867" i="1"/>
  <c r="A1868" i="1"/>
  <c r="F1868" i="1"/>
  <c r="G1868" i="1"/>
  <c r="I1868" i="1"/>
  <c r="A1869" i="1"/>
  <c r="F1869" i="1"/>
  <c r="G1869" i="1"/>
  <c r="I1869" i="1"/>
  <c r="A1870" i="1"/>
  <c r="F1870" i="1"/>
  <c r="G1870" i="1"/>
  <c r="I1870" i="1"/>
  <c r="A1871" i="1"/>
  <c r="F1871" i="1"/>
  <c r="G1871" i="1"/>
  <c r="I1871" i="1"/>
  <c r="A1872" i="1"/>
  <c r="F1872" i="1"/>
  <c r="G1872" i="1"/>
  <c r="I1872" i="1"/>
  <c r="A1873" i="1"/>
  <c r="F1873" i="1"/>
  <c r="G1873" i="1"/>
  <c r="I1873" i="1"/>
  <c r="A1874" i="1"/>
  <c r="F1874" i="1"/>
  <c r="G1874" i="1"/>
  <c r="I1874" i="1"/>
  <c r="A1875" i="1"/>
  <c r="F1875" i="1"/>
  <c r="G1875" i="1"/>
  <c r="I1875" i="1"/>
  <c r="A1876" i="1"/>
  <c r="F1876" i="1"/>
  <c r="G1876" i="1"/>
  <c r="I1876" i="1"/>
  <c r="A1877" i="1"/>
  <c r="F1877" i="1"/>
  <c r="G1877" i="1"/>
  <c r="I1877" i="1"/>
  <c r="A1878" i="1"/>
  <c r="F1878" i="1"/>
  <c r="G1878" i="1"/>
  <c r="I1878" i="1"/>
  <c r="A1879" i="1"/>
  <c r="F1879" i="1"/>
  <c r="G1879" i="1"/>
  <c r="I1879" i="1"/>
  <c r="A1880" i="1"/>
  <c r="F1880" i="1"/>
  <c r="G1880" i="1"/>
  <c r="I1880" i="1"/>
  <c r="A1881" i="1"/>
  <c r="F1881" i="1"/>
  <c r="G1881" i="1"/>
  <c r="I1881" i="1"/>
  <c r="A1882" i="1"/>
  <c r="F1882" i="1"/>
  <c r="G1882" i="1"/>
  <c r="I1882" i="1"/>
  <c r="A1883" i="1"/>
  <c r="F1883" i="1"/>
  <c r="G1883" i="1"/>
  <c r="I1883" i="1"/>
  <c r="A1884" i="1"/>
  <c r="F1884" i="1"/>
  <c r="G1884" i="1"/>
  <c r="I1884" i="1"/>
  <c r="A1885" i="1"/>
  <c r="F1885" i="1"/>
  <c r="G1885" i="1"/>
  <c r="I1885" i="1"/>
  <c r="A1886" i="1"/>
  <c r="F1886" i="1"/>
  <c r="G1886" i="1"/>
  <c r="I1886" i="1"/>
  <c r="A1887" i="1"/>
  <c r="F1887" i="1"/>
  <c r="G1887" i="1"/>
  <c r="I1887" i="1"/>
  <c r="A1888" i="1"/>
  <c r="F1888" i="1"/>
  <c r="G1888" i="1"/>
  <c r="I1888" i="1"/>
  <c r="A1889" i="1"/>
  <c r="F1889" i="1"/>
  <c r="G1889" i="1"/>
  <c r="I1889" i="1"/>
  <c r="A1890" i="1"/>
  <c r="F1890" i="1"/>
  <c r="G1890" i="1"/>
  <c r="I1890" i="1"/>
  <c r="A1891" i="1"/>
  <c r="F1891" i="1"/>
  <c r="G1891" i="1"/>
  <c r="I1891" i="1"/>
  <c r="A1892" i="1"/>
  <c r="F1892" i="1"/>
  <c r="G1892" i="1"/>
  <c r="I1892" i="1"/>
  <c r="A1893" i="1"/>
  <c r="F1893" i="1"/>
  <c r="G1893" i="1"/>
  <c r="I1893" i="1"/>
  <c r="A1894" i="1"/>
  <c r="F1894" i="1"/>
  <c r="G1894" i="1"/>
  <c r="I1894" i="1"/>
  <c r="A1895" i="1"/>
  <c r="F1895" i="1"/>
  <c r="G1895" i="1"/>
  <c r="I1895" i="1"/>
  <c r="A1896" i="1"/>
  <c r="F1896" i="1"/>
  <c r="G1896" i="1"/>
  <c r="I1896" i="1"/>
  <c r="A1897" i="1"/>
  <c r="F1897" i="1"/>
  <c r="G1897" i="1"/>
  <c r="I1897" i="1"/>
  <c r="A1898" i="1"/>
  <c r="F1898" i="1"/>
  <c r="G1898" i="1"/>
  <c r="I1898" i="1"/>
  <c r="A1899" i="1"/>
  <c r="F1899" i="1"/>
  <c r="G1899" i="1"/>
  <c r="I1899" i="1"/>
  <c r="A1900" i="1"/>
  <c r="F1900" i="1"/>
  <c r="G1900" i="1"/>
  <c r="I1900" i="1"/>
  <c r="A1901" i="1"/>
  <c r="F1901" i="1"/>
  <c r="G1901" i="1"/>
  <c r="I1901" i="1"/>
  <c r="A1902" i="1"/>
  <c r="F1902" i="1"/>
  <c r="G1902" i="1"/>
  <c r="I1902" i="1"/>
  <c r="A1903" i="1"/>
  <c r="F1903" i="1"/>
  <c r="G1903" i="1"/>
  <c r="I1903" i="1"/>
  <c r="A1904" i="1"/>
  <c r="F1904" i="1"/>
  <c r="G1904" i="1"/>
  <c r="I1904" i="1"/>
  <c r="A1905" i="1"/>
  <c r="F1905" i="1"/>
  <c r="G1905" i="1"/>
  <c r="I1905" i="1"/>
  <c r="A1906" i="1"/>
  <c r="F1906" i="1"/>
  <c r="G1906" i="1"/>
  <c r="I1906" i="1"/>
  <c r="A1907" i="1"/>
  <c r="F1907" i="1"/>
  <c r="G1907" i="1"/>
  <c r="I1907" i="1"/>
  <c r="A1908" i="1"/>
  <c r="F1908" i="1"/>
  <c r="G1908" i="1"/>
  <c r="I1908" i="1"/>
  <c r="A1909" i="1"/>
  <c r="F1909" i="1"/>
  <c r="G1909" i="1"/>
  <c r="I1909" i="1"/>
  <c r="A1910" i="1"/>
  <c r="F1910" i="1"/>
  <c r="G1910" i="1"/>
  <c r="I1910" i="1"/>
  <c r="A1911" i="1"/>
  <c r="F1911" i="1"/>
  <c r="G1911" i="1"/>
  <c r="I1911" i="1"/>
  <c r="A1912" i="1"/>
  <c r="F1912" i="1"/>
  <c r="G1912" i="1"/>
  <c r="I1912" i="1"/>
  <c r="A1913" i="1"/>
  <c r="F1913" i="1"/>
  <c r="G1913" i="1"/>
  <c r="I1913" i="1"/>
  <c r="A1914" i="1"/>
  <c r="F1914" i="1"/>
  <c r="G1914" i="1"/>
  <c r="I1914" i="1"/>
  <c r="A1915" i="1"/>
  <c r="F1915" i="1"/>
  <c r="G1915" i="1"/>
  <c r="I1915" i="1"/>
  <c r="A1916" i="1"/>
  <c r="F1916" i="1"/>
  <c r="G1916" i="1"/>
  <c r="I1916" i="1"/>
  <c r="A1917" i="1"/>
  <c r="F1917" i="1"/>
  <c r="G1917" i="1"/>
  <c r="I1917" i="1"/>
  <c r="A1918" i="1"/>
  <c r="F1918" i="1"/>
  <c r="G1918" i="1"/>
  <c r="I1918" i="1"/>
  <c r="A1919" i="1"/>
  <c r="F1919" i="1"/>
  <c r="G1919" i="1"/>
  <c r="I1919" i="1"/>
  <c r="A1920" i="1"/>
  <c r="F1920" i="1"/>
  <c r="G1920" i="1"/>
  <c r="I1920" i="1"/>
  <c r="A1921" i="1"/>
  <c r="F1921" i="1"/>
  <c r="G1921" i="1"/>
  <c r="I1921" i="1"/>
  <c r="A1922" i="1"/>
  <c r="F1922" i="1"/>
  <c r="G1922" i="1"/>
  <c r="I1922" i="1"/>
  <c r="A1923" i="1"/>
  <c r="F1923" i="1"/>
  <c r="G1923" i="1"/>
  <c r="I1923" i="1"/>
  <c r="A1924" i="1"/>
  <c r="F1924" i="1"/>
  <c r="G1924" i="1"/>
  <c r="I1924" i="1"/>
  <c r="A1925" i="1"/>
  <c r="F1925" i="1"/>
  <c r="G1925" i="1"/>
  <c r="I1925" i="1"/>
  <c r="A1926" i="1"/>
  <c r="F1926" i="1"/>
  <c r="G1926" i="1"/>
  <c r="I1926" i="1"/>
  <c r="A1927" i="1"/>
  <c r="F1927" i="1"/>
  <c r="G1927" i="1"/>
  <c r="I1927" i="1"/>
  <c r="A1928" i="1"/>
  <c r="F1928" i="1"/>
  <c r="G1928" i="1"/>
  <c r="I1928" i="1"/>
  <c r="A1929" i="1"/>
  <c r="F1929" i="1"/>
  <c r="G1929" i="1"/>
  <c r="I1929" i="1"/>
  <c r="A1930" i="1"/>
  <c r="F1930" i="1"/>
  <c r="G1930" i="1"/>
  <c r="I1930" i="1"/>
  <c r="A1931" i="1"/>
  <c r="F1931" i="1"/>
  <c r="G1931" i="1"/>
  <c r="I1931" i="1"/>
  <c r="A1932" i="1"/>
  <c r="F1932" i="1"/>
  <c r="G1932" i="1"/>
  <c r="I1932" i="1"/>
  <c r="A1933" i="1"/>
  <c r="F1933" i="1"/>
  <c r="G1933" i="1"/>
  <c r="I1933" i="1"/>
  <c r="A1934" i="1"/>
  <c r="F1934" i="1"/>
  <c r="G1934" i="1"/>
  <c r="I1934" i="1"/>
  <c r="A1935" i="1"/>
  <c r="F1935" i="1"/>
  <c r="G1935" i="1"/>
  <c r="I1935" i="1"/>
  <c r="A1936" i="1"/>
  <c r="F1936" i="1"/>
  <c r="G1936" i="1"/>
  <c r="I1936" i="1"/>
  <c r="A1937" i="1"/>
  <c r="F1937" i="1"/>
  <c r="G1937" i="1"/>
  <c r="I1937" i="1"/>
  <c r="A1938" i="1"/>
  <c r="F1938" i="1"/>
  <c r="G1938" i="1"/>
  <c r="I1938" i="1"/>
  <c r="A1939" i="1"/>
  <c r="F1939" i="1"/>
  <c r="G1939" i="1"/>
  <c r="I1939" i="1"/>
  <c r="A1940" i="1"/>
  <c r="F1940" i="1"/>
  <c r="G1940" i="1"/>
  <c r="I1940" i="1"/>
  <c r="A1941" i="1"/>
  <c r="F1941" i="1"/>
  <c r="G1941" i="1"/>
  <c r="I1941" i="1"/>
  <c r="A1942" i="1"/>
  <c r="F1942" i="1"/>
  <c r="G1942" i="1"/>
  <c r="I1942" i="1"/>
  <c r="A1943" i="1"/>
  <c r="F1943" i="1"/>
  <c r="G1943" i="1"/>
  <c r="I1943" i="1"/>
  <c r="A1944" i="1"/>
  <c r="F1944" i="1"/>
  <c r="G1944" i="1"/>
  <c r="I1944" i="1"/>
  <c r="A1945" i="1"/>
  <c r="F1945" i="1"/>
  <c r="G1945" i="1"/>
  <c r="I1945" i="1"/>
  <c r="A1946" i="1"/>
  <c r="F1946" i="1"/>
  <c r="G1946" i="1"/>
  <c r="I1946" i="1"/>
  <c r="A1947" i="1"/>
  <c r="F1947" i="1"/>
  <c r="G1947" i="1"/>
  <c r="I1947" i="1"/>
  <c r="A1948" i="1"/>
  <c r="F1948" i="1"/>
  <c r="G1948" i="1"/>
  <c r="I1948" i="1"/>
  <c r="A1949" i="1"/>
  <c r="F1949" i="1"/>
  <c r="G1949" i="1"/>
  <c r="I1949" i="1"/>
  <c r="A1950" i="1"/>
  <c r="F1950" i="1"/>
  <c r="G1950" i="1"/>
  <c r="I1950" i="1"/>
  <c r="A1951" i="1"/>
  <c r="F1951" i="1"/>
  <c r="G1951" i="1"/>
  <c r="I1951" i="1"/>
  <c r="A1952" i="1"/>
  <c r="F1952" i="1"/>
  <c r="G1952" i="1"/>
  <c r="I1952" i="1"/>
  <c r="A1953" i="1"/>
  <c r="F1953" i="1"/>
  <c r="G1953" i="1"/>
  <c r="I1953" i="1"/>
  <c r="A1954" i="1"/>
  <c r="F1954" i="1"/>
  <c r="G1954" i="1"/>
  <c r="I1954" i="1"/>
  <c r="A1955" i="1"/>
  <c r="F1955" i="1"/>
  <c r="G1955" i="1"/>
  <c r="I1955" i="1"/>
  <c r="A1956" i="1"/>
  <c r="F1956" i="1"/>
  <c r="G1956" i="1"/>
  <c r="I1956" i="1"/>
  <c r="A1957" i="1"/>
  <c r="F1957" i="1"/>
  <c r="G1957" i="1"/>
  <c r="I1957" i="1"/>
  <c r="A1958" i="1"/>
  <c r="F1958" i="1"/>
  <c r="G1958" i="1"/>
  <c r="I1958" i="1"/>
  <c r="A1959" i="1"/>
  <c r="F1959" i="1"/>
  <c r="G1959" i="1"/>
  <c r="I1959" i="1"/>
  <c r="A1960" i="1"/>
  <c r="F1960" i="1"/>
  <c r="G1960" i="1"/>
  <c r="I1960" i="1"/>
  <c r="A1961" i="1"/>
  <c r="F1961" i="1"/>
  <c r="G1961" i="1"/>
  <c r="I1961" i="1"/>
  <c r="A1962" i="1"/>
  <c r="F1962" i="1"/>
  <c r="G1962" i="1"/>
  <c r="I1962" i="1"/>
  <c r="A1963" i="1"/>
  <c r="F1963" i="1"/>
  <c r="G1963" i="1"/>
  <c r="I1963" i="1"/>
  <c r="A1964" i="1"/>
  <c r="F1964" i="1"/>
  <c r="G1964" i="1"/>
  <c r="I1964" i="1"/>
  <c r="A1965" i="1"/>
  <c r="F1965" i="1"/>
  <c r="G1965" i="1"/>
  <c r="I1965" i="1"/>
  <c r="A1966" i="1"/>
  <c r="F1966" i="1"/>
  <c r="G1966" i="1"/>
  <c r="I1966" i="1"/>
  <c r="A1967" i="1"/>
  <c r="F1967" i="1"/>
  <c r="G1967" i="1"/>
  <c r="I1967" i="1"/>
  <c r="A1968" i="1"/>
  <c r="F1968" i="1"/>
  <c r="G1968" i="1"/>
  <c r="I1968" i="1"/>
  <c r="A1969" i="1"/>
  <c r="F1969" i="1"/>
  <c r="G1969" i="1"/>
  <c r="I1969" i="1"/>
  <c r="A1970" i="1"/>
  <c r="F1970" i="1"/>
  <c r="G1970" i="1"/>
  <c r="I1970" i="1"/>
  <c r="A1971" i="1"/>
  <c r="F1971" i="1"/>
  <c r="G1971" i="1"/>
  <c r="I1971" i="1"/>
  <c r="A1972" i="1"/>
  <c r="F1972" i="1"/>
  <c r="G1972" i="1"/>
  <c r="I1972" i="1"/>
  <c r="A1973" i="1"/>
  <c r="F1973" i="1"/>
  <c r="G1973" i="1"/>
  <c r="I1973" i="1"/>
  <c r="A1974" i="1"/>
  <c r="F1974" i="1"/>
  <c r="G1974" i="1"/>
  <c r="I1974" i="1"/>
  <c r="A1975" i="1"/>
  <c r="F1975" i="1"/>
  <c r="G1975" i="1"/>
  <c r="I1975" i="1"/>
  <c r="A1976" i="1"/>
  <c r="F1976" i="1"/>
  <c r="G1976" i="1"/>
  <c r="I1976" i="1"/>
  <c r="A1977" i="1"/>
  <c r="F1977" i="1"/>
  <c r="G1977" i="1"/>
  <c r="I1977" i="1"/>
  <c r="A1978" i="1"/>
  <c r="F1978" i="1"/>
  <c r="G1978" i="1"/>
  <c r="I1978" i="1"/>
  <c r="A1979" i="1"/>
  <c r="F1979" i="1"/>
  <c r="G1979" i="1"/>
  <c r="I1979" i="1"/>
  <c r="A1980" i="1"/>
  <c r="F1980" i="1"/>
  <c r="G1980" i="1"/>
  <c r="I1980" i="1"/>
  <c r="A1981" i="1"/>
  <c r="F1981" i="1"/>
  <c r="G1981" i="1"/>
  <c r="I1981" i="1"/>
  <c r="A1982" i="1"/>
  <c r="F1982" i="1"/>
  <c r="G1982" i="1"/>
  <c r="I1982" i="1"/>
  <c r="A1983" i="1"/>
  <c r="F1983" i="1"/>
  <c r="G1983" i="1"/>
  <c r="I1983" i="1"/>
  <c r="A1984" i="1"/>
  <c r="F1984" i="1"/>
  <c r="G1984" i="1"/>
  <c r="I1984" i="1"/>
  <c r="A1985" i="1"/>
  <c r="F1985" i="1"/>
  <c r="G1985" i="1"/>
  <c r="I1985" i="1"/>
  <c r="A1986" i="1"/>
  <c r="F1986" i="1"/>
  <c r="G1986" i="1"/>
  <c r="I1986" i="1"/>
  <c r="A1987" i="1"/>
  <c r="F1987" i="1"/>
  <c r="G1987" i="1"/>
  <c r="I1987" i="1"/>
  <c r="A1988" i="1"/>
  <c r="F1988" i="1"/>
  <c r="G1988" i="1"/>
  <c r="I1988" i="1"/>
  <c r="A1989" i="1"/>
  <c r="F1989" i="1"/>
  <c r="G1989" i="1"/>
  <c r="I1989" i="1"/>
  <c r="A1990" i="1"/>
  <c r="F1990" i="1"/>
  <c r="G1990" i="1"/>
  <c r="I1990" i="1"/>
  <c r="A1991" i="1"/>
  <c r="F1991" i="1"/>
  <c r="G1991" i="1"/>
  <c r="I1991" i="1"/>
  <c r="A1992" i="1"/>
  <c r="F1992" i="1"/>
  <c r="G1992" i="1"/>
  <c r="I1992" i="1"/>
  <c r="A1993" i="1"/>
  <c r="F1993" i="1"/>
  <c r="G1993" i="1"/>
  <c r="I1993" i="1"/>
  <c r="A1994" i="1"/>
  <c r="F1994" i="1"/>
  <c r="G1994" i="1"/>
  <c r="I1994" i="1"/>
  <c r="A1995" i="1"/>
  <c r="F1995" i="1"/>
  <c r="G1995" i="1"/>
  <c r="I1995" i="1"/>
  <c r="A1996" i="1"/>
  <c r="F1996" i="1"/>
  <c r="G1996" i="1"/>
  <c r="I1996" i="1"/>
  <c r="A1997" i="1"/>
  <c r="F1997" i="1"/>
  <c r="G1997" i="1"/>
  <c r="I1997" i="1"/>
  <c r="A1998" i="1"/>
  <c r="F1998" i="1"/>
  <c r="G1998" i="1"/>
  <c r="I1998" i="1"/>
  <c r="A1999" i="1"/>
  <c r="F1999" i="1"/>
  <c r="G1999" i="1"/>
  <c r="I1999" i="1"/>
  <c r="A2000" i="1"/>
  <c r="F2000" i="1"/>
  <c r="G2000" i="1"/>
  <c r="I2000" i="1"/>
  <c r="A2001" i="1"/>
  <c r="F2001" i="1"/>
  <c r="G2001" i="1"/>
  <c r="I2001" i="1"/>
  <c r="A2002" i="1"/>
  <c r="F2002" i="1"/>
  <c r="G2002" i="1"/>
  <c r="I2002" i="1"/>
  <c r="A2003" i="1"/>
  <c r="F2003" i="1"/>
  <c r="G2003" i="1"/>
  <c r="I2003" i="1"/>
  <c r="A2004" i="1"/>
  <c r="F2004" i="1"/>
  <c r="G2004" i="1"/>
  <c r="I2004" i="1"/>
  <c r="A2005" i="1"/>
  <c r="F2005" i="1"/>
  <c r="G2005" i="1"/>
  <c r="I2005" i="1"/>
  <c r="A2006" i="1"/>
  <c r="F2006" i="1"/>
  <c r="G2006" i="1"/>
  <c r="I2006" i="1"/>
  <c r="A2007" i="1"/>
  <c r="F2007" i="1"/>
  <c r="G2007" i="1"/>
  <c r="I2007" i="1"/>
  <c r="A2008" i="1"/>
  <c r="F2008" i="1"/>
  <c r="G2008" i="1"/>
  <c r="I2008" i="1"/>
  <c r="A2009" i="1"/>
  <c r="F2009" i="1"/>
  <c r="G2009" i="1"/>
  <c r="I2009" i="1"/>
  <c r="A2010" i="1"/>
  <c r="F2010" i="1"/>
  <c r="G2010" i="1"/>
  <c r="I2010" i="1"/>
  <c r="A2011" i="1"/>
  <c r="F2011" i="1"/>
  <c r="G2011" i="1"/>
  <c r="I2011" i="1"/>
  <c r="A2012" i="1"/>
  <c r="F2012" i="1"/>
  <c r="G2012" i="1"/>
  <c r="I2012" i="1"/>
  <c r="A2013" i="1"/>
  <c r="F2013" i="1"/>
  <c r="G2013" i="1"/>
  <c r="I2013" i="1"/>
  <c r="A2014" i="1"/>
  <c r="F2014" i="1"/>
  <c r="G2014" i="1"/>
  <c r="I2014" i="1"/>
  <c r="A2015" i="1"/>
  <c r="F2015" i="1"/>
  <c r="G2015" i="1"/>
  <c r="I2015" i="1"/>
  <c r="A2016" i="1"/>
  <c r="F2016" i="1"/>
  <c r="G2016" i="1"/>
  <c r="I2016" i="1"/>
  <c r="A2017" i="1"/>
  <c r="F2017" i="1"/>
  <c r="G2017" i="1"/>
  <c r="I2017" i="1"/>
  <c r="A2018" i="1"/>
  <c r="F2018" i="1"/>
  <c r="G2018" i="1"/>
  <c r="I2018" i="1"/>
  <c r="A2019" i="1"/>
  <c r="F2019" i="1"/>
  <c r="G2019" i="1"/>
  <c r="I2019" i="1"/>
  <c r="A2020" i="1"/>
  <c r="F2020" i="1"/>
  <c r="G2020" i="1"/>
  <c r="I2020" i="1"/>
  <c r="A2021" i="1"/>
  <c r="F2021" i="1"/>
  <c r="G2021" i="1"/>
  <c r="I2021" i="1"/>
  <c r="A2022" i="1"/>
  <c r="F2022" i="1"/>
  <c r="G2022" i="1"/>
  <c r="I2022" i="1"/>
  <c r="A2023" i="1"/>
  <c r="F2023" i="1"/>
  <c r="G2023" i="1"/>
  <c r="I2023" i="1"/>
  <c r="A2024" i="1"/>
  <c r="F2024" i="1"/>
  <c r="G2024" i="1"/>
  <c r="I2024" i="1"/>
  <c r="A2025" i="1"/>
  <c r="F2025" i="1"/>
  <c r="G2025" i="1"/>
  <c r="I2025" i="1"/>
  <c r="A2026" i="1"/>
  <c r="F2026" i="1"/>
  <c r="G2026" i="1"/>
  <c r="I2026" i="1"/>
  <c r="A2027" i="1"/>
  <c r="F2027" i="1"/>
  <c r="G2027" i="1"/>
  <c r="I2027" i="1"/>
  <c r="A2028" i="1"/>
  <c r="F2028" i="1"/>
  <c r="G2028" i="1"/>
  <c r="I2028" i="1"/>
  <c r="A2029" i="1"/>
  <c r="F2029" i="1"/>
  <c r="G2029" i="1"/>
  <c r="I2029" i="1"/>
  <c r="A2030" i="1"/>
  <c r="F2030" i="1"/>
  <c r="G2030" i="1"/>
  <c r="I2030" i="1"/>
  <c r="A2031" i="1"/>
  <c r="F2031" i="1"/>
  <c r="G2031" i="1"/>
  <c r="I2031" i="1"/>
  <c r="A2032" i="1"/>
  <c r="F2032" i="1"/>
  <c r="G2032" i="1"/>
  <c r="I2032" i="1"/>
  <c r="A2033" i="1"/>
  <c r="F2033" i="1"/>
  <c r="G2033" i="1"/>
  <c r="I2033" i="1"/>
  <c r="A2034" i="1"/>
  <c r="F2034" i="1"/>
  <c r="G2034" i="1"/>
  <c r="I2034" i="1"/>
  <c r="A2035" i="1"/>
  <c r="F2035" i="1"/>
  <c r="G2035" i="1"/>
  <c r="I2035" i="1"/>
  <c r="A2036" i="1"/>
  <c r="F2036" i="1"/>
  <c r="G2036" i="1"/>
  <c r="I2036" i="1"/>
  <c r="A2037" i="1"/>
  <c r="F2037" i="1"/>
  <c r="G2037" i="1"/>
  <c r="I2037" i="1"/>
  <c r="A2038" i="1"/>
  <c r="F2038" i="1"/>
  <c r="G2038" i="1"/>
  <c r="I2038" i="1"/>
  <c r="A2039" i="1"/>
  <c r="F2039" i="1"/>
  <c r="G2039" i="1"/>
  <c r="I2039" i="1"/>
  <c r="A2040" i="1"/>
  <c r="F2040" i="1"/>
  <c r="G2040" i="1"/>
  <c r="I2040" i="1"/>
  <c r="A2041" i="1"/>
  <c r="F2041" i="1"/>
  <c r="G2041" i="1"/>
  <c r="I2041" i="1"/>
  <c r="A2042" i="1"/>
  <c r="F2042" i="1"/>
  <c r="G2042" i="1"/>
  <c r="I2042" i="1"/>
  <c r="A2043" i="1"/>
  <c r="F2043" i="1"/>
  <c r="G2043" i="1"/>
  <c r="I2043" i="1"/>
  <c r="A2044" i="1"/>
  <c r="F2044" i="1"/>
  <c r="G2044" i="1"/>
  <c r="I2044" i="1"/>
  <c r="A2045" i="1"/>
  <c r="F2045" i="1"/>
  <c r="G2045" i="1"/>
  <c r="I2045" i="1"/>
  <c r="A2046" i="1"/>
  <c r="F2046" i="1"/>
  <c r="G2046" i="1"/>
  <c r="I2046" i="1"/>
  <c r="A2047" i="1"/>
  <c r="F2047" i="1"/>
  <c r="G2047" i="1"/>
  <c r="I2047" i="1"/>
  <c r="A2048" i="1"/>
  <c r="F2048" i="1"/>
  <c r="G2048" i="1"/>
  <c r="I2048" i="1"/>
  <c r="A2049" i="1"/>
  <c r="F2049" i="1"/>
  <c r="G2049" i="1"/>
  <c r="I2049" i="1"/>
  <c r="A2050" i="1"/>
  <c r="F2050" i="1"/>
  <c r="G2050" i="1"/>
  <c r="I2050" i="1"/>
  <c r="A2051" i="1"/>
  <c r="F2051" i="1"/>
  <c r="G2051" i="1"/>
  <c r="I2051" i="1"/>
  <c r="A2052" i="1"/>
  <c r="F2052" i="1"/>
  <c r="G2052" i="1"/>
  <c r="I2052" i="1"/>
  <c r="A2053" i="1"/>
  <c r="F2053" i="1"/>
  <c r="G2053" i="1"/>
  <c r="I2053" i="1"/>
  <c r="A2054" i="1"/>
  <c r="F2054" i="1"/>
  <c r="G2054" i="1"/>
  <c r="I2054" i="1"/>
  <c r="A2055" i="1"/>
  <c r="F2055" i="1"/>
  <c r="G2055" i="1"/>
  <c r="I2055" i="1"/>
  <c r="A2056" i="1"/>
  <c r="F2056" i="1"/>
  <c r="G2056" i="1"/>
  <c r="I2056" i="1"/>
  <c r="A2057" i="1"/>
  <c r="F2057" i="1"/>
  <c r="G2057" i="1"/>
  <c r="I2057" i="1"/>
  <c r="A2058" i="1"/>
  <c r="F2058" i="1"/>
  <c r="G2058" i="1"/>
  <c r="I2058" i="1"/>
  <c r="A2059" i="1"/>
  <c r="F2059" i="1"/>
  <c r="G2059" i="1"/>
  <c r="I2059" i="1"/>
  <c r="A2060" i="1"/>
  <c r="F2060" i="1"/>
  <c r="G2060" i="1"/>
  <c r="I2060" i="1"/>
  <c r="A2061" i="1"/>
  <c r="F2061" i="1"/>
  <c r="G2061" i="1"/>
  <c r="I2061" i="1"/>
  <c r="A2062" i="1"/>
  <c r="F2062" i="1"/>
  <c r="G2062" i="1"/>
  <c r="I2062" i="1"/>
  <c r="A2063" i="1"/>
  <c r="F2063" i="1"/>
  <c r="G2063" i="1"/>
  <c r="I2063" i="1"/>
  <c r="A2064" i="1"/>
  <c r="F2064" i="1"/>
  <c r="G2064" i="1"/>
  <c r="I2064" i="1"/>
  <c r="A2065" i="1"/>
  <c r="F2065" i="1"/>
  <c r="G2065" i="1"/>
  <c r="I2065" i="1"/>
  <c r="A2066" i="1"/>
  <c r="F2066" i="1"/>
  <c r="G2066" i="1"/>
  <c r="I2066" i="1"/>
  <c r="A2067" i="1"/>
  <c r="F2067" i="1"/>
  <c r="G2067" i="1"/>
  <c r="I2067" i="1"/>
  <c r="A2068" i="1"/>
  <c r="F2068" i="1"/>
  <c r="G2068" i="1"/>
  <c r="I2068" i="1"/>
  <c r="A2069" i="1"/>
  <c r="F2069" i="1"/>
  <c r="G2069" i="1"/>
  <c r="I2069" i="1"/>
  <c r="A2070" i="1"/>
  <c r="F2070" i="1"/>
  <c r="G2070" i="1"/>
  <c r="I2070" i="1"/>
  <c r="A2071" i="1"/>
  <c r="F2071" i="1"/>
  <c r="G2071" i="1"/>
  <c r="I2071" i="1"/>
  <c r="A2072" i="1"/>
  <c r="F2072" i="1"/>
  <c r="G2072" i="1"/>
  <c r="I2072" i="1"/>
  <c r="A2073" i="1"/>
  <c r="F2073" i="1"/>
  <c r="G2073" i="1"/>
  <c r="I2073" i="1"/>
  <c r="A2074" i="1"/>
  <c r="F2074" i="1"/>
  <c r="G2074" i="1"/>
  <c r="I2074" i="1"/>
  <c r="A2075" i="1"/>
  <c r="F2075" i="1"/>
  <c r="G2075" i="1"/>
  <c r="I2075" i="1"/>
  <c r="A2076" i="1"/>
  <c r="F2076" i="1"/>
  <c r="G2076" i="1"/>
  <c r="I2076" i="1"/>
  <c r="A2077" i="1"/>
  <c r="F2077" i="1"/>
  <c r="G2077" i="1"/>
  <c r="I2077" i="1"/>
  <c r="A2078" i="1"/>
  <c r="F2078" i="1"/>
  <c r="G2078" i="1"/>
  <c r="I2078" i="1"/>
  <c r="A2079" i="1"/>
  <c r="F2079" i="1"/>
  <c r="G2079" i="1"/>
  <c r="I2079" i="1"/>
  <c r="A2080" i="1"/>
  <c r="F2080" i="1"/>
  <c r="G2080" i="1"/>
  <c r="I2080" i="1"/>
  <c r="A2081" i="1"/>
  <c r="F2081" i="1"/>
  <c r="G2081" i="1"/>
  <c r="I2081" i="1"/>
  <c r="A2082" i="1"/>
  <c r="F2082" i="1"/>
  <c r="G2082" i="1"/>
  <c r="I2082" i="1"/>
  <c r="A2083" i="1"/>
  <c r="F2083" i="1"/>
  <c r="G2083" i="1"/>
  <c r="I2083" i="1"/>
  <c r="A2084" i="1"/>
  <c r="F2084" i="1"/>
  <c r="G2084" i="1"/>
  <c r="I2084" i="1"/>
  <c r="A2085" i="1"/>
  <c r="F2085" i="1"/>
  <c r="G2085" i="1"/>
  <c r="I2085" i="1"/>
  <c r="A2086" i="1"/>
  <c r="F2086" i="1"/>
  <c r="G2086" i="1"/>
  <c r="I2086" i="1"/>
  <c r="A2087" i="1"/>
  <c r="F2087" i="1"/>
  <c r="G2087" i="1"/>
  <c r="I2087" i="1"/>
  <c r="A2088" i="1"/>
  <c r="F2088" i="1"/>
  <c r="G2088" i="1"/>
  <c r="I2088" i="1"/>
  <c r="A2089" i="1"/>
  <c r="F2089" i="1"/>
  <c r="G2089" i="1"/>
  <c r="I2089" i="1"/>
  <c r="A2090" i="1"/>
  <c r="F2090" i="1"/>
  <c r="G2090" i="1"/>
  <c r="I2090" i="1"/>
  <c r="A2091" i="1"/>
  <c r="F2091" i="1"/>
  <c r="G2091" i="1"/>
  <c r="I2091" i="1"/>
  <c r="A2092" i="1"/>
  <c r="F2092" i="1"/>
  <c r="G2092" i="1"/>
  <c r="I2092" i="1"/>
  <c r="A2093" i="1"/>
  <c r="F2093" i="1"/>
  <c r="G2093" i="1"/>
  <c r="I2093" i="1"/>
  <c r="A2094" i="1"/>
  <c r="F2094" i="1"/>
  <c r="G2094" i="1"/>
  <c r="I2094" i="1"/>
  <c r="A2095" i="1"/>
  <c r="F2095" i="1"/>
  <c r="G2095" i="1"/>
  <c r="I2095" i="1"/>
  <c r="A2096" i="1"/>
  <c r="F2096" i="1"/>
  <c r="G2096" i="1"/>
  <c r="I2096" i="1"/>
  <c r="A2097" i="1"/>
  <c r="F2097" i="1"/>
  <c r="G2097" i="1"/>
  <c r="I2097" i="1"/>
  <c r="A2098" i="1"/>
  <c r="F2098" i="1"/>
  <c r="G2098" i="1"/>
  <c r="I2098" i="1"/>
  <c r="A2099" i="1"/>
  <c r="F2099" i="1"/>
  <c r="G2099" i="1"/>
  <c r="I2099" i="1"/>
  <c r="A2100" i="1"/>
  <c r="F2100" i="1"/>
  <c r="G2100" i="1"/>
  <c r="I2100" i="1"/>
  <c r="A2101" i="1"/>
  <c r="F2101" i="1"/>
  <c r="G2101" i="1"/>
  <c r="I2101" i="1"/>
  <c r="A2102" i="1"/>
  <c r="F2102" i="1"/>
  <c r="G2102" i="1"/>
  <c r="I2102" i="1"/>
  <c r="A2103" i="1"/>
  <c r="F2103" i="1"/>
  <c r="G2103" i="1"/>
  <c r="I2103" i="1"/>
  <c r="A2104" i="1"/>
  <c r="F2104" i="1"/>
  <c r="G2104" i="1"/>
  <c r="I2104" i="1"/>
  <c r="A2105" i="1"/>
  <c r="F2105" i="1"/>
  <c r="G2105" i="1"/>
  <c r="I2105" i="1"/>
  <c r="A2106" i="1"/>
  <c r="F2106" i="1"/>
  <c r="G2106" i="1"/>
  <c r="I2106" i="1"/>
  <c r="A2107" i="1"/>
  <c r="F2107" i="1"/>
  <c r="G2107" i="1"/>
  <c r="I2107" i="1"/>
  <c r="A2108" i="1"/>
  <c r="F2108" i="1"/>
  <c r="G2108" i="1"/>
  <c r="I2108" i="1"/>
  <c r="A2109" i="1"/>
  <c r="F2109" i="1"/>
  <c r="G2109" i="1"/>
  <c r="I2109" i="1"/>
  <c r="A2110" i="1"/>
  <c r="F2110" i="1"/>
  <c r="G2110" i="1"/>
  <c r="I2110" i="1"/>
  <c r="A2111" i="1"/>
  <c r="F2111" i="1"/>
  <c r="G2111" i="1"/>
  <c r="I2111" i="1"/>
  <c r="A2112" i="1"/>
  <c r="F2112" i="1"/>
  <c r="G2112" i="1"/>
  <c r="I2112" i="1"/>
  <c r="A2113" i="1"/>
  <c r="F2113" i="1"/>
  <c r="G2113" i="1"/>
  <c r="I2113" i="1"/>
  <c r="A2114" i="1"/>
  <c r="F2114" i="1"/>
  <c r="G2114" i="1"/>
  <c r="I2114" i="1"/>
  <c r="A2115" i="1"/>
  <c r="F2115" i="1"/>
  <c r="G2115" i="1"/>
  <c r="I2115" i="1"/>
  <c r="A2116" i="1"/>
  <c r="F2116" i="1"/>
  <c r="G2116" i="1"/>
  <c r="I2116" i="1"/>
  <c r="A2117" i="1"/>
  <c r="F2117" i="1"/>
  <c r="G2117" i="1"/>
  <c r="I2117" i="1"/>
  <c r="A2118" i="1"/>
  <c r="F2118" i="1"/>
  <c r="G2118" i="1"/>
  <c r="I2118" i="1"/>
  <c r="A2119" i="1"/>
  <c r="F2119" i="1"/>
  <c r="G2119" i="1"/>
  <c r="I2119" i="1"/>
  <c r="A2120" i="1"/>
  <c r="F2120" i="1"/>
  <c r="G2120" i="1"/>
  <c r="I2120" i="1"/>
  <c r="A2121" i="1"/>
  <c r="F2121" i="1"/>
  <c r="G2121" i="1"/>
  <c r="I2121" i="1"/>
  <c r="A2122" i="1"/>
  <c r="F2122" i="1"/>
  <c r="G2122" i="1"/>
  <c r="I2122" i="1"/>
  <c r="A2123" i="1"/>
  <c r="F2123" i="1"/>
  <c r="G2123" i="1"/>
  <c r="I2123" i="1"/>
  <c r="A2124" i="1"/>
  <c r="F2124" i="1"/>
  <c r="G2124" i="1"/>
  <c r="I2124" i="1"/>
  <c r="A2125" i="1"/>
  <c r="F2125" i="1"/>
  <c r="G2125" i="1"/>
  <c r="I2125" i="1"/>
  <c r="A2126" i="1"/>
  <c r="F2126" i="1"/>
  <c r="G2126" i="1"/>
  <c r="I2126" i="1"/>
  <c r="A2127" i="1"/>
  <c r="F2127" i="1"/>
  <c r="G2127" i="1"/>
  <c r="I2127" i="1"/>
  <c r="A2128" i="1"/>
  <c r="F2128" i="1"/>
  <c r="G2128" i="1"/>
  <c r="I2128" i="1"/>
  <c r="A2129" i="1"/>
  <c r="F2129" i="1"/>
  <c r="G2129" i="1"/>
  <c r="I2129" i="1"/>
  <c r="A2130" i="1"/>
  <c r="F2130" i="1"/>
  <c r="G2130" i="1"/>
  <c r="I2130" i="1"/>
  <c r="A2131" i="1"/>
  <c r="F2131" i="1"/>
  <c r="G2131" i="1"/>
  <c r="I2131" i="1"/>
  <c r="A2132" i="1"/>
  <c r="F2132" i="1"/>
  <c r="G2132" i="1"/>
  <c r="I2132" i="1"/>
  <c r="A2133" i="1"/>
  <c r="F2133" i="1"/>
  <c r="G2133" i="1"/>
  <c r="I2133" i="1"/>
  <c r="A2134" i="1"/>
  <c r="F2134" i="1"/>
  <c r="G2134" i="1"/>
  <c r="I2134" i="1"/>
  <c r="A2135" i="1"/>
  <c r="F2135" i="1"/>
  <c r="G2135" i="1"/>
  <c r="I2135" i="1"/>
  <c r="A2136" i="1"/>
  <c r="F2136" i="1"/>
  <c r="G2136" i="1"/>
  <c r="I2136" i="1"/>
  <c r="A2137" i="1"/>
  <c r="F2137" i="1"/>
  <c r="G2137" i="1"/>
  <c r="I2137" i="1"/>
  <c r="A2138" i="1"/>
  <c r="F2138" i="1"/>
  <c r="G2138" i="1"/>
  <c r="I2138" i="1"/>
  <c r="A2139" i="1"/>
  <c r="F2139" i="1"/>
  <c r="G2139" i="1"/>
  <c r="I2139" i="1"/>
  <c r="A2140" i="1"/>
  <c r="F2140" i="1"/>
  <c r="G2140" i="1"/>
  <c r="I2140" i="1"/>
  <c r="A2141" i="1"/>
  <c r="F2141" i="1"/>
  <c r="G2141" i="1"/>
  <c r="I2141" i="1"/>
  <c r="A2142" i="1"/>
  <c r="F2142" i="1"/>
  <c r="G2142" i="1"/>
  <c r="I2142" i="1"/>
  <c r="A2143" i="1"/>
  <c r="F2143" i="1"/>
  <c r="G2143" i="1"/>
  <c r="I2143" i="1"/>
  <c r="A2144" i="1"/>
  <c r="F2144" i="1"/>
  <c r="G2144" i="1"/>
  <c r="I2144" i="1"/>
  <c r="A2145" i="1"/>
  <c r="F2145" i="1"/>
  <c r="G2145" i="1"/>
  <c r="I2145" i="1"/>
  <c r="A2146" i="1"/>
  <c r="F2146" i="1"/>
  <c r="G2146" i="1"/>
  <c r="I2146" i="1"/>
  <c r="A2147" i="1"/>
  <c r="F2147" i="1"/>
  <c r="G2147" i="1"/>
  <c r="I2147" i="1"/>
  <c r="A2148" i="1"/>
  <c r="F2148" i="1"/>
  <c r="G2148" i="1"/>
  <c r="I2148" i="1"/>
  <c r="A2149" i="1"/>
  <c r="F2149" i="1"/>
  <c r="G2149" i="1"/>
  <c r="I2149" i="1"/>
  <c r="A2150" i="1"/>
  <c r="F2150" i="1"/>
  <c r="G2150" i="1"/>
  <c r="I2150" i="1"/>
  <c r="A2151" i="1"/>
  <c r="F2151" i="1"/>
  <c r="G2151" i="1"/>
  <c r="I2151" i="1"/>
  <c r="A2152" i="1"/>
  <c r="F2152" i="1"/>
  <c r="G2152" i="1"/>
  <c r="I2152" i="1"/>
  <c r="A2153" i="1"/>
  <c r="F2153" i="1"/>
  <c r="G2153" i="1"/>
  <c r="I2153" i="1"/>
  <c r="A2154" i="1"/>
  <c r="F2154" i="1"/>
  <c r="G2154" i="1"/>
  <c r="I2154" i="1"/>
  <c r="A2155" i="1"/>
  <c r="F2155" i="1"/>
  <c r="G2155" i="1"/>
  <c r="I2155" i="1"/>
  <c r="A2156" i="1"/>
  <c r="F2156" i="1"/>
  <c r="G2156" i="1"/>
  <c r="I2156" i="1"/>
  <c r="A2157" i="1"/>
  <c r="F2157" i="1"/>
  <c r="G2157" i="1"/>
  <c r="I2157" i="1"/>
  <c r="A2158" i="1"/>
  <c r="F2158" i="1"/>
  <c r="G2158" i="1"/>
  <c r="I2158" i="1"/>
  <c r="A2159" i="1"/>
  <c r="F2159" i="1"/>
  <c r="G2159" i="1"/>
  <c r="I2159" i="1"/>
  <c r="A2160" i="1"/>
  <c r="F2160" i="1"/>
  <c r="G2160" i="1"/>
  <c r="I2160" i="1"/>
  <c r="A2161" i="1"/>
  <c r="F2161" i="1"/>
  <c r="G2161" i="1"/>
  <c r="I2161" i="1"/>
  <c r="A2162" i="1"/>
  <c r="F2162" i="1"/>
  <c r="G2162" i="1"/>
  <c r="I2162" i="1"/>
  <c r="A2163" i="1"/>
  <c r="F2163" i="1"/>
  <c r="G2163" i="1"/>
  <c r="I2163" i="1"/>
  <c r="A2164" i="1"/>
  <c r="F2164" i="1"/>
  <c r="G2164" i="1"/>
  <c r="I2164" i="1"/>
  <c r="A2165" i="1"/>
  <c r="F2165" i="1"/>
  <c r="G2165" i="1"/>
  <c r="I2165" i="1"/>
  <c r="A2166" i="1"/>
  <c r="F2166" i="1"/>
  <c r="G2166" i="1"/>
  <c r="I2166" i="1"/>
  <c r="A2167" i="1"/>
  <c r="F2167" i="1"/>
  <c r="G2167" i="1"/>
  <c r="I2167" i="1"/>
  <c r="A2168" i="1"/>
  <c r="F2168" i="1"/>
  <c r="G2168" i="1"/>
  <c r="I2168" i="1"/>
  <c r="A2169" i="1"/>
  <c r="F2169" i="1"/>
  <c r="G2169" i="1"/>
  <c r="I2169" i="1"/>
  <c r="A2170" i="1"/>
  <c r="F2170" i="1"/>
  <c r="G2170" i="1"/>
  <c r="I2170" i="1"/>
  <c r="A2171" i="1"/>
  <c r="F2171" i="1"/>
  <c r="G2171" i="1"/>
  <c r="I2171" i="1"/>
  <c r="A2172" i="1"/>
  <c r="F2172" i="1"/>
  <c r="G2172" i="1"/>
  <c r="I2172" i="1"/>
  <c r="A2173" i="1"/>
  <c r="F2173" i="1"/>
  <c r="G2173" i="1"/>
  <c r="I2173" i="1"/>
  <c r="A2174" i="1"/>
  <c r="F2174" i="1"/>
  <c r="G2174" i="1"/>
  <c r="I2174" i="1"/>
  <c r="A2175" i="1"/>
  <c r="F2175" i="1"/>
  <c r="G2175" i="1"/>
  <c r="I2175" i="1"/>
  <c r="A2176" i="1"/>
  <c r="F2176" i="1"/>
  <c r="G2176" i="1"/>
  <c r="I2176" i="1"/>
  <c r="A2177" i="1"/>
  <c r="F2177" i="1"/>
  <c r="G2177" i="1"/>
  <c r="I2177" i="1"/>
  <c r="A2178" i="1"/>
  <c r="F2178" i="1"/>
  <c r="G2178" i="1"/>
  <c r="I2178" i="1"/>
  <c r="A2179" i="1"/>
  <c r="F2179" i="1"/>
  <c r="G2179" i="1"/>
  <c r="I2179" i="1"/>
  <c r="A2180" i="1"/>
  <c r="F2180" i="1"/>
  <c r="G2180" i="1"/>
  <c r="I2180" i="1"/>
  <c r="A2181" i="1"/>
  <c r="F2181" i="1"/>
  <c r="G2181" i="1"/>
  <c r="I2181" i="1"/>
  <c r="A2182" i="1"/>
  <c r="F2182" i="1"/>
  <c r="G2182" i="1"/>
  <c r="I2182" i="1"/>
  <c r="A2183" i="1"/>
  <c r="F2183" i="1"/>
  <c r="G2183" i="1"/>
  <c r="I2183" i="1"/>
  <c r="A2184" i="1"/>
  <c r="F2184" i="1"/>
  <c r="G2184" i="1"/>
  <c r="I2184" i="1"/>
  <c r="A2185" i="1"/>
  <c r="F2185" i="1"/>
  <c r="G2185" i="1"/>
  <c r="I2185" i="1"/>
  <c r="A2186" i="1"/>
  <c r="F2186" i="1"/>
  <c r="G2186" i="1"/>
  <c r="I2186" i="1"/>
  <c r="A2187" i="1"/>
  <c r="F2187" i="1"/>
  <c r="G2187" i="1"/>
  <c r="I2187" i="1"/>
  <c r="A2188" i="1"/>
  <c r="F2188" i="1"/>
  <c r="G2188" i="1"/>
  <c r="I2188" i="1"/>
  <c r="A2189" i="1"/>
  <c r="F2189" i="1"/>
  <c r="G2189" i="1"/>
  <c r="I2189" i="1"/>
  <c r="A2190" i="1"/>
  <c r="F2190" i="1"/>
  <c r="G2190" i="1"/>
  <c r="I2190" i="1"/>
  <c r="A2191" i="1"/>
  <c r="F2191" i="1"/>
  <c r="G2191" i="1"/>
  <c r="I2191" i="1"/>
  <c r="A2192" i="1"/>
  <c r="F2192" i="1"/>
  <c r="G2192" i="1"/>
  <c r="I2192" i="1"/>
  <c r="A2193" i="1"/>
  <c r="F2193" i="1"/>
  <c r="G2193" i="1"/>
  <c r="I2193" i="1"/>
  <c r="A2194" i="1"/>
  <c r="F2194" i="1"/>
  <c r="G2194" i="1"/>
  <c r="I2194" i="1"/>
  <c r="A2195" i="1"/>
  <c r="F2195" i="1"/>
  <c r="G2195" i="1"/>
  <c r="I2195" i="1"/>
  <c r="A2196" i="1"/>
  <c r="F2196" i="1"/>
  <c r="G2196" i="1"/>
  <c r="I2196" i="1"/>
  <c r="A2197" i="1"/>
  <c r="F2197" i="1"/>
  <c r="G2197" i="1"/>
  <c r="I2197" i="1"/>
  <c r="A2198" i="1"/>
  <c r="F2198" i="1"/>
  <c r="G2198" i="1"/>
  <c r="I2198" i="1"/>
  <c r="A2199" i="1"/>
  <c r="F2199" i="1"/>
  <c r="G2199" i="1"/>
  <c r="I2199" i="1"/>
  <c r="A2200" i="1"/>
  <c r="F2200" i="1"/>
  <c r="G2200" i="1"/>
  <c r="I2200" i="1"/>
  <c r="A2201" i="1"/>
  <c r="F2201" i="1"/>
  <c r="G2201" i="1"/>
  <c r="I2201" i="1"/>
  <c r="A2202" i="1"/>
  <c r="F2202" i="1"/>
  <c r="G2202" i="1"/>
  <c r="I2202" i="1"/>
  <c r="A2203" i="1"/>
  <c r="F2203" i="1"/>
  <c r="G2203" i="1"/>
  <c r="I2203" i="1"/>
  <c r="A2204" i="1"/>
  <c r="F2204" i="1"/>
  <c r="G2204" i="1"/>
  <c r="I2204" i="1"/>
  <c r="A2205" i="1"/>
  <c r="F2205" i="1"/>
  <c r="G2205" i="1"/>
  <c r="I2205" i="1"/>
  <c r="A2206" i="1"/>
  <c r="F2206" i="1"/>
  <c r="G2206" i="1"/>
  <c r="I2206" i="1"/>
  <c r="A2207" i="1"/>
  <c r="F2207" i="1"/>
  <c r="G2207" i="1"/>
  <c r="I2207" i="1"/>
  <c r="A2208" i="1"/>
  <c r="F2208" i="1"/>
  <c r="G2208" i="1"/>
  <c r="I2208" i="1"/>
  <c r="A2209" i="1"/>
  <c r="F2209" i="1"/>
  <c r="G2209" i="1"/>
  <c r="I2209" i="1"/>
  <c r="A2210" i="1"/>
  <c r="F2210" i="1"/>
  <c r="G2210" i="1"/>
  <c r="I2210" i="1"/>
  <c r="A2211" i="1"/>
  <c r="F2211" i="1"/>
  <c r="G2211" i="1"/>
  <c r="I2211" i="1"/>
  <c r="A2212" i="1"/>
  <c r="F2212" i="1"/>
  <c r="G2212" i="1"/>
  <c r="I2212" i="1"/>
  <c r="A2213" i="1"/>
  <c r="F2213" i="1"/>
  <c r="G2213" i="1"/>
  <c r="I2213" i="1"/>
  <c r="A2214" i="1"/>
  <c r="F2214" i="1"/>
  <c r="G2214" i="1"/>
  <c r="I2214" i="1"/>
  <c r="A2215" i="1"/>
  <c r="F2215" i="1"/>
  <c r="G2215" i="1"/>
  <c r="I2215" i="1"/>
  <c r="A2216" i="1"/>
  <c r="F2216" i="1"/>
  <c r="G2216" i="1"/>
  <c r="I2216" i="1"/>
  <c r="A2217" i="1"/>
  <c r="F2217" i="1"/>
  <c r="G2217" i="1"/>
  <c r="I2217" i="1"/>
  <c r="A2218" i="1"/>
  <c r="F2218" i="1"/>
  <c r="G2218" i="1"/>
  <c r="I2218" i="1"/>
  <c r="A2219" i="1"/>
  <c r="F2219" i="1"/>
  <c r="G2219" i="1"/>
  <c r="I2219" i="1"/>
  <c r="A2220" i="1"/>
  <c r="F2220" i="1"/>
  <c r="G2220" i="1"/>
  <c r="I2220" i="1"/>
  <c r="A2221" i="1"/>
  <c r="F2221" i="1"/>
  <c r="G2221" i="1"/>
  <c r="I2221" i="1"/>
  <c r="A2222" i="1"/>
  <c r="F2222" i="1"/>
  <c r="G2222" i="1"/>
  <c r="I2222" i="1"/>
  <c r="A2223" i="1"/>
  <c r="F2223" i="1"/>
  <c r="G2223" i="1"/>
  <c r="I2223" i="1"/>
  <c r="A2224" i="1"/>
  <c r="F2224" i="1"/>
  <c r="G2224" i="1"/>
  <c r="I2224" i="1"/>
  <c r="A2225" i="1"/>
  <c r="F2225" i="1"/>
  <c r="G2225" i="1"/>
  <c r="I2225" i="1"/>
  <c r="A2226" i="1"/>
  <c r="F2226" i="1"/>
  <c r="G2226" i="1"/>
  <c r="I2226" i="1"/>
  <c r="A2227" i="1"/>
  <c r="F2227" i="1"/>
  <c r="G2227" i="1"/>
  <c r="I2227" i="1"/>
  <c r="A2228" i="1"/>
  <c r="F2228" i="1"/>
  <c r="G2228" i="1"/>
  <c r="I2228" i="1"/>
  <c r="A2229" i="1"/>
  <c r="F2229" i="1"/>
  <c r="G2229" i="1"/>
  <c r="I2229" i="1"/>
  <c r="A2230" i="1"/>
  <c r="F2230" i="1"/>
  <c r="G2230" i="1"/>
  <c r="I2230" i="1"/>
  <c r="A2231" i="1"/>
  <c r="F2231" i="1"/>
  <c r="G2231" i="1"/>
  <c r="I2231" i="1"/>
  <c r="A2232" i="1"/>
  <c r="F2232" i="1"/>
  <c r="G2232" i="1"/>
  <c r="I2232" i="1"/>
  <c r="A2233" i="1"/>
  <c r="F2233" i="1"/>
  <c r="G2233" i="1"/>
  <c r="I2233" i="1"/>
  <c r="A2234" i="1"/>
  <c r="F2234" i="1"/>
  <c r="G2234" i="1"/>
  <c r="I2234" i="1"/>
  <c r="A2235" i="1"/>
  <c r="F2235" i="1"/>
  <c r="G2235" i="1"/>
  <c r="I2235" i="1"/>
  <c r="A2236" i="1"/>
  <c r="F2236" i="1"/>
  <c r="G2236" i="1"/>
  <c r="I2236" i="1"/>
  <c r="A2237" i="1"/>
  <c r="F2237" i="1"/>
  <c r="G2237" i="1"/>
  <c r="I2237" i="1"/>
  <c r="A2238" i="1"/>
  <c r="F2238" i="1"/>
  <c r="G2238" i="1"/>
  <c r="I2238" i="1"/>
  <c r="A2239" i="1"/>
  <c r="F2239" i="1"/>
  <c r="G2239" i="1"/>
  <c r="I2239" i="1"/>
  <c r="A2240" i="1"/>
  <c r="F2240" i="1"/>
  <c r="G2240" i="1"/>
  <c r="I2240" i="1"/>
  <c r="A2241" i="1"/>
  <c r="F2241" i="1"/>
  <c r="G2241" i="1"/>
  <c r="I2241" i="1"/>
  <c r="A2242" i="1"/>
  <c r="F2242" i="1"/>
  <c r="G2242" i="1"/>
  <c r="I2242" i="1"/>
  <c r="A2243" i="1"/>
  <c r="F2243" i="1"/>
  <c r="G2243" i="1"/>
  <c r="I2243" i="1"/>
  <c r="A2244" i="1"/>
  <c r="F2244" i="1"/>
  <c r="G2244" i="1"/>
  <c r="I2244" i="1"/>
  <c r="A2245" i="1"/>
  <c r="F2245" i="1"/>
  <c r="G2245" i="1"/>
  <c r="I2245" i="1"/>
  <c r="A2246" i="1"/>
  <c r="F2246" i="1"/>
  <c r="G2246" i="1"/>
  <c r="I2246" i="1"/>
  <c r="A2247" i="1"/>
  <c r="F2247" i="1"/>
  <c r="G2247" i="1"/>
  <c r="I2247" i="1"/>
  <c r="A2248" i="1"/>
  <c r="F2248" i="1"/>
  <c r="G2248" i="1"/>
  <c r="I2248" i="1"/>
  <c r="A2249" i="1"/>
  <c r="F2249" i="1"/>
  <c r="G2249" i="1"/>
  <c r="I2249" i="1"/>
  <c r="A2250" i="1"/>
  <c r="F2250" i="1"/>
  <c r="G2250" i="1"/>
  <c r="I2250" i="1"/>
  <c r="A2251" i="1"/>
  <c r="F2251" i="1"/>
  <c r="G2251" i="1"/>
  <c r="I2251" i="1"/>
  <c r="A2252" i="1"/>
  <c r="F2252" i="1"/>
  <c r="G2252" i="1"/>
  <c r="I2252" i="1"/>
  <c r="A2253" i="1"/>
  <c r="F2253" i="1"/>
  <c r="G2253" i="1"/>
  <c r="I2253" i="1"/>
  <c r="A2254" i="1"/>
  <c r="F2254" i="1"/>
  <c r="G2254" i="1"/>
  <c r="I2254" i="1"/>
  <c r="A2255" i="1"/>
  <c r="F2255" i="1"/>
  <c r="G2255" i="1"/>
  <c r="I2255" i="1"/>
  <c r="A2256" i="1"/>
  <c r="F2256" i="1"/>
  <c r="G2256" i="1"/>
  <c r="I2256" i="1"/>
  <c r="A2257" i="1"/>
  <c r="F2257" i="1"/>
  <c r="G2257" i="1"/>
  <c r="I2257" i="1"/>
  <c r="A2258" i="1"/>
  <c r="F2258" i="1"/>
  <c r="G2258" i="1"/>
  <c r="I2258" i="1"/>
  <c r="A2259" i="1"/>
  <c r="F2259" i="1"/>
  <c r="G2259" i="1"/>
  <c r="I2259" i="1"/>
  <c r="A2260" i="1"/>
  <c r="F2260" i="1"/>
  <c r="G2260" i="1"/>
  <c r="I2260" i="1"/>
  <c r="A2261" i="1"/>
  <c r="F2261" i="1"/>
  <c r="G2261" i="1"/>
  <c r="I2261" i="1"/>
  <c r="A2262" i="1"/>
  <c r="F2262" i="1"/>
  <c r="G2262" i="1"/>
  <c r="I2262" i="1"/>
  <c r="A2263" i="1"/>
  <c r="F2263" i="1"/>
  <c r="G2263" i="1"/>
  <c r="I2263" i="1"/>
  <c r="A2264" i="1"/>
  <c r="F2264" i="1"/>
  <c r="G2264" i="1"/>
  <c r="I2264" i="1"/>
  <c r="A2265" i="1"/>
  <c r="F2265" i="1"/>
  <c r="G2265" i="1"/>
  <c r="I2265" i="1"/>
  <c r="A2266" i="1"/>
  <c r="F2266" i="1"/>
  <c r="G2266" i="1"/>
  <c r="I2266" i="1"/>
  <c r="A2267" i="1"/>
  <c r="F2267" i="1"/>
  <c r="G2267" i="1"/>
  <c r="I2267" i="1"/>
  <c r="A2268" i="1"/>
  <c r="F2268" i="1"/>
  <c r="G2268" i="1"/>
  <c r="I2268" i="1"/>
  <c r="A2269" i="1"/>
  <c r="F2269" i="1"/>
  <c r="G2269" i="1"/>
  <c r="I2269" i="1"/>
  <c r="A2270" i="1"/>
  <c r="F2270" i="1"/>
  <c r="G2270" i="1"/>
  <c r="I2270" i="1"/>
  <c r="A2271" i="1"/>
  <c r="F2271" i="1"/>
  <c r="G2271" i="1"/>
  <c r="I2271" i="1"/>
  <c r="A2272" i="1"/>
  <c r="F2272" i="1"/>
  <c r="G2272" i="1"/>
  <c r="I2272" i="1"/>
  <c r="A2273" i="1"/>
  <c r="F2273" i="1"/>
  <c r="G2273" i="1"/>
  <c r="I2273" i="1"/>
  <c r="A2274" i="1"/>
  <c r="F2274" i="1"/>
  <c r="G2274" i="1"/>
  <c r="I2274" i="1"/>
  <c r="A2275" i="1"/>
  <c r="F2275" i="1"/>
  <c r="G2275" i="1"/>
  <c r="I2275" i="1"/>
  <c r="A2276" i="1"/>
  <c r="F2276" i="1"/>
  <c r="G2276" i="1"/>
  <c r="I2276" i="1"/>
  <c r="A2277" i="1"/>
  <c r="F2277" i="1"/>
  <c r="G2277" i="1"/>
  <c r="I2277" i="1"/>
  <c r="A2278" i="1"/>
  <c r="F2278" i="1"/>
  <c r="G2278" i="1"/>
  <c r="I2278" i="1"/>
  <c r="A2279" i="1"/>
  <c r="F2279" i="1"/>
  <c r="G2279" i="1"/>
  <c r="I2279" i="1"/>
  <c r="A2280" i="1"/>
  <c r="F2280" i="1"/>
  <c r="G2280" i="1"/>
  <c r="I2280" i="1"/>
  <c r="A2281" i="1"/>
  <c r="F2281" i="1"/>
  <c r="G2281" i="1"/>
  <c r="I2281" i="1"/>
  <c r="A2282" i="1"/>
  <c r="F2282" i="1"/>
  <c r="G2282" i="1"/>
  <c r="I2282" i="1"/>
  <c r="A2283" i="1"/>
  <c r="F2283" i="1"/>
  <c r="G2283" i="1"/>
  <c r="I2283" i="1"/>
  <c r="A2284" i="1"/>
  <c r="F2284" i="1"/>
  <c r="G2284" i="1"/>
  <c r="I2284" i="1"/>
  <c r="A2285" i="1"/>
  <c r="F2285" i="1"/>
  <c r="G2285" i="1"/>
  <c r="I2285" i="1"/>
  <c r="A2286" i="1"/>
  <c r="F2286" i="1"/>
  <c r="G2286" i="1"/>
  <c r="I2286" i="1"/>
  <c r="A2287" i="1"/>
  <c r="F2287" i="1"/>
  <c r="G2287" i="1"/>
  <c r="I2287" i="1"/>
  <c r="A2288" i="1"/>
  <c r="F2288" i="1"/>
  <c r="G2288" i="1"/>
  <c r="I2288" i="1"/>
  <c r="A2289" i="1"/>
  <c r="F2289" i="1"/>
  <c r="G2289" i="1"/>
  <c r="I2289" i="1"/>
  <c r="A2290" i="1"/>
  <c r="F2290" i="1"/>
  <c r="G2290" i="1"/>
  <c r="I2290" i="1"/>
  <c r="A2291" i="1"/>
  <c r="F2291" i="1"/>
  <c r="G2291" i="1"/>
  <c r="I2291" i="1"/>
  <c r="A2292" i="1"/>
  <c r="F2292" i="1"/>
  <c r="G2292" i="1"/>
  <c r="I2292" i="1"/>
  <c r="A2293" i="1"/>
  <c r="F2293" i="1"/>
  <c r="G2293" i="1"/>
  <c r="I2293" i="1"/>
  <c r="A2294" i="1"/>
  <c r="F2294" i="1"/>
  <c r="G2294" i="1"/>
  <c r="I2294" i="1"/>
  <c r="A2295" i="1"/>
  <c r="F2295" i="1"/>
  <c r="G2295" i="1"/>
  <c r="I2295" i="1"/>
  <c r="A2296" i="1"/>
  <c r="F2296" i="1"/>
  <c r="G2296" i="1"/>
  <c r="I2296" i="1"/>
  <c r="A2297" i="1"/>
  <c r="F2297" i="1"/>
  <c r="G2297" i="1"/>
  <c r="I2297" i="1"/>
  <c r="A2298" i="1"/>
  <c r="F2298" i="1"/>
  <c r="G2298" i="1"/>
  <c r="I2298" i="1"/>
  <c r="A2299" i="1"/>
  <c r="F2299" i="1"/>
  <c r="G2299" i="1"/>
  <c r="I2299" i="1"/>
  <c r="A2300" i="1"/>
  <c r="F2300" i="1"/>
  <c r="G2300" i="1"/>
  <c r="I2300" i="1"/>
  <c r="A2301" i="1"/>
  <c r="F2301" i="1"/>
  <c r="G2301" i="1"/>
  <c r="I2301" i="1"/>
  <c r="A2302" i="1"/>
  <c r="F2302" i="1"/>
  <c r="G2302" i="1"/>
  <c r="I2302" i="1"/>
  <c r="A2303" i="1"/>
  <c r="F2303" i="1"/>
  <c r="G2303" i="1"/>
  <c r="I2303" i="1"/>
  <c r="A2304" i="1"/>
  <c r="F2304" i="1"/>
  <c r="G2304" i="1"/>
  <c r="I2304" i="1"/>
  <c r="A2305" i="1"/>
  <c r="F2305" i="1"/>
  <c r="G2305" i="1"/>
  <c r="I2305" i="1"/>
  <c r="A2306" i="1"/>
  <c r="F2306" i="1"/>
  <c r="G2306" i="1"/>
  <c r="I2306" i="1"/>
  <c r="A2307" i="1"/>
  <c r="F2307" i="1"/>
  <c r="G2307" i="1"/>
  <c r="I2307" i="1"/>
  <c r="A2308" i="1"/>
  <c r="F2308" i="1"/>
  <c r="G2308" i="1"/>
  <c r="I2308" i="1"/>
  <c r="A2309" i="1"/>
  <c r="F2309" i="1"/>
  <c r="G2309" i="1"/>
  <c r="I2309" i="1"/>
  <c r="A2310" i="1"/>
  <c r="F2310" i="1"/>
  <c r="G2310" i="1"/>
  <c r="I2310" i="1"/>
  <c r="A2311" i="1"/>
  <c r="F2311" i="1"/>
  <c r="G2311" i="1"/>
  <c r="I2311" i="1"/>
  <c r="A2312" i="1"/>
  <c r="F2312" i="1"/>
  <c r="G2312" i="1"/>
  <c r="I2312" i="1"/>
  <c r="A2313" i="1"/>
  <c r="F2313" i="1"/>
  <c r="G2313" i="1"/>
  <c r="I2313" i="1"/>
  <c r="A2314" i="1"/>
  <c r="F2314" i="1"/>
  <c r="G2314" i="1"/>
  <c r="I2314" i="1"/>
  <c r="A2315" i="1"/>
  <c r="F2315" i="1"/>
  <c r="G2315" i="1"/>
  <c r="I2315" i="1"/>
  <c r="A2316" i="1"/>
  <c r="F2316" i="1"/>
  <c r="G2316" i="1"/>
  <c r="I2316" i="1"/>
  <c r="A2317" i="1"/>
  <c r="F2317" i="1"/>
  <c r="G2317" i="1"/>
  <c r="I2317" i="1"/>
  <c r="A2318" i="1"/>
  <c r="F2318" i="1"/>
  <c r="G2318" i="1"/>
  <c r="I2318" i="1"/>
  <c r="A2319" i="1"/>
  <c r="F2319" i="1"/>
  <c r="G2319" i="1"/>
  <c r="I2319" i="1"/>
  <c r="A2320" i="1"/>
  <c r="F2320" i="1"/>
  <c r="G2320" i="1"/>
  <c r="I2320" i="1"/>
  <c r="A2321" i="1"/>
  <c r="F2321" i="1"/>
  <c r="G2321" i="1"/>
  <c r="I2321" i="1"/>
  <c r="A2322" i="1"/>
  <c r="F2322" i="1"/>
  <c r="G2322" i="1"/>
  <c r="I2322" i="1"/>
  <c r="A2323" i="1"/>
  <c r="F2323" i="1"/>
  <c r="G2323" i="1"/>
  <c r="I2323" i="1"/>
  <c r="A2324" i="1"/>
  <c r="F2324" i="1"/>
  <c r="G2324" i="1"/>
  <c r="I2324" i="1"/>
  <c r="A2325" i="1"/>
  <c r="F2325" i="1"/>
  <c r="G2325" i="1"/>
  <c r="I2325" i="1"/>
  <c r="A2326" i="1"/>
  <c r="F2326" i="1"/>
  <c r="G2326" i="1"/>
  <c r="I2326" i="1"/>
  <c r="A2327" i="1"/>
  <c r="F2327" i="1"/>
  <c r="G2327" i="1"/>
  <c r="I2327" i="1"/>
  <c r="A2328" i="1"/>
  <c r="F2328" i="1"/>
  <c r="G2328" i="1"/>
  <c r="I2328" i="1"/>
  <c r="A2329" i="1"/>
  <c r="F2329" i="1"/>
  <c r="G2329" i="1"/>
  <c r="I2329" i="1"/>
  <c r="A2330" i="1"/>
  <c r="F2330" i="1"/>
  <c r="G2330" i="1"/>
  <c r="I2330" i="1"/>
  <c r="A2331" i="1"/>
  <c r="F2331" i="1"/>
  <c r="G2331" i="1"/>
  <c r="I2331" i="1"/>
  <c r="A2332" i="1"/>
  <c r="F2332" i="1"/>
  <c r="G2332" i="1"/>
  <c r="I2332" i="1"/>
  <c r="A2333" i="1"/>
  <c r="F2333" i="1"/>
  <c r="G2333" i="1"/>
  <c r="I2333" i="1"/>
  <c r="A2334" i="1"/>
  <c r="F2334" i="1"/>
  <c r="G2334" i="1"/>
  <c r="I2334" i="1"/>
  <c r="A2335" i="1"/>
  <c r="F2335" i="1"/>
  <c r="G2335" i="1"/>
  <c r="I2335" i="1"/>
  <c r="A2336" i="1"/>
  <c r="F2336" i="1"/>
  <c r="G2336" i="1"/>
  <c r="I2336" i="1"/>
  <c r="A2337" i="1"/>
  <c r="F2337" i="1"/>
  <c r="G2337" i="1"/>
  <c r="I2337" i="1"/>
  <c r="A2338" i="1"/>
  <c r="F2338" i="1"/>
  <c r="G2338" i="1"/>
  <c r="I2338" i="1"/>
  <c r="A2339" i="1"/>
  <c r="F2339" i="1"/>
  <c r="G2339" i="1"/>
  <c r="I2339" i="1"/>
  <c r="A2340" i="1"/>
  <c r="F2340" i="1"/>
  <c r="G2340" i="1"/>
  <c r="I2340" i="1"/>
  <c r="A2341" i="1"/>
  <c r="F2341" i="1"/>
  <c r="G2341" i="1"/>
  <c r="I2341" i="1"/>
  <c r="A2342" i="1"/>
  <c r="F2342" i="1"/>
  <c r="G2342" i="1"/>
  <c r="I2342" i="1"/>
  <c r="A2343" i="1"/>
  <c r="F2343" i="1"/>
  <c r="G2343" i="1"/>
  <c r="I2343" i="1"/>
  <c r="A2344" i="1"/>
  <c r="F2344" i="1"/>
  <c r="G2344" i="1"/>
  <c r="I2344" i="1"/>
  <c r="A2345" i="1"/>
  <c r="F2345" i="1"/>
  <c r="G2345" i="1"/>
  <c r="I2345" i="1"/>
  <c r="A2346" i="1"/>
  <c r="F2346" i="1"/>
  <c r="G2346" i="1"/>
  <c r="I2346" i="1"/>
  <c r="A2347" i="1"/>
  <c r="F2347" i="1"/>
  <c r="G2347" i="1"/>
  <c r="I2347" i="1"/>
  <c r="A2348" i="1"/>
  <c r="F2348" i="1"/>
  <c r="G2348" i="1"/>
  <c r="I2348" i="1"/>
  <c r="A2349" i="1"/>
  <c r="F2349" i="1"/>
  <c r="G2349" i="1"/>
  <c r="I2349" i="1"/>
  <c r="A2350" i="1"/>
  <c r="F2350" i="1"/>
  <c r="G2350" i="1"/>
  <c r="I2350" i="1"/>
  <c r="A2351" i="1"/>
  <c r="F2351" i="1"/>
  <c r="G2351" i="1"/>
  <c r="I2351" i="1"/>
  <c r="A2352" i="1"/>
  <c r="F2352" i="1"/>
  <c r="G2352" i="1"/>
  <c r="I2352" i="1"/>
  <c r="A2353" i="1"/>
  <c r="F2353" i="1"/>
  <c r="G2353" i="1"/>
  <c r="I2353" i="1"/>
  <c r="A2354" i="1"/>
  <c r="F2354" i="1"/>
  <c r="G2354" i="1"/>
  <c r="I2354" i="1"/>
  <c r="A2355" i="1"/>
  <c r="F2355" i="1"/>
  <c r="G2355" i="1"/>
  <c r="I2355" i="1"/>
  <c r="A2356" i="1"/>
  <c r="F2356" i="1"/>
  <c r="G2356" i="1"/>
  <c r="I2356" i="1"/>
  <c r="A2357" i="1"/>
  <c r="F2357" i="1"/>
  <c r="G2357" i="1"/>
  <c r="I2357" i="1"/>
  <c r="A2358" i="1"/>
  <c r="F2358" i="1"/>
  <c r="G2358" i="1"/>
  <c r="I2358" i="1"/>
  <c r="A2359" i="1"/>
  <c r="F2359" i="1"/>
  <c r="G2359" i="1"/>
  <c r="I2359" i="1"/>
  <c r="A2360" i="1"/>
  <c r="F2360" i="1"/>
  <c r="G2360" i="1"/>
  <c r="I2360" i="1"/>
  <c r="A2361" i="1"/>
  <c r="F2361" i="1"/>
  <c r="G2361" i="1"/>
  <c r="I2361" i="1"/>
  <c r="A2362" i="1"/>
  <c r="F2362" i="1"/>
  <c r="G2362" i="1"/>
  <c r="I2362" i="1"/>
  <c r="A2363" i="1"/>
  <c r="F2363" i="1"/>
  <c r="G2363" i="1"/>
  <c r="I2363" i="1"/>
  <c r="A2364" i="1"/>
  <c r="F2364" i="1"/>
  <c r="G2364" i="1"/>
  <c r="I2364" i="1"/>
  <c r="A2365" i="1"/>
  <c r="F2365" i="1"/>
  <c r="G2365" i="1"/>
  <c r="I2365" i="1"/>
  <c r="A2366" i="1"/>
  <c r="F2366" i="1"/>
  <c r="G2366" i="1"/>
  <c r="I2366" i="1"/>
  <c r="A2367" i="1"/>
  <c r="F2367" i="1"/>
  <c r="G2367" i="1"/>
  <c r="I2367" i="1"/>
  <c r="A2368" i="1"/>
  <c r="F2368" i="1"/>
  <c r="G2368" i="1"/>
  <c r="I2368" i="1"/>
  <c r="A2369" i="1"/>
  <c r="F2369" i="1"/>
  <c r="G2369" i="1"/>
  <c r="I2369" i="1"/>
  <c r="A2370" i="1"/>
  <c r="F2370" i="1"/>
  <c r="G2370" i="1"/>
  <c r="I2370" i="1"/>
  <c r="A2371" i="1"/>
  <c r="F2371" i="1"/>
  <c r="G2371" i="1"/>
  <c r="I2371" i="1"/>
  <c r="A2372" i="1"/>
  <c r="F2372" i="1"/>
  <c r="G2372" i="1"/>
  <c r="I2372" i="1"/>
  <c r="A2373" i="1"/>
  <c r="F2373" i="1"/>
  <c r="G2373" i="1"/>
  <c r="I2373" i="1"/>
  <c r="A2374" i="1"/>
  <c r="F2374" i="1"/>
  <c r="G2374" i="1"/>
  <c r="I2374" i="1"/>
  <c r="A2375" i="1"/>
  <c r="F2375" i="1"/>
  <c r="G2375" i="1"/>
  <c r="I2375" i="1"/>
  <c r="A2376" i="1"/>
  <c r="F2376" i="1"/>
  <c r="G2376" i="1"/>
  <c r="I2376" i="1"/>
  <c r="A2377" i="1"/>
  <c r="F2377" i="1"/>
  <c r="G2377" i="1"/>
  <c r="I2377" i="1"/>
  <c r="A2378" i="1"/>
  <c r="F2378" i="1"/>
  <c r="G2378" i="1"/>
  <c r="I2378" i="1"/>
  <c r="A2379" i="1"/>
  <c r="F2379" i="1"/>
  <c r="G2379" i="1"/>
  <c r="I2379" i="1"/>
  <c r="A2380" i="1"/>
  <c r="F2380" i="1"/>
  <c r="G2380" i="1"/>
  <c r="I2380" i="1"/>
  <c r="A2381" i="1"/>
  <c r="F2381" i="1"/>
  <c r="G2381" i="1"/>
  <c r="I2381" i="1"/>
  <c r="A2382" i="1"/>
  <c r="F2382" i="1"/>
  <c r="G2382" i="1"/>
  <c r="I2382" i="1"/>
  <c r="A2383" i="1"/>
  <c r="F2383" i="1"/>
  <c r="G2383" i="1"/>
  <c r="I2383" i="1"/>
  <c r="A2384" i="1"/>
  <c r="F2384" i="1"/>
  <c r="G2384" i="1"/>
  <c r="I2384" i="1"/>
  <c r="A2385" i="1"/>
  <c r="F2385" i="1"/>
  <c r="G2385" i="1"/>
  <c r="I2385" i="1"/>
  <c r="A2386" i="1"/>
  <c r="F2386" i="1"/>
  <c r="G2386" i="1"/>
  <c r="I2386" i="1"/>
  <c r="A2387" i="1"/>
  <c r="F2387" i="1"/>
  <c r="G2387" i="1"/>
  <c r="I2387" i="1"/>
  <c r="A2388" i="1"/>
  <c r="F2388" i="1"/>
  <c r="G2388" i="1"/>
  <c r="I2388" i="1"/>
  <c r="A2389" i="1"/>
  <c r="F2389" i="1"/>
  <c r="G2389" i="1"/>
  <c r="I2389" i="1"/>
  <c r="A2390" i="1"/>
  <c r="F2390" i="1"/>
  <c r="G2390" i="1"/>
  <c r="I2390" i="1"/>
  <c r="A2391" i="1"/>
  <c r="F2391" i="1"/>
  <c r="G2391" i="1"/>
  <c r="I2391" i="1"/>
  <c r="A2392" i="1"/>
  <c r="F2392" i="1"/>
  <c r="G2392" i="1"/>
  <c r="I2392" i="1"/>
  <c r="A2393" i="1"/>
  <c r="F2393" i="1"/>
  <c r="G2393" i="1"/>
  <c r="I2393" i="1"/>
  <c r="A2394" i="1"/>
  <c r="F2394" i="1"/>
  <c r="G2394" i="1"/>
  <c r="I2394" i="1"/>
  <c r="A2395" i="1"/>
  <c r="F2395" i="1"/>
  <c r="G2395" i="1"/>
  <c r="I2395" i="1"/>
  <c r="A2396" i="1"/>
  <c r="F2396" i="1"/>
  <c r="G2396" i="1"/>
  <c r="I2396" i="1"/>
  <c r="A2397" i="1"/>
  <c r="F2397" i="1"/>
  <c r="G2397" i="1"/>
  <c r="I2397" i="1"/>
  <c r="A2398" i="1"/>
  <c r="F2398" i="1"/>
  <c r="G2398" i="1"/>
  <c r="I2398" i="1"/>
  <c r="A2399" i="1"/>
  <c r="F2399" i="1"/>
  <c r="G2399" i="1"/>
  <c r="I2399" i="1"/>
  <c r="A2400" i="1"/>
  <c r="F2400" i="1"/>
  <c r="G2400" i="1"/>
  <c r="I2400" i="1"/>
  <c r="A2401" i="1"/>
  <c r="F2401" i="1"/>
  <c r="G2401" i="1"/>
  <c r="I2401" i="1"/>
  <c r="A2402" i="1"/>
  <c r="F2402" i="1"/>
  <c r="G2402" i="1"/>
  <c r="I2402" i="1"/>
  <c r="A2403" i="1"/>
  <c r="F2403" i="1"/>
  <c r="G2403" i="1"/>
  <c r="I2403" i="1"/>
  <c r="A2404" i="1"/>
  <c r="F2404" i="1"/>
  <c r="G2404" i="1"/>
  <c r="I2404" i="1"/>
  <c r="A2405" i="1"/>
  <c r="F2405" i="1"/>
  <c r="G2405" i="1"/>
  <c r="I2405" i="1"/>
  <c r="A2406" i="1"/>
  <c r="F2406" i="1"/>
  <c r="G2406" i="1"/>
  <c r="I2406" i="1"/>
  <c r="A2407" i="1"/>
  <c r="F2407" i="1"/>
  <c r="G2407" i="1"/>
  <c r="I2407" i="1"/>
  <c r="A2408" i="1"/>
  <c r="F2408" i="1"/>
  <c r="G2408" i="1"/>
  <c r="I2408" i="1"/>
  <c r="A2409" i="1"/>
  <c r="F2409" i="1"/>
  <c r="G2409" i="1"/>
  <c r="I2409" i="1"/>
  <c r="A2410" i="1"/>
  <c r="F2410" i="1"/>
  <c r="G2410" i="1"/>
  <c r="I2410" i="1"/>
  <c r="A2411" i="1"/>
  <c r="F2411" i="1"/>
  <c r="G2411" i="1"/>
  <c r="I2411" i="1"/>
  <c r="A2412" i="1"/>
  <c r="F2412" i="1"/>
  <c r="G2412" i="1"/>
  <c r="I2412" i="1"/>
  <c r="A2413" i="1"/>
  <c r="F2413" i="1"/>
  <c r="G2413" i="1"/>
  <c r="I2413" i="1"/>
  <c r="A2414" i="1"/>
  <c r="F2414" i="1"/>
  <c r="G2414" i="1"/>
  <c r="I2414" i="1"/>
  <c r="A2415" i="1"/>
  <c r="F2415" i="1"/>
  <c r="G2415" i="1"/>
  <c r="I2415" i="1"/>
  <c r="A2416" i="1"/>
  <c r="F2416" i="1"/>
  <c r="G2416" i="1"/>
  <c r="I2416" i="1"/>
  <c r="A2417" i="1"/>
  <c r="F2417" i="1"/>
  <c r="G2417" i="1"/>
  <c r="I2417" i="1"/>
  <c r="A2418" i="1"/>
  <c r="F2418" i="1"/>
  <c r="G2418" i="1"/>
  <c r="I2418" i="1"/>
  <c r="A2419" i="1"/>
  <c r="F2419" i="1"/>
  <c r="G2419" i="1"/>
  <c r="I2419" i="1"/>
  <c r="A2420" i="1"/>
  <c r="F2420" i="1"/>
  <c r="G2420" i="1"/>
  <c r="I2420" i="1"/>
  <c r="A2421" i="1"/>
  <c r="F2421" i="1"/>
  <c r="G2421" i="1"/>
  <c r="I2421" i="1"/>
  <c r="A2422" i="1"/>
  <c r="F2422" i="1"/>
  <c r="G2422" i="1"/>
  <c r="I2422" i="1"/>
  <c r="A2423" i="1"/>
  <c r="F2423" i="1"/>
  <c r="G2423" i="1"/>
  <c r="I2423" i="1"/>
  <c r="A2424" i="1"/>
  <c r="F2424" i="1"/>
  <c r="G2424" i="1"/>
  <c r="I2424" i="1"/>
  <c r="A2425" i="1"/>
  <c r="F2425" i="1"/>
  <c r="G2425" i="1"/>
  <c r="I2425" i="1"/>
  <c r="A2426" i="1"/>
  <c r="F2426" i="1"/>
  <c r="G2426" i="1"/>
  <c r="I2426" i="1"/>
  <c r="A2427" i="1"/>
  <c r="F2427" i="1"/>
  <c r="G2427" i="1"/>
  <c r="I2427" i="1"/>
  <c r="A2428" i="1"/>
  <c r="F2428" i="1"/>
  <c r="G2428" i="1"/>
  <c r="I2428" i="1"/>
  <c r="A2429" i="1"/>
  <c r="F2429" i="1"/>
  <c r="G2429" i="1"/>
  <c r="I2429" i="1"/>
  <c r="A2430" i="1"/>
  <c r="F2430" i="1"/>
  <c r="G2430" i="1"/>
  <c r="I2430" i="1"/>
  <c r="A2431" i="1"/>
  <c r="F2431" i="1"/>
  <c r="G2431" i="1"/>
  <c r="I2431" i="1"/>
  <c r="A2432" i="1"/>
  <c r="F2432" i="1"/>
  <c r="G2432" i="1"/>
  <c r="I2432" i="1"/>
  <c r="A2433" i="1"/>
  <c r="F2433" i="1"/>
  <c r="G2433" i="1"/>
  <c r="I2433" i="1"/>
  <c r="A2434" i="1"/>
  <c r="F2434" i="1"/>
  <c r="G2434" i="1"/>
  <c r="I2434" i="1"/>
  <c r="A2435" i="1"/>
  <c r="F2435" i="1"/>
  <c r="G2435" i="1"/>
  <c r="I2435" i="1"/>
  <c r="A2436" i="1"/>
  <c r="F2436" i="1"/>
  <c r="G2436" i="1"/>
  <c r="I2436" i="1"/>
  <c r="A2437" i="1"/>
  <c r="F2437" i="1"/>
  <c r="G2437" i="1"/>
  <c r="I2437" i="1"/>
  <c r="A2438" i="1"/>
  <c r="F2438" i="1"/>
  <c r="G2438" i="1"/>
  <c r="I2438" i="1"/>
  <c r="A2439" i="1"/>
  <c r="F2439" i="1"/>
  <c r="G2439" i="1"/>
  <c r="I2439" i="1"/>
  <c r="A2440" i="1"/>
  <c r="F2440" i="1"/>
  <c r="G2440" i="1"/>
  <c r="I2440" i="1"/>
  <c r="A2441" i="1"/>
  <c r="F2441" i="1"/>
  <c r="G2441" i="1"/>
  <c r="I2441" i="1"/>
  <c r="A2442" i="1"/>
  <c r="F2442" i="1"/>
  <c r="G2442" i="1"/>
  <c r="I2442" i="1"/>
  <c r="A2443" i="1"/>
  <c r="F2443" i="1"/>
  <c r="G2443" i="1"/>
  <c r="I2443" i="1"/>
  <c r="A2444" i="1"/>
  <c r="F2444" i="1"/>
  <c r="G2444" i="1"/>
  <c r="I2444" i="1"/>
  <c r="A2445" i="1"/>
  <c r="F2445" i="1"/>
  <c r="G2445" i="1"/>
  <c r="I2445" i="1"/>
  <c r="A2446" i="1"/>
  <c r="F2446" i="1"/>
  <c r="G2446" i="1"/>
  <c r="I2446" i="1"/>
  <c r="A2447" i="1"/>
  <c r="F2447" i="1"/>
  <c r="G2447" i="1"/>
  <c r="I2447" i="1"/>
  <c r="A2448" i="1"/>
  <c r="F2448" i="1"/>
  <c r="G2448" i="1"/>
  <c r="I2448" i="1"/>
  <c r="A2449" i="1"/>
  <c r="F2449" i="1"/>
  <c r="G2449" i="1"/>
  <c r="I2449" i="1"/>
  <c r="A2450" i="1"/>
  <c r="F2450" i="1"/>
  <c r="G2450" i="1"/>
  <c r="I2450" i="1"/>
  <c r="A2451" i="1"/>
  <c r="F2451" i="1"/>
  <c r="G2451" i="1"/>
  <c r="I2451" i="1"/>
  <c r="A2452" i="1"/>
  <c r="F2452" i="1"/>
  <c r="G2452" i="1"/>
  <c r="I2452" i="1"/>
  <c r="A2453" i="1"/>
  <c r="F2453" i="1"/>
  <c r="G2453" i="1"/>
  <c r="I2453" i="1"/>
  <c r="A2454" i="1"/>
  <c r="F2454" i="1"/>
  <c r="G2454" i="1"/>
  <c r="I2454" i="1"/>
  <c r="A2455" i="1"/>
  <c r="F2455" i="1"/>
  <c r="G2455" i="1"/>
  <c r="I2455" i="1"/>
  <c r="A2456" i="1"/>
  <c r="F2456" i="1"/>
  <c r="G2456" i="1"/>
  <c r="I2456" i="1"/>
  <c r="A2457" i="1"/>
  <c r="F2457" i="1"/>
  <c r="G2457" i="1"/>
  <c r="I2457" i="1"/>
  <c r="A2458" i="1"/>
  <c r="F2458" i="1"/>
  <c r="G2458" i="1"/>
  <c r="I2458" i="1"/>
  <c r="A2459" i="1"/>
  <c r="F2459" i="1"/>
  <c r="G2459" i="1"/>
  <c r="I2459" i="1"/>
  <c r="A2460" i="1"/>
  <c r="F2460" i="1"/>
  <c r="G2460" i="1"/>
  <c r="I2460" i="1"/>
  <c r="A2461" i="1"/>
  <c r="F2461" i="1"/>
  <c r="G2461" i="1"/>
  <c r="I2461" i="1"/>
  <c r="A2462" i="1"/>
  <c r="F2462" i="1"/>
  <c r="G2462" i="1"/>
  <c r="I2462" i="1"/>
  <c r="A2463" i="1"/>
  <c r="F2463" i="1"/>
  <c r="G2463" i="1"/>
  <c r="I2463" i="1"/>
  <c r="A2464" i="1"/>
  <c r="F2464" i="1"/>
  <c r="G2464" i="1"/>
  <c r="I2464" i="1"/>
  <c r="A2465" i="1"/>
  <c r="F2465" i="1"/>
  <c r="G2465" i="1"/>
  <c r="I2465" i="1"/>
  <c r="A2466" i="1"/>
  <c r="F2466" i="1"/>
  <c r="G2466" i="1"/>
  <c r="I2466" i="1"/>
  <c r="A2467" i="1"/>
  <c r="F2467" i="1"/>
  <c r="G2467" i="1"/>
  <c r="I2467" i="1"/>
  <c r="A2468" i="1"/>
  <c r="F2468" i="1"/>
  <c r="G2468" i="1"/>
  <c r="I2468" i="1"/>
  <c r="A2469" i="1"/>
  <c r="F2469" i="1"/>
  <c r="G2469" i="1"/>
  <c r="I2469" i="1"/>
  <c r="A2470" i="1"/>
  <c r="F2470" i="1"/>
  <c r="G2470" i="1"/>
  <c r="I2470" i="1"/>
  <c r="A2471" i="1"/>
  <c r="F2471" i="1"/>
  <c r="G2471" i="1"/>
  <c r="I2471" i="1"/>
  <c r="A2472" i="1"/>
  <c r="F2472" i="1"/>
  <c r="G2472" i="1"/>
  <c r="I2472" i="1"/>
  <c r="A2473" i="1"/>
  <c r="F2473" i="1"/>
  <c r="G2473" i="1"/>
  <c r="I2473" i="1"/>
  <c r="A2474" i="1"/>
  <c r="F2474" i="1"/>
  <c r="G2474" i="1"/>
  <c r="I2474" i="1"/>
  <c r="A2475" i="1"/>
  <c r="F2475" i="1"/>
  <c r="G2475" i="1"/>
  <c r="I2475" i="1"/>
  <c r="A2476" i="1"/>
  <c r="F2476" i="1"/>
  <c r="G2476" i="1"/>
  <c r="I2476" i="1"/>
  <c r="A2477" i="1"/>
  <c r="F2477" i="1"/>
  <c r="G2477" i="1"/>
  <c r="I2477" i="1"/>
  <c r="A2478" i="1"/>
  <c r="F2478" i="1"/>
  <c r="G2478" i="1"/>
  <c r="I2478" i="1"/>
  <c r="A2479" i="1"/>
  <c r="F2479" i="1"/>
  <c r="G2479" i="1"/>
  <c r="I2479" i="1"/>
  <c r="A2480" i="1"/>
  <c r="F2480" i="1"/>
  <c r="G2480" i="1"/>
  <c r="I2480" i="1"/>
  <c r="A2481" i="1"/>
  <c r="F2481" i="1"/>
  <c r="G2481" i="1"/>
  <c r="I2481" i="1"/>
  <c r="A2482" i="1"/>
  <c r="F2482" i="1"/>
  <c r="G2482" i="1"/>
  <c r="I2482" i="1"/>
  <c r="A2483" i="1"/>
  <c r="F2483" i="1"/>
  <c r="G2483" i="1"/>
  <c r="I2483" i="1"/>
  <c r="A2484" i="1"/>
  <c r="F2484" i="1"/>
  <c r="G2484" i="1"/>
  <c r="I2484" i="1"/>
  <c r="A2485" i="1"/>
  <c r="F2485" i="1"/>
  <c r="G2485" i="1"/>
  <c r="I2485" i="1"/>
  <c r="A2486" i="1"/>
  <c r="F2486" i="1"/>
  <c r="G2486" i="1"/>
  <c r="I2486" i="1"/>
  <c r="A2487" i="1"/>
  <c r="F2487" i="1"/>
  <c r="G2487" i="1"/>
  <c r="I2487" i="1"/>
  <c r="A2488" i="1"/>
  <c r="F2488" i="1"/>
  <c r="G2488" i="1"/>
  <c r="I2488" i="1"/>
  <c r="A2489" i="1"/>
  <c r="F2489" i="1"/>
  <c r="G2489" i="1"/>
  <c r="I2489" i="1"/>
  <c r="A2490" i="1"/>
  <c r="F2490" i="1"/>
  <c r="G2490" i="1"/>
  <c r="I2490" i="1"/>
  <c r="A2491" i="1"/>
  <c r="F2491" i="1"/>
  <c r="G2491" i="1"/>
  <c r="I2491" i="1"/>
  <c r="A2492" i="1"/>
  <c r="F2492" i="1"/>
  <c r="G2492" i="1"/>
  <c r="I2492" i="1"/>
  <c r="A2493" i="1"/>
  <c r="F2493" i="1"/>
  <c r="G2493" i="1"/>
  <c r="I2493" i="1"/>
  <c r="A2494" i="1"/>
  <c r="F2494" i="1"/>
  <c r="G2494" i="1"/>
  <c r="I2494" i="1"/>
  <c r="A2495" i="1"/>
  <c r="F2495" i="1"/>
  <c r="G2495" i="1"/>
  <c r="I2495" i="1"/>
  <c r="A2496" i="1"/>
  <c r="F2496" i="1"/>
  <c r="G2496" i="1"/>
  <c r="I2496" i="1"/>
  <c r="A2497" i="1"/>
  <c r="F2497" i="1"/>
  <c r="G2497" i="1"/>
  <c r="I2497" i="1"/>
  <c r="A2498" i="1"/>
  <c r="F2498" i="1"/>
  <c r="G2498" i="1"/>
  <c r="I2498" i="1"/>
  <c r="A2499" i="1"/>
  <c r="F2499" i="1"/>
  <c r="G2499" i="1"/>
  <c r="I2499" i="1"/>
  <c r="A2500" i="1"/>
  <c r="F2500" i="1"/>
  <c r="G2500" i="1"/>
  <c r="I2500" i="1"/>
  <c r="A2501" i="1"/>
  <c r="F2501" i="1"/>
  <c r="G2501" i="1"/>
  <c r="I2501" i="1"/>
  <c r="A2502" i="1"/>
  <c r="F2502" i="1"/>
  <c r="G2502" i="1"/>
  <c r="I2502" i="1"/>
  <c r="A2503" i="1"/>
  <c r="F2503" i="1"/>
  <c r="G2503" i="1"/>
  <c r="I2503" i="1"/>
  <c r="A2504" i="1"/>
  <c r="F2504" i="1"/>
  <c r="G2504" i="1"/>
  <c r="I2504" i="1"/>
  <c r="A2505" i="1"/>
  <c r="F2505" i="1"/>
  <c r="G2505" i="1"/>
  <c r="I2505" i="1"/>
  <c r="A2506" i="1"/>
  <c r="F2506" i="1"/>
  <c r="G2506" i="1"/>
  <c r="I2506" i="1"/>
  <c r="A2507" i="1"/>
  <c r="F2507" i="1"/>
  <c r="G2507" i="1"/>
  <c r="I2507" i="1"/>
  <c r="A2508" i="1"/>
  <c r="F2508" i="1"/>
  <c r="G2508" i="1"/>
  <c r="I2508" i="1"/>
  <c r="A2509" i="1"/>
  <c r="F2509" i="1"/>
  <c r="G2509" i="1"/>
  <c r="I2509" i="1"/>
  <c r="A2510" i="1"/>
  <c r="F2510" i="1"/>
  <c r="G2510" i="1"/>
  <c r="I2510" i="1"/>
  <c r="A2511" i="1"/>
  <c r="F2511" i="1"/>
  <c r="G2511" i="1"/>
  <c r="I2511" i="1"/>
  <c r="A2512" i="1"/>
  <c r="F2512" i="1"/>
  <c r="G2512" i="1"/>
  <c r="I2512" i="1"/>
  <c r="A2513" i="1"/>
  <c r="F2513" i="1"/>
  <c r="G2513" i="1"/>
  <c r="I2513" i="1"/>
  <c r="A2514" i="1"/>
  <c r="F2514" i="1"/>
  <c r="G2514" i="1"/>
  <c r="I2514" i="1"/>
  <c r="A2515" i="1"/>
  <c r="F2515" i="1"/>
  <c r="G2515" i="1"/>
  <c r="I2515" i="1"/>
  <c r="A2516" i="1"/>
  <c r="F2516" i="1"/>
  <c r="G2516" i="1"/>
  <c r="I2516" i="1"/>
  <c r="A2517" i="1"/>
  <c r="F2517" i="1"/>
  <c r="G2517" i="1"/>
  <c r="I2517" i="1"/>
  <c r="A2518" i="1"/>
  <c r="F2518" i="1"/>
  <c r="G2518" i="1"/>
  <c r="I2518" i="1"/>
  <c r="A2519" i="1"/>
  <c r="F2519" i="1"/>
  <c r="G2519" i="1"/>
  <c r="I2519" i="1"/>
  <c r="A2520" i="1"/>
  <c r="F2520" i="1"/>
  <c r="G2520" i="1"/>
  <c r="I2520" i="1"/>
  <c r="A2521" i="1"/>
  <c r="F2521" i="1"/>
  <c r="G2521" i="1"/>
  <c r="I2521" i="1"/>
  <c r="A2522" i="1"/>
  <c r="F2522" i="1"/>
  <c r="G2522" i="1"/>
  <c r="I2522" i="1"/>
  <c r="A2523" i="1"/>
  <c r="F2523" i="1"/>
  <c r="G2523" i="1"/>
  <c r="I2523" i="1"/>
  <c r="A2524" i="1"/>
  <c r="F2524" i="1"/>
  <c r="G2524" i="1"/>
  <c r="I2524" i="1"/>
  <c r="A2525" i="1"/>
  <c r="F2525" i="1"/>
  <c r="G2525" i="1"/>
  <c r="I2525" i="1"/>
  <c r="A2526" i="1"/>
  <c r="F2526" i="1"/>
  <c r="G2526" i="1"/>
  <c r="I2526" i="1"/>
  <c r="A2527" i="1"/>
  <c r="F2527" i="1"/>
  <c r="G2527" i="1"/>
  <c r="I2527" i="1"/>
  <c r="A2528" i="1"/>
  <c r="F2528" i="1"/>
  <c r="G2528" i="1"/>
  <c r="I2528" i="1"/>
  <c r="A2529" i="1"/>
  <c r="F2529" i="1"/>
  <c r="G2529" i="1"/>
  <c r="I2529" i="1"/>
  <c r="A2530" i="1"/>
  <c r="F2530" i="1"/>
  <c r="G2530" i="1"/>
  <c r="I2530" i="1"/>
  <c r="A2531" i="1"/>
  <c r="F2531" i="1"/>
  <c r="G2531" i="1"/>
  <c r="I2531" i="1"/>
  <c r="A2532" i="1"/>
  <c r="F2532" i="1"/>
  <c r="G2532" i="1"/>
  <c r="I2532" i="1"/>
  <c r="A2533" i="1"/>
  <c r="F2533" i="1"/>
  <c r="G2533" i="1"/>
  <c r="I2533" i="1"/>
  <c r="A2534" i="1"/>
  <c r="F2534" i="1"/>
  <c r="G2534" i="1"/>
  <c r="I2534" i="1"/>
  <c r="A2535" i="1"/>
  <c r="F2535" i="1"/>
  <c r="G2535" i="1"/>
  <c r="I2535" i="1"/>
  <c r="A2536" i="1"/>
  <c r="F2536" i="1"/>
  <c r="G2536" i="1"/>
  <c r="I2536" i="1"/>
  <c r="A2537" i="1"/>
  <c r="F2537" i="1"/>
  <c r="G2537" i="1"/>
  <c r="I2537" i="1"/>
  <c r="A2538" i="1"/>
  <c r="F2538" i="1"/>
  <c r="G2538" i="1"/>
  <c r="I2538" i="1"/>
  <c r="A2539" i="1"/>
  <c r="F2539" i="1"/>
  <c r="G2539" i="1"/>
  <c r="I2539" i="1"/>
  <c r="A2540" i="1"/>
  <c r="F2540" i="1"/>
  <c r="G2540" i="1"/>
  <c r="I2540" i="1"/>
  <c r="A2541" i="1"/>
  <c r="F2541" i="1"/>
  <c r="G2541" i="1"/>
  <c r="I2541" i="1"/>
  <c r="A2542" i="1"/>
  <c r="F2542" i="1"/>
  <c r="G2542" i="1"/>
  <c r="I2542" i="1"/>
  <c r="A2543" i="1"/>
  <c r="F2543" i="1"/>
  <c r="G2543" i="1"/>
  <c r="I2543" i="1"/>
  <c r="A2544" i="1"/>
  <c r="F2544" i="1"/>
  <c r="G2544" i="1"/>
  <c r="I2544" i="1"/>
  <c r="A2545" i="1"/>
  <c r="F2545" i="1"/>
  <c r="G2545" i="1"/>
  <c r="I2545" i="1"/>
  <c r="A2546" i="1"/>
  <c r="F2546" i="1"/>
  <c r="G2546" i="1"/>
  <c r="I2546" i="1"/>
  <c r="A2547" i="1"/>
  <c r="F2547" i="1"/>
  <c r="G2547" i="1"/>
  <c r="I2547" i="1"/>
  <c r="A2548" i="1"/>
  <c r="F2548" i="1"/>
  <c r="G2548" i="1"/>
  <c r="I2548" i="1"/>
  <c r="A2549" i="1"/>
  <c r="F2549" i="1"/>
  <c r="G2549" i="1"/>
  <c r="I2549" i="1"/>
  <c r="A2550" i="1"/>
  <c r="F2550" i="1"/>
  <c r="G2550" i="1"/>
  <c r="I2550" i="1"/>
  <c r="A2551" i="1"/>
  <c r="F2551" i="1"/>
  <c r="G2551" i="1"/>
  <c r="I2551" i="1"/>
  <c r="A2552" i="1"/>
  <c r="F2552" i="1"/>
  <c r="G2552" i="1"/>
  <c r="I2552" i="1"/>
  <c r="A2553" i="1"/>
  <c r="F2553" i="1"/>
  <c r="G2553" i="1"/>
  <c r="I2553" i="1"/>
  <c r="A2554" i="1"/>
  <c r="F2554" i="1"/>
  <c r="G2554" i="1"/>
  <c r="I2554" i="1"/>
  <c r="A2555" i="1"/>
  <c r="F2555" i="1"/>
  <c r="G2555" i="1"/>
  <c r="I2555" i="1"/>
  <c r="A2556" i="1"/>
  <c r="F2556" i="1"/>
  <c r="G2556" i="1"/>
  <c r="I2556" i="1"/>
  <c r="A2557" i="1"/>
  <c r="F2557" i="1"/>
  <c r="G2557" i="1"/>
  <c r="I2557" i="1"/>
  <c r="A2558" i="1"/>
  <c r="F2558" i="1"/>
  <c r="G2558" i="1"/>
  <c r="I2558" i="1"/>
  <c r="A2559" i="1"/>
  <c r="F2559" i="1"/>
  <c r="G2559" i="1"/>
  <c r="I2559" i="1"/>
  <c r="A2560" i="1"/>
  <c r="F2560" i="1"/>
  <c r="G2560" i="1"/>
  <c r="I2560" i="1"/>
  <c r="A2561" i="1"/>
  <c r="F2561" i="1"/>
  <c r="G2561" i="1"/>
  <c r="I2561" i="1"/>
  <c r="A2562" i="1"/>
  <c r="F2562" i="1"/>
  <c r="G2562" i="1"/>
  <c r="I2562" i="1"/>
  <c r="A2563" i="1"/>
  <c r="F2563" i="1"/>
  <c r="G2563" i="1"/>
  <c r="I2563" i="1"/>
  <c r="A2564" i="1"/>
  <c r="F2564" i="1"/>
  <c r="G2564" i="1"/>
  <c r="I2564" i="1"/>
  <c r="A2565" i="1"/>
  <c r="F2565" i="1"/>
  <c r="G2565" i="1"/>
  <c r="I2565" i="1"/>
  <c r="A2566" i="1"/>
  <c r="F2566" i="1"/>
  <c r="G2566" i="1"/>
  <c r="I2566" i="1"/>
  <c r="A2567" i="1"/>
  <c r="F2567" i="1"/>
  <c r="G2567" i="1"/>
  <c r="I2567" i="1"/>
  <c r="A2568" i="1"/>
  <c r="F2568" i="1"/>
  <c r="G2568" i="1"/>
  <c r="I2568" i="1"/>
  <c r="A2569" i="1"/>
  <c r="F2569" i="1"/>
  <c r="G2569" i="1"/>
  <c r="I2569" i="1"/>
  <c r="A2570" i="1"/>
  <c r="F2570" i="1"/>
  <c r="G2570" i="1"/>
  <c r="I2570" i="1"/>
  <c r="A2571" i="1"/>
  <c r="F2571" i="1"/>
  <c r="G2571" i="1"/>
  <c r="I2571" i="1"/>
  <c r="A2572" i="1"/>
  <c r="F2572" i="1"/>
  <c r="G2572" i="1"/>
  <c r="I2572" i="1"/>
  <c r="A2573" i="1"/>
  <c r="F2573" i="1"/>
  <c r="G2573" i="1"/>
  <c r="I2573" i="1"/>
  <c r="A2574" i="1"/>
  <c r="F2574" i="1"/>
  <c r="G2574" i="1"/>
  <c r="I2574" i="1"/>
  <c r="A2575" i="1"/>
  <c r="F2575" i="1"/>
  <c r="G2575" i="1"/>
  <c r="I2575" i="1"/>
  <c r="A2576" i="1"/>
  <c r="F2576" i="1"/>
  <c r="G2576" i="1"/>
  <c r="I2576" i="1"/>
  <c r="A2577" i="1"/>
  <c r="F2577" i="1"/>
  <c r="G2577" i="1"/>
  <c r="I2577" i="1"/>
  <c r="A2578" i="1"/>
  <c r="F2578" i="1"/>
  <c r="G2578" i="1"/>
  <c r="I2578" i="1"/>
  <c r="A2579" i="1"/>
  <c r="F2579" i="1"/>
  <c r="G2579" i="1"/>
  <c r="I2579" i="1"/>
  <c r="A2580" i="1"/>
  <c r="F2580" i="1"/>
  <c r="G2580" i="1"/>
  <c r="I2580" i="1"/>
  <c r="A2581" i="1"/>
  <c r="F2581" i="1"/>
  <c r="G2581" i="1"/>
  <c r="I2581" i="1"/>
  <c r="A2582" i="1"/>
  <c r="F2582" i="1"/>
  <c r="G2582" i="1"/>
  <c r="I2582" i="1"/>
  <c r="A2583" i="1"/>
  <c r="F2583" i="1"/>
  <c r="G2583" i="1"/>
  <c r="I2583" i="1"/>
  <c r="A2584" i="1"/>
  <c r="F2584" i="1"/>
  <c r="G2584" i="1"/>
  <c r="I2584" i="1"/>
  <c r="A2585" i="1"/>
  <c r="F2585" i="1"/>
  <c r="G2585" i="1"/>
  <c r="I2585" i="1"/>
  <c r="A2586" i="1"/>
  <c r="F2586" i="1"/>
  <c r="G2586" i="1"/>
  <c r="I2586" i="1"/>
  <c r="A2587" i="1"/>
  <c r="F2587" i="1"/>
  <c r="G2587" i="1"/>
  <c r="I2587" i="1"/>
  <c r="A2588" i="1"/>
  <c r="F2588" i="1"/>
  <c r="G2588" i="1"/>
  <c r="I2588" i="1"/>
  <c r="A2589" i="1"/>
  <c r="F2589" i="1"/>
  <c r="G2589" i="1"/>
  <c r="I2589" i="1"/>
  <c r="A2590" i="1"/>
  <c r="F2590" i="1"/>
  <c r="G2590" i="1"/>
  <c r="I2590" i="1"/>
  <c r="A2591" i="1"/>
  <c r="F2591" i="1"/>
  <c r="G2591" i="1"/>
  <c r="I2591" i="1"/>
  <c r="A2592" i="1"/>
  <c r="F2592" i="1"/>
  <c r="G2592" i="1"/>
  <c r="I2592" i="1"/>
  <c r="A2593" i="1"/>
  <c r="F2593" i="1"/>
  <c r="G2593" i="1"/>
  <c r="I2593" i="1"/>
  <c r="A2594" i="1"/>
  <c r="F2594" i="1"/>
  <c r="G2594" i="1"/>
  <c r="I2594" i="1"/>
  <c r="A2595" i="1"/>
  <c r="F2595" i="1"/>
  <c r="G2595" i="1"/>
  <c r="I2595" i="1"/>
  <c r="A2596" i="1"/>
  <c r="F2596" i="1"/>
  <c r="G2596" i="1"/>
  <c r="I2596" i="1"/>
  <c r="A2597" i="1"/>
  <c r="F2597" i="1"/>
  <c r="G2597" i="1"/>
  <c r="I2597" i="1"/>
  <c r="A2598" i="1"/>
  <c r="F2598" i="1"/>
  <c r="G2598" i="1"/>
  <c r="I2598" i="1"/>
  <c r="A2599" i="1"/>
  <c r="F2599" i="1"/>
  <c r="G2599" i="1"/>
  <c r="I2599" i="1"/>
  <c r="A2600" i="1"/>
  <c r="F2600" i="1"/>
  <c r="G2600" i="1"/>
  <c r="I2600" i="1"/>
  <c r="A2601" i="1"/>
  <c r="F2601" i="1"/>
  <c r="G2601" i="1"/>
  <c r="I2601" i="1"/>
  <c r="A2602" i="1"/>
  <c r="F2602" i="1"/>
  <c r="G2602" i="1"/>
  <c r="I2602" i="1"/>
  <c r="A2603" i="1"/>
  <c r="F2603" i="1"/>
  <c r="G2603" i="1"/>
  <c r="I2603" i="1"/>
  <c r="A2604" i="1"/>
  <c r="F2604" i="1"/>
  <c r="G2604" i="1"/>
  <c r="I2604" i="1"/>
  <c r="A2605" i="1"/>
  <c r="F2605" i="1"/>
  <c r="G2605" i="1"/>
  <c r="I2605" i="1"/>
  <c r="A2606" i="1"/>
  <c r="F2606" i="1"/>
  <c r="G2606" i="1"/>
  <c r="I2606" i="1"/>
  <c r="A2607" i="1"/>
  <c r="F2607" i="1"/>
  <c r="G2607" i="1"/>
  <c r="I2607" i="1"/>
  <c r="A2608" i="1"/>
  <c r="F2608" i="1"/>
  <c r="G2608" i="1"/>
  <c r="I2608" i="1"/>
  <c r="A2609" i="1"/>
  <c r="F2609" i="1"/>
  <c r="G2609" i="1"/>
  <c r="I2609" i="1"/>
  <c r="A2610" i="1"/>
  <c r="F2610" i="1"/>
  <c r="G2610" i="1"/>
  <c r="I2610" i="1"/>
  <c r="A2611" i="1"/>
  <c r="F2611" i="1"/>
  <c r="G2611" i="1"/>
  <c r="I2611" i="1"/>
  <c r="A2612" i="1"/>
  <c r="F2612" i="1"/>
  <c r="G2612" i="1"/>
  <c r="I2612" i="1"/>
  <c r="A2613" i="1"/>
  <c r="F2613" i="1"/>
  <c r="G2613" i="1"/>
  <c r="I2613" i="1"/>
  <c r="A2614" i="1"/>
  <c r="F2614" i="1"/>
  <c r="G2614" i="1"/>
  <c r="I2614" i="1"/>
  <c r="A2615" i="1"/>
  <c r="F2615" i="1"/>
  <c r="G2615" i="1"/>
  <c r="I2615" i="1"/>
  <c r="A2616" i="1"/>
  <c r="F2616" i="1"/>
  <c r="G2616" i="1"/>
  <c r="I2616" i="1"/>
  <c r="A2617" i="1"/>
  <c r="F2617" i="1"/>
  <c r="G2617" i="1"/>
  <c r="I2617" i="1"/>
  <c r="A2618" i="1"/>
  <c r="F2618" i="1"/>
  <c r="G2618" i="1"/>
  <c r="I2618" i="1"/>
  <c r="A2619" i="1"/>
  <c r="F2619" i="1"/>
  <c r="G2619" i="1"/>
  <c r="I2619" i="1"/>
  <c r="A2620" i="1"/>
  <c r="F2620" i="1"/>
  <c r="G2620" i="1"/>
  <c r="I2620" i="1"/>
  <c r="A2621" i="1"/>
  <c r="F2621" i="1"/>
  <c r="G2621" i="1"/>
  <c r="I2621" i="1"/>
  <c r="A2622" i="1"/>
  <c r="F2622" i="1"/>
  <c r="G2622" i="1"/>
  <c r="I2622" i="1"/>
  <c r="A2623" i="1"/>
  <c r="F2623" i="1"/>
  <c r="G2623" i="1"/>
  <c r="I2623" i="1"/>
  <c r="A2624" i="1"/>
  <c r="F2624" i="1"/>
  <c r="G2624" i="1"/>
  <c r="I2624" i="1"/>
  <c r="A2625" i="1"/>
  <c r="F2625" i="1"/>
  <c r="G2625" i="1"/>
  <c r="I2625" i="1"/>
  <c r="A2626" i="1"/>
  <c r="F2626" i="1"/>
  <c r="G2626" i="1"/>
  <c r="I2626" i="1"/>
  <c r="A2627" i="1"/>
  <c r="F2627" i="1"/>
  <c r="G2627" i="1"/>
  <c r="I2627" i="1"/>
  <c r="A2628" i="1"/>
  <c r="F2628" i="1"/>
  <c r="G2628" i="1"/>
  <c r="I2628" i="1"/>
  <c r="A2629" i="1"/>
  <c r="F2629" i="1"/>
  <c r="G2629" i="1"/>
  <c r="I2629" i="1"/>
  <c r="A2630" i="1"/>
  <c r="F2630" i="1"/>
  <c r="G2630" i="1"/>
  <c r="I2630" i="1"/>
  <c r="A2631" i="1"/>
  <c r="F2631" i="1"/>
  <c r="G2631" i="1"/>
  <c r="I2631" i="1"/>
  <c r="A2632" i="1"/>
  <c r="F2632" i="1"/>
  <c r="G2632" i="1"/>
  <c r="I2632" i="1"/>
  <c r="A2633" i="1"/>
  <c r="F2633" i="1"/>
  <c r="G2633" i="1"/>
  <c r="I2633" i="1"/>
  <c r="A2634" i="1"/>
  <c r="F2634" i="1"/>
  <c r="G2634" i="1"/>
  <c r="I2634" i="1"/>
  <c r="A2635" i="1"/>
  <c r="F2635" i="1"/>
  <c r="G2635" i="1"/>
  <c r="I2635" i="1"/>
  <c r="A2636" i="1"/>
  <c r="F2636" i="1"/>
  <c r="G2636" i="1"/>
  <c r="I2636" i="1"/>
  <c r="A2637" i="1"/>
  <c r="F2637" i="1"/>
  <c r="G2637" i="1"/>
  <c r="I2637" i="1"/>
  <c r="A2638" i="1"/>
  <c r="F2638" i="1"/>
  <c r="G2638" i="1"/>
  <c r="I2638" i="1"/>
  <c r="A2639" i="1"/>
  <c r="F2639" i="1"/>
  <c r="G2639" i="1"/>
  <c r="I2639" i="1"/>
  <c r="A2640" i="1"/>
  <c r="F2640" i="1"/>
  <c r="G2640" i="1"/>
  <c r="I2640" i="1"/>
  <c r="A2641" i="1"/>
  <c r="F2641" i="1"/>
  <c r="G2641" i="1"/>
  <c r="I2641" i="1"/>
  <c r="A2642" i="1"/>
  <c r="F2642" i="1"/>
  <c r="G2642" i="1"/>
  <c r="I2642" i="1"/>
  <c r="A2643" i="1"/>
  <c r="F2643" i="1"/>
  <c r="G2643" i="1"/>
  <c r="I2643" i="1"/>
  <c r="A2644" i="1"/>
  <c r="F2644" i="1"/>
  <c r="G2644" i="1"/>
  <c r="I2644" i="1"/>
  <c r="A2645" i="1"/>
  <c r="F2645" i="1"/>
  <c r="G2645" i="1"/>
  <c r="I2645" i="1"/>
  <c r="A2646" i="1"/>
  <c r="F2646" i="1"/>
  <c r="G2646" i="1"/>
  <c r="I2646" i="1"/>
  <c r="A2647" i="1"/>
  <c r="F2647" i="1"/>
  <c r="G2647" i="1"/>
  <c r="I2647" i="1"/>
  <c r="A2648" i="1"/>
  <c r="F2648" i="1"/>
  <c r="G2648" i="1"/>
  <c r="I2648" i="1"/>
  <c r="A2649" i="1"/>
  <c r="F2649" i="1"/>
  <c r="G2649" i="1"/>
  <c r="I2649" i="1"/>
  <c r="A2650" i="1"/>
  <c r="F2650" i="1"/>
  <c r="G2650" i="1"/>
  <c r="I2650" i="1"/>
  <c r="A2651" i="1"/>
  <c r="F2651" i="1"/>
  <c r="G2651" i="1"/>
  <c r="I2651" i="1"/>
  <c r="A2652" i="1"/>
  <c r="F2652" i="1"/>
  <c r="G2652" i="1"/>
  <c r="I2652" i="1"/>
  <c r="A2653" i="1"/>
  <c r="F2653" i="1"/>
  <c r="G2653" i="1"/>
  <c r="I2653" i="1"/>
  <c r="A2654" i="1"/>
  <c r="F2654" i="1"/>
  <c r="G2654" i="1"/>
  <c r="I2654" i="1"/>
  <c r="A2655" i="1"/>
  <c r="F2655" i="1"/>
  <c r="G2655" i="1"/>
  <c r="I2655" i="1"/>
  <c r="A2656" i="1"/>
  <c r="F2656" i="1"/>
  <c r="G2656" i="1"/>
  <c r="I2656" i="1"/>
  <c r="A2657" i="1"/>
  <c r="F2657" i="1"/>
  <c r="G2657" i="1"/>
  <c r="I2657" i="1"/>
  <c r="A2658" i="1"/>
  <c r="F2658" i="1"/>
  <c r="G2658" i="1"/>
  <c r="I2658" i="1"/>
  <c r="A2659" i="1"/>
  <c r="F2659" i="1"/>
  <c r="G2659" i="1"/>
  <c r="I2659" i="1"/>
  <c r="A2660" i="1"/>
  <c r="F2660" i="1"/>
  <c r="G2660" i="1"/>
  <c r="I2660" i="1"/>
  <c r="A2661" i="1"/>
  <c r="F2661" i="1"/>
  <c r="G2661" i="1"/>
  <c r="I2661" i="1"/>
  <c r="A2662" i="1"/>
  <c r="F2662" i="1"/>
  <c r="G2662" i="1"/>
  <c r="I2662" i="1"/>
  <c r="A2663" i="1"/>
  <c r="F2663" i="1"/>
  <c r="G2663" i="1"/>
  <c r="I2663" i="1"/>
  <c r="A2664" i="1"/>
  <c r="F2664" i="1"/>
  <c r="G2664" i="1"/>
  <c r="I2664" i="1"/>
  <c r="A2665" i="1"/>
  <c r="F2665" i="1"/>
  <c r="G2665" i="1"/>
  <c r="I2665" i="1"/>
  <c r="A2666" i="1"/>
  <c r="F2666" i="1"/>
  <c r="G2666" i="1"/>
  <c r="I2666" i="1"/>
  <c r="A2667" i="1"/>
  <c r="F2667" i="1"/>
  <c r="G2667" i="1"/>
  <c r="I2667" i="1"/>
  <c r="A2668" i="1"/>
  <c r="F2668" i="1"/>
  <c r="G2668" i="1"/>
  <c r="I2668" i="1"/>
  <c r="A2669" i="1"/>
  <c r="F2669" i="1"/>
  <c r="G2669" i="1"/>
  <c r="I2669" i="1"/>
  <c r="A2670" i="1"/>
  <c r="F2670" i="1"/>
  <c r="G2670" i="1"/>
  <c r="I2670" i="1"/>
  <c r="A2671" i="1"/>
  <c r="F2671" i="1"/>
  <c r="G2671" i="1"/>
  <c r="I2671" i="1"/>
  <c r="A2672" i="1"/>
  <c r="F2672" i="1"/>
  <c r="G2672" i="1"/>
  <c r="I2672" i="1"/>
  <c r="A2673" i="1"/>
  <c r="F2673" i="1"/>
  <c r="G2673" i="1"/>
  <c r="I2673" i="1"/>
  <c r="A2674" i="1"/>
  <c r="F2674" i="1"/>
  <c r="G2674" i="1"/>
  <c r="I2674" i="1"/>
  <c r="A2675" i="1"/>
  <c r="F2675" i="1"/>
  <c r="G2675" i="1"/>
  <c r="I2675" i="1"/>
  <c r="A2676" i="1"/>
  <c r="F2676" i="1"/>
  <c r="G2676" i="1"/>
  <c r="I2676" i="1"/>
  <c r="A2677" i="1"/>
  <c r="F2677" i="1"/>
  <c r="G2677" i="1"/>
  <c r="I2677" i="1"/>
  <c r="A2678" i="1"/>
  <c r="F2678" i="1"/>
  <c r="G2678" i="1"/>
  <c r="I2678" i="1"/>
  <c r="A2679" i="1"/>
  <c r="F2679" i="1"/>
  <c r="G2679" i="1"/>
  <c r="I2679" i="1"/>
  <c r="A2680" i="1"/>
  <c r="F2680" i="1"/>
  <c r="G2680" i="1"/>
  <c r="I2680" i="1"/>
  <c r="A2681" i="1"/>
  <c r="F2681" i="1"/>
  <c r="G2681" i="1"/>
  <c r="I2681" i="1"/>
  <c r="A2682" i="1"/>
  <c r="F2682" i="1"/>
  <c r="G2682" i="1"/>
  <c r="I2682" i="1"/>
  <c r="A2683" i="1"/>
  <c r="F2683" i="1"/>
  <c r="G2683" i="1"/>
  <c r="I2683" i="1"/>
  <c r="A2684" i="1"/>
  <c r="F2684" i="1"/>
  <c r="G2684" i="1"/>
  <c r="I2684" i="1"/>
  <c r="A2685" i="1"/>
  <c r="F2685" i="1"/>
  <c r="G2685" i="1"/>
  <c r="I2685" i="1"/>
  <c r="A2686" i="1"/>
  <c r="F2686" i="1"/>
  <c r="G2686" i="1"/>
  <c r="I2686" i="1"/>
  <c r="A2687" i="1"/>
  <c r="F2687" i="1"/>
  <c r="G2687" i="1"/>
  <c r="I2687" i="1"/>
  <c r="A2688" i="1"/>
  <c r="F2688" i="1"/>
  <c r="G2688" i="1"/>
  <c r="I2688" i="1"/>
  <c r="A2689" i="1"/>
  <c r="F2689" i="1"/>
  <c r="G2689" i="1"/>
  <c r="I2689" i="1"/>
  <c r="A2690" i="1"/>
  <c r="F2690" i="1"/>
  <c r="G2690" i="1"/>
  <c r="I2690" i="1"/>
  <c r="A2691" i="1"/>
  <c r="F2691" i="1"/>
  <c r="G2691" i="1"/>
  <c r="I2691" i="1"/>
  <c r="A2692" i="1"/>
  <c r="F2692" i="1"/>
  <c r="G2692" i="1"/>
  <c r="I2692" i="1"/>
  <c r="A2693" i="1"/>
  <c r="F2693" i="1"/>
  <c r="G2693" i="1"/>
  <c r="I2693" i="1"/>
  <c r="A2694" i="1"/>
  <c r="F2694" i="1"/>
  <c r="G2694" i="1"/>
  <c r="I2694" i="1"/>
  <c r="A2695" i="1"/>
  <c r="F2695" i="1"/>
  <c r="G2695" i="1"/>
  <c r="I2695" i="1"/>
  <c r="A2696" i="1"/>
  <c r="F2696" i="1"/>
  <c r="G2696" i="1"/>
  <c r="I2696" i="1"/>
  <c r="A2697" i="1"/>
  <c r="F2697" i="1"/>
  <c r="G2697" i="1"/>
  <c r="I2697" i="1"/>
  <c r="A2698" i="1"/>
  <c r="F2698" i="1"/>
  <c r="G2698" i="1"/>
  <c r="I2698" i="1"/>
  <c r="A2699" i="1"/>
  <c r="F2699" i="1"/>
  <c r="G2699" i="1"/>
  <c r="I2699" i="1"/>
  <c r="A2700" i="1"/>
  <c r="F2700" i="1"/>
  <c r="G2700" i="1"/>
  <c r="I2700" i="1"/>
  <c r="A2701" i="1"/>
  <c r="F2701" i="1"/>
  <c r="G2701" i="1"/>
  <c r="I2701" i="1"/>
  <c r="A2702" i="1"/>
  <c r="F2702" i="1"/>
  <c r="G2702" i="1"/>
  <c r="I2702" i="1"/>
  <c r="A2703" i="1"/>
  <c r="F2703" i="1"/>
  <c r="G2703" i="1"/>
  <c r="I2703" i="1"/>
  <c r="A2704" i="1"/>
  <c r="F2704" i="1"/>
  <c r="G2704" i="1"/>
  <c r="I2704" i="1"/>
  <c r="A2705" i="1"/>
  <c r="F2705" i="1"/>
  <c r="G2705" i="1"/>
  <c r="I2705" i="1"/>
  <c r="A2706" i="1"/>
  <c r="F2706" i="1"/>
  <c r="G2706" i="1"/>
  <c r="I2706" i="1"/>
  <c r="A2707" i="1"/>
  <c r="F2707" i="1"/>
  <c r="G2707" i="1"/>
  <c r="I2707" i="1"/>
  <c r="A2708" i="1"/>
  <c r="F2708" i="1"/>
  <c r="G2708" i="1"/>
  <c r="I2708" i="1"/>
  <c r="A2709" i="1"/>
  <c r="F2709" i="1"/>
  <c r="G2709" i="1"/>
  <c r="I2709" i="1"/>
  <c r="A2710" i="1"/>
  <c r="F2710" i="1"/>
  <c r="G2710" i="1"/>
  <c r="I2710" i="1"/>
  <c r="A2711" i="1"/>
  <c r="F2711" i="1"/>
  <c r="G2711" i="1"/>
  <c r="I2711" i="1"/>
  <c r="A2712" i="1"/>
  <c r="F2712" i="1"/>
  <c r="G2712" i="1"/>
  <c r="I2712" i="1"/>
  <c r="A2713" i="1"/>
  <c r="F2713" i="1"/>
  <c r="G2713" i="1"/>
  <c r="I2713" i="1"/>
  <c r="A2714" i="1"/>
  <c r="F2714" i="1"/>
  <c r="G2714" i="1"/>
  <c r="I2714" i="1"/>
  <c r="A2715" i="1"/>
  <c r="F2715" i="1"/>
  <c r="G2715" i="1"/>
  <c r="I2715" i="1"/>
  <c r="A2716" i="1"/>
  <c r="F2716" i="1"/>
  <c r="G2716" i="1"/>
  <c r="I2716" i="1"/>
  <c r="A2717" i="1"/>
  <c r="F2717" i="1"/>
  <c r="G2717" i="1"/>
  <c r="I2717" i="1"/>
  <c r="A2718" i="1"/>
  <c r="F2718" i="1"/>
  <c r="G2718" i="1"/>
  <c r="I2718" i="1"/>
  <c r="A2719" i="1"/>
  <c r="F2719" i="1"/>
  <c r="G2719" i="1"/>
  <c r="I2719" i="1"/>
  <c r="A2720" i="1"/>
  <c r="F2720" i="1"/>
  <c r="G2720" i="1"/>
  <c r="I2720" i="1"/>
  <c r="A2721" i="1"/>
  <c r="F2721" i="1"/>
  <c r="G2721" i="1"/>
  <c r="I2721" i="1"/>
  <c r="A2722" i="1"/>
  <c r="F2722" i="1"/>
  <c r="G2722" i="1"/>
  <c r="I2722" i="1"/>
  <c r="A2723" i="1"/>
  <c r="F2723" i="1"/>
  <c r="G2723" i="1"/>
  <c r="I2723" i="1"/>
  <c r="A2724" i="1"/>
  <c r="F2724" i="1"/>
  <c r="G2724" i="1"/>
  <c r="I2724" i="1"/>
  <c r="A2725" i="1"/>
  <c r="F2725" i="1"/>
  <c r="G2725" i="1"/>
  <c r="I2725" i="1"/>
  <c r="A2726" i="1"/>
  <c r="F2726" i="1"/>
  <c r="G2726" i="1"/>
  <c r="I2726" i="1"/>
  <c r="A2727" i="1"/>
  <c r="F2727" i="1"/>
  <c r="G2727" i="1"/>
  <c r="I2727" i="1"/>
  <c r="A2728" i="1"/>
  <c r="F2728" i="1"/>
  <c r="G2728" i="1"/>
  <c r="I2728" i="1"/>
  <c r="A2729" i="1"/>
  <c r="F2729" i="1"/>
  <c r="G2729" i="1"/>
  <c r="I2729" i="1"/>
  <c r="A2730" i="1"/>
  <c r="F2730" i="1"/>
  <c r="G2730" i="1"/>
  <c r="I2730" i="1"/>
  <c r="A2731" i="1"/>
  <c r="F2731" i="1"/>
  <c r="G2731" i="1"/>
  <c r="I2731" i="1"/>
  <c r="A2732" i="1"/>
  <c r="F2732" i="1"/>
  <c r="G2732" i="1"/>
  <c r="I2732" i="1"/>
  <c r="A2733" i="1"/>
  <c r="F2733" i="1"/>
  <c r="G2733" i="1"/>
  <c r="I2733" i="1"/>
  <c r="A2734" i="1"/>
  <c r="F2734" i="1"/>
  <c r="G2734" i="1"/>
  <c r="I2734" i="1"/>
  <c r="A2735" i="1"/>
  <c r="F2735" i="1"/>
  <c r="G2735" i="1"/>
  <c r="I2735" i="1"/>
  <c r="A2736" i="1"/>
  <c r="F2736" i="1"/>
  <c r="G2736" i="1"/>
  <c r="I2736" i="1"/>
  <c r="A2737" i="1"/>
  <c r="F2737" i="1"/>
  <c r="G2737" i="1"/>
  <c r="I2737" i="1"/>
  <c r="A2738" i="1"/>
  <c r="F2738" i="1"/>
  <c r="G2738" i="1"/>
  <c r="I2738" i="1"/>
  <c r="A2739" i="1"/>
  <c r="F2739" i="1"/>
  <c r="G2739" i="1"/>
  <c r="I2739" i="1"/>
  <c r="A2740" i="1"/>
  <c r="F2740" i="1"/>
  <c r="G2740" i="1"/>
  <c r="I2740" i="1"/>
  <c r="A2741" i="1"/>
  <c r="F2741" i="1"/>
  <c r="G2741" i="1"/>
  <c r="I2741" i="1"/>
  <c r="A2742" i="1"/>
  <c r="F2742" i="1"/>
  <c r="G2742" i="1"/>
  <c r="I2742" i="1"/>
  <c r="A2743" i="1"/>
  <c r="F2743" i="1"/>
  <c r="G2743" i="1"/>
  <c r="I2743" i="1"/>
  <c r="A2744" i="1"/>
  <c r="F2744" i="1"/>
  <c r="G2744" i="1"/>
  <c r="I2744" i="1"/>
  <c r="A2745" i="1"/>
  <c r="F2745" i="1"/>
  <c r="G2745" i="1"/>
  <c r="I2745" i="1"/>
  <c r="A2746" i="1"/>
  <c r="F2746" i="1"/>
  <c r="G2746" i="1"/>
  <c r="I2746" i="1"/>
  <c r="A2747" i="1"/>
  <c r="F2747" i="1"/>
  <c r="G2747" i="1"/>
  <c r="I2747" i="1"/>
  <c r="A2748" i="1"/>
  <c r="F2748" i="1"/>
  <c r="G2748" i="1"/>
  <c r="I2748" i="1"/>
  <c r="A2749" i="1"/>
  <c r="F2749" i="1"/>
  <c r="G2749" i="1"/>
  <c r="I2749" i="1"/>
  <c r="A2750" i="1"/>
  <c r="F2750" i="1"/>
  <c r="G2750" i="1"/>
  <c r="I2750" i="1"/>
  <c r="A2751" i="1"/>
  <c r="F2751" i="1"/>
  <c r="G2751" i="1"/>
  <c r="I2751" i="1"/>
  <c r="A2752" i="1"/>
  <c r="F2752" i="1"/>
  <c r="G2752" i="1"/>
  <c r="I2752" i="1"/>
  <c r="A2753" i="1"/>
  <c r="F2753" i="1"/>
  <c r="G2753" i="1"/>
  <c r="I2753" i="1"/>
  <c r="A2754" i="1"/>
  <c r="F2754" i="1"/>
  <c r="G2754" i="1"/>
  <c r="I2754" i="1"/>
  <c r="A2755" i="1"/>
  <c r="F2755" i="1"/>
  <c r="G2755" i="1"/>
  <c r="I2755" i="1"/>
  <c r="A2756" i="1"/>
  <c r="F2756" i="1"/>
  <c r="G2756" i="1"/>
  <c r="I2756" i="1"/>
  <c r="A2757" i="1"/>
  <c r="F2757" i="1"/>
  <c r="G2757" i="1"/>
  <c r="I2757" i="1"/>
  <c r="A2758" i="1"/>
  <c r="F2758" i="1"/>
  <c r="G2758" i="1"/>
  <c r="I2758" i="1"/>
  <c r="A2759" i="1"/>
  <c r="F2759" i="1"/>
  <c r="G2759" i="1"/>
  <c r="I2759" i="1"/>
  <c r="A2760" i="1"/>
  <c r="F2760" i="1"/>
  <c r="G2760" i="1"/>
  <c r="I2760" i="1"/>
  <c r="A2761" i="1"/>
  <c r="F2761" i="1"/>
  <c r="G2761" i="1"/>
  <c r="I2761" i="1"/>
  <c r="A2762" i="1"/>
  <c r="F2762" i="1"/>
  <c r="G2762" i="1"/>
  <c r="I2762" i="1"/>
  <c r="A2763" i="1"/>
  <c r="F2763" i="1"/>
  <c r="G2763" i="1"/>
  <c r="I2763" i="1"/>
  <c r="A2764" i="1"/>
  <c r="F2764" i="1"/>
  <c r="G2764" i="1"/>
  <c r="I2764" i="1"/>
  <c r="A2765" i="1"/>
  <c r="F2765" i="1"/>
  <c r="G2765" i="1"/>
  <c r="I2765" i="1"/>
  <c r="A2766" i="1"/>
  <c r="F2766" i="1"/>
  <c r="G2766" i="1"/>
  <c r="I2766" i="1"/>
  <c r="A2767" i="1"/>
  <c r="F2767" i="1"/>
  <c r="G2767" i="1"/>
  <c r="I2767" i="1"/>
  <c r="A2768" i="1"/>
  <c r="F2768" i="1"/>
  <c r="G2768" i="1"/>
  <c r="I2768" i="1"/>
  <c r="A2769" i="1"/>
  <c r="F2769" i="1"/>
  <c r="G2769" i="1"/>
  <c r="I2769" i="1"/>
  <c r="A2770" i="1"/>
  <c r="F2770" i="1"/>
  <c r="G2770" i="1"/>
  <c r="I2770" i="1"/>
  <c r="A2771" i="1"/>
  <c r="F2771" i="1"/>
  <c r="G2771" i="1"/>
  <c r="I2771" i="1"/>
  <c r="A2772" i="1"/>
  <c r="F2772" i="1"/>
  <c r="G2772" i="1"/>
  <c r="I2772" i="1"/>
  <c r="A2773" i="1"/>
  <c r="F2773" i="1"/>
  <c r="G2773" i="1"/>
  <c r="I2773" i="1"/>
  <c r="A2774" i="1"/>
  <c r="F2774" i="1"/>
  <c r="G2774" i="1"/>
  <c r="I2774" i="1"/>
  <c r="A2775" i="1"/>
  <c r="F2775" i="1"/>
  <c r="G2775" i="1"/>
  <c r="I2775" i="1"/>
  <c r="A2776" i="1"/>
  <c r="F2776" i="1"/>
  <c r="G2776" i="1"/>
  <c r="I2776" i="1"/>
  <c r="A2777" i="1"/>
  <c r="F2777" i="1"/>
  <c r="G2777" i="1"/>
  <c r="I2777" i="1"/>
  <c r="A2778" i="1"/>
  <c r="F2778" i="1"/>
  <c r="G2778" i="1"/>
  <c r="I2778" i="1"/>
  <c r="A2779" i="1"/>
  <c r="F2779" i="1"/>
  <c r="G2779" i="1"/>
  <c r="I2779" i="1"/>
  <c r="A2780" i="1"/>
  <c r="F2780" i="1"/>
  <c r="G2780" i="1"/>
  <c r="I2780" i="1"/>
  <c r="A2781" i="1"/>
  <c r="F2781" i="1"/>
  <c r="G2781" i="1"/>
  <c r="I2781" i="1"/>
  <c r="A2782" i="1"/>
  <c r="F2782" i="1"/>
  <c r="G2782" i="1"/>
  <c r="I2782" i="1"/>
  <c r="A2783" i="1"/>
  <c r="F2783" i="1"/>
  <c r="G2783" i="1"/>
  <c r="I2783" i="1"/>
  <c r="A2784" i="1"/>
  <c r="F2784" i="1"/>
  <c r="G2784" i="1"/>
  <c r="I2784" i="1"/>
  <c r="A2785" i="1"/>
  <c r="F2785" i="1"/>
  <c r="G2785" i="1"/>
  <c r="I2785" i="1"/>
  <c r="A2786" i="1"/>
  <c r="F2786" i="1"/>
  <c r="G2786" i="1"/>
  <c r="I2786" i="1"/>
  <c r="A2787" i="1"/>
  <c r="F2787" i="1"/>
  <c r="G2787" i="1"/>
  <c r="I2787" i="1"/>
  <c r="A2788" i="1"/>
  <c r="F2788" i="1"/>
  <c r="G2788" i="1"/>
  <c r="I2788" i="1"/>
  <c r="A2789" i="1"/>
  <c r="F2789" i="1"/>
  <c r="G2789" i="1"/>
  <c r="I2789" i="1"/>
  <c r="A2790" i="1"/>
  <c r="F2790" i="1"/>
  <c r="G2790" i="1"/>
  <c r="I2790" i="1"/>
  <c r="A2791" i="1"/>
  <c r="F2791" i="1"/>
  <c r="G2791" i="1"/>
  <c r="I2791" i="1"/>
  <c r="A2792" i="1"/>
  <c r="F2792" i="1"/>
  <c r="G2792" i="1"/>
  <c r="I2792" i="1"/>
  <c r="A2793" i="1"/>
  <c r="F2793" i="1"/>
  <c r="G2793" i="1"/>
  <c r="I2793" i="1"/>
  <c r="A2794" i="1"/>
  <c r="F2794" i="1"/>
  <c r="G2794" i="1"/>
  <c r="I2794" i="1"/>
  <c r="A2795" i="1"/>
  <c r="F2795" i="1"/>
  <c r="G2795" i="1"/>
  <c r="I2795" i="1"/>
  <c r="A2796" i="1"/>
  <c r="F2796" i="1"/>
  <c r="G2796" i="1"/>
  <c r="I2796" i="1"/>
  <c r="A2797" i="1"/>
  <c r="F2797" i="1"/>
  <c r="G2797" i="1"/>
  <c r="I2797" i="1"/>
  <c r="A2798" i="1"/>
  <c r="F2798" i="1"/>
  <c r="G2798" i="1"/>
  <c r="I2798" i="1"/>
  <c r="A2799" i="1"/>
  <c r="F2799" i="1"/>
  <c r="G2799" i="1"/>
  <c r="I2799" i="1"/>
  <c r="A2800" i="1"/>
  <c r="F2800" i="1"/>
  <c r="G2800" i="1"/>
  <c r="I2800" i="1"/>
  <c r="A2801" i="1"/>
  <c r="F2801" i="1"/>
  <c r="G2801" i="1"/>
  <c r="I2801" i="1"/>
  <c r="A2802" i="1"/>
  <c r="F2802" i="1"/>
  <c r="G2802" i="1"/>
  <c r="A2803" i="1"/>
  <c r="F2803" i="1"/>
  <c r="G2803" i="1"/>
  <c r="I2803" i="1"/>
  <c r="A2804" i="1"/>
  <c r="F2804" i="1"/>
  <c r="G2804" i="1"/>
  <c r="I2804" i="1"/>
  <c r="A2805" i="1"/>
  <c r="F2805" i="1"/>
  <c r="G2805" i="1"/>
  <c r="I2805" i="1"/>
  <c r="A2806" i="1"/>
  <c r="F2806" i="1"/>
  <c r="G2806" i="1"/>
  <c r="I2806" i="1"/>
  <c r="A2807" i="1"/>
  <c r="F2807" i="1"/>
  <c r="G2807" i="1"/>
  <c r="I2807" i="1"/>
  <c r="A2808" i="1"/>
  <c r="F2808" i="1"/>
  <c r="G2808" i="1"/>
  <c r="I2808" i="1"/>
  <c r="A2809" i="1"/>
  <c r="F2809" i="1"/>
  <c r="G2809" i="1"/>
  <c r="I2809" i="1"/>
  <c r="A2810" i="1"/>
  <c r="F2810" i="1"/>
  <c r="G2810" i="1"/>
  <c r="I2810" i="1"/>
  <c r="A2811" i="1"/>
  <c r="F2811" i="1"/>
  <c r="G2811" i="1"/>
  <c r="I2811" i="1"/>
  <c r="A2812" i="1"/>
  <c r="F2812" i="1"/>
  <c r="G2812" i="1"/>
  <c r="I2812" i="1"/>
  <c r="A2813" i="1"/>
  <c r="F2813" i="1"/>
  <c r="G2813" i="1"/>
  <c r="I2813" i="1"/>
  <c r="A2814" i="1"/>
  <c r="F2814" i="1"/>
  <c r="G2814" i="1"/>
  <c r="I2814" i="1"/>
  <c r="A2815" i="1"/>
  <c r="F2815" i="1"/>
  <c r="G2815" i="1"/>
  <c r="I2815" i="1"/>
  <c r="A2816" i="1"/>
  <c r="F2816" i="1"/>
  <c r="G2816" i="1"/>
  <c r="I2816" i="1"/>
  <c r="A2817" i="1"/>
  <c r="F2817" i="1"/>
  <c r="G2817" i="1"/>
  <c r="I2817" i="1"/>
  <c r="A2818" i="1"/>
  <c r="F2818" i="1"/>
  <c r="G2818" i="1"/>
  <c r="I2818" i="1"/>
  <c r="A2819" i="1"/>
  <c r="F2819" i="1"/>
  <c r="G2819" i="1"/>
  <c r="I2819" i="1"/>
  <c r="A2820" i="1"/>
  <c r="F2820" i="1"/>
  <c r="G2820" i="1"/>
  <c r="I2820" i="1"/>
  <c r="A2821" i="1"/>
  <c r="F2821" i="1"/>
  <c r="G2821" i="1"/>
  <c r="I2821" i="1"/>
  <c r="A2822" i="1"/>
  <c r="F2822" i="1"/>
  <c r="G2822" i="1"/>
  <c r="I2822" i="1"/>
  <c r="A2823" i="1"/>
  <c r="F2823" i="1"/>
  <c r="G2823" i="1"/>
  <c r="I2823" i="1"/>
  <c r="A2824" i="1"/>
  <c r="F2824" i="1"/>
  <c r="G2824" i="1"/>
  <c r="I2824" i="1"/>
  <c r="A2825" i="1"/>
  <c r="F2825" i="1"/>
  <c r="G2825" i="1"/>
  <c r="I2825" i="1"/>
  <c r="A2826" i="1"/>
  <c r="F2826" i="1"/>
  <c r="G2826" i="1"/>
  <c r="I2826" i="1"/>
  <c r="A2827" i="1"/>
  <c r="F2827" i="1"/>
  <c r="G2827" i="1"/>
  <c r="I2827" i="1"/>
  <c r="A2828" i="1"/>
  <c r="F2828" i="1"/>
  <c r="G2828" i="1"/>
  <c r="I2828" i="1"/>
  <c r="A2829" i="1"/>
  <c r="F2829" i="1"/>
  <c r="G2829" i="1"/>
  <c r="I2829" i="1"/>
  <c r="A2830" i="1"/>
  <c r="F2830" i="1"/>
  <c r="G2830" i="1"/>
  <c r="I2830" i="1"/>
  <c r="A2831" i="1"/>
  <c r="F2831" i="1"/>
  <c r="G2831" i="1"/>
  <c r="I2831" i="1"/>
  <c r="A2832" i="1"/>
  <c r="F2832" i="1"/>
  <c r="G2832" i="1"/>
  <c r="I2832" i="1"/>
  <c r="A2833" i="1"/>
  <c r="F2833" i="1"/>
  <c r="G2833" i="1"/>
  <c r="I2833" i="1"/>
  <c r="A2834" i="1"/>
  <c r="F2834" i="1"/>
  <c r="G2834" i="1"/>
  <c r="I2834" i="1"/>
  <c r="A2835" i="1"/>
  <c r="F2835" i="1"/>
  <c r="G2835" i="1"/>
  <c r="I2835" i="1"/>
  <c r="A2836" i="1"/>
  <c r="F2836" i="1"/>
  <c r="G2836" i="1"/>
  <c r="I2836" i="1"/>
  <c r="A2837" i="1"/>
  <c r="F2837" i="1"/>
  <c r="G2837" i="1"/>
  <c r="I2837" i="1"/>
  <c r="A2838" i="1"/>
  <c r="F2838" i="1"/>
  <c r="G2838" i="1"/>
  <c r="I2838" i="1"/>
  <c r="A2839" i="1"/>
  <c r="F2839" i="1"/>
  <c r="G2839" i="1"/>
  <c r="I2839" i="1"/>
  <c r="A2840" i="1"/>
  <c r="F2840" i="1"/>
  <c r="G2840" i="1"/>
  <c r="I2840" i="1"/>
  <c r="A2841" i="1"/>
  <c r="F2841" i="1"/>
  <c r="G2841" i="1"/>
  <c r="A2842" i="1"/>
  <c r="F2842" i="1"/>
  <c r="G2842" i="1"/>
  <c r="I2842" i="1"/>
  <c r="A2843" i="1"/>
  <c r="F2843" i="1"/>
  <c r="G2843" i="1"/>
  <c r="I2843" i="1"/>
  <c r="A2844" i="1"/>
  <c r="F2844" i="1"/>
  <c r="G2844" i="1"/>
  <c r="I2844" i="1"/>
  <c r="A2845" i="1"/>
  <c r="F2845" i="1"/>
  <c r="G2845" i="1"/>
  <c r="I2845" i="1"/>
  <c r="A2846" i="1"/>
  <c r="F2846" i="1"/>
  <c r="G2846" i="1"/>
  <c r="I2846" i="1"/>
  <c r="A2847" i="1"/>
  <c r="F2847" i="1"/>
  <c r="G2847" i="1"/>
  <c r="I2847" i="1"/>
  <c r="A2848" i="1"/>
  <c r="F2848" i="1"/>
  <c r="G2848" i="1"/>
  <c r="I2848" i="1"/>
  <c r="A2849" i="1"/>
  <c r="F2849" i="1"/>
  <c r="G2849" i="1"/>
  <c r="I2849" i="1"/>
  <c r="A2850" i="1"/>
  <c r="F2850" i="1"/>
  <c r="G2850" i="1"/>
  <c r="I2850" i="1"/>
  <c r="A2851" i="1"/>
  <c r="F2851" i="1"/>
  <c r="G2851" i="1"/>
  <c r="I2851" i="1"/>
  <c r="A2852" i="1"/>
  <c r="F2852" i="1"/>
  <c r="G2852" i="1"/>
  <c r="I2852" i="1"/>
  <c r="A2853" i="1"/>
  <c r="F2853" i="1"/>
  <c r="G2853" i="1"/>
  <c r="I2853" i="1"/>
  <c r="A2854" i="1"/>
  <c r="F2854" i="1"/>
  <c r="G2854" i="1"/>
  <c r="I2854" i="1"/>
  <c r="A2855" i="1"/>
  <c r="F2855" i="1"/>
  <c r="G2855" i="1"/>
  <c r="I2855" i="1"/>
  <c r="A2856" i="1"/>
  <c r="F2856" i="1"/>
  <c r="G2856" i="1"/>
  <c r="I2856" i="1"/>
  <c r="A2857" i="1"/>
  <c r="F2857" i="1"/>
  <c r="G2857" i="1"/>
  <c r="I2857" i="1"/>
  <c r="A2858" i="1"/>
  <c r="F2858" i="1"/>
  <c r="G2858" i="1"/>
  <c r="I2858" i="1"/>
  <c r="A2859" i="1"/>
  <c r="F2859" i="1"/>
  <c r="G2859" i="1"/>
  <c r="I2859" i="1"/>
  <c r="A2860" i="1"/>
  <c r="F2860" i="1"/>
  <c r="G2860" i="1"/>
  <c r="I2860" i="1"/>
  <c r="A2861" i="1"/>
  <c r="F2861" i="1"/>
  <c r="G2861" i="1"/>
  <c r="I2861" i="1"/>
  <c r="A2862" i="1"/>
  <c r="F2862" i="1"/>
  <c r="G2862" i="1"/>
  <c r="I2862" i="1"/>
  <c r="A2863" i="1"/>
  <c r="F2863" i="1"/>
  <c r="G2863" i="1"/>
  <c r="I2863" i="1"/>
  <c r="A2864" i="1"/>
  <c r="F2864" i="1"/>
  <c r="G2864" i="1"/>
  <c r="I2864" i="1"/>
  <c r="A2865" i="1"/>
  <c r="F2865" i="1"/>
  <c r="G2865" i="1"/>
  <c r="I2865" i="1"/>
  <c r="A2866" i="1"/>
  <c r="F2866" i="1"/>
  <c r="G2866" i="1"/>
  <c r="I2866" i="1"/>
  <c r="A2867" i="1"/>
  <c r="F2867" i="1"/>
  <c r="G2867" i="1"/>
  <c r="I2867" i="1"/>
  <c r="A2868" i="1"/>
  <c r="F2868" i="1"/>
  <c r="G2868" i="1"/>
  <c r="I2868" i="1"/>
  <c r="A2869" i="1"/>
  <c r="F2869" i="1"/>
  <c r="G2869" i="1"/>
  <c r="I2869" i="1"/>
  <c r="A2870" i="1"/>
  <c r="F2870" i="1"/>
  <c r="G2870" i="1"/>
  <c r="I2870" i="1"/>
  <c r="A2871" i="1"/>
  <c r="F2871" i="1"/>
  <c r="G2871" i="1"/>
  <c r="I2871" i="1"/>
  <c r="A2872" i="1"/>
  <c r="F2872" i="1"/>
  <c r="G2872" i="1"/>
  <c r="I2872" i="1"/>
  <c r="A2873" i="1"/>
  <c r="F2873" i="1"/>
  <c r="G2873" i="1"/>
  <c r="I2873" i="1"/>
  <c r="A2874" i="1"/>
  <c r="F2874" i="1"/>
  <c r="G2874" i="1"/>
  <c r="I2874" i="1"/>
  <c r="A2875" i="1"/>
  <c r="F2875" i="1"/>
  <c r="G2875" i="1"/>
  <c r="I2875" i="1"/>
  <c r="A2876" i="1"/>
  <c r="F2876" i="1"/>
  <c r="G2876" i="1"/>
  <c r="I2876" i="1"/>
  <c r="A2877" i="1"/>
  <c r="F2877" i="1"/>
  <c r="G2877" i="1"/>
  <c r="I2877" i="1"/>
  <c r="A2878" i="1"/>
  <c r="F2878" i="1"/>
  <c r="G2878" i="1"/>
  <c r="I2878" i="1"/>
  <c r="A2879" i="1"/>
  <c r="F2879" i="1"/>
  <c r="G2879" i="1"/>
  <c r="I2879" i="1"/>
  <c r="A2880" i="1"/>
  <c r="F2880" i="1"/>
  <c r="G2880" i="1"/>
  <c r="I2880" i="1"/>
  <c r="A2881" i="1"/>
  <c r="F2881" i="1"/>
  <c r="G2881" i="1"/>
  <c r="I2881" i="1"/>
  <c r="A2882" i="1"/>
  <c r="F2882" i="1"/>
  <c r="G2882" i="1"/>
  <c r="I2882" i="1"/>
  <c r="A2883" i="1"/>
  <c r="F2883" i="1"/>
  <c r="G2883" i="1"/>
  <c r="I2883" i="1"/>
  <c r="A2884" i="1"/>
  <c r="F2884" i="1"/>
  <c r="G2884" i="1"/>
  <c r="I2884" i="1"/>
  <c r="A2885" i="1"/>
  <c r="F2885" i="1"/>
  <c r="G2885" i="1"/>
  <c r="I2885" i="1"/>
</calcChain>
</file>

<file path=xl/sharedStrings.xml><?xml version="1.0" encoding="utf-8"?>
<sst xmlns="http://schemas.openxmlformats.org/spreadsheetml/2006/main" count="728" uniqueCount="559">
  <si>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</si>
  <si>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</si>
  <si>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</si>
  <si>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</si>
  <si>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</si>
  <si>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</si>
  <si>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</si>
  <si>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</si>
  <si>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</si>
  <si>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A RIFKIN CO</t>
  </si>
  <si>
    <t>ALLSHRED INC</t>
  </si>
  <si>
    <t>ARNOLD OIL COMPANY OF AUSTIN LP</t>
  </si>
  <si>
    <t>A.G.ADJUSTMENTS  LTD</t>
  </si>
  <si>
    <t>TIMOTHY HALL</t>
  </si>
  <si>
    <t>ABC LEGAL SERVICES  INC</t>
  </si>
  <si>
    <t>ACES A/C SUPPLY INC</t>
  </si>
  <si>
    <t>PROPHET EQUALITY II-B (ACTON AIV)LP</t>
  </si>
  <si>
    <t>ADAM ROWINS</t>
  </si>
  <si>
    <t>ADENA LEWIS</t>
  </si>
  <si>
    <t>ADVANCED GRAPHIX INC</t>
  </si>
  <si>
    <t>AIA CORPORATION</t>
  </si>
  <si>
    <t>ALAMO  GROUP (TX)  INC</t>
  </si>
  <si>
    <t>ALBERT NEAL PFEIFFER</t>
  </si>
  <si>
    <t>ALLIED SALES CO.</t>
  </si>
  <si>
    <t>S &amp; D PLUMBING-GIDDINGS LLC</t>
  </si>
  <si>
    <t>AMERICAN ASSN OF NOTARIES</t>
  </si>
  <si>
    <t>AMERICAN ELEVATOR INSPECTIONS INC</t>
  </si>
  <si>
    <t>AMERICAN HEALTH SERVICE SALES CORP</t>
  </si>
  <si>
    <t>AMERISOURCEBERGEN</t>
  </si>
  <si>
    <t>ANDERSON &amp; ANDERSON LAW FIRM PC</t>
  </si>
  <si>
    <t>ANDREW LEWIS</t>
  </si>
  <si>
    <t>C APPLEMAN ENT INC</t>
  </si>
  <si>
    <t>APRIL CAMPOS-GODWIN</t>
  </si>
  <si>
    <t>APRIL KUCK</t>
  </si>
  <si>
    <t>AQUA BEVERAGE COMPANY/OZARKA</t>
  </si>
  <si>
    <t>AQUA WATER SUPPLY</t>
  </si>
  <si>
    <t>ARA IMAGING / ST.DAVIDS IMAGING LP</t>
  </si>
  <si>
    <t>ARANSAS COUNTY SHERIFF</t>
  </si>
  <si>
    <t>AT &amp; T</t>
  </si>
  <si>
    <t>AT&amp;T</t>
  </si>
  <si>
    <t>AT&amp;T MOBILITY</t>
  </si>
  <si>
    <t>ATCO INTERNATIONAL</t>
  </si>
  <si>
    <t>AUBAINE SUPPLY COMPANY  INC</t>
  </si>
  <si>
    <t>COX MEDIA GROUP</t>
  </si>
  <si>
    <t>RALPH E BONNELL CIH</t>
  </si>
  <si>
    <t>AUSTIN GASTROENTERLOGY</t>
  </si>
  <si>
    <t>AUSTIN RADIOLOGICAL ASSOC</t>
  </si>
  <si>
    <t>AUSTIN REBUILDERS INC</t>
  </si>
  <si>
    <t>AUSTIN SOUTHWEST ORTHOPAEDIC GROUP</t>
  </si>
  <si>
    <t>AUSTIN TITLE COMPANY</t>
  </si>
  <si>
    <t>="11</t>
  </si>
  <si>
    <t>246"</t>
  </si>
  <si>
    <t>JIM ATTRA INC</t>
  </si>
  <si>
    <t>EMERUS BHS SA THOUSAND OAKS  LLC</t>
  </si>
  <si>
    <t>EDUARDO BARRIENTOS</t>
  </si>
  <si>
    <t>BASIC IDIQ  INC.</t>
  </si>
  <si>
    <t>BASTROP CHAMBER OF COMMERCE</t>
  </si>
  <si>
    <t>BASTROP CNTY SHERIFF'S DEPT</t>
  </si>
  <si>
    <t>="10</t>
  </si>
  <si>
    <t>400"</t>
  </si>
  <si>
    <t>BASTROP COUNTY SHERIFF</t>
  </si>
  <si>
    <t>BASTROP INDEPENDENT SCHOOL DISTRICT</t>
  </si>
  <si>
    <t>BASTROP MEDICAL CLINIC</t>
  </si>
  <si>
    <t>BASTROP PROVIDENCE FUNERAL HOME</t>
  </si>
  <si>
    <t>DAVID H OUTON</t>
  </si>
  <si>
    <t>BEN E KEITH CO.</t>
  </si>
  <si>
    <t>BENJAMIN FOODS  LLC</t>
  </si>
  <si>
    <t>MULTI SERVICE CORP</t>
  </si>
  <si>
    <t>BEXAR COUNTY</t>
  </si>
  <si>
    <t>BICKERSTAFF HEATH DELGADO ACOSTA LL</t>
  </si>
  <si>
    <t>MAURINE MC LEAN</t>
  </si>
  <si>
    <t>BILL'S TRUCK &amp; TRAILER INC</t>
  </si>
  <si>
    <t>BILLY MULLINS</t>
  </si>
  <si>
    <t>BIMBO FOODS INC</t>
  </si>
  <si>
    <t>BLAS J COY JR</t>
  </si>
  <si>
    <t>BLUEBONNET AREA CRIME STOPPERS PROGRAM</t>
  </si>
  <si>
    <t>BLUEBONNET ELECTRIC COOP</t>
  </si>
  <si>
    <t>BLUEBONNET ELECTRIC</t>
  </si>
  <si>
    <t>BLUEBONNET TRAILS MHMR</t>
  </si>
  <si>
    <t>BOB BARKER COMPANY  INC.</t>
  </si>
  <si>
    <t>BOBBY BROWN</t>
  </si>
  <si>
    <t>BRANDON PREWITT</t>
  </si>
  <si>
    <t>LAW OFFICE OF BRYAN W. MCDANIEL  P.C.</t>
  </si>
  <si>
    <t>BUREAU OF VITAL STATISTICS</t>
  </si>
  <si>
    <t>BURNET COUNTY SHERIFF</t>
  </si>
  <si>
    <t>CAD SUPPLIES SPECIALTY</t>
  </si>
  <si>
    <t>CADE BADDERS</t>
  </si>
  <si>
    <t>DAVID &amp; SUSAN MC ADAMS</t>
  </si>
  <si>
    <t>CARD SERVICE CENTER</t>
  </si>
  <si>
    <t>TIB-THE INDEPENDENT BANKERS BANK</t>
  </si>
  <si>
    <t>CASA OF BASTROP COUNTY</t>
  </si>
  <si>
    <t>CASTEEL AUTOMATIC FIRE PROTECT</t>
  </si>
  <si>
    <t>CDW GOVERNMENT INC</t>
  </si>
  <si>
    <t>CEN-TEX MARINE FABRICATORS INC</t>
  </si>
  <si>
    <t>CENTERPOINT ENERGY</t>
  </si>
  <si>
    <t>CENTEX IMAGE DESIGNS</t>
  </si>
  <si>
    <t>CENTEX MATERIALS LLC</t>
  </si>
  <si>
    <t>CENTEX MECHANICAL INC</t>
  </si>
  <si>
    <t>CENTRAL TEXAS AUTOPSY</t>
  </si>
  <si>
    <t>CHARLES ADAMS</t>
  </si>
  <si>
    <t>CHARLES W CARVER</t>
  </si>
  <si>
    <t>CHARLTON POWELL III</t>
  </si>
  <si>
    <t>CHARM-TEX</t>
  </si>
  <si>
    <t>ROBERT J SALDIVAR</t>
  </si>
  <si>
    <t>CHRIS MATT DILLON</t>
  </si>
  <si>
    <t>CHRISTOPHER D  DUGGAN</t>
  </si>
  <si>
    <t>CHRISTOPHER SHIN MD</t>
  </si>
  <si>
    <t>CINDYE WOLFORD</t>
  </si>
  <si>
    <t>CINTAS</t>
  </si>
  <si>
    <t>CINTAS CORPORATION #86</t>
  </si>
  <si>
    <t>CITY OF BASTROP</t>
  </si>
  <si>
    <t>CITY OF ELGIN</t>
  </si>
  <si>
    <t>CITY OF SMITHVILLE</t>
  </si>
  <si>
    <t>CLAY WANECK</t>
  </si>
  <si>
    <t>CLIFFORD POWER SYSTEMS INC</t>
  </si>
  <si>
    <t>CLINICAL PATHOLOGY LABORATORIES INC</t>
  </si>
  <si>
    <t>CODY ALLEN RACHAL</t>
  </si>
  <si>
    <t>GREENWICH INC</t>
  </si>
  <si>
    <t>COMMUNITY COFFEE COMPANY LLC</t>
  </si>
  <si>
    <t>CONTECH ENGINEERED SOLUTIONS INC</t>
  </si>
  <si>
    <t>COVERT CHEVROLET-OLDS</t>
  </si>
  <si>
    <t>CRESSIDA EVELYN KWOLEK  PH. D.</t>
  </si>
  <si>
    <t>CRYSTAL DEAR</t>
  </si>
  <si>
    <t>DALLAS COUNTY CONSTABLE PCT 1</t>
  </si>
  <si>
    <t>DALTON STEVEN DAWSON</t>
  </si>
  <si>
    <t>DAVID B BROOKS</t>
  </si>
  <si>
    <t>DAVID FENSKE SAND &amp; GRAVEL HAULING</t>
  </si>
  <si>
    <t>DAVID GONZALEZ</t>
  </si>
  <si>
    <t>DAVID M COLLINS</t>
  </si>
  <si>
    <t>DAWN ADAMS</t>
  </si>
  <si>
    <t>BHARAV INC.</t>
  </si>
  <si>
    <t>DELL</t>
  </si>
  <si>
    <t>DELL FINANCIAL SERVICES LLC</t>
  </si>
  <si>
    <t>DENNIS HANSLIK</t>
  </si>
  <si>
    <t>DENTRUST DENTAL TX PC</t>
  </si>
  <si>
    <t>DICKENS LOCKSMITH INC</t>
  </si>
  <si>
    <t>DEPARTMENT OF INFORMATION RESOURCES</t>
  </si>
  <si>
    <t>DISPUTE RESOLUTION CENTER</t>
  </si>
  <si>
    <t>DOLLAR GENERAL</t>
  </si>
  <si>
    <t>DON R. YOUNG</t>
  </si>
  <si>
    <t>DONNIE STARK</t>
  </si>
  <si>
    <t>DUNNE &amp; JUAREZ L.L.C.</t>
  </si>
  <si>
    <t>DWIGHT STOCKTON</t>
  </si>
  <si>
    <t>ECOLAB INC</t>
  </si>
  <si>
    <t>EDDIE TAUSCH</t>
  </si>
  <si>
    <t>ELECTION SYSTEMS &amp; SOFTWARE INC</t>
  </si>
  <si>
    <t>ELLIOTT ELECTRIC SUPPLY INC</t>
  </si>
  <si>
    <t>ELSWORTH SHERMAN</t>
  </si>
  <si>
    <t>ENVIRONMENTAL SYSTEMS RESEARCH INSTITUTE  INC</t>
  </si>
  <si>
    <t>ERGON ASPHALT &amp; EMULSIONS INC</t>
  </si>
  <si>
    <t>FACILITY SOLUTIONS GROUP INC</t>
  </si>
  <si>
    <t>BASTROP COUNTY WOMEN'S SHELTER</t>
  </si>
  <si>
    <t>FAMILY CRISIS CENTER</t>
  </si>
  <si>
    <t>FEDERAL EXPRESS</t>
  </si>
  <si>
    <t>FIRST NATIONAL BANK BASTROP</t>
  </si>
  <si>
    <t>FLEET COR TECHNOLOGIES INC</t>
  </si>
  <si>
    <t>FORREST L. SANDERSON</t>
  </si>
  <si>
    <t>EUGENE W BRIGGS JR</t>
  </si>
  <si>
    <t>G &amp; K SERVICES</t>
  </si>
  <si>
    <t>GARLAND T MURLEY</t>
  </si>
  <si>
    <t>GARY DUNCAN</t>
  </si>
  <si>
    <t>GARY E ISELT</t>
  </si>
  <si>
    <t>GOVERNMENTAL COLLECTORS ASSOCIATION OF TEXAS</t>
  </si>
  <si>
    <t>GERMANIA INSURANCE</t>
  </si>
  <si>
    <t>GOES SALES OF TEXAS INC</t>
  </si>
  <si>
    <t>GRAINGER INC</t>
  </si>
  <si>
    <t>GT DISTRIBUTORS  INC.</t>
  </si>
  <si>
    <t>GULF COAST PAPER CO. INC.</t>
  </si>
  <si>
    <t>H &amp; H OIL INC</t>
  </si>
  <si>
    <t>HALFF ASSOCIATES</t>
  </si>
  <si>
    <t>APKR LTD</t>
  </si>
  <si>
    <t>HARRIS COUNTY CONSTABLE PCT 1</t>
  </si>
  <si>
    <t>HAYS CNTY CONSTABLE PCT 5</t>
  </si>
  <si>
    <t>HAYS COUNTY CONSTABLE PCT 2</t>
  </si>
  <si>
    <t>HEADSETS DIRECT INC.</t>
  </si>
  <si>
    <t>HENRY STEEN  JR</t>
  </si>
  <si>
    <t>HERSHCAP BACKHOE &amp; DITCHING INC</t>
  </si>
  <si>
    <t>HIGHWAY INTERDICTION TRAINING SPECIALISTS INC</t>
  </si>
  <si>
    <t>HILLARY LONG</t>
  </si>
  <si>
    <t>BASCOM L HODGES JR</t>
  </si>
  <si>
    <t>HODGSON G ECKEL</t>
  </si>
  <si>
    <t>BD HOLT CO</t>
  </si>
  <si>
    <t>CITIBANK (SOUTH DAKOTA)N.A./THE HOME DEPOT</t>
  </si>
  <si>
    <t>HUDSON ENERGY CORP</t>
  </si>
  <si>
    <t>HUNTER TEDFORD</t>
  </si>
  <si>
    <t>INDIGENT HEALTHCARE SOLUTIONS</t>
  </si>
  <si>
    <t>INSTITUTE OF SUPPLY MANGEMENT</t>
  </si>
  <si>
    <t>INTAB  LLC</t>
  </si>
  <si>
    <t>ALL BATTERY CENTER OF METRO AUSTIN</t>
  </si>
  <si>
    <t>TRIPLE J JACKPOT</t>
  </si>
  <si>
    <t>JACOB WRIGHT</t>
  </si>
  <si>
    <t>JACOB ZEMAN</t>
  </si>
  <si>
    <t>JAMES ERVIN PLUMBING</t>
  </si>
  <si>
    <t>JAMES O. BURKE</t>
  </si>
  <si>
    <t>JAMES PETREE</t>
  </si>
  <si>
    <t>JEFF E HAGEN MD</t>
  </si>
  <si>
    <t>JEFF KINNISON</t>
  </si>
  <si>
    <t>JENKINS &amp; JENKINS LLP</t>
  </si>
  <si>
    <t>JERRY HOFROCK</t>
  </si>
  <si>
    <t>JERRY POWELL</t>
  </si>
  <si>
    <t>JIMMY SHANAHAN</t>
  </si>
  <si>
    <t>JODY BECK</t>
  </si>
  <si>
    <t>JOEY DZIENOWSKI</t>
  </si>
  <si>
    <t>JOHN C KUHN</t>
  </si>
  <si>
    <t>JOHN MCFERRIN</t>
  </si>
  <si>
    <t>JOHN RAMIREZ</t>
  </si>
  <si>
    <t>JOHNNA GRIFFITH</t>
  </si>
  <si>
    <t>JORDAN SCHUBERT</t>
  </si>
  <si>
    <t>JORDAN WEBB</t>
  </si>
  <si>
    <t>JOSEPHINE MORALES</t>
  </si>
  <si>
    <t>BILLY JOSH GILL</t>
  </si>
  <si>
    <t>JOSH MCALISTER</t>
  </si>
  <si>
    <t>JUSTIN MATTHEW FOHN</t>
  </si>
  <si>
    <t>KAREN STARKS</t>
  </si>
  <si>
    <t>KATHY REEVES</t>
  </si>
  <si>
    <t>KELLY-MOORE PAINT COMPANY  INC</t>
  </si>
  <si>
    <t>KENNETH LIMUEL</t>
  </si>
  <si>
    <t>KENT BROUSSARD TOWER RENTAL INC</t>
  </si>
  <si>
    <t>ALLISON ENTERPRISES  INC</t>
  </si>
  <si>
    <t>KLEIBER FORD TRACTOR  INC.</t>
  </si>
  <si>
    <t>KOETTER FIRE PROTECTION</t>
  </si>
  <si>
    <t>KOFILE SOLUTIONS INC</t>
  </si>
  <si>
    <t>LA QUINTA HOLDINGS INC</t>
  </si>
  <si>
    <t>LABATT INSTITUTIONAL SUPPLY CO</t>
  </si>
  <si>
    <t>LAURA MAYFIELD</t>
  </si>
  <si>
    <t>LAUREN CONCRETE INC</t>
  </si>
  <si>
    <t>J. MARQUE MOORE</t>
  </si>
  <si>
    <t>LEE COUNTY WATER SUPPLY CORP</t>
  </si>
  <si>
    <t>LEIGH ANN LEWIS</t>
  </si>
  <si>
    <t>LENNOX INDUSTRIES INC</t>
  </si>
  <si>
    <t>LEXISNEXIS RISK DATA MGMT INC</t>
  </si>
  <si>
    <t>LIBERTY FLAGS INC</t>
  </si>
  <si>
    <t>LIBERTY TIRE RECYCLING</t>
  </si>
  <si>
    <t>LINDA HARMON-TAX ASSESSOR</t>
  </si>
  <si>
    <t>LISA JACKSON</t>
  </si>
  <si>
    <t>LISA M. MIMS</t>
  </si>
  <si>
    <t>LOGAN SCHROEDER</t>
  </si>
  <si>
    <t>LONE STAR CIRCLE OF CARE</t>
  </si>
  <si>
    <t>LONESTAR HOSPITAL MEDICINE ASSOCIATES PA</t>
  </si>
  <si>
    <t>LONGHORN EMERGENCY MEDICAL ASSOC PA</t>
  </si>
  <si>
    <t>LONGHORN INTERNATIONAL TRUCKS LTD</t>
  </si>
  <si>
    <t>LONGHORN MOBILE GLASS SERVICE INC</t>
  </si>
  <si>
    <t>SCOTT BRYANT</t>
  </si>
  <si>
    <t>LOWE'S</t>
  </si>
  <si>
    <t>LYNN PEAVEY CO.</t>
  </si>
  <si>
    <t>MAIL &amp; SIGNS</t>
  </si>
  <si>
    <t>MARIA ANFOSSO</t>
  </si>
  <si>
    <t>MARIA CELESTE COSTLEY</t>
  </si>
  <si>
    <t>MARIDEL BORREGO</t>
  </si>
  <si>
    <t>MARK T MALONE M.D. P.A</t>
  </si>
  <si>
    <t>JOHN W GASPARINI INC</t>
  </si>
  <si>
    <t>MARTIN ORTIZ</t>
  </si>
  <si>
    <t>MARTIN SEGURA GONZALEZ</t>
  </si>
  <si>
    <t>MARY BETH SCOTT</t>
  </si>
  <si>
    <t>MARY GLOVER</t>
  </si>
  <si>
    <t>MATHESON TRI-GAS INC</t>
  </si>
  <si>
    <t>McCOY'S BUILDING SUPPLY CENTER</t>
  </si>
  <si>
    <t>McCREARY  VESELKA  BRAGG &amp; ALLEN P</t>
  </si>
  <si>
    <t>MEDIMPACT HEALTHCARE SYSTEMS INC</t>
  </si>
  <si>
    <t>MELISSA A MEADOR</t>
  </si>
  <si>
    <t>MELVIN EVANS</t>
  </si>
  <si>
    <t>MIKE FORSTNER'S WATERLIFE</t>
  </si>
  <si>
    <t>MILAM COUNTY SHERIFF</t>
  </si>
  <si>
    <t>MILLER UNIFORMS &amp; EMBLEMS</t>
  </si>
  <si>
    <t>ROY JOSE PINA</t>
  </si>
  <si>
    <t>SUSAN STERLING NALLEY</t>
  </si>
  <si>
    <t>DONALD DEWAYNE SNOOTS</t>
  </si>
  <si>
    <t>NICHOLAS RYAN WADLINGTON</t>
  </si>
  <si>
    <t>GINA THERESE SWEENY</t>
  </si>
  <si>
    <t>REBEKAH JEAN HIBBS</t>
  </si>
  <si>
    <t>THOMAS ANTHONY BRISTOLL III</t>
  </si>
  <si>
    <t>APRIL RENEA ALEXANDER</t>
  </si>
  <si>
    <t>NICK ALBERT BUHLER III</t>
  </si>
  <si>
    <t>JERRY LEE HENRICHS</t>
  </si>
  <si>
    <t>JON CRAIG ETHEREDGE</t>
  </si>
  <si>
    <t>MONICA DEPAOLI</t>
  </si>
  <si>
    <t>MONTGOMERY COUNTY CONSTABLE PCT 2</t>
  </si>
  <si>
    <t>MOORE MEDICAL LLC</t>
  </si>
  <si>
    <t>LCR-M LIMITED PARTNERSHIP</t>
  </si>
  <si>
    <t>MOTOROLA INC</t>
  </si>
  <si>
    <t>NALCO COMPANY LLC</t>
  </si>
  <si>
    <t>NATIONAL FOOD GROUP INC</t>
  </si>
  <si>
    <t>JOHN NIXON</t>
  </si>
  <si>
    <t>O'REILLY AUTOMOTIVE  INC.</t>
  </si>
  <si>
    <t>SOUTHERN FOODS GROUP LP</t>
  </si>
  <si>
    <t>OFFICE DEPOT</t>
  </si>
  <si>
    <t>OLDCASTLE MATERIALS TEXAS INC</t>
  </si>
  <si>
    <t>OMNIBASE SERVICES OF TEXAS LP</t>
  </si>
  <si>
    <t>ROGER C OSBORN</t>
  </si>
  <si>
    <t>OTTO MAROSKO</t>
  </si>
  <si>
    <t>ALBERT LOPEZ</t>
  </si>
  <si>
    <t>PAIGE TRACTORS INC</t>
  </si>
  <si>
    <t>SL PARKER PARTNERSHIP LLC</t>
  </si>
  <si>
    <t>PATRICK TYDLACKA</t>
  </si>
  <si>
    <t>PATTERSON  VETERINARY SUPPLY INC</t>
  </si>
  <si>
    <t>PATTILLO  BROWN &amp; HILL   LLP</t>
  </si>
  <si>
    <t>PAUL E ALBRECHT</t>
  </si>
  <si>
    <t>PAUL GRANADO</t>
  </si>
  <si>
    <t>PERDUE  BRANDON  FIELDER  COLLINS &amp; MOTT LLP</t>
  </si>
  <si>
    <t>PETHEALTH SERVICES(USA) INC.</t>
  </si>
  <si>
    <t>PHILIP L HALL</t>
  </si>
  <si>
    <t>PHILIP R DUCLOUX</t>
  </si>
  <si>
    <t>PB PROFESSIONAL SERVICES INC</t>
  </si>
  <si>
    <t>PITNEY BOWES GLOBAL FINANCIAL SERVICES</t>
  </si>
  <si>
    <t>PM WILSON &amp; ASSOCIATES PLLC</t>
  </si>
  <si>
    <t>POLICE TECHNICAL INC</t>
  </si>
  <si>
    <t>PRAETORIAN GROUP INCE</t>
  </si>
  <si>
    <t>POSTMASTER</t>
  </si>
  <si>
    <t>PRAXAIR DISTRIBUTION  INC.</t>
  </si>
  <si>
    <t>ELGIN PROVIDENCE LLC</t>
  </si>
  <si>
    <t>PTS OF AMERICA  LLC</t>
  </si>
  <si>
    <t>AEGEAN LLC</t>
  </si>
  <si>
    <t>QA CONSTRUCTION SERVICES  INC</t>
  </si>
  <si>
    <t>QUILL CORPORATION</t>
  </si>
  <si>
    <t>RACHEL PLATTS</t>
  </si>
  <si>
    <t>RANDALL COURS</t>
  </si>
  <si>
    <t>NESTLE WATERS N AMERICA INC</t>
  </si>
  <si>
    <t>REPUBLIC SERVICES INC BFI WASTE SERVICE</t>
  </si>
  <si>
    <t>REPUBLIC TRUCK SALES   PARTS  &amp; REPAIRS</t>
  </si>
  <si>
    <t>RESERVE ACCOUNT</t>
  </si>
  <si>
    <t>REYNOLDS &amp; KEINARTH</t>
  </si>
  <si>
    <t>RIATA FORD</t>
  </si>
  <si>
    <t>RICOH</t>
  </si>
  <si>
    <t>RICOH USA INC</t>
  </si>
  <si>
    <t>JOEL RIVERA -PEDRAZA</t>
  </si>
  <si>
    <t>ROBERT H MILLER</t>
  </si>
  <si>
    <t>ROBERT MADDEN INDUSTRIES LTD</t>
  </si>
  <si>
    <t>RONALD WOLF</t>
  </si>
  <si>
    <t>ROSE PIETSCH COUNTY CLERK</t>
  </si>
  <si>
    <t>RZ &amp; ASSOCIATES INC</t>
  </si>
  <si>
    <t>SAM'S RADIATOR  INC</t>
  </si>
  <si>
    <t>SAMMY LERMA III MD</t>
  </si>
  <si>
    <t>SCOTT &amp; WHITE CLINIC</t>
  </si>
  <si>
    <t>SECURUS TECHNOLOGIES INC</t>
  </si>
  <si>
    <t>SETON FAMILY OF HOSPITALS</t>
  </si>
  <si>
    <t>SHARON FOERSTER</t>
  </si>
  <si>
    <t>SHARP PROPANE</t>
  </si>
  <si>
    <t>SHERI LYNNE LINDER</t>
  </si>
  <si>
    <t>SHERWIN WILLIAMS CO</t>
  </si>
  <si>
    <t>SIENNA RODRIGUEZ</t>
  </si>
  <si>
    <t>SIGNATURE SMILES</t>
  </si>
  <si>
    <t>SILSBEE FORD</t>
  </si>
  <si>
    <t>SIRCHIE FINGER PRINT LABORATORIES</t>
  </si>
  <si>
    <t>SKYLINE EQUIPMENT INC.</t>
  </si>
  <si>
    <t>SMITH PUMP COMPANY  INC.</t>
  </si>
  <si>
    <t>SMITH SUPPLY CO.  INC.</t>
  </si>
  <si>
    <t>SMITHVILLE AUTO PARTS  INC</t>
  </si>
  <si>
    <t>SOUTHERN TIRE MART LLC</t>
  </si>
  <si>
    <t>SPILLAR CUSTOM HITCHES INC</t>
  </si>
  <si>
    <t>SPOK INC</t>
  </si>
  <si>
    <t>SRIDHAR P REDDY MD PA</t>
  </si>
  <si>
    <t>SSPIBR  LTD</t>
  </si>
  <si>
    <t>ST.DAVID'S CARDIOLOGY PLLC</t>
  </si>
  <si>
    <t>ST.DAVID'S HEALTHCARE PARTNERSHIP</t>
  </si>
  <si>
    <t>STAPLES ADVANTAGE</t>
  </si>
  <si>
    <t>TX COMPTROLLER OF PUBLIC ACCOUNTS</t>
  </si>
  <si>
    <t>STATE OF TEXAS</t>
  </si>
  <si>
    <t>STEGER &amp; BIZZELL ENGINEERING  INC</t>
  </si>
  <si>
    <t>STEPHEN BECK</t>
  </si>
  <si>
    <t>STERICYCLE  INC.</t>
  </si>
  <si>
    <t>STEVE GRANADO</t>
  </si>
  <si>
    <t>SYLVESTER ERMIS</t>
  </si>
  <si>
    <t>TAAO CAPITAL CHAPTER</t>
  </si>
  <si>
    <t>TAVCO SERVICES INC</t>
  </si>
  <si>
    <t>TAYLOR AUTO ELECT.</t>
  </si>
  <si>
    <t>TEEX</t>
  </si>
  <si>
    <t>TEHA</t>
  </si>
  <si>
    <t>TEJAS ELEVATOR COMPANY</t>
  </si>
  <si>
    <t>TELMAGE CARTER</t>
  </si>
  <si>
    <t>TERRI  ROBASON</t>
  </si>
  <si>
    <t>TERRY FLENNIKEN</t>
  </si>
  <si>
    <t>TEXAN EYE  P.A.</t>
  </si>
  <si>
    <t>TEXAS A&amp;M AGRILIFE EXTENSION</t>
  </si>
  <si>
    <t>TEXAS AGGREGATES  LLC</t>
  </si>
  <si>
    <t>TEXAS AMERICAN TITLE COMPANY - INDEPENDENCE TITLE</t>
  </si>
  <si>
    <t>TEXAS ASSOCIATES INSURORS AGENCY</t>
  </si>
  <si>
    <t>TEXAS ASSOCIATION OF COUNTIES</t>
  </si>
  <si>
    <t>TEXAS BLACKLAND HARDWARE</t>
  </si>
  <si>
    <t>TEXAS COLORADO RIVER FLOODPLAIN COALITION</t>
  </si>
  <si>
    <t>TEXAS CORRECTIONAL INDUSTRIES</t>
  </si>
  <si>
    <t>TEXAS CRUSHED STONE CO.</t>
  </si>
  <si>
    <t>TEXAS DEPT OF PUBLIC SAFETY</t>
  </si>
  <si>
    <t>TEXAS DEPT. OF LICENSING</t>
  </si>
  <si>
    <t>TEXAS PARKS &amp; WILDLIFE FUNDS</t>
  </si>
  <si>
    <t>TEXAS POLICE ASSN</t>
  </si>
  <si>
    <t>TEXAS PRISONER TRANSPORTATION DIVISION LLC</t>
  </si>
  <si>
    <t>JAMES ANDREW CASEY</t>
  </si>
  <si>
    <t>RICHARD NELSON MOORE</t>
  </si>
  <si>
    <t>THE PRODUCT CENTER</t>
  </si>
  <si>
    <t>THE TRAVELERS INDEMNITY CO</t>
  </si>
  <si>
    <t>TIM SPARKMAN</t>
  </si>
  <si>
    <t>TWE-ADVANCE/NEWHOUSE PARTNERSHIP</t>
  </si>
  <si>
    <t>TELVA D KESLER</t>
  </si>
  <si>
    <t>DONALD CLOOTEN</t>
  </si>
  <si>
    <t>TRAVIS CO CONSTABLE  PCT 5</t>
  </si>
  <si>
    <t>TRAVIS COUNTY CONSTABLE  PRECINCT #4</t>
  </si>
  <si>
    <t>TRAVIS COUNTY SHERIFF'S</t>
  </si>
  <si>
    <t>TREADMAXX TIRE DISTRIBUTORS  INC.</t>
  </si>
  <si>
    <t>TREY MOORE</t>
  </si>
  <si>
    <t>TRI-COUNTY PRACTICE ASSOCIATION</t>
  </si>
  <si>
    <t>TRIPLE S FUELS</t>
  </si>
  <si>
    <t>TRACTOR SUPPLY CREDIT PLAN</t>
  </si>
  <si>
    <t>TTIA</t>
  </si>
  <si>
    <t>TULL FARLEY</t>
  </si>
  <si>
    <t>HOWARD L COFFMAN</t>
  </si>
  <si>
    <t>TX COMMISSION ON ENVIRONMENTAL QUALITY</t>
  </si>
  <si>
    <t>UNITED STATES TREASURY</t>
  </si>
  <si>
    <t>UPS</t>
  </si>
  <si>
    <t>DEPARTMENT OF STATE HEALTH SERVICES</t>
  </si>
  <si>
    <t>VITALOGY PA</t>
  </si>
  <si>
    <t>VIVIAN PAN</t>
  </si>
  <si>
    <t>W A BAHOT</t>
  </si>
  <si>
    <t>WALLER COUNTY ASPHALT INC</t>
  </si>
  <si>
    <t>WALMART COMMUNITY BRC</t>
  </si>
  <si>
    <t>="002391</t>
  </si>
  <si>
    <t>004535"</t>
  </si>
  <si>
    <t>WASTE MANAGEMENT OF TEXAS INC</t>
  </si>
  <si>
    <t>WATTINGER SERVICE CO INC</t>
  </si>
  <si>
    <t>WIND KNOT INCORPORATED</t>
  </si>
  <si>
    <t>COBRA EQUIPMENT RENTALS</t>
  </si>
  <si>
    <t>RONALD C. CARTER</t>
  </si>
  <si>
    <t>WEI-ANN LIN  MD PA</t>
  </si>
  <si>
    <t>WEST PUBLISHING CORPORATION</t>
  </si>
  <si>
    <t>MAO PHARMACY INC</t>
  </si>
  <si>
    <t>WILLIAM SNEDGRASS</t>
  </si>
  <si>
    <t>WILLIAMSON COUNTY CONSTABLE 3</t>
  </si>
  <si>
    <t>WILLIAMSON COUNTY CONSTABLE 1</t>
  </si>
  <si>
    <t>WINDHAM WEAPONRY INC</t>
  </si>
  <si>
    <t>WJC CONSTRUCTION LLC</t>
  </si>
  <si>
    <t>XEROX CORPORATION</t>
  </si>
  <si>
    <t>1859 HISTORIC HOTELS  LTD</t>
  </si>
  <si>
    <t>YOUNG'S PROFESSIONAL SERVICES LLC</t>
  </si>
  <si>
    <t>ZACHARY CARTER</t>
  </si>
  <si>
    <t>ZBATTERY.COM INC</t>
  </si>
  <si>
    <t>ACUITY SPECIALTY PRODUCTS INC</t>
  </si>
  <si>
    <t>973 MATERIALS  LLC</t>
  </si>
  <si>
    <t>DOUGLAS BERRYANN</t>
  </si>
  <si>
    <t>BROADDUS &amp; ASSOCIATES</t>
  </si>
  <si>
    <t>="PROJ-15</t>
  </si>
  <si>
    <t>659"</t>
  </si>
  <si>
    <t>FERGUSON ENTERPRISES INC</t>
  </si>
  <si>
    <t>GARMENTS TO GO  INC</t>
  </si>
  <si>
    <t>="4010392</t>
  </si>
  <si>
    <t>9152498"</t>
  </si>
  <si>
    <t>LANGFORD COMMUNITY MGMT INC</t>
  </si>
  <si>
    <t>MIDTEX MATERIALS</t>
  </si>
  <si>
    <t>MUSTANG MACHINERY COMPANY LTD</t>
  </si>
  <si>
    <t>PAULINE SPURLOCK</t>
  </si>
  <si>
    <t>SAMES BASTROP FORD INC</t>
  </si>
  <si>
    <t>SPEED FAB-CRETE CORPORATION</t>
  </si>
  <si>
    <t>STATEWIDE MATERIALS TRANSPORT LTD</t>
  </si>
  <si>
    <t>TEXAS A &amp; M FOREST SERVICE</t>
  </si>
  <si>
    <t>TEXAS DIVISION OF EMERGENCY MANAGEMENT</t>
  </si>
  <si>
    <t>TWANETTE DILDINE</t>
  </si>
  <si>
    <t>ALLSTATE-AMERICAN HERITAGE LIFE INS CO</t>
  </si>
  <si>
    <t>BASTROP ASSN OF SHERIFFS EMPLOYEES</t>
  </si>
  <si>
    <t>BASTROP CNTY ADULT PROBATION</t>
  </si>
  <si>
    <t>COLONIAL LIFE &amp; ACCIDENT INS. CO.</t>
  </si>
  <si>
    <t>CUNA MUTUAL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</si>
  <si>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</si>
  <si>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</si>
  <si>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</si>
  <si>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</si>
  <si>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</si>
  <si>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</si>
  <si>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</si>
  <si>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</si>
  <si>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</si>
  <si>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</si>
  <si>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</si>
  <si>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</si>
  <si>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VERITY NATIONAL GROUP</t>
  </si>
  <si>
    <t>ALLSTATE FIRE &amp; CASUALTY INS</t>
  </si>
  <si>
    <t>ANDREA HAIRE</t>
  </si>
  <si>
    <t>ASHLEY MICHELLE TAYLOR</t>
  </si>
  <si>
    <t>BASTROP COUNTY CSCD</t>
  </si>
  <si>
    <t>BASTROP COUNTY TREASURER</t>
  </si>
  <si>
    <t>BERNARD KMIECIK</t>
  </si>
  <si>
    <t>BLUEBONNET AREA CRIMESTOPPERS</t>
  </si>
  <si>
    <t>BRAZOS VALLEY SCHOOL CREDIT UN</t>
  </si>
  <si>
    <t>BRENHAM HOUSING AUTHORITY</t>
  </si>
  <si>
    <t>BRENHAM POLICE DEPARTMENT</t>
  </si>
  <si>
    <t>BRENHAM REPAIR CENTER</t>
  </si>
  <si>
    <t>BRUCE R. FAUST</t>
  </si>
  <si>
    <t>BURLESON COUNTY DISTRICT CLERK</t>
  </si>
  <si>
    <t>BURLESON COUNTY TREASURER</t>
  </si>
  <si>
    <t>BURTON STATE BANK</t>
  </si>
  <si>
    <t>CARGILL</t>
  </si>
  <si>
    <t>CARMINE FEED &amp; FERTILIZER</t>
  </si>
  <si>
    <t>CATHERINE JEAN STEINFELD</t>
  </si>
  <si>
    <t>CENTER DRIVE INN</t>
  </si>
  <si>
    <t>CHECK N GO</t>
  </si>
  <si>
    <t>CITI SECURITY AND INVESTIGATIV</t>
  </si>
  <si>
    <t>CITY OF BRENHAM</t>
  </si>
  <si>
    <t>CLAY NOHAVITZA</t>
  </si>
  <si>
    <t>COLBY ALAN BARHAM</t>
  </si>
  <si>
    <t>CVC ATTORNEY GENERAL</t>
  </si>
  <si>
    <t>DANTE CRENSHAW</t>
  </si>
  <si>
    <t>DAVID HAILE</t>
  </si>
  <si>
    <t>DEBORAH TATUM</t>
  </si>
  <si>
    <t>DR. DUC VAN TRAN</t>
  </si>
  <si>
    <t>ENERGY TRANSFER CO</t>
  </si>
  <si>
    <t>FIRST NATIONAL BANK OF GIDDING</t>
  </si>
  <si>
    <t>FOCUSING FAMILIES</t>
  </si>
  <si>
    <t>FRANK GABRIEL MEUTH</t>
  </si>
  <si>
    <t>GARY &amp; DEBORAH DURHAM</t>
  </si>
  <si>
    <t>GERALD GARTON</t>
  </si>
  <si>
    <t>GOOD LIFE RANCH  LLC</t>
  </si>
  <si>
    <t>GREAT MIDWEST INS CO. ATTN</t>
  </si>
  <si>
    <t>HHSC ARTS (MAIL CODE 1470)</t>
  </si>
  <si>
    <t>ISIAH FRANKLIN</t>
  </si>
  <si>
    <t>JASON DANIEL STOCKTON</t>
  </si>
  <si>
    <t>JB HUNT</t>
  </si>
  <si>
    <t>JEFF SALZGEBER</t>
  </si>
  <si>
    <t>JERRY EDMOND FAMILY WORSHIP CE</t>
  </si>
  <si>
    <t>JESSICA ANDRADE</t>
  </si>
  <si>
    <t>JESSICA MARINELLE CAPULONG</t>
  </si>
  <si>
    <t>JOHNIE D. WILLIAMS</t>
  </si>
  <si>
    <t>KENISTA HOLLOWAY</t>
  </si>
  <si>
    <t>KENNETH LATHAN</t>
  </si>
  <si>
    <t>LEE COUNTY TREASURER</t>
  </si>
  <si>
    <t>LOWE'S COMPANIES  INC***</t>
  </si>
  <si>
    <t>LUIS OROSTIETA  JR.</t>
  </si>
  <si>
    <t>MCCOY'S BUILDING SUPPLIES</t>
  </si>
  <si>
    <t>MICHAEL &amp; ROBIN CROSSLAND</t>
  </si>
  <si>
    <t>MICKEY SMITH</t>
  </si>
  <si>
    <t>MIKE GUTHRIE</t>
  </si>
  <si>
    <t>MIKE HORNE</t>
  </si>
  <si>
    <t>MURPHY USA</t>
  </si>
  <si>
    <t>ORLANDO PADILLA</t>
  </si>
  <si>
    <t>PAMELA BOXX WEATHERALL</t>
  </si>
  <si>
    <t>RAMONA CASTILLO</t>
  </si>
  <si>
    <t>ROBERT DAN BURTTSCHELL</t>
  </si>
  <si>
    <t>ROSCOE STATE BANK</t>
  </si>
  <si>
    <t>SHARON HOLTKAMP</t>
  </si>
  <si>
    <t>SHERWIN SIEGMUND</t>
  </si>
  <si>
    <t>SMITHVILLE HOUSING AUTHORITY</t>
  </si>
  <si>
    <t>SOMERVILLE ISD</t>
  </si>
  <si>
    <t>SPEEDY STOP CORPORATE</t>
  </si>
  <si>
    <t>STACEY NGUYEN</t>
  </si>
  <si>
    <t>STATE FARM LLOYD</t>
  </si>
  <si>
    <t>STEPHANIE ANNE WEHRING</t>
  </si>
  <si>
    <t>STEVEN WAYNE MEDACK</t>
  </si>
  <si>
    <t>STUART ALLAN &amp; ASSOC</t>
  </si>
  <si>
    <t>SYLVIA DELEON</t>
  </si>
  <si>
    <t>TEXAS DPS  RESTITUTION ACCOUNT</t>
  </si>
  <si>
    <t>TEXAS MUNICIPAL LEAGUE</t>
  </si>
  <si>
    <t>TEXAS PARKS AND WILDLIFE C/O S</t>
  </si>
  <si>
    <t>TOOTSIE'S</t>
  </si>
  <si>
    <t>TOP DOLLAR PAWN</t>
  </si>
  <si>
    <t>TRACY JOSEPH ISELT</t>
  </si>
  <si>
    <t>TRAVELERS INSURANCE-PNPCLAIM25</t>
  </si>
  <si>
    <t>WAL-MART RESTITUTION RECOVERY</t>
  </si>
  <si>
    <t>WASHINGTON CO CRIMESTOPPERS</t>
  </si>
  <si>
    <t>WASHINGTON COUNTY DISTRICT CLE</t>
  </si>
  <si>
    <t>WASHINGTON COUNTY EMS</t>
  </si>
  <si>
    <t>WASHINGTON COUNTY TREASURER</t>
  </si>
  <si>
    <t>WILLIAM HOLLE</t>
  </si>
  <si>
    <t>WILLIAM SHUNKWEILER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</si>
</sst>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85"/>
  <sheetViews>
    <sheetView tabSelected="1" workbookViewId="0"/>
  </sheetViews>
  <sheetFormatPr defaultRowHeight="14.4" x14ac:dyDescent="0.3"/>
  <cols>
    <col min="2" max="2" width="49.88671875" bestFit="1" customWidth="1"/>
    <col min="3" max="3" width="7.33203125" bestFit="1" customWidth="1"/>
    <col min="4" max="4" width="12.77734375" style="2" bestFit="1" customWidth="1"/>
    <col min="5" max="5" width="10.5546875" bestFit="1" customWidth="1"/>
    <col min="6" max="6" width="18.21875" bestFit="1" customWidth="1"/>
    <col min="7" max="7" width="32.5546875" bestFit="1" customWidth="1"/>
    <col min="8" max="8" width="30" style="2" bestFit="1" customWidth="1"/>
    <col min="9" max="9" width="32.5546875" bestFit="1" customWidth="1"/>
    <col min="10" max="10" width="7" bestFit="1" customWidth="1"/>
  </cols>
  <sheetData>
    <row r="1" spans="1:9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</row>
    <row r="2" spans="1:9" x14ac:dyDescent="0.3">
      <c r="A2" t="str">
        <f>"004211"</f>
        <v>004211</v>
      </c>
      <c r="B2" t="s">
        <v>9</v>
      </c>
      <c r="C2">
        <v>69891</v>
      </c>
      <c r="D2" s="2">
        <v>4022.37</v>
      </c>
      <c r="E2" s="1">
        <v>42849</v>
      </c>
      <c r="F2" t="str">
        <f>"4168328"</f>
        <v>4168328</v>
      </c>
      <c r="G2" t="str">
        <f>"CUST#M22786/ELECTIONS"</f>
        <v>CUST#M22786/ELECTIONS</v>
      </c>
      <c r="H2" s="2">
        <v>4022.37</v>
      </c>
      <c r="I2" t="str">
        <f>"CUST#M22786/ELECTIONS"</f>
        <v>CUST#M22786/ELECTIONS</v>
      </c>
    </row>
    <row r="3" spans="1:9" x14ac:dyDescent="0.3">
      <c r="A3" t="str">
        <f>"004643"</f>
        <v>004643</v>
      </c>
      <c r="B3" t="s">
        <v>10</v>
      </c>
      <c r="C3">
        <v>69533</v>
      </c>
      <c r="D3" s="2">
        <v>261</v>
      </c>
      <c r="E3" s="1">
        <v>42835</v>
      </c>
      <c r="F3" t="str">
        <f>"618033"</f>
        <v>618033</v>
      </c>
      <c r="G3" t="str">
        <f>"SHREDDING CONTAINERS/OEM"</f>
        <v>SHREDDING CONTAINERS/OEM</v>
      </c>
      <c r="H3" s="2">
        <v>55</v>
      </c>
      <c r="I3" t="str">
        <f>"SHREDDING CONTAINERS/OEM"</f>
        <v>SHREDDING CONTAINERS/OEM</v>
      </c>
    </row>
    <row r="4" spans="1:9" x14ac:dyDescent="0.3">
      <c r="A4" t="str">
        <f>""</f>
        <v/>
      </c>
      <c r="F4" t="str">
        <f>"633944"</f>
        <v>633944</v>
      </c>
      <c r="G4" t="str">
        <f>"INV 633944"</f>
        <v>INV 633944</v>
      </c>
      <c r="H4" s="2">
        <v>103</v>
      </c>
      <c r="I4" t="str">
        <f>"INV 633944"</f>
        <v>INV 633944</v>
      </c>
    </row>
    <row r="5" spans="1:9" x14ac:dyDescent="0.3">
      <c r="A5" t="str">
        <f>""</f>
        <v/>
      </c>
      <c r="F5" t="str">
        <f>""</f>
        <v/>
      </c>
      <c r="G5" t="str">
        <f>""</f>
        <v/>
      </c>
      <c r="I5" t="str">
        <f>"INV 633944"</f>
        <v>INV 633944</v>
      </c>
    </row>
    <row r="6" spans="1:9" x14ac:dyDescent="0.3">
      <c r="A6" t="str">
        <f>""</f>
        <v/>
      </c>
      <c r="F6" t="str">
        <f>"633945"</f>
        <v>633945</v>
      </c>
      <c r="G6" t="str">
        <f>"SHREDDING CONTAINER/TAX OFF"</f>
        <v>SHREDDING CONTAINER/TAX OFF</v>
      </c>
      <c r="H6" s="2">
        <v>51.5</v>
      </c>
      <c r="I6" t="str">
        <f>"SHREDDING CONTAINER/TAX OFF"</f>
        <v>SHREDDING CONTAINER/TAX OFF</v>
      </c>
    </row>
    <row r="7" spans="1:9" x14ac:dyDescent="0.3">
      <c r="A7" t="str">
        <f>""</f>
        <v/>
      </c>
      <c r="F7" t="str">
        <f>"633953"</f>
        <v>633953</v>
      </c>
      <c r="G7" t="str">
        <f>"SHRED SERVICE/JP#4"</f>
        <v>SHRED SERVICE/JP#4</v>
      </c>
      <c r="H7" s="2">
        <v>51.5</v>
      </c>
      <c r="I7" t="str">
        <f>"SHRED SERVICE/JP#4"</f>
        <v>SHRED SERVICE/JP#4</v>
      </c>
    </row>
    <row r="8" spans="1:9" x14ac:dyDescent="0.3">
      <c r="A8" t="str">
        <f>"ALINE"</f>
        <v>ALINE</v>
      </c>
      <c r="B8" t="s">
        <v>11</v>
      </c>
      <c r="C8">
        <v>69929</v>
      </c>
      <c r="D8" s="2">
        <v>217.93</v>
      </c>
      <c r="E8" s="1">
        <v>42849</v>
      </c>
      <c r="F8" t="str">
        <f>"22101/4650308"</f>
        <v>22101/4650308</v>
      </c>
      <c r="G8" t="str">
        <f>"CUST#16500/PCT#4"</f>
        <v>CUST#16500/PCT#4</v>
      </c>
      <c r="H8" s="2">
        <v>217.93</v>
      </c>
      <c r="I8" t="str">
        <f>"CUST#16500/PCT#4"</f>
        <v>CUST#16500/PCT#4</v>
      </c>
    </row>
    <row r="9" spans="1:9" x14ac:dyDescent="0.3">
      <c r="A9" t="str">
        <f>"004988"</f>
        <v>004988</v>
      </c>
      <c r="B9" t="s">
        <v>12</v>
      </c>
      <c r="C9">
        <v>69534</v>
      </c>
      <c r="D9" s="2">
        <v>334.99</v>
      </c>
      <c r="E9" s="1">
        <v>42835</v>
      </c>
      <c r="F9" t="str">
        <f>"201704050634"</f>
        <v>201704050634</v>
      </c>
      <c r="G9" t="str">
        <f>"SPARKLETTS WATER"</f>
        <v>SPARKLETTS WATER</v>
      </c>
      <c r="H9" s="2">
        <v>334.99</v>
      </c>
      <c r="I9" t="str">
        <f>"SPARKLETTS WATER"</f>
        <v>SPARKLETTS WATER</v>
      </c>
    </row>
    <row r="10" spans="1:9" x14ac:dyDescent="0.3">
      <c r="A10" t="str">
        <f>"002048"</f>
        <v>002048</v>
      </c>
      <c r="B10" t="s">
        <v>13</v>
      </c>
      <c r="C10">
        <v>69535</v>
      </c>
      <c r="D10" s="2">
        <v>5342.34</v>
      </c>
      <c r="E10" s="1">
        <v>42835</v>
      </c>
      <c r="F10" t="str">
        <f>"201704060787"</f>
        <v>201704060787</v>
      </c>
      <c r="G10" t="str">
        <f>"BASE/PCT#4"</f>
        <v>BASE/PCT#4</v>
      </c>
      <c r="H10" s="2">
        <v>5342.34</v>
      </c>
      <c r="I10" t="str">
        <f>"BASE/PCT#4"</f>
        <v>BASE/PCT#4</v>
      </c>
    </row>
    <row r="11" spans="1:9" x14ac:dyDescent="0.3">
      <c r="A11" t="str">
        <f>"002048"</f>
        <v>002048</v>
      </c>
      <c r="B11" t="s">
        <v>13</v>
      </c>
      <c r="C11">
        <v>69831</v>
      </c>
      <c r="D11" s="2">
        <v>566.80999999999995</v>
      </c>
      <c r="E11" s="1">
        <v>42849</v>
      </c>
      <c r="F11" t="str">
        <f>"201704191333"</f>
        <v>201704191333</v>
      </c>
      <c r="G11" t="str">
        <f>"BASE/PCT#4"</f>
        <v>BASE/PCT#4</v>
      </c>
      <c r="H11" s="2">
        <v>566.80999999999995</v>
      </c>
      <c r="I11" t="str">
        <f>"BASE/PCT#4"</f>
        <v>BASE/PCT#4</v>
      </c>
    </row>
    <row r="12" spans="1:9" x14ac:dyDescent="0.3">
      <c r="A12" t="str">
        <f>"005012"</f>
        <v>005012</v>
      </c>
      <c r="B12" t="s">
        <v>14</v>
      </c>
      <c r="C12">
        <v>69536</v>
      </c>
      <c r="D12" s="2">
        <v>5</v>
      </c>
      <c r="E12" s="1">
        <v>42835</v>
      </c>
      <c r="F12" t="str">
        <f>"ISC-0019-17"</f>
        <v>ISC-0019-17</v>
      </c>
      <c r="G12" t="str">
        <f>"OVERPAYMENT-COURT COST"</f>
        <v>OVERPAYMENT-COURT COST</v>
      </c>
      <c r="H12" s="2">
        <v>5</v>
      </c>
      <c r="I12" t="str">
        <f>"OVERPAYMENT-COURT COST"</f>
        <v>OVERPAYMENT-COURT COST</v>
      </c>
    </row>
    <row r="13" spans="1:9" x14ac:dyDescent="0.3">
      <c r="A13" t="str">
        <f>"001262"</f>
        <v>001262</v>
      </c>
      <c r="B13" t="s">
        <v>15</v>
      </c>
      <c r="C13">
        <v>69816</v>
      </c>
      <c r="D13" s="2">
        <v>188.92</v>
      </c>
      <c r="E13" s="1">
        <v>42849</v>
      </c>
      <c r="F13" t="str">
        <f>"7038188"</f>
        <v>7038188</v>
      </c>
      <c r="G13" t="str">
        <f>"CUST#AB00500/GS"</f>
        <v>CUST#AB00500/GS</v>
      </c>
      <c r="H13" s="2">
        <v>188.92</v>
      </c>
      <c r="I13" t="str">
        <f>"CUST#AB00500/GS"</f>
        <v>CUST#AB00500/GS</v>
      </c>
    </row>
    <row r="14" spans="1:9" x14ac:dyDescent="0.3">
      <c r="A14" t="str">
        <f>"004604"</f>
        <v>004604</v>
      </c>
      <c r="B14" t="s">
        <v>16</v>
      </c>
      <c r="C14">
        <v>69900</v>
      </c>
      <c r="D14" s="2">
        <v>150</v>
      </c>
      <c r="E14" s="1">
        <v>42849</v>
      </c>
      <c r="F14" t="str">
        <f>"PRI1407278"</f>
        <v>PRI1407278</v>
      </c>
      <c r="G14" t="str">
        <f>"ACTON MOBILE 16-14548"</f>
        <v>ACTON MOBILE 16-14548</v>
      </c>
      <c r="H14" s="2">
        <v>150</v>
      </c>
      <c r="I14" t="str">
        <f>"ACTON MOBILE 16-14548"</f>
        <v>ACTON MOBILE 16-14548</v>
      </c>
    </row>
    <row r="15" spans="1:9" x14ac:dyDescent="0.3">
      <c r="A15" t="str">
        <f>"000954"</f>
        <v>000954</v>
      </c>
      <c r="B15" t="s">
        <v>17</v>
      </c>
      <c r="C15">
        <v>69537</v>
      </c>
      <c r="D15" s="2">
        <v>1440</v>
      </c>
      <c r="E15" s="1">
        <v>42835</v>
      </c>
      <c r="F15" t="str">
        <f>"201704061095"</f>
        <v>201704061095</v>
      </c>
      <c r="G15" t="str">
        <f>"16-17709"</f>
        <v>16-17709</v>
      </c>
      <c r="H15" s="2">
        <v>420</v>
      </c>
      <c r="I15" t="str">
        <f>"16-17709"</f>
        <v>16-17709</v>
      </c>
    </row>
    <row r="16" spans="1:9" x14ac:dyDescent="0.3">
      <c r="A16" t="str">
        <f>""</f>
        <v/>
      </c>
      <c r="F16" t="str">
        <f>"201704061096"</f>
        <v>201704061096</v>
      </c>
      <c r="G16" t="str">
        <f>"1416907"</f>
        <v>1416907</v>
      </c>
      <c r="H16" s="2">
        <v>90</v>
      </c>
      <c r="I16" t="str">
        <f>"1416907"</f>
        <v>1416907</v>
      </c>
    </row>
    <row r="17" spans="1:9" x14ac:dyDescent="0.3">
      <c r="A17" t="str">
        <f>""</f>
        <v/>
      </c>
      <c r="F17" t="str">
        <f>"201704061097"</f>
        <v>201704061097</v>
      </c>
      <c r="G17" t="str">
        <f>"16-17913"</f>
        <v>16-17913</v>
      </c>
      <c r="H17" s="2">
        <v>262.5</v>
      </c>
      <c r="I17" t="str">
        <f>"16-17913"</f>
        <v>16-17913</v>
      </c>
    </row>
    <row r="18" spans="1:9" x14ac:dyDescent="0.3">
      <c r="A18" t="str">
        <f>""</f>
        <v/>
      </c>
      <c r="F18" t="str">
        <f>"201704061098"</f>
        <v>201704061098</v>
      </c>
      <c r="G18" t="str">
        <f>"16-17713"</f>
        <v>16-17713</v>
      </c>
      <c r="H18" s="2">
        <v>325</v>
      </c>
      <c r="I18" t="str">
        <f>"16-17713"</f>
        <v>16-17713</v>
      </c>
    </row>
    <row r="19" spans="1:9" x14ac:dyDescent="0.3">
      <c r="A19" t="str">
        <f>""</f>
        <v/>
      </c>
      <c r="F19" t="str">
        <f>"201704061099"</f>
        <v>201704061099</v>
      </c>
      <c r="G19" t="str">
        <f>"16-17687"</f>
        <v>16-17687</v>
      </c>
      <c r="H19" s="2">
        <v>182.5</v>
      </c>
      <c r="I19" t="str">
        <f>"16-17687"</f>
        <v>16-17687</v>
      </c>
    </row>
    <row r="20" spans="1:9" x14ac:dyDescent="0.3">
      <c r="A20" t="str">
        <f>""</f>
        <v/>
      </c>
      <c r="F20" t="str">
        <f>"201704061100"</f>
        <v>201704061100</v>
      </c>
      <c r="G20" t="str">
        <f>"16-18062"</f>
        <v>16-18062</v>
      </c>
      <c r="H20" s="2">
        <v>30</v>
      </c>
      <c r="I20" t="str">
        <f>"16-18062"</f>
        <v>16-18062</v>
      </c>
    </row>
    <row r="21" spans="1:9" x14ac:dyDescent="0.3">
      <c r="A21" t="str">
        <f>""</f>
        <v/>
      </c>
      <c r="F21" t="str">
        <f>"201704061101"</f>
        <v>201704061101</v>
      </c>
      <c r="G21" t="str">
        <f>"16-17785"</f>
        <v>16-17785</v>
      </c>
      <c r="H21" s="2">
        <v>130</v>
      </c>
      <c r="I21" t="str">
        <f>"16-17785"</f>
        <v>16-17785</v>
      </c>
    </row>
    <row r="22" spans="1:9" x14ac:dyDescent="0.3">
      <c r="A22" t="str">
        <f>"003117"</f>
        <v>003117</v>
      </c>
      <c r="B22" t="s">
        <v>18</v>
      </c>
      <c r="C22">
        <v>69765</v>
      </c>
      <c r="D22" s="2">
        <v>195</v>
      </c>
      <c r="E22" s="1">
        <v>42842</v>
      </c>
      <c r="F22" t="str">
        <f>"201704171214"</f>
        <v>201704171214</v>
      </c>
      <c r="G22" t="str">
        <f>"TRAVEL ADVANCE - ADENA LEWIS"</f>
        <v>TRAVEL ADVANCE - ADENA LEWIS</v>
      </c>
      <c r="H22" s="2">
        <v>195</v>
      </c>
      <c r="I22" t="str">
        <f>"TRAVEL ADVANCE - ADENA LEWIS"</f>
        <v>TRAVEL ADVANCE - ADENA LEWIS</v>
      </c>
    </row>
    <row r="23" spans="1:9" x14ac:dyDescent="0.3">
      <c r="A23" t="str">
        <f>"T6115"</f>
        <v>T6115</v>
      </c>
      <c r="B23" t="s">
        <v>19</v>
      </c>
      <c r="C23">
        <v>69538</v>
      </c>
      <c r="D23" s="2">
        <v>41</v>
      </c>
      <c r="E23" s="1">
        <v>42835</v>
      </c>
      <c r="F23" t="str">
        <f>"196560"</f>
        <v>196560</v>
      </c>
      <c r="G23" t="str">
        <f>"INV 196560/UNIT 4718"</f>
        <v>INV 196560/UNIT 4718</v>
      </c>
      <c r="H23" s="2">
        <v>41</v>
      </c>
      <c r="I23" t="str">
        <f>"INV 196560/UNIT 4718"</f>
        <v>INV 196560/UNIT 4718</v>
      </c>
    </row>
    <row r="24" spans="1:9" x14ac:dyDescent="0.3">
      <c r="A24" t="str">
        <f>"T11050"</f>
        <v>T11050</v>
      </c>
      <c r="B24" t="s">
        <v>20</v>
      </c>
      <c r="C24">
        <v>69539</v>
      </c>
      <c r="D24" s="2">
        <v>3499.8</v>
      </c>
      <c r="E24" s="1">
        <v>42835</v>
      </c>
      <c r="F24" t="str">
        <f>"CID2048678"</f>
        <v>CID2048678</v>
      </c>
      <c r="G24" t="str">
        <f>"ACCT#238567/DIE CUT BAG"</f>
        <v>ACCT#238567/DIE CUT BAG</v>
      </c>
      <c r="H24" s="2">
        <v>3499.8</v>
      </c>
      <c r="I24" t="str">
        <f>"ACCT#238567/DIE CUT BAG"</f>
        <v>ACCT#238567/DIE CUT BAG</v>
      </c>
    </row>
    <row r="25" spans="1:9" x14ac:dyDescent="0.3">
      <c r="A25" t="str">
        <f>"T11050"</f>
        <v>T11050</v>
      </c>
      <c r="B25" t="s">
        <v>20</v>
      </c>
      <c r="C25">
        <v>69990</v>
      </c>
      <c r="D25" s="2">
        <v>3368.9</v>
      </c>
      <c r="E25" s="1">
        <v>42849</v>
      </c>
      <c r="F25" t="str">
        <f>" CID2057180"</f>
        <v xml:space="preserve"> CID2057180</v>
      </c>
      <c r="G25" t="str">
        <f>"ACCT#238567/TOURISM"</f>
        <v>ACCT#238567/TOURISM</v>
      </c>
      <c r="H25" s="2">
        <v>364.3</v>
      </c>
      <c r="I25" t="str">
        <f>"ACCT#238567/TOURISM"</f>
        <v>ACCT#238567/TOURISM</v>
      </c>
    </row>
    <row r="26" spans="1:9" x14ac:dyDescent="0.3">
      <c r="A26" t="str">
        <f>""</f>
        <v/>
      </c>
      <c r="F26" t="str">
        <f>"CID2054968"</f>
        <v>CID2054968</v>
      </c>
      <c r="G26" t="str">
        <f>"ACCT#238567/TOURISM"</f>
        <v>ACCT#238567/TOURISM</v>
      </c>
      <c r="H26" s="2">
        <v>3004.6</v>
      </c>
      <c r="I26" t="str">
        <f>"ACCT#238567/TOURISM"</f>
        <v>ACCT#238567/TOURISM</v>
      </c>
    </row>
    <row r="27" spans="1:9" x14ac:dyDescent="0.3">
      <c r="A27" t="str">
        <f>"AG"</f>
        <v>AG</v>
      </c>
      <c r="B27" t="s">
        <v>21</v>
      </c>
      <c r="C27">
        <v>69540</v>
      </c>
      <c r="D27" s="2">
        <v>127252</v>
      </c>
      <c r="E27" s="1">
        <v>42835</v>
      </c>
      <c r="F27" t="str">
        <f>"201704050695"</f>
        <v>201704050695</v>
      </c>
      <c r="G27" t="str">
        <f>"ALAMO  GROUP (TX)  INC"</f>
        <v>ALAMO  GROUP (TX)  INC</v>
      </c>
      <c r="H27" s="2">
        <v>127252</v>
      </c>
      <c r="I27" t="str">
        <f>"JD6105E CAB 4WD"</f>
        <v>JD6105E CAB 4WD</v>
      </c>
    </row>
    <row r="28" spans="1:9" x14ac:dyDescent="0.3">
      <c r="A28" t="str">
        <f>""</f>
        <v/>
      </c>
      <c r="F28" t="str">
        <f>""</f>
        <v/>
      </c>
      <c r="G28" t="str">
        <f>""</f>
        <v/>
      </c>
      <c r="I28" t="str">
        <f>"BOOM JOYSTICK CTRLS"</f>
        <v>BOOM JOYSTICK CTRLS</v>
      </c>
    </row>
    <row r="29" spans="1:9" x14ac:dyDescent="0.3">
      <c r="A29" t="str">
        <f>""</f>
        <v/>
      </c>
      <c r="F29" t="str">
        <f>""</f>
        <v/>
      </c>
      <c r="G29" t="str">
        <f>""</f>
        <v/>
      </c>
      <c r="I29" t="str">
        <f>"SWIVEL HEAD"</f>
        <v>SWIVEL HEAD</v>
      </c>
    </row>
    <row r="30" spans="1:9" x14ac:dyDescent="0.3">
      <c r="A30" t="str">
        <f>""</f>
        <v/>
      </c>
      <c r="F30" t="str">
        <f>""</f>
        <v/>
      </c>
      <c r="G30" t="str">
        <f>""</f>
        <v/>
      </c>
      <c r="I30" t="str">
        <f>"MOUNTING &amp; OIL"</f>
        <v>MOUNTING &amp; OIL</v>
      </c>
    </row>
    <row r="31" spans="1:9" x14ac:dyDescent="0.3">
      <c r="A31" t="str">
        <f>""</f>
        <v/>
      </c>
      <c r="F31" t="str">
        <f>""</f>
        <v/>
      </c>
      <c r="G31" t="str">
        <f>""</f>
        <v/>
      </c>
      <c r="I31" t="str">
        <f>"NOKIAM TIRES 1 SET"</f>
        <v>NOKIAM TIRES 1 SET</v>
      </c>
    </row>
    <row r="32" spans="1:9" x14ac:dyDescent="0.3">
      <c r="A32" t="str">
        <f>"NPP"</f>
        <v>NPP</v>
      </c>
      <c r="B32" t="s">
        <v>22</v>
      </c>
      <c r="C32">
        <v>69969</v>
      </c>
      <c r="D32" s="2">
        <v>600</v>
      </c>
      <c r="E32" s="1">
        <v>42849</v>
      </c>
      <c r="F32" t="str">
        <f>"201704201525"</f>
        <v>201704201525</v>
      </c>
      <c r="G32" t="str">
        <f>"9105"</f>
        <v>9105</v>
      </c>
      <c r="H32" s="2">
        <v>100</v>
      </c>
      <c r="I32" t="str">
        <f>"9105"</f>
        <v>9105</v>
      </c>
    </row>
    <row r="33" spans="1:9" x14ac:dyDescent="0.3">
      <c r="A33" t="str">
        <f>""</f>
        <v/>
      </c>
      <c r="F33" t="str">
        <f>"201704201526"</f>
        <v>201704201526</v>
      </c>
      <c r="G33" t="str">
        <f>"16195"</f>
        <v>16195</v>
      </c>
      <c r="H33" s="2">
        <v>100</v>
      </c>
      <c r="I33" t="str">
        <f>"16195"</f>
        <v>16195</v>
      </c>
    </row>
    <row r="34" spans="1:9" x14ac:dyDescent="0.3">
      <c r="A34" t="str">
        <f>""</f>
        <v/>
      </c>
      <c r="F34" t="str">
        <f>"201704201527"</f>
        <v>201704201527</v>
      </c>
      <c r="G34" t="str">
        <f>"306152016A"</f>
        <v>306152016A</v>
      </c>
      <c r="H34" s="2">
        <v>300</v>
      </c>
      <c r="I34" t="str">
        <f>"306152016A"</f>
        <v>306152016A</v>
      </c>
    </row>
    <row r="35" spans="1:9" x14ac:dyDescent="0.3">
      <c r="A35" t="str">
        <f>""</f>
        <v/>
      </c>
      <c r="F35" t="str">
        <f>"201704201528"</f>
        <v>201704201528</v>
      </c>
      <c r="G35" t="str">
        <f>"394-355"</f>
        <v>394-355</v>
      </c>
      <c r="H35" s="2">
        <v>100</v>
      </c>
      <c r="I35" t="str">
        <f>"394-355"</f>
        <v>394-355</v>
      </c>
    </row>
    <row r="36" spans="1:9" x14ac:dyDescent="0.3">
      <c r="A36" t="str">
        <f>"ALLIED"</f>
        <v>ALLIED</v>
      </c>
      <c r="B36" t="s">
        <v>23</v>
      </c>
      <c r="C36">
        <v>69541</v>
      </c>
      <c r="D36" s="2">
        <v>2955.92</v>
      </c>
      <c r="E36" s="1">
        <v>42835</v>
      </c>
      <c r="F36" t="str">
        <f>"21260636/21283004"</f>
        <v>21260636/21283004</v>
      </c>
      <c r="G36" t="str">
        <f>"CUST#27615/PCT#2"</f>
        <v>CUST#27615/PCT#2</v>
      </c>
      <c r="H36" s="2">
        <v>2704.98</v>
      </c>
      <c r="I36" t="str">
        <f>"CUST#27615/PCT#2"</f>
        <v>CUST#27615/PCT#2</v>
      </c>
    </row>
    <row r="37" spans="1:9" x14ac:dyDescent="0.3">
      <c r="A37" t="str">
        <f>""</f>
        <v/>
      </c>
      <c r="F37" t="str">
        <f>"31378280"</f>
        <v>31378280</v>
      </c>
      <c r="G37" t="str">
        <f>"CUST#27615/PCT#2"</f>
        <v>CUST#27615/PCT#2</v>
      </c>
      <c r="H37" s="2">
        <v>250.94</v>
      </c>
      <c r="I37" t="str">
        <f>"CUST#27615/PCT#2"</f>
        <v>CUST#27615/PCT#2</v>
      </c>
    </row>
    <row r="38" spans="1:9" x14ac:dyDescent="0.3">
      <c r="A38" t="str">
        <f>"004642"</f>
        <v>004642</v>
      </c>
      <c r="B38" t="s">
        <v>24</v>
      </c>
      <c r="C38">
        <v>69903</v>
      </c>
      <c r="D38" s="2">
        <v>340</v>
      </c>
      <c r="E38" s="1">
        <v>42849</v>
      </c>
      <c r="F38" t="str">
        <f>"23958"</f>
        <v>23958</v>
      </c>
      <c r="G38" t="str">
        <f>"RENTAL/PCT#1"</f>
        <v>RENTAL/PCT#1</v>
      </c>
      <c r="H38" s="2">
        <v>340</v>
      </c>
      <c r="I38" t="str">
        <f>"RENTAL/PCT#1"</f>
        <v>RENTAL/PCT#1</v>
      </c>
    </row>
    <row r="39" spans="1:9" x14ac:dyDescent="0.3">
      <c r="A39" t="str">
        <f>"T6702"</f>
        <v>T6702</v>
      </c>
      <c r="B39" t="s">
        <v>25</v>
      </c>
      <c r="C39">
        <v>70029</v>
      </c>
      <c r="D39" s="2">
        <v>45.85</v>
      </c>
      <c r="E39" s="1">
        <v>42849</v>
      </c>
      <c r="F39" t="str">
        <f>"201704201434"</f>
        <v>201704201434</v>
      </c>
      <c r="G39" t="str">
        <f>"NOTARY"</f>
        <v>NOTARY</v>
      </c>
      <c r="H39" s="2">
        <v>45.85</v>
      </c>
      <c r="I39" t="str">
        <f>"NOTARY STAMP"</f>
        <v>NOTARY STAMP</v>
      </c>
    </row>
    <row r="40" spans="1:9" x14ac:dyDescent="0.3">
      <c r="A40" t="str">
        <f>""</f>
        <v/>
      </c>
      <c r="F40" t="str">
        <f>""</f>
        <v/>
      </c>
      <c r="G40" t="str">
        <f>""</f>
        <v/>
      </c>
      <c r="I40" t="str">
        <f>"NOTARY BOOK"</f>
        <v>NOTARY BOOK</v>
      </c>
    </row>
    <row r="41" spans="1:9" x14ac:dyDescent="0.3">
      <c r="A41" t="str">
        <f>""</f>
        <v/>
      </c>
      <c r="F41" t="str">
        <f>""</f>
        <v/>
      </c>
      <c r="G41" t="str">
        <f>""</f>
        <v/>
      </c>
      <c r="I41" t="str">
        <f>"SHIPPING"</f>
        <v>SHIPPING</v>
      </c>
    </row>
    <row r="42" spans="1:9" x14ac:dyDescent="0.3">
      <c r="A42" t="str">
        <f>"004045"</f>
        <v>004045</v>
      </c>
      <c r="B42" t="s">
        <v>26</v>
      </c>
      <c r="C42">
        <v>69885</v>
      </c>
      <c r="D42" s="2">
        <v>400</v>
      </c>
      <c r="E42" s="1">
        <v>42849</v>
      </c>
      <c r="F42" t="str">
        <f>"39243"</f>
        <v>39243</v>
      </c>
      <c r="G42" t="str">
        <f>"ANNUAL ELEVATOR INSP.FEE"</f>
        <v>ANNUAL ELEVATOR INSP.FEE</v>
      </c>
      <c r="H42" s="2">
        <v>400</v>
      </c>
      <c r="I42" t="str">
        <f>"ANNUAL ELEVATOR INSP.FEE"</f>
        <v>ANNUAL ELEVATOR INSP.FEE</v>
      </c>
    </row>
    <row r="43" spans="1:9" x14ac:dyDescent="0.3">
      <c r="A43" t="str">
        <f>"003253"</f>
        <v>003253</v>
      </c>
      <c r="B43" t="s">
        <v>27</v>
      </c>
      <c r="C43">
        <v>69542</v>
      </c>
      <c r="D43" s="2">
        <v>119.75</v>
      </c>
      <c r="E43" s="1">
        <v>42835</v>
      </c>
      <c r="F43" t="str">
        <f>"871772-1-1"</f>
        <v>871772-1-1</v>
      </c>
      <c r="G43" t="str">
        <f>"CUST#2351716/AS"</f>
        <v>CUST#2351716/AS</v>
      </c>
      <c r="H43" s="2">
        <v>119.75</v>
      </c>
      <c r="I43" t="str">
        <f>"CUST#2351716/AS"</f>
        <v>CUST#2351716/AS</v>
      </c>
    </row>
    <row r="44" spans="1:9" x14ac:dyDescent="0.3">
      <c r="A44" t="str">
        <f>"002148"</f>
        <v>002148</v>
      </c>
      <c r="B44" t="s">
        <v>28</v>
      </c>
      <c r="C44">
        <v>69833</v>
      </c>
      <c r="D44" s="2">
        <v>2283.08</v>
      </c>
      <c r="E44" s="1">
        <v>42849</v>
      </c>
      <c r="F44" t="str">
        <f>"201704201420"</f>
        <v>201704201420</v>
      </c>
      <c r="G44" t="str">
        <f>"MEDICAL"</f>
        <v>MEDICAL</v>
      </c>
      <c r="H44" s="2">
        <v>140.93</v>
      </c>
      <c r="I44" t="str">
        <f>"INV917815168 MEDICAL"</f>
        <v>INV917815168 MEDICAL</v>
      </c>
    </row>
    <row r="45" spans="1:9" x14ac:dyDescent="0.3">
      <c r="A45" t="str">
        <f>""</f>
        <v/>
      </c>
      <c r="F45" t="str">
        <f>""</f>
        <v/>
      </c>
      <c r="G45" t="str">
        <f>""</f>
        <v/>
      </c>
      <c r="I45" t="str">
        <f>"MEDICAL 917815169"</f>
        <v>MEDICAL 917815169</v>
      </c>
    </row>
    <row r="46" spans="1:9" x14ac:dyDescent="0.3">
      <c r="A46" t="str">
        <f>""</f>
        <v/>
      </c>
      <c r="F46" t="str">
        <f>"201704201421"</f>
        <v>201704201421</v>
      </c>
      <c r="G46" t="str">
        <f>"MEDICAL INV916725006"</f>
        <v>MEDICAL INV916725006</v>
      </c>
      <c r="H46" s="2">
        <v>2142.15</v>
      </c>
      <c r="I46" t="str">
        <f>"MEDICAL INV916725006"</f>
        <v>MEDICAL INV916725006</v>
      </c>
    </row>
    <row r="47" spans="1:9" x14ac:dyDescent="0.3">
      <c r="A47" t="str">
        <f>""</f>
        <v/>
      </c>
      <c r="F47" t="str">
        <f>""</f>
        <v/>
      </c>
      <c r="G47" t="str">
        <f>""</f>
        <v/>
      </c>
      <c r="I47" t="str">
        <f>"CREDIT"</f>
        <v>CREDIT</v>
      </c>
    </row>
    <row r="48" spans="1:9" x14ac:dyDescent="0.3">
      <c r="A48" t="str">
        <f>"T7520"</f>
        <v>T7520</v>
      </c>
      <c r="B48" t="s">
        <v>29</v>
      </c>
      <c r="C48">
        <v>69543</v>
      </c>
      <c r="D48" s="2">
        <v>2060</v>
      </c>
      <c r="E48" s="1">
        <v>42835</v>
      </c>
      <c r="F48" t="str">
        <f>"201704061094"</f>
        <v>201704061094</v>
      </c>
      <c r="G48" t="str">
        <f>"15-17399"</f>
        <v>15-17399</v>
      </c>
      <c r="H48" s="2">
        <v>390</v>
      </c>
      <c r="I48" t="str">
        <f>"15-17399"</f>
        <v>15-17399</v>
      </c>
    </row>
    <row r="49" spans="1:9" x14ac:dyDescent="0.3">
      <c r="A49" t="str">
        <f>""</f>
        <v/>
      </c>
      <c r="F49" t="str">
        <f>"201704061150"</f>
        <v>201704061150</v>
      </c>
      <c r="G49" t="str">
        <f>"CARLOS GARCIA"</f>
        <v>CARLOS GARCIA</v>
      </c>
      <c r="H49" s="2">
        <v>100</v>
      </c>
      <c r="I49" t="str">
        <f>"CARLOS GARCIA"</f>
        <v>CARLOS GARCIA</v>
      </c>
    </row>
    <row r="50" spans="1:9" x14ac:dyDescent="0.3">
      <c r="A50" t="str">
        <f>""</f>
        <v/>
      </c>
      <c r="F50" t="str">
        <f>"201704061151"</f>
        <v>201704061151</v>
      </c>
      <c r="G50" t="str">
        <f>"54540 54541"</f>
        <v>54540 54541</v>
      </c>
      <c r="H50" s="2">
        <v>375</v>
      </c>
      <c r="I50" t="str">
        <f>"54540 54541"</f>
        <v>54540 54541</v>
      </c>
    </row>
    <row r="51" spans="1:9" x14ac:dyDescent="0.3">
      <c r="A51" t="str">
        <f>""</f>
        <v/>
      </c>
      <c r="F51" t="str">
        <f>"201704061152"</f>
        <v>201704061152</v>
      </c>
      <c r="G51" t="str">
        <f>"404256-4"</f>
        <v>404256-4</v>
      </c>
      <c r="H51" s="2">
        <v>250</v>
      </c>
      <c r="I51" t="str">
        <f>"404256-4"</f>
        <v>404256-4</v>
      </c>
    </row>
    <row r="52" spans="1:9" x14ac:dyDescent="0.3">
      <c r="A52" t="str">
        <f>""</f>
        <v/>
      </c>
      <c r="F52" t="str">
        <f>"201704061153"</f>
        <v>201704061153</v>
      </c>
      <c r="G52" t="str">
        <f>"53876"</f>
        <v>53876</v>
      </c>
      <c r="H52" s="2">
        <v>250</v>
      </c>
      <c r="I52" t="str">
        <f>"53876"</f>
        <v>53876</v>
      </c>
    </row>
    <row r="53" spans="1:9" x14ac:dyDescent="0.3">
      <c r="A53" t="str">
        <f>""</f>
        <v/>
      </c>
      <c r="F53" t="str">
        <f>"201704061154"</f>
        <v>201704061154</v>
      </c>
      <c r="G53" t="str">
        <f>"02-1223-1"</f>
        <v>02-1223-1</v>
      </c>
      <c r="H53" s="2">
        <v>250</v>
      </c>
      <c r="I53" t="str">
        <f>"02-1223-1"</f>
        <v>02-1223-1</v>
      </c>
    </row>
    <row r="54" spans="1:9" x14ac:dyDescent="0.3">
      <c r="A54" t="str">
        <f>""</f>
        <v/>
      </c>
      <c r="F54" t="str">
        <f>"201704061186"</f>
        <v>201704061186</v>
      </c>
      <c r="G54" t="str">
        <f>"16-17690"</f>
        <v>16-17690</v>
      </c>
      <c r="H54" s="2">
        <v>445</v>
      </c>
      <c r="I54" t="str">
        <f>"16-17690"</f>
        <v>16-17690</v>
      </c>
    </row>
    <row r="55" spans="1:9" x14ac:dyDescent="0.3">
      <c r="A55" t="str">
        <f>"T7520"</f>
        <v>T7520</v>
      </c>
      <c r="B55" t="s">
        <v>29</v>
      </c>
      <c r="C55">
        <v>70033</v>
      </c>
      <c r="D55" s="2">
        <v>2050</v>
      </c>
      <c r="E55" s="1">
        <v>42849</v>
      </c>
      <c r="F55" t="str">
        <f>"201704201493"</f>
        <v>201704201493</v>
      </c>
      <c r="G55" t="str">
        <f>"29990016"</f>
        <v>29990016</v>
      </c>
      <c r="H55" s="2">
        <v>250</v>
      </c>
      <c r="I55" t="str">
        <f>"29990016"</f>
        <v>29990016</v>
      </c>
    </row>
    <row r="56" spans="1:9" x14ac:dyDescent="0.3">
      <c r="A56" t="str">
        <f>""</f>
        <v/>
      </c>
      <c r="F56" t="str">
        <f>"201704201494"</f>
        <v>201704201494</v>
      </c>
      <c r="G56" t="str">
        <f>"1JP7216J  1JP7216I"</f>
        <v>1JP7216J  1JP7216I</v>
      </c>
      <c r="H56" s="2">
        <v>600</v>
      </c>
      <c r="I56" t="str">
        <f>"1JP7216J  1JP7216I"</f>
        <v>1JP7216J  1JP7216I</v>
      </c>
    </row>
    <row r="57" spans="1:9" x14ac:dyDescent="0.3">
      <c r="A57" t="str">
        <f>""</f>
        <v/>
      </c>
      <c r="F57" t="str">
        <f>"201704201495"</f>
        <v>201704201495</v>
      </c>
      <c r="G57" t="str">
        <f>"16.119"</f>
        <v>16.119</v>
      </c>
      <c r="H57" s="2">
        <v>400</v>
      </c>
      <c r="I57" t="str">
        <f>"16.119"</f>
        <v>16.119</v>
      </c>
    </row>
    <row r="58" spans="1:9" x14ac:dyDescent="0.3">
      <c r="A58" t="str">
        <f>""</f>
        <v/>
      </c>
      <c r="F58" t="str">
        <f>"201704201496"</f>
        <v>201704201496</v>
      </c>
      <c r="G58" t="str">
        <f>"15.661"</f>
        <v>15.661</v>
      </c>
      <c r="H58" s="2">
        <v>400</v>
      </c>
      <c r="I58" t="str">
        <f>"15.661"</f>
        <v>15.661</v>
      </c>
    </row>
    <row r="59" spans="1:9" x14ac:dyDescent="0.3">
      <c r="A59" t="str">
        <f>""</f>
        <v/>
      </c>
      <c r="F59" t="str">
        <f>"201704201497"</f>
        <v>201704201497</v>
      </c>
      <c r="G59" t="str">
        <f>"16.071"</f>
        <v>16.071</v>
      </c>
      <c r="H59" s="2">
        <v>400</v>
      </c>
      <c r="I59" t="str">
        <f>"16.071"</f>
        <v>16.071</v>
      </c>
    </row>
    <row r="60" spans="1:9" x14ac:dyDescent="0.3">
      <c r="A60" t="str">
        <f>"005023"</f>
        <v>005023</v>
      </c>
      <c r="B60" t="s">
        <v>30</v>
      </c>
      <c r="C60">
        <v>69544</v>
      </c>
      <c r="D60" s="2">
        <v>345</v>
      </c>
      <c r="E60" s="1">
        <v>42835</v>
      </c>
      <c r="F60" t="str">
        <f>"201704060782"</f>
        <v>201704060782</v>
      </c>
      <c r="G60" t="str">
        <f>"FERAL HOGS"</f>
        <v>FERAL HOGS</v>
      </c>
      <c r="H60" s="2">
        <v>345</v>
      </c>
      <c r="I60" t="str">
        <f>"FERAL HOGS"</f>
        <v>FERAL HOGS</v>
      </c>
    </row>
    <row r="61" spans="1:9" x14ac:dyDescent="0.3">
      <c r="A61" t="str">
        <f>"002661"</f>
        <v>002661</v>
      </c>
      <c r="B61" t="s">
        <v>31</v>
      </c>
      <c r="C61">
        <v>69850</v>
      </c>
      <c r="D61" s="2">
        <v>46.48</v>
      </c>
      <c r="E61" s="1">
        <v>42849</v>
      </c>
      <c r="F61" t="str">
        <f>"1703-333492"</f>
        <v>1703-333492</v>
      </c>
      <c r="G61" t="str">
        <f>"ACCT#3-3053/PCT#2"</f>
        <v>ACCT#3-3053/PCT#2</v>
      </c>
      <c r="H61" s="2">
        <v>46.48</v>
      </c>
      <c r="I61" t="str">
        <f>"ACCT#3-3053/PCT#2"</f>
        <v>ACCT#3-3053/PCT#2</v>
      </c>
    </row>
    <row r="62" spans="1:9" x14ac:dyDescent="0.3">
      <c r="A62" t="str">
        <f>"003137"</f>
        <v>003137</v>
      </c>
      <c r="B62" t="s">
        <v>32</v>
      </c>
      <c r="C62">
        <v>69545</v>
      </c>
      <c r="D62" s="2">
        <v>205</v>
      </c>
      <c r="E62" s="1">
        <v>42835</v>
      </c>
      <c r="F62" t="str">
        <f>"201704050702"</f>
        <v>201704050702</v>
      </c>
      <c r="G62" t="str">
        <f>"PER DIEM"</f>
        <v>PER DIEM</v>
      </c>
      <c r="H62" s="2">
        <v>120</v>
      </c>
      <c r="I62" t="str">
        <f>"PER DIEM"</f>
        <v>PER DIEM</v>
      </c>
    </row>
    <row r="63" spans="1:9" x14ac:dyDescent="0.3">
      <c r="A63" t="str">
        <f>""</f>
        <v/>
      </c>
      <c r="F63" t="str">
        <f>"201704050705"</f>
        <v>201704050705</v>
      </c>
      <c r="G63" t="str">
        <f>"PER DIEM"</f>
        <v>PER DIEM</v>
      </c>
      <c r="H63" s="2">
        <v>85</v>
      </c>
      <c r="I63" t="str">
        <f>"PER DIEM"</f>
        <v>PER DIEM</v>
      </c>
    </row>
    <row r="64" spans="1:9" x14ac:dyDescent="0.3">
      <c r="A64" t="str">
        <f>"004902"</f>
        <v>004902</v>
      </c>
      <c r="B64" t="s">
        <v>33</v>
      </c>
      <c r="C64">
        <v>69546</v>
      </c>
      <c r="D64" s="2">
        <v>1159.0899999999999</v>
      </c>
      <c r="E64" s="1">
        <v>42835</v>
      </c>
      <c r="F64" t="str">
        <f>"201704040616"</f>
        <v>201704040616</v>
      </c>
      <c r="G64" t="str">
        <f>"REIMB/LIVESTOCK EXPENSE"</f>
        <v>REIMB/LIVESTOCK EXPENSE</v>
      </c>
      <c r="H64" s="2">
        <v>677.31</v>
      </c>
      <c r="I64" t="str">
        <f>"REIMB/LIVESTOCK EXPENSE"</f>
        <v>REIMB/LIVESTOCK EXPENSE</v>
      </c>
    </row>
    <row r="65" spans="1:9" x14ac:dyDescent="0.3">
      <c r="A65" t="str">
        <f>""</f>
        <v/>
      </c>
      <c r="F65" t="str">
        <f>"201704040618"</f>
        <v>201704040618</v>
      </c>
      <c r="G65" t="str">
        <f>"REIMB-TRAINING"</f>
        <v>REIMB-TRAINING</v>
      </c>
      <c r="H65" s="2">
        <v>105.64</v>
      </c>
      <c r="I65" t="str">
        <f>"REIMB-TRAINING"</f>
        <v>REIMB-TRAINING</v>
      </c>
    </row>
    <row r="66" spans="1:9" x14ac:dyDescent="0.3">
      <c r="A66" t="str">
        <f>""</f>
        <v/>
      </c>
      <c r="F66" t="str">
        <f>"201704040619"</f>
        <v>201704040619</v>
      </c>
      <c r="G66" t="str">
        <f>"REIMB-TRAINING"</f>
        <v>REIMB-TRAINING</v>
      </c>
      <c r="H66" s="2">
        <v>210.37</v>
      </c>
      <c r="I66" t="str">
        <f>"REIMB-TRAINING"</f>
        <v>REIMB-TRAINING</v>
      </c>
    </row>
    <row r="67" spans="1:9" x14ac:dyDescent="0.3">
      <c r="A67" t="str">
        <f>""</f>
        <v/>
      </c>
      <c r="F67" t="str">
        <f>"201704040620"</f>
        <v>201704040620</v>
      </c>
      <c r="G67" t="str">
        <f>"REIMB-TRAINING"</f>
        <v>REIMB-TRAINING</v>
      </c>
      <c r="H67" s="2">
        <v>165.77</v>
      </c>
      <c r="I67" t="str">
        <f>"REIMB-TRAINING"</f>
        <v>REIMB-TRAINING</v>
      </c>
    </row>
    <row r="68" spans="1:9" x14ac:dyDescent="0.3">
      <c r="A68" t="str">
        <f>"004902"</f>
        <v>004902</v>
      </c>
      <c r="B68" t="s">
        <v>33</v>
      </c>
      <c r="C68">
        <v>69916</v>
      </c>
      <c r="D68" s="2">
        <v>8.99</v>
      </c>
      <c r="E68" s="1">
        <v>42849</v>
      </c>
      <c r="F68" t="str">
        <f>"201704191344"</f>
        <v>201704191344</v>
      </c>
      <c r="G68" t="str">
        <f>"REIMB-SUPPLIES"</f>
        <v>REIMB-SUPPLIES</v>
      </c>
      <c r="H68" s="2">
        <v>8.99</v>
      </c>
      <c r="I68" t="str">
        <f>"REIMB-SUPPLIES"</f>
        <v>REIMB-SUPPLIES</v>
      </c>
    </row>
    <row r="69" spans="1:9" x14ac:dyDescent="0.3">
      <c r="A69" t="str">
        <f>"AQUAB"</f>
        <v>AQUAB</v>
      </c>
      <c r="B69" t="s">
        <v>34</v>
      </c>
      <c r="C69">
        <v>69547</v>
      </c>
      <c r="D69" s="2">
        <v>39</v>
      </c>
      <c r="E69" s="1">
        <v>42835</v>
      </c>
      <c r="F69" t="str">
        <f>"283396/284587"</f>
        <v>283396/284587</v>
      </c>
      <c r="G69" t="str">
        <f>"ACCT#011280/COUNTY CLERK"</f>
        <v>ACCT#011280/COUNTY CLERK</v>
      </c>
      <c r="H69" s="2">
        <v>39</v>
      </c>
      <c r="I69" t="str">
        <f>"ACCT#011280/COUNTY CLERK"</f>
        <v>ACCT#011280/COUNTY CLERK</v>
      </c>
    </row>
    <row r="70" spans="1:9" x14ac:dyDescent="0.3">
      <c r="A70" t="str">
        <f>"AQUAB"</f>
        <v>AQUAB</v>
      </c>
      <c r="B70" t="s">
        <v>34</v>
      </c>
      <c r="C70">
        <v>69930</v>
      </c>
      <c r="D70" s="2">
        <v>911.29</v>
      </c>
      <c r="E70" s="1">
        <v>42849</v>
      </c>
      <c r="F70" t="str">
        <f>"010311 - 03/31/17"</f>
        <v>010311 - 03/31/17</v>
      </c>
      <c r="G70" t="str">
        <f>"010311 MARCH 2017"</f>
        <v>010311 MARCH 2017</v>
      </c>
      <c r="H70" s="2">
        <v>9</v>
      </c>
      <c r="I70" t="str">
        <f>"010311 MARCH 2017"</f>
        <v>010311 MARCH 2017</v>
      </c>
    </row>
    <row r="71" spans="1:9" x14ac:dyDescent="0.3">
      <c r="A71" t="str">
        <f>""</f>
        <v/>
      </c>
      <c r="F71" t="str">
        <f>"014737 - 03/31/17"</f>
        <v>014737 - 03/31/17</v>
      </c>
      <c r="G71" t="str">
        <f>"014737 - MARCH 2017 -ANIMAL S"</f>
        <v>014737 - MARCH 2017 -ANIMAL S</v>
      </c>
      <c r="H71" s="2">
        <v>48.84</v>
      </c>
      <c r="I71" t="str">
        <f>"014737 - MARCH 2017 -ANIMAL S"</f>
        <v>014737 - MARCH 2017 -ANIMAL S</v>
      </c>
    </row>
    <row r="72" spans="1:9" x14ac:dyDescent="0.3">
      <c r="A72" t="str">
        <f>""</f>
        <v/>
      </c>
      <c r="F72" t="str">
        <f>"2525315"</f>
        <v>2525315</v>
      </c>
      <c r="G72" t="str">
        <f>"CUST#015199/JP#1"</f>
        <v>CUST#015199/JP#1</v>
      </c>
      <c r="H72" s="2">
        <v>16.5</v>
      </c>
      <c r="I72" t="str">
        <f>"CUST#015199/JP#1"</f>
        <v>CUST#015199/JP#1</v>
      </c>
    </row>
    <row r="73" spans="1:9" x14ac:dyDescent="0.3">
      <c r="A73" t="str">
        <f>""</f>
        <v/>
      </c>
      <c r="F73" t="str">
        <f>"281465/285466"</f>
        <v>281465/285466</v>
      </c>
      <c r="G73" t="str">
        <f>"ACCT#010238/GS"</f>
        <v>ACCT#010238/GS</v>
      </c>
      <c r="H73" s="2">
        <v>191.75</v>
      </c>
      <c r="I73" t="str">
        <f>"ACCT#010238/GS"</f>
        <v>ACCT#010238/GS</v>
      </c>
    </row>
    <row r="74" spans="1:9" x14ac:dyDescent="0.3">
      <c r="A74" t="str">
        <f>""</f>
        <v/>
      </c>
      <c r="F74" t="str">
        <f>"281523/285182"</f>
        <v>281523/285182</v>
      </c>
      <c r="G74" t="str">
        <f>"CUST#014877/OEM"</f>
        <v>CUST#014877/OEM</v>
      </c>
      <c r="H74" s="2">
        <v>206.68</v>
      </c>
      <c r="I74" t="str">
        <f>"CUST#014877/OEM"</f>
        <v>CUST#014877/OEM</v>
      </c>
    </row>
    <row r="75" spans="1:9" x14ac:dyDescent="0.3">
      <c r="A75" t="str">
        <f>""</f>
        <v/>
      </c>
      <c r="F75" t="str">
        <f>"283395/284926"</f>
        <v>283395/284926</v>
      </c>
      <c r="G75" t="str">
        <f>"ACCT#013789/INDIGENT"</f>
        <v>ACCT#013789/INDIGENT</v>
      </c>
      <c r="H75" s="2">
        <v>34.340000000000003</v>
      </c>
      <c r="I75" t="str">
        <f>"ACCT#013789/INDIGENT"</f>
        <v>ACCT#013789/INDIGENT</v>
      </c>
    </row>
    <row r="76" spans="1:9" x14ac:dyDescent="0.3">
      <c r="A76" t="str">
        <f>""</f>
        <v/>
      </c>
      <c r="F76" t="str">
        <f>"283397/284521"</f>
        <v>283397/284521</v>
      </c>
      <c r="G76" t="str">
        <f>"CUST#010835/PCT#1"</f>
        <v>CUST#010835/PCT#1</v>
      </c>
      <c r="H76" s="2">
        <v>19.34</v>
      </c>
      <c r="I76" t="str">
        <f>"CUST#010835/PCT#1"</f>
        <v>CUST#010835/PCT#1</v>
      </c>
    </row>
    <row r="77" spans="1:9" x14ac:dyDescent="0.3">
      <c r="A77" t="str">
        <f>""</f>
        <v/>
      </c>
      <c r="F77" t="str">
        <f>"283400/284420"</f>
        <v>283400/284420</v>
      </c>
      <c r="G77" t="str">
        <f>"ACCT#010057/AUDITOR"</f>
        <v>ACCT#010057/AUDITOR</v>
      </c>
      <c r="H77" s="2">
        <v>31.5</v>
      </c>
      <c r="I77" t="str">
        <f>"ACCT#010057/AUDITOR"</f>
        <v>ACCT#010057/AUDITOR</v>
      </c>
    </row>
    <row r="78" spans="1:9" x14ac:dyDescent="0.3">
      <c r="A78" t="str">
        <f>""</f>
        <v/>
      </c>
      <c r="F78" t="str">
        <f>"283404/284488"</f>
        <v>283404/284488</v>
      </c>
      <c r="G78" t="str">
        <f>"CUST#010602/COMM OFFICE"</f>
        <v>CUST#010602/COMM OFFICE</v>
      </c>
      <c r="H78" s="2">
        <v>31.5</v>
      </c>
      <c r="I78" t="str">
        <f>"CUST#010602/COMM OFFICE"</f>
        <v>CUST#010602/COMM OFFICE</v>
      </c>
    </row>
    <row r="79" spans="1:9" x14ac:dyDescent="0.3">
      <c r="A79" t="str">
        <f>""</f>
        <v/>
      </c>
      <c r="F79" t="str">
        <f>"283405/284785"</f>
        <v>283405/284785</v>
      </c>
      <c r="G79" t="str">
        <f>"ACCT#012571/TREASURER"</f>
        <v>ACCT#012571/TREASURER</v>
      </c>
      <c r="H79" s="2">
        <v>31.5</v>
      </c>
      <c r="I79" t="str">
        <f>"ACCT#012571/TREASURER"</f>
        <v>ACCT#012571/TREASURER</v>
      </c>
    </row>
    <row r="80" spans="1:9" x14ac:dyDescent="0.3">
      <c r="A80" t="str">
        <f>""</f>
        <v/>
      </c>
      <c r="F80" t="str">
        <f>"283406/284823"</f>
        <v>283406/284823</v>
      </c>
      <c r="G80" t="str">
        <f>"CUST#012803/JUDGE"</f>
        <v>CUST#012803/JUDGE</v>
      </c>
      <c r="H80" s="2">
        <v>24</v>
      </c>
      <c r="I80" t="str">
        <f>"CUST#012803/JUDGE"</f>
        <v>CUST#012803/JUDGE</v>
      </c>
    </row>
    <row r="81" spans="1:9" x14ac:dyDescent="0.3">
      <c r="A81" t="str">
        <f>""</f>
        <v/>
      </c>
      <c r="F81" t="str">
        <f>"283407"</f>
        <v>283407</v>
      </c>
      <c r="G81" t="str">
        <f>"CUST#012260/DA"</f>
        <v>CUST#012260/DA</v>
      </c>
      <c r="H81" s="2">
        <v>75</v>
      </c>
      <c r="I81" t="str">
        <f>"CUST#012260/DA"</f>
        <v>CUST#012260/DA</v>
      </c>
    </row>
    <row r="82" spans="1:9" x14ac:dyDescent="0.3">
      <c r="A82" t="str">
        <f>""</f>
        <v/>
      </c>
      <c r="F82" t="str">
        <f>"283409/284680"</f>
        <v>283409/284680</v>
      </c>
      <c r="G82" t="str">
        <f>"CUST#011955/DIST JUDGE"</f>
        <v>CUST#011955/DIST JUDGE</v>
      </c>
      <c r="H82" s="2">
        <v>40.5</v>
      </c>
      <c r="I82" t="str">
        <f>"CUST#011955/DIST JUDGE"</f>
        <v>CUST#011955/DIST JUDGE</v>
      </c>
    </row>
    <row r="83" spans="1:9" x14ac:dyDescent="0.3">
      <c r="A83" t="str">
        <f>""</f>
        <v/>
      </c>
      <c r="F83" t="str">
        <f>"283410/284610"</f>
        <v>283410/284610</v>
      </c>
      <c r="G83" t="str">
        <f>"CUST#011474/ELECTIONS"</f>
        <v>CUST#011474/ELECTIONS</v>
      </c>
      <c r="H83" s="2">
        <v>31.5</v>
      </c>
      <c r="I83" t="str">
        <f>"CUST#011474/ELECTIONS"</f>
        <v>CUST#011474/ELECTIONS</v>
      </c>
    </row>
    <row r="84" spans="1:9" x14ac:dyDescent="0.3">
      <c r="A84" t="str">
        <f>""</f>
        <v/>
      </c>
      <c r="F84" t="str">
        <f>"283411/284728"</f>
        <v>283411/284728</v>
      </c>
      <c r="G84" t="str">
        <f>"ACCT#012259/DIST CLERK"</f>
        <v>ACCT#012259/DIST CLERK</v>
      </c>
      <c r="H84" s="2">
        <v>76.5</v>
      </c>
      <c r="I84" t="str">
        <f>"ACCT#012259/DIST CLERK"</f>
        <v>ACCT#012259/DIST CLERK</v>
      </c>
    </row>
    <row r="85" spans="1:9" x14ac:dyDescent="0.3">
      <c r="A85" t="str">
        <f>""</f>
        <v/>
      </c>
      <c r="F85" t="str">
        <f>"283420/284437"</f>
        <v>283420/284437</v>
      </c>
      <c r="G85" t="str">
        <f>"CUST#010149/EXTENSION"</f>
        <v>CUST#010149/EXTENSION</v>
      </c>
      <c r="H85" s="2">
        <v>19.84</v>
      </c>
      <c r="I85" t="str">
        <f>"CUST#010149/EXTENSION"</f>
        <v>CUST#010149/EXTENSION</v>
      </c>
    </row>
    <row r="86" spans="1:9" x14ac:dyDescent="0.3">
      <c r="A86" t="str">
        <f>""</f>
        <v/>
      </c>
      <c r="F86" t="str">
        <f>"284430"</f>
        <v>284430</v>
      </c>
      <c r="G86" t="str">
        <f>"ACCT#010111/CCAL"</f>
        <v>ACCT#010111/CCAL</v>
      </c>
      <c r="H86" s="2">
        <v>13</v>
      </c>
      <c r="I86" t="str">
        <f>"ACCT#010111/CCAL"</f>
        <v>ACCT#010111/CCAL</v>
      </c>
    </row>
    <row r="87" spans="1:9" x14ac:dyDescent="0.3">
      <c r="A87" t="str">
        <f>""</f>
        <v/>
      </c>
      <c r="F87" t="str">
        <f>"284723"</f>
        <v>284723</v>
      </c>
      <c r="G87" t="str">
        <f>"CUST#012231/DIST.JUDGE"</f>
        <v>CUST#012231/DIST.JUDGE</v>
      </c>
      <c r="H87" s="2">
        <v>10</v>
      </c>
      <c r="I87" t="str">
        <f>"CUST#012231/DIST.JUDGE"</f>
        <v>CUST#012231/DIST.JUDGE</v>
      </c>
    </row>
    <row r="88" spans="1:9" x14ac:dyDescent="0.3">
      <c r="A88" t="str">
        <f>"AWS"</f>
        <v>AWS</v>
      </c>
      <c r="B88" t="s">
        <v>35</v>
      </c>
      <c r="C88">
        <v>0</v>
      </c>
      <c r="D88" s="2">
        <v>1408.3</v>
      </c>
      <c r="E88" s="1">
        <v>42830</v>
      </c>
      <c r="F88" t="str">
        <f>"201704050657"</f>
        <v>201704050657</v>
      </c>
      <c r="G88" t="str">
        <f>"ACCT#0400785803"</f>
        <v>ACCT#0400785803</v>
      </c>
      <c r="H88" s="2">
        <v>44.3</v>
      </c>
      <c r="I88" t="str">
        <f>"ACCT#0400785803"</f>
        <v>ACCT#0400785803</v>
      </c>
    </row>
    <row r="89" spans="1:9" x14ac:dyDescent="0.3">
      <c r="A89" t="str">
        <f>""</f>
        <v/>
      </c>
      <c r="F89" t="str">
        <f>"201704050658"</f>
        <v>201704050658</v>
      </c>
      <c r="G89" t="str">
        <f>"ACCT#0201855301"</f>
        <v>ACCT#0201855301</v>
      </c>
      <c r="H89" s="2">
        <v>2.06</v>
      </c>
      <c r="I89" t="str">
        <f>"ACCT#0201855301"</f>
        <v>ACCT#0201855301</v>
      </c>
    </row>
    <row r="90" spans="1:9" x14ac:dyDescent="0.3">
      <c r="A90" t="str">
        <f>""</f>
        <v/>
      </c>
      <c r="F90" t="str">
        <f>"201704050659"</f>
        <v>201704050659</v>
      </c>
      <c r="G90" t="str">
        <f>"ACCT#0201891401"</f>
        <v>ACCT#0201891401</v>
      </c>
      <c r="H90" s="2">
        <v>42.49</v>
      </c>
      <c r="I90" t="str">
        <f>"ACCT#0201891401"</f>
        <v>ACCT#0201891401</v>
      </c>
    </row>
    <row r="91" spans="1:9" x14ac:dyDescent="0.3">
      <c r="A91" t="str">
        <f>""</f>
        <v/>
      </c>
      <c r="F91" t="str">
        <f>"201704050660"</f>
        <v>201704050660</v>
      </c>
      <c r="G91" t="str">
        <f>"ACCT#0401408501"</f>
        <v>ACCT#0401408501</v>
      </c>
      <c r="H91" s="2">
        <v>686.07</v>
      </c>
      <c r="I91" t="str">
        <f>"ACCT#0401408501"</f>
        <v>ACCT#0401408501</v>
      </c>
    </row>
    <row r="92" spans="1:9" x14ac:dyDescent="0.3">
      <c r="A92" t="str">
        <f>""</f>
        <v/>
      </c>
      <c r="F92" t="str">
        <f>"201704050661"</f>
        <v>201704050661</v>
      </c>
      <c r="G92" t="str">
        <f>"ACCT#0102120801"</f>
        <v>ACCT#0102120801</v>
      </c>
      <c r="H92" s="2">
        <v>603.07000000000005</v>
      </c>
      <c r="I92" t="str">
        <f>"ACCT#0102120801"</f>
        <v>ACCT#0102120801</v>
      </c>
    </row>
    <row r="93" spans="1:9" x14ac:dyDescent="0.3">
      <c r="A93" t="str">
        <f>""</f>
        <v/>
      </c>
      <c r="F93" t="str">
        <f>"201704050662"</f>
        <v>201704050662</v>
      </c>
      <c r="G93" t="str">
        <f>"ACCT#0800042801"</f>
        <v>ACCT#0800042801</v>
      </c>
      <c r="H93" s="2">
        <v>30.31</v>
      </c>
      <c r="I93" t="str">
        <f>"ACCT#0800042801"</f>
        <v>ACCT#0800042801</v>
      </c>
    </row>
    <row r="94" spans="1:9" x14ac:dyDescent="0.3">
      <c r="A94" t="str">
        <f>"AWS"</f>
        <v>AWS</v>
      </c>
      <c r="B94" t="s">
        <v>35</v>
      </c>
      <c r="C94">
        <v>69933</v>
      </c>
      <c r="D94" s="2">
        <v>1476</v>
      </c>
      <c r="E94" s="1">
        <v>42849</v>
      </c>
      <c r="F94" t="str">
        <f>"201704181312"</f>
        <v>201704181312</v>
      </c>
      <c r="G94" t="str">
        <f>"ACCT#7700010025/PCT#2"</f>
        <v>ACCT#7700010025/PCT#2</v>
      </c>
      <c r="H94" s="2">
        <v>789.25</v>
      </c>
      <c r="I94" t="str">
        <f>"ACCT#7700010025/PCT#2"</f>
        <v>ACCT#7700010025/PCT#2</v>
      </c>
    </row>
    <row r="95" spans="1:9" x14ac:dyDescent="0.3">
      <c r="A95" t="str">
        <f>""</f>
        <v/>
      </c>
      <c r="F95" t="str">
        <f>"201704191332"</f>
        <v>201704191332</v>
      </c>
      <c r="G95" t="str">
        <f>"ACCT#7700010027/PCT#4"</f>
        <v>ACCT#7700010027/PCT#4</v>
      </c>
      <c r="H95" s="2">
        <v>451</v>
      </c>
      <c r="I95" t="str">
        <f>"ACCT#7700010027/PCT#4"</f>
        <v>ACCT#7700010027/PCT#4</v>
      </c>
    </row>
    <row r="96" spans="1:9" x14ac:dyDescent="0.3">
      <c r="A96" t="str">
        <f>""</f>
        <v/>
      </c>
      <c r="F96" t="str">
        <f>"201704201556"</f>
        <v>201704201556</v>
      </c>
      <c r="G96" t="str">
        <f>"ACCT#7700010026 PCT3 MAR'17"</f>
        <v>ACCT#7700010026 PCT3 MAR'17</v>
      </c>
      <c r="H96" s="2">
        <v>235.75</v>
      </c>
      <c r="I96" t="str">
        <f>"ACCT#7700010026 PCT3 MAR'17"</f>
        <v>ACCT#7700010026 PCT3 MAR'17</v>
      </c>
    </row>
    <row r="97" spans="1:9" x14ac:dyDescent="0.3">
      <c r="A97" t="str">
        <f>"000987"</f>
        <v>000987</v>
      </c>
      <c r="B97" t="s">
        <v>36</v>
      </c>
      <c r="C97">
        <v>69548</v>
      </c>
      <c r="D97" s="2">
        <v>441.58</v>
      </c>
      <c r="E97" s="1">
        <v>42835</v>
      </c>
      <c r="F97" t="str">
        <f>"201704060718"</f>
        <v>201704060718</v>
      </c>
      <c r="G97" t="str">
        <f>"INDIGENT HEALTH"</f>
        <v>INDIGENT HEALTH</v>
      </c>
      <c r="H97" s="2">
        <v>300.18</v>
      </c>
      <c r="I97" t="str">
        <f>"INDIGENT HEALTH"</f>
        <v>INDIGENT HEALTH</v>
      </c>
    </row>
    <row r="98" spans="1:9" x14ac:dyDescent="0.3">
      <c r="A98" t="str">
        <f>""</f>
        <v/>
      </c>
      <c r="F98" t="str">
        <f>"2517"</f>
        <v>2517</v>
      </c>
      <c r="G98" t="str">
        <f>"PATIENT#S057002/J RODRIGUEZ"</f>
        <v>PATIENT#S057002/J RODRIGUEZ</v>
      </c>
      <c r="H98" s="2">
        <v>141.4</v>
      </c>
      <c r="I98" t="str">
        <f>"PATIENT#S057002/J RODRIGUEZ"</f>
        <v>PATIENT#S057002/J RODRIGUEZ</v>
      </c>
    </row>
    <row r="99" spans="1:9" x14ac:dyDescent="0.3">
      <c r="A99" t="str">
        <f>"000987"</f>
        <v>000987</v>
      </c>
      <c r="B99" t="s">
        <v>36</v>
      </c>
      <c r="C99">
        <v>69813</v>
      </c>
      <c r="D99" s="2">
        <v>141.4</v>
      </c>
      <c r="E99" s="1">
        <v>42849</v>
      </c>
      <c r="F99" t="str">
        <f>"201704171221"</f>
        <v>201704171221</v>
      </c>
      <c r="G99" t="str">
        <f>"JAIL PHYSICIAN SERVICE."</f>
        <v>JAIL PHYSICIAN SERVICE.</v>
      </c>
      <c r="H99" s="2">
        <v>141.4</v>
      </c>
      <c r="I99" t="str">
        <f>"JAIL PHYSICIAN SERVICE."</f>
        <v>JAIL PHYSICIAN SERVICE.</v>
      </c>
    </row>
    <row r="100" spans="1:9" x14ac:dyDescent="0.3">
      <c r="A100" t="str">
        <f>"003108"</f>
        <v>003108</v>
      </c>
      <c r="B100" t="s">
        <v>37</v>
      </c>
      <c r="C100">
        <v>69864</v>
      </c>
      <c r="D100" s="2">
        <v>125</v>
      </c>
      <c r="E100" s="1">
        <v>42849</v>
      </c>
      <c r="F100" t="str">
        <f>"12423"</f>
        <v>12423</v>
      </c>
      <c r="G100" t="str">
        <f>"SERVICE 1/27/17"</f>
        <v>SERVICE 1/27/17</v>
      </c>
      <c r="H100" s="2">
        <v>125</v>
      </c>
      <c r="I100" t="str">
        <f>"SERVICE 1/27/17"</f>
        <v>SERVICE 1/27/17</v>
      </c>
    </row>
    <row r="101" spans="1:9" x14ac:dyDescent="0.3">
      <c r="A101" t="str">
        <f>"003673"</f>
        <v>003673</v>
      </c>
      <c r="B101" t="s">
        <v>38</v>
      </c>
      <c r="C101">
        <v>69511</v>
      </c>
      <c r="D101" s="2">
        <v>4356.7299999999996</v>
      </c>
      <c r="E101" s="1">
        <v>42830</v>
      </c>
      <c r="F101" t="str">
        <f>"201704050679"</f>
        <v>201704050679</v>
      </c>
      <c r="G101" t="str">
        <f>"ACCT#512A49-0048-193 3"</f>
        <v>ACCT#512A49-0048-193 3</v>
      </c>
      <c r="H101" s="2">
        <v>249.27</v>
      </c>
      <c r="I101" t="str">
        <f>"ACCT#512A49-0048-193 3"</f>
        <v>ACCT#512A49-0048-193 3</v>
      </c>
    </row>
    <row r="102" spans="1:9" x14ac:dyDescent="0.3">
      <c r="A102" t="str">
        <f>""</f>
        <v/>
      </c>
      <c r="F102" t="str">
        <f>"201704050680"</f>
        <v>201704050680</v>
      </c>
      <c r="G102" t="str">
        <f>"ACCT#512A490048- 193 3"</f>
        <v>ACCT#512A490048- 193 3</v>
      </c>
      <c r="H102" s="2">
        <v>179.6</v>
      </c>
      <c r="I102" t="str">
        <f>"ACCT#512A490048- 193 3"</f>
        <v>ACCT#512A490048- 193 3</v>
      </c>
    </row>
    <row r="103" spans="1:9" x14ac:dyDescent="0.3">
      <c r="A103" t="str">
        <f>""</f>
        <v/>
      </c>
      <c r="F103" t="str">
        <f>"201704050681"</f>
        <v>201704050681</v>
      </c>
      <c r="G103" t="str">
        <f>"ACCT#512A49-0048-193 3"</f>
        <v>ACCT#512A49-0048-193 3</v>
      </c>
      <c r="H103" s="2">
        <v>540.91999999999996</v>
      </c>
      <c r="I103" t="str">
        <f>"ACCT#512A49-0048-193 3"</f>
        <v>ACCT#512A49-0048-193 3</v>
      </c>
    </row>
    <row r="104" spans="1:9" x14ac:dyDescent="0.3">
      <c r="A104" t="str">
        <f>""</f>
        <v/>
      </c>
      <c r="F104" t="str">
        <f>"201704050682"</f>
        <v>201704050682</v>
      </c>
      <c r="G104" t="str">
        <f>"ACCT#512 A49-0048-193 3"</f>
        <v>ACCT#512 A49-0048-193 3</v>
      </c>
      <c r="H104" s="2">
        <v>3252.79</v>
      </c>
      <c r="I104" t="str">
        <f>"ACCT#512 A49-0048-193 3"</f>
        <v>ACCT#512 A49-0048-193 3</v>
      </c>
    </row>
    <row r="105" spans="1:9" x14ac:dyDescent="0.3">
      <c r="A105" t="str">
        <f>""</f>
        <v/>
      </c>
      <c r="F105" t="str">
        <f>"201704050683"</f>
        <v>201704050683</v>
      </c>
      <c r="G105" t="str">
        <f>"ACCT#512A49-0048-193 3"</f>
        <v>ACCT#512A49-0048-193 3</v>
      </c>
      <c r="H105" s="2">
        <v>134.15</v>
      </c>
      <c r="I105" t="str">
        <f>"ACCT#512A49-0048-193 3"</f>
        <v>ACCT#512A49-0048-193 3</v>
      </c>
    </row>
    <row r="106" spans="1:9" x14ac:dyDescent="0.3">
      <c r="A106" t="str">
        <f>"AT&amp;TLO"</f>
        <v>AT&amp;TLO</v>
      </c>
      <c r="B106" t="s">
        <v>39</v>
      </c>
      <c r="C106">
        <v>69782</v>
      </c>
      <c r="D106" s="2">
        <v>2926.26</v>
      </c>
      <c r="E106" s="1">
        <v>42843</v>
      </c>
      <c r="F106" t="str">
        <f>"03-19-2017"</f>
        <v>03-19-2017</v>
      </c>
      <c r="G106" t="str">
        <f>"831-000-6982 602 - 02/19-03/18"</f>
        <v>831-000-6982 602 - 02/19-03/18</v>
      </c>
      <c r="H106" s="2">
        <v>1020.47</v>
      </c>
      <c r="I106" t="str">
        <f>"831-000-6982 602 - 02/19-03/18"</f>
        <v>831-000-6982 602 - 02/19-03/18</v>
      </c>
    </row>
    <row r="107" spans="1:9" x14ac:dyDescent="0.3">
      <c r="A107" t="str">
        <f>""</f>
        <v/>
      </c>
      <c r="F107" t="str">
        <f>"201704181317"</f>
        <v>201704181317</v>
      </c>
      <c r="G107" t="str">
        <f>"831-000-6084 095 - 03/19-04/18"</f>
        <v>831-000-6084 095 - 03/19-04/18</v>
      </c>
      <c r="H107" s="2">
        <v>1905.79</v>
      </c>
      <c r="I107" t="str">
        <f>"831-000-6084 095 - 03/19-04/18"</f>
        <v>831-000-6084 095 - 03/19-04/18</v>
      </c>
    </row>
    <row r="108" spans="1:9" x14ac:dyDescent="0.3">
      <c r="A108" t="str">
        <f>"T7386"</f>
        <v>T7386</v>
      </c>
      <c r="B108" t="s">
        <v>39</v>
      </c>
      <c r="C108">
        <v>70032</v>
      </c>
      <c r="D108" s="2">
        <v>1785.82</v>
      </c>
      <c r="E108" s="1">
        <v>42849</v>
      </c>
      <c r="F108" t="str">
        <f>"512 303-1080 238 5"</f>
        <v>512 303-1080 238 5</v>
      </c>
      <c r="G108" t="str">
        <f>"MONTHLY SERVICE THRU 05/02/17"</f>
        <v>MONTHLY SERVICE THRU 05/02/17</v>
      </c>
      <c r="H108" s="2">
        <v>1785.82</v>
      </c>
      <c r="I108" t="str">
        <f>"MONTHLY SERVICE THRU 05/02/17"</f>
        <v>MONTHLY SERVICE THRU 05/02/17</v>
      </c>
    </row>
    <row r="109" spans="1:9" x14ac:dyDescent="0.3">
      <c r="A109" t="str">
        <f>"AT&amp;TMO"</f>
        <v>AT&amp;TMO</v>
      </c>
      <c r="B109" t="s">
        <v>40</v>
      </c>
      <c r="C109">
        <v>69932</v>
      </c>
      <c r="D109" s="2">
        <v>4009.37</v>
      </c>
      <c r="E109" s="1">
        <v>42849</v>
      </c>
      <c r="F109" t="str">
        <f>"201704191335"</f>
        <v>201704191335</v>
      </c>
      <c r="G109" t="str">
        <f>"ACCT#287263291654/PCT#2"</f>
        <v>ACCT#287263291654/PCT#2</v>
      </c>
      <c r="H109" s="2">
        <v>207.94</v>
      </c>
      <c r="I109" t="str">
        <f>"ACCT#287263291654/PCT#2"</f>
        <v>ACCT#287263291654/PCT#2</v>
      </c>
    </row>
    <row r="110" spans="1:9" x14ac:dyDescent="0.3">
      <c r="A110" t="str">
        <f>""</f>
        <v/>
      </c>
      <c r="F110" t="str">
        <f>"201704191336"</f>
        <v>201704191336</v>
      </c>
      <c r="G110" t="str">
        <f>"ACCT#287263291654/PCT#4"</f>
        <v>ACCT#287263291654/PCT#4</v>
      </c>
      <c r="H110" s="2">
        <v>107.97</v>
      </c>
      <c r="I110" t="str">
        <f>"ACCT#287263291654/PCT#4"</f>
        <v>ACCT#287263291654/PCT#4</v>
      </c>
    </row>
    <row r="111" spans="1:9" x14ac:dyDescent="0.3">
      <c r="A111" t="str">
        <f>""</f>
        <v/>
      </c>
      <c r="F111" t="str">
        <f>"201704191337"</f>
        <v>201704191337</v>
      </c>
      <c r="G111" t="str">
        <f>"ACCT#287263291654/TOURISM"</f>
        <v>ACCT#287263291654/TOURISM</v>
      </c>
      <c r="H111" s="2">
        <v>113.97</v>
      </c>
      <c r="I111" t="str">
        <f>"ACCT#287263291654/TOURISM"</f>
        <v>ACCT#287263291654/TOURISM</v>
      </c>
    </row>
    <row r="112" spans="1:9" x14ac:dyDescent="0.3">
      <c r="A112" t="str">
        <f>""</f>
        <v/>
      </c>
      <c r="F112" t="str">
        <f>"201704191340"</f>
        <v>201704191340</v>
      </c>
      <c r="G112" t="str">
        <f>"ACCT#287263291654"</f>
        <v>ACCT#287263291654</v>
      </c>
      <c r="H112" s="2">
        <v>3579.49</v>
      </c>
      <c r="I112" t="str">
        <f t="shared" ref="I112:I125" si="0">"ACCT#287263291654"</f>
        <v>ACCT#287263291654</v>
      </c>
    </row>
    <row r="113" spans="1:9" x14ac:dyDescent="0.3">
      <c r="A113" t="str">
        <f>""</f>
        <v/>
      </c>
      <c r="F113" t="str">
        <f>""</f>
        <v/>
      </c>
      <c r="G113" t="str">
        <f>""</f>
        <v/>
      </c>
      <c r="I113" t="str">
        <f t="shared" si="0"/>
        <v>ACCT#287263291654</v>
      </c>
    </row>
    <row r="114" spans="1:9" x14ac:dyDescent="0.3">
      <c r="A114" t="str">
        <f>""</f>
        <v/>
      </c>
      <c r="F114" t="str">
        <f>""</f>
        <v/>
      </c>
      <c r="G114" t="str">
        <f>""</f>
        <v/>
      </c>
      <c r="I114" t="str">
        <f t="shared" si="0"/>
        <v>ACCT#287263291654</v>
      </c>
    </row>
    <row r="115" spans="1:9" x14ac:dyDescent="0.3">
      <c r="A115" t="str">
        <f>""</f>
        <v/>
      </c>
      <c r="F115" t="str">
        <f>""</f>
        <v/>
      </c>
      <c r="G115" t="str">
        <f>""</f>
        <v/>
      </c>
      <c r="I115" t="str">
        <f t="shared" si="0"/>
        <v>ACCT#287263291654</v>
      </c>
    </row>
    <row r="116" spans="1:9" x14ac:dyDescent="0.3">
      <c r="A116" t="str">
        <f>""</f>
        <v/>
      </c>
      <c r="F116" t="str">
        <f>""</f>
        <v/>
      </c>
      <c r="G116" t="str">
        <f>""</f>
        <v/>
      </c>
      <c r="I116" t="str">
        <f t="shared" si="0"/>
        <v>ACCT#287263291654</v>
      </c>
    </row>
    <row r="117" spans="1:9" x14ac:dyDescent="0.3">
      <c r="A117" t="str">
        <f>""</f>
        <v/>
      </c>
      <c r="F117" t="str">
        <f>""</f>
        <v/>
      </c>
      <c r="G117" t="str">
        <f>""</f>
        <v/>
      </c>
      <c r="I117" t="str">
        <f t="shared" si="0"/>
        <v>ACCT#287263291654</v>
      </c>
    </row>
    <row r="118" spans="1:9" x14ac:dyDescent="0.3">
      <c r="A118" t="str">
        <f>""</f>
        <v/>
      </c>
      <c r="F118" t="str">
        <f>""</f>
        <v/>
      </c>
      <c r="G118" t="str">
        <f>""</f>
        <v/>
      </c>
      <c r="I118" t="str">
        <f t="shared" si="0"/>
        <v>ACCT#287263291654</v>
      </c>
    </row>
    <row r="119" spans="1:9" x14ac:dyDescent="0.3">
      <c r="A119" t="str">
        <f>""</f>
        <v/>
      </c>
      <c r="F119" t="str">
        <f>""</f>
        <v/>
      </c>
      <c r="G119" t="str">
        <f>""</f>
        <v/>
      </c>
      <c r="I119" t="str">
        <f t="shared" si="0"/>
        <v>ACCT#287263291654</v>
      </c>
    </row>
    <row r="120" spans="1:9" x14ac:dyDescent="0.3">
      <c r="A120" t="str">
        <f>""</f>
        <v/>
      </c>
      <c r="F120" t="str">
        <f>""</f>
        <v/>
      </c>
      <c r="G120" t="str">
        <f>""</f>
        <v/>
      </c>
      <c r="I120" t="str">
        <f t="shared" si="0"/>
        <v>ACCT#287263291654</v>
      </c>
    </row>
    <row r="121" spans="1:9" x14ac:dyDescent="0.3">
      <c r="A121" t="str">
        <f>""</f>
        <v/>
      </c>
      <c r="F121" t="str">
        <f>""</f>
        <v/>
      </c>
      <c r="G121" t="str">
        <f>""</f>
        <v/>
      </c>
      <c r="I121" t="str">
        <f t="shared" si="0"/>
        <v>ACCT#287263291654</v>
      </c>
    </row>
    <row r="122" spans="1:9" x14ac:dyDescent="0.3">
      <c r="A122" t="str">
        <f>""</f>
        <v/>
      </c>
      <c r="F122" t="str">
        <f>""</f>
        <v/>
      </c>
      <c r="G122" t="str">
        <f>""</f>
        <v/>
      </c>
      <c r="I122" t="str">
        <f t="shared" si="0"/>
        <v>ACCT#287263291654</v>
      </c>
    </row>
    <row r="123" spans="1:9" x14ac:dyDescent="0.3">
      <c r="A123" t="str">
        <f>""</f>
        <v/>
      </c>
      <c r="F123" t="str">
        <f>""</f>
        <v/>
      </c>
      <c r="G123" t="str">
        <f>""</f>
        <v/>
      </c>
      <c r="I123" t="str">
        <f t="shared" si="0"/>
        <v>ACCT#287263291654</v>
      </c>
    </row>
    <row r="124" spans="1:9" x14ac:dyDescent="0.3">
      <c r="A124" t="str">
        <f>""</f>
        <v/>
      </c>
      <c r="F124" t="str">
        <f>""</f>
        <v/>
      </c>
      <c r="G124" t="str">
        <f>""</f>
        <v/>
      </c>
      <c r="I124" t="str">
        <f t="shared" si="0"/>
        <v>ACCT#287263291654</v>
      </c>
    </row>
    <row r="125" spans="1:9" x14ac:dyDescent="0.3">
      <c r="A125" t="str">
        <f>""</f>
        <v/>
      </c>
      <c r="F125" t="str">
        <f>""</f>
        <v/>
      </c>
      <c r="G125" t="str">
        <f>""</f>
        <v/>
      </c>
      <c r="I125" t="str">
        <f t="shared" si="0"/>
        <v>ACCT#287263291654</v>
      </c>
    </row>
    <row r="126" spans="1:9" x14ac:dyDescent="0.3">
      <c r="A126" t="str">
        <f>"000787"</f>
        <v>000787</v>
      </c>
      <c r="B126" t="s">
        <v>39</v>
      </c>
      <c r="C126">
        <v>69512</v>
      </c>
      <c r="D126" s="2">
        <v>2017.17</v>
      </c>
      <c r="E126" s="1">
        <v>42830</v>
      </c>
      <c r="F126" t="str">
        <f>"201704050678"</f>
        <v>201704050678</v>
      </c>
      <c r="G126" t="str">
        <f>"ACCT#287263291729"</f>
        <v>ACCT#287263291729</v>
      </c>
      <c r="H126" s="2">
        <v>2017.17</v>
      </c>
      <c r="I126" t="str">
        <f>"ACCT#287263291729"</f>
        <v>ACCT#287263291729</v>
      </c>
    </row>
    <row r="127" spans="1:9" x14ac:dyDescent="0.3">
      <c r="A127" t="str">
        <f>"T10780"</f>
        <v>T10780</v>
      </c>
      <c r="B127" t="s">
        <v>41</v>
      </c>
      <c r="C127">
        <v>69988</v>
      </c>
      <c r="D127" s="2">
        <v>123.25</v>
      </c>
      <c r="E127" s="1">
        <v>42849</v>
      </c>
      <c r="F127" t="str">
        <f>"I0482604"</f>
        <v>I0482604</v>
      </c>
      <c r="G127" t="str">
        <f>"CUST#132733/ASSAULT/GS"</f>
        <v>CUST#132733/ASSAULT/GS</v>
      </c>
      <c r="H127" s="2">
        <v>123.25</v>
      </c>
      <c r="I127" t="str">
        <f>"CUST#132733/ASSAULT/GS"</f>
        <v>CUST#132733/ASSAULT/GS</v>
      </c>
    </row>
    <row r="128" spans="1:9" x14ac:dyDescent="0.3">
      <c r="A128" t="str">
        <f>"ASC"</f>
        <v>ASC</v>
      </c>
      <c r="B128" t="s">
        <v>42</v>
      </c>
      <c r="C128">
        <v>69931</v>
      </c>
      <c r="D128" s="2">
        <v>616.76</v>
      </c>
      <c r="E128" s="1">
        <v>42849</v>
      </c>
      <c r="F128" t="str">
        <f>"0011738"</f>
        <v>0011738</v>
      </c>
      <c r="G128" t="str">
        <f>"CLAMPS/LOCKS/PCT#2"</f>
        <v>CLAMPS/LOCKS/PCT#2</v>
      </c>
      <c r="H128" s="2">
        <v>308.38</v>
      </c>
    </row>
    <row r="129" spans="1:10" x14ac:dyDescent="0.3">
      <c r="A129" t="str">
        <f>""</f>
        <v/>
      </c>
      <c r="F129" t="str">
        <f>"88845"</f>
        <v>88845</v>
      </c>
      <c r="G129" t="str">
        <f>"WORK ORDER#11738/PARTS/PCT#3"</f>
        <v>WORK ORDER#11738/PARTS/PCT#3</v>
      </c>
      <c r="H129" s="2">
        <v>308.38</v>
      </c>
    </row>
    <row r="130" spans="1:10" x14ac:dyDescent="0.3">
      <c r="A130" t="str">
        <f>"ASC"</f>
        <v>ASC</v>
      </c>
      <c r="B130" t="s">
        <v>42</v>
      </c>
      <c r="C130">
        <v>69931</v>
      </c>
      <c r="D130" s="2">
        <v>616.76</v>
      </c>
      <c r="E130" s="1">
        <v>42849</v>
      </c>
      <c r="F130" t="str">
        <f>"CHECK"</f>
        <v>CHECK</v>
      </c>
      <c r="G130" t="str">
        <f>""</f>
        <v/>
      </c>
      <c r="H130" s="2">
        <v>616.76</v>
      </c>
    </row>
    <row r="131" spans="1:10" x14ac:dyDescent="0.3">
      <c r="A131" t="str">
        <f>"AAS"</f>
        <v>AAS</v>
      </c>
      <c r="B131" t="s">
        <v>43</v>
      </c>
      <c r="C131">
        <v>69549</v>
      </c>
      <c r="D131" s="2">
        <v>362.88</v>
      </c>
      <c r="E131" s="1">
        <v>42835</v>
      </c>
      <c r="F131" t="str">
        <f>"715922"</f>
        <v>715922</v>
      </c>
      <c r="G131" t="str">
        <f>"ACCT#G29500/PCT#3"</f>
        <v>ACCT#G29500/PCT#3</v>
      </c>
      <c r="H131" s="2">
        <v>362.88</v>
      </c>
      <c r="I131" t="str">
        <f>"ACCT#G29500/PCT#3"</f>
        <v>ACCT#G29500/PCT#3</v>
      </c>
    </row>
    <row r="132" spans="1:10" x14ac:dyDescent="0.3">
      <c r="A132" t="str">
        <f>"004686"</f>
        <v>004686</v>
      </c>
      <c r="B132" t="s">
        <v>44</v>
      </c>
      <c r="C132">
        <v>69906</v>
      </c>
      <c r="D132" s="2">
        <v>865</v>
      </c>
      <c r="E132" s="1">
        <v>42849</v>
      </c>
      <c r="F132" t="str">
        <f>"0216172"</f>
        <v>0216172</v>
      </c>
      <c r="G132" t="str">
        <f>"ASBESTOS SURVEY/COURTHOUSE"</f>
        <v>ASBESTOS SURVEY/COURTHOUSE</v>
      </c>
      <c r="H132" s="2">
        <v>865</v>
      </c>
      <c r="I132" t="str">
        <f>"ASBESTOS SURVEY/COURTHOUSE"</f>
        <v>ASBESTOS SURVEY/COURTHOUSE</v>
      </c>
    </row>
    <row r="133" spans="1:10" x14ac:dyDescent="0.3">
      <c r="A133" t="str">
        <f>"T6757"</f>
        <v>T6757</v>
      </c>
      <c r="B133" t="s">
        <v>45</v>
      </c>
      <c r="C133">
        <v>70030</v>
      </c>
      <c r="D133" s="2">
        <v>555.29999999999995</v>
      </c>
      <c r="E133" s="1">
        <v>42849</v>
      </c>
      <c r="F133" t="str">
        <f>"201704201382"</f>
        <v>201704201382</v>
      </c>
      <c r="G133" t="str">
        <f>"INDIGENT HEALTH"</f>
        <v>INDIGENT HEALTH</v>
      </c>
      <c r="H133" s="2">
        <v>555.29999999999995</v>
      </c>
      <c r="I133" t="str">
        <f>"INDIGENT HEALTH"</f>
        <v>INDIGENT HEALTH</v>
      </c>
    </row>
    <row r="134" spans="1:10" x14ac:dyDescent="0.3">
      <c r="A134" t="str">
        <f>"T1251"</f>
        <v>T1251</v>
      </c>
      <c r="B134" t="s">
        <v>46</v>
      </c>
      <c r="C134">
        <v>69550</v>
      </c>
      <c r="D134" s="2">
        <v>35.83</v>
      </c>
      <c r="E134" s="1">
        <v>42835</v>
      </c>
      <c r="F134" t="str">
        <f>"201704060719"</f>
        <v>201704060719</v>
      </c>
      <c r="G134" t="str">
        <f>"INDIGENT HEALTH"</f>
        <v>INDIGENT HEALTH</v>
      </c>
      <c r="H134" s="2">
        <v>35.83</v>
      </c>
      <c r="I134" t="str">
        <f>"INDIGENT HEALTH"</f>
        <v>INDIGENT HEALTH</v>
      </c>
    </row>
    <row r="135" spans="1:10" x14ac:dyDescent="0.3">
      <c r="A135" t="str">
        <f>""</f>
        <v/>
      </c>
      <c r="F135" t="str">
        <f>""</f>
        <v/>
      </c>
      <c r="G135" t="str">
        <f>""</f>
        <v/>
      </c>
      <c r="I135" t="str">
        <f>"INDIGENT HEALTH"</f>
        <v>INDIGENT HEALTH</v>
      </c>
    </row>
    <row r="136" spans="1:10" x14ac:dyDescent="0.3">
      <c r="A136" t="str">
        <f>"T1251"</f>
        <v>T1251</v>
      </c>
      <c r="B136" t="s">
        <v>46</v>
      </c>
      <c r="C136">
        <v>69998</v>
      </c>
      <c r="D136" s="2">
        <v>62.82</v>
      </c>
      <c r="E136" s="1">
        <v>42849</v>
      </c>
      <c r="F136" t="str">
        <f>"201704201368"</f>
        <v>201704201368</v>
      </c>
      <c r="G136" t="str">
        <f>"INDIGENT HEALTH"</f>
        <v>INDIGENT HEALTH</v>
      </c>
      <c r="H136" s="2">
        <v>62.82</v>
      </c>
      <c r="I136" t="str">
        <f>"INDIGENT HEALTH"</f>
        <v>INDIGENT HEALTH</v>
      </c>
    </row>
    <row r="137" spans="1:10" x14ac:dyDescent="0.3">
      <c r="A137" t="str">
        <f>"001795"</f>
        <v>001795</v>
      </c>
      <c r="B137" t="s">
        <v>47</v>
      </c>
      <c r="C137">
        <v>69825</v>
      </c>
      <c r="D137" s="2">
        <v>384.88</v>
      </c>
      <c r="E137" s="1">
        <v>42849</v>
      </c>
      <c r="F137" t="str">
        <f>"140736"</f>
        <v>140736</v>
      </c>
      <c r="G137" t="str">
        <f>"DRIER/PCT#3"</f>
        <v>DRIER/PCT#3</v>
      </c>
      <c r="H137" s="2">
        <v>384.88</v>
      </c>
      <c r="I137" t="str">
        <f>"DRIER/PCT#3"</f>
        <v>DRIER/PCT#3</v>
      </c>
    </row>
    <row r="138" spans="1:10" x14ac:dyDescent="0.3">
      <c r="A138" t="str">
        <f>"T3200"</f>
        <v>T3200</v>
      </c>
      <c r="B138" t="s">
        <v>48</v>
      </c>
      <c r="C138">
        <v>70015</v>
      </c>
      <c r="D138" s="2">
        <v>99.81</v>
      </c>
      <c r="E138" s="1">
        <v>42849</v>
      </c>
      <c r="F138" t="str">
        <f>"201704201369"</f>
        <v>201704201369</v>
      </c>
      <c r="G138" t="str">
        <f>"INDIGENT HEALTH"</f>
        <v>INDIGENT HEALTH</v>
      </c>
      <c r="H138" s="2">
        <v>99.81</v>
      </c>
      <c r="I138" t="str">
        <f>"INDIGENT HEALTH"</f>
        <v>INDIGENT HEALTH</v>
      </c>
    </row>
    <row r="139" spans="1:10" x14ac:dyDescent="0.3">
      <c r="A139" t="str">
        <f>"005032"</f>
        <v>005032</v>
      </c>
      <c r="B139" t="s">
        <v>49</v>
      </c>
      <c r="C139">
        <v>69922</v>
      </c>
      <c r="D139" s="2">
        <v>93</v>
      </c>
      <c r="E139" s="1">
        <v>42849</v>
      </c>
      <c r="F139" t="s">
        <v>50</v>
      </c>
      <c r="G139" t="s">
        <v>51</v>
      </c>
      <c r="H139" s="2" t="str">
        <f>"REFUND OVERPAYMENT CRT COST"</f>
        <v>REFUND OVERPAYMENT CRT COST</v>
      </c>
      <c r="I139" t="str">
        <f>"995-4110"</f>
        <v>995-4110</v>
      </c>
      <c r="J139">
        <v>93</v>
      </c>
    </row>
    <row r="140" spans="1:10" x14ac:dyDescent="0.3">
      <c r="A140" t="str">
        <f>"B&amp;B"</f>
        <v>B&amp;B</v>
      </c>
      <c r="B140" t="s">
        <v>52</v>
      </c>
      <c r="C140">
        <v>69934</v>
      </c>
      <c r="D140" s="2">
        <v>721.94</v>
      </c>
      <c r="E140" s="1">
        <v>42849</v>
      </c>
      <c r="F140" t="str">
        <f>"502255/506420"</f>
        <v>502255/506420</v>
      </c>
      <c r="G140" t="str">
        <f>"CUST#1650/PCT#1"</f>
        <v>CUST#1650/PCT#1</v>
      </c>
      <c r="H140" s="2">
        <v>478.71</v>
      </c>
      <c r="I140" t="str">
        <f>"CUST#1650/PCT#1"</f>
        <v>CUST#1650/PCT#1</v>
      </c>
    </row>
    <row r="141" spans="1:10" x14ac:dyDescent="0.3">
      <c r="A141" t="str">
        <f>""</f>
        <v/>
      </c>
      <c r="F141" t="str">
        <f>"503082/507922"</f>
        <v>503082/507922</v>
      </c>
      <c r="G141" t="str">
        <f>"CUST#1750/PCT#3"</f>
        <v>CUST#1750/PCT#3</v>
      </c>
      <c r="H141" s="2">
        <v>243.23</v>
      </c>
      <c r="I141" t="str">
        <f>"CUST#1750/PCT#3"</f>
        <v>CUST#1750/PCT#3</v>
      </c>
    </row>
    <row r="142" spans="1:10" x14ac:dyDescent="0.3">
      <c r="A142" t="str">
        <f>"005042"</f>
        <v>005042</v>
      </c>
      <c r="B142" t="s">
        <v>53</v>
      </c>
      <c r="C142">
        <v>69927</v>
      </c>
      <c r="D142" s="2">
        <v>2946.18</v>
      </c>
      <c r="E142" s="1">
        <v>42849</v>
      </c>
      <c r="F142" t="str">
        <f>"201704201557"</f>
        <v>201704201557</v>
      </c>
      <c r="G142" t="str">
        <f>"INDIGENT HEALTH"</f>
        <v>INDIGENT HEALTH</v>
      </c>
      <c r="H142" s="2">
        <v>2946.18</v>
      </c>
      <c r="I142" t="str">
        <f>"INDIGENT HEALTH"</f>
        <v>INDIGENT HEALTH</v>
      </c>
    </row>
    <row r="143" spans="1:10" x14ac:dyDescent="0.3">
      <c r="A143" t="str">
        <f>"001769"</f>
        <v>001769</v>
      </c>
      <c r="B143" t="s">
        <v>54</v>
      </c>
      <c r="C143">
        <v>69824</v>
      </c>
      <c r="D143" s="2">
        <v>2050</v>
      </c>
      <c r="E143" s="1">
        <v>42849</v>
      </c>
      <c r="F143" t="str">
        <f>"1517"</f>
        <v>1517</v>
      </c>
      <c r="G143" t="str">
        <f>"REMOVED DEAD OAK/PCT#2"</f>
        <v>REMOVED DEAD OAK/PCT#2</v>
      </c>
      <c r="H143" s="2">
        <v>2050</v>
      </c>
      <c r="I143" t="str">
        <f>"REMOVED DEAD OAK/PCT#2"</f>
        <v>REMOVED DEAD OAK/PCT#2</v>
      </c>
    </row>
    <row r="144" spans="1:10" x14ac:dyDescent="0.3">
      <c r="A144" t="str">
        <f>"004875"</f>
        <v>004875</v>
      </c>
      <c r="B144" t="s">
        <v>55</v>
      </c>
      <c r="C144">
        <v>70061</v>
      </c>
      <c r="D144" s="2">
        <v>34350.160000000003</v>
      </c>
      <c r="E144" s="1">
        <v>42853</v>
      </c>
      <c r="F144" t="str">
        <f>"Pay App #3"</f>
        <v>Pay App #3</v>
      </c>
      <c r="G144" t="str">
        <f>"Pay App #3"</f>
        <v>Pay App #3</v>
      </c>
      <c r="H144" s="2">
        <v>34350.160000000003</v>
      </c>
      <c r="I144" t="str">
        <f>"Pay App #3"</f>
        <v>Pay App #3</v>
      </c>
    </row>
    <row r="145" spans="1:10" x14ac:dyDescent="0.3">
      <c r="A145" t="str">
        <f>"000871"</f>
        <v>000871</v>
      </c>
      <c r="B145" t="s">
        <v>56</v>
      </c>
      <c r="C145">
        <v>69763</v>
      </c>
      <c r="D145" s="2">
        <v>270</v>
      </c>
      <c r="E145" s="1">
        <v>42837</v>
      </c>
      <c r="F145" t="str">
        <f>"REISSUE"</f>
        <v>REISSUE</v>
      </c>
      <c r="G145" t="str">
        <f>"REIMBURSE HOUSTON RODEO HOTEL"</f>
        <v>REIMBURSE HOUSTON RODEO HOTEL</v>
      </c>
      <c r="H145" s="2">
        <v>270</v>
      </c>
      <c r="I145" t="str">
        <f>"REIMBURSE HOUSTON RODEO HOTEL"</f>
        <v>REIMBURSE HOUSTON RODEO HOTEL</v>
      </c>
    </row>
    <row r="146" spans="1:10" x14ac:dyDescent="0.3">
      <c r="A146" t="str">
        <f>"T1636"</f>
        <v>T1636</v>
      </c>
      <c r="B146" t="s">
        <v>57</v>
      </c>
      <c r="C146">
        <v>69551</v>
      </c>
      <c r="D146" s="2">
        <v>439.52</v>
      </c>
      <c r="E146" s="1">
        <v>42835</v>
      </c>
      <c r="F146" t="str">
        <f>"  11876"</f>
        <v xml:space="preserve">  11876</v>
      </c>
      <c r="G146" t="str">
        <f>"SERVICE/-1-27-17"</f>
        <v>SERVICE/-1-27-17</v>
      </c>
      <c r="H146" s="2">
        <v>275</v>
      </c>
      <c r="I146" t="str">
        <f>"SERVICE/-1-27-17"</f>
        <v>SERVICE/-1-27-17</v>
      </c>
    </row>
    <row r="147" spans="1:10" x14ac:dyDescent="0.3">
      <c r="A147" t="str">
        <f>""</f>
        <v/>
      </c>
      <c r="F147" t="str">
        <f>"11471"</f>
        <v>11471</v>
      </c>
      <c r="G147" t="str">
        <f>"SERVICE/1-27-17"</f>
        <v>SERVICE/1-27-17</v>
      </c>
      <c r="H147" s="2">
        <v>14.52</v>
      </c>
      <c r="I147" t="str">
        <f>"SERVICE/1-27-17"</f>
        <v>SERVICE/1-27-17</v>
      </c>
    </row>
    <row r="148" spans="1:10" x14ac:dyDescent="0.3">
      <c r="A148" t="str">
        <f>""</f>
        <v/>
      </c>
      <c r="F148" t="str">
        <f>"11842"</f>
        <v>11842</v>
      </c>
      <c r="G148" t="str">
        <f>"SERVICE/2-14-17"</f>
        <v>SERVICE/2-14-17</v>
      </c>
      <c r="H148" s="2">
        <v>75</v>
      </c>
      <c r="I148" t="str">
        <f>"SERVICE/2-14-17"</f>
        <v>SERVICE/2-14-17</v>
      </c>
    </row>
    <row r="149" spans="1:10" x14ac:dyDescent="0.3">
      <c r="A149" t="str">
        <f>""</f>
        <v/>
      </c>
      <c r="F149" t="str">
        <f>"12624"</f>
        <v>12624</v>
      </c>
      <c r="G149" t="str">
        <f>"SERVICE/2-13-17"</f>
        <v>SERVICE/2-13-17</v>
      </c>
      <c r="H149" s="2">
        <v>75</v>
      </c>
      <c r="I149" t="str">
        <f>"SERVICE/2-13-17"</f>
        <v>SERVICE/2-13-17</v>
      </c>
    </row>
    <row r="150" spans="1:10" x14ac:dyDescent="0.3">
      <c r="A150" t="str">
        <f>"T1636"</f>
        <v>T1636</v>
      </c>
      <c r="B150" t="s">
        <v>57</v>
      </c>
      <c r="C150">
        <v>70010</v>
      </c>
      <c r="D150" s="2">
        <v>3115</v>
      </c>
      <c r="E150" s="1">
        <v>42849</v>
      </c>
      <c r="F150" t="s">
        <v>58</v>
      </c>
      <c r="G150" t="s">
        <v>59</v>
      </c>
      <c r="H150" s="2" t="str">
        <f>"SERVICE 1/27/17"</f>
        <v>SERVICE 1/27/17</v>
      </c>
      <c r="I150" t="str">
        <f>"995-4110"</f>
        <v>995-4110</v>
      </c>
      <c r="J150">
        <v>1075</v>
      </c>
    </row>
    <row r="151" spans="1:10" x14ac:dyDescent="0.3">
      <c r="A151" t="str">
        <f>""</f>
        <v/>
      </c>
      <c r="F151" t="s">
        <v>50</v>
      </c>
      <c r="G151" t="s">
        <v>51</v>
      </c>
      <c r="H151" s="2" t="str">
        <f>"SERVICE 2/22/17"</f>
        <v>SERVICE 2/22/17</v>
      </c>
      <c r="I151" t="str">
        <f>"995-4110"</f>
        <v>995-4110</v>
      </c>
      <c r="J151">
        <v>250</v>
      </c>
    </row>
    <row r="152" spans="1:10" x14ac:dyDescent="0.3">
      <c r="A152" t="str">
        <f>""</f>
        <v/>
      </c>
      <c r="F152" t="str">
        <f>"12139"</f>
        <v>12139</v>
      </c>
      <c r="G152" t="str">
        <f>"SERVICE 1/27/17"</f>
        <v>SERVICE 1/27/17</v>
      </c>
      <c r="H152" s="2">
        <v>275</v>
      </c>
      <c r="I152" t="str">
        <f>"SERVICE 1/27/17"</f>
        <v>SERVICE 1/27/17</v>
      </c>
    </row>
    <row r="153" spans="1:10" x14ac:dyDescent="0.3">
      <c r="A153" t="str">
        <f>""</f>
        <v/>
      </c>
      <c r="F153" t="str">
        <f>"12295"</f>
        <v>12295</v>
      </c>
      <c r="G153" t="str">
        <f>"SERVICE 1/27/17"</f>
        <v>SERVICE 1/27/17</v>
      </c>
      <c r="H153" s="2">
        <v>275</v>
      </c>
      <c r="I153" t="str">
        <f>"SERVICE 1/27/17"</f>
        <v>SERVICE 1/27/17</v>
      </c>
    </row>
    <row r="154" spans="1:10" x14ac:dyDescent="0.3">
      <c r="A154" t="str">
        <f>""</f>
        <v/>
      </c>
      <c r="F154" t="str">
        <f>"12423"</f>
        <v>12423</v>
      </c>
      <c r="G154" t="str">
        <f>"SERVICE 1/27/17"</f>
        <v>SERVICE 1/27/17</v>
      </c>
      <c r="H154" s="2">
        <v>275</v>
      </c>
      <c r="I154" t="str">
        <f>"SERVICE 1/27/17"</f>
        <v>SERVICE 1/27/17</v>
      </c>
    </row>
    <row r="155" spans="1:10" x14ac:dyDescent="0.3">
      <c r="A155" t="str">
        <f>""</f>
        <v/>
      </c>
      <c r="F155" t="str">
        <f>"12429"</f>
        <v>12429</v>
      </c>
      <c r="G155" t="str">
        <f>"SERVICE/1-27-2017"</f>
        <v>SERVICE/1-27-2017</v>
      </c>
      <c r="H155" s="2">
        <v>200</v>
      </c>
      <c r="I155" t="str">
        <f>"SERVICE/1-27-2017"</f>
        <v>SERVICE/1-27-2017</v>
      </c>
    </row>
    <row r="156" spans="1:10" x14ac:dyDescent="0.3">
      <c r="A156" t="str">
        <f>""</f>
        <v/>
      </c>
      <c r="F156" t="str">
        <f>"12457"</f>
        <v>12457</v>
      </c>
      <c r="G156" t="str">
        <f>"SERVICE/1-27-2017"</f>
        <v>SERVICE/1-27-2017</v>
      </c>
      <c r="H156" s="2">
        <v>275</v>
      </c>
      <c r="I156" t="str">
        <f>"SERVICE/1-27-2017"</f>
        <v>SERVICE/1-27-2017</v>
      </c>
    </row>
    <row r="157" spans="1:10" x14ac:dyDescent="0.3">
      <c r="A157" t="str">
        <f>""</f>
        <v/>
      </c>
      <c r="F157" t="str">
        <f>"12592"</f>
        <v>12592</v>
      </c>
      <c r="G157" t="str">
        <f>"SERVICE 1/27/17"</f>
        <v>SERVICE 1/27/17</v>
      </c>
      <c r="H157" s="2">
        <v>150</v>
      </c>
      <c r="I157" t="str">
        <f>"SERVICE 1/27/17"</f>
        <v>SERVICE 1/27/17</v>
      </c>
    </row>
    <row r="158" spans="1:10" x14ac:dyDescent="0.3">
      <c r="A158" t="str">
        <f>""</f>
        <v/>
      </c>
      <c r="F158" t="str">
        <f>"12639"</f>
        <v>12639</v>
      </c>
      <c r="G158" t="str">
        <f>"SERVICE/2-21-2017"</f>
        <v>SERVICE/2-21-2017</v>
      </c>
      <c r="H158" s="2">
        <v>75</v>
      </c>
      <c r="I158" t="str">
        <f>"SERVICE/2-21-2017"</f>
        <v>SERVICE/2-21-2017</v>
      </c>
    </row>
    <row r="159" spans="1:10" x14ac:dyDescent="0.3">
      <c r="A159" t="str">
        <f>""</f>
        <v/>
      </c>
      <c r="F159" t="str">
        <f>"8793"</f>
        <v>8793</v>
      </c>
      <c r="G159" t="str">
        <f>"SERVICE 2/23/17"</f>
        <v>SERVICE 2/23/17</v>
      </c>
      <c r="H159" s="2">
        <v>265</v>
      </c>
      <c r="I159" t="str">
        <f>"SERVICE 2/23/17"</f>
        <v>SERVICE 2/23/17</v>
      </c>
    </row>
    <row r="160" spans="1:10" x14ac:dyDescent="0.3">
      <c r="A160" t="str">
        <f>"003255"</f>
        <v>003255</v>
      </c>
      <c r="B160" t="s">
        <v>60</v>
      </c>
      <c r="C160">
        <v>69552</v>
      </c>
      <c r="D160" s="2">
        <v>150</v>
      </c>
      <c r="E160" s="1">
        <v>42835</v>
      </c>
      <c r="F160" t="str">
        <f>"11890"</f>
        <v>11890</v>
      </c>
      <c r="G160" t="str">
        <f>"SERVICE/2-15-17"</f>
        <v>SERVICE/2-15-17</v>
      </c>
      <c r="H160" s="2">
        <v>150</v>
      </c>
      <c r="I160" t="str">
        <f>"SERVICE/2-15-17"</f>
        <v>SERVICE/2-15-17</v>
      </c>
    </row>
    <row r="161" spans="1:9" x14ac:dyDescent="0.3">
      <c r="A161" t="str">
        <f>"T3799"</f>
        <v>T3799</v>
      </c>
      <c r="B161" t="s">
        <v>61</v>
      </c>
      <c r="C161">
        <v>70019</v>
      </c>
      <c r="D161" s="2">
        <v>800</v>
      </c>
      <c r="E161" s="1">
        <v>42849</v>
      </c>
      <c r="F161" t="str">
        <f>"1090"</f>
        <v>1090</v>
      </c>
      <c r="G161" t="str">
        <f>"FACILITY RENTAL 05/31/2017"</f>
        <v>FACILITY RENTAL 05/31/2017</v>
      </c>
      <c r="H161" s="2">
        <v>800</v>
      </c>
      <c r="I161" t="str">
        <f>"FACILITY RENTAL 05/31/2017"</f>
        <v>FACILITY RENTAL 05/31/2017</v>
      </c>
    </row>
    <row r="162" spans="1:9" x14ac:dyDescent="0.3">
      <c r="A162" t="str">
        <f>"T3799"</f>
        <v>T3799</v>
      </c>
      <c r="B162" t="s">
        <v>61</v>
      </c>
      <c r="C162">
        <v>70020</v>
      </c>
      <c r="D162" s="2">
        <v>938.71</v>
      </c>
      <c r="E162" s="1">
        <v>42849</v>
      </c>
      <c r="F162" t="str">
        <f>"149"</f>
        <v>149</v>
      </c>
      <c r="G162" t="str">
        <f>"FUEL"</f>
        <v>FUEL</v>
      </c>
      <c r="H162" s="2">
        <v>938.71</v>
      </c>
      <c r="I162" t="str">
        <f>"FUEL"</f>
        <v>FUEL</v>
      </c>
    </row>
    <row r="163" spans="1:9" x14ac:dyDescent="0.3">
      <c r="A163" t="str">
        <f>"T13544"</f>
        <v>T13544</v>
      </c>
      <c r="B163" t="s">
        <v>62</v>
      </c>
      <c r="C163">
        <v>69553</v>
      </c>
      <c r="D163" s="2">
        <v>222.18</v>
      </c>
      <c r="E163" s="1">
        <v>42835</v>
      </c>
      <c r="F163" t="str">
        <f>"201704060720"</f>
        <v>201704060720</v>
      </c>
      <c r="G163" t="str">
        <f>"INDIGENT HEALTH"</f>
        <v>INDIGENT HEALTH</v>
      </c>
      <c r="H163" s="2">
        <v>222.18</v>
      </c>
      <c r="I163" t="str">
        <f>"INDIGENT HEALTH"</f>
        <v>INDIGENT HEALTH</v>
      </c>
    </row>
    <row r="164" spans="1:9" x14ac:dyDescent="0.3">
      <c r="A164" t="str">
        <f>""</f>
        <v/>
      </c>
      <c r="F164" t="str">
        <f>""</f>
        <v/>
      </c>
      <c r="G164" t="str">
        <f>""</f>
        <v/>
      </c>
      <c r="I164" t="str">
        <f>"INDIGENT HEALTH"</f>
        <v>INDIGENT HEALTH</v>
      </c>
    </row>
    <row r="165" spans="1:9" x14ac:dyDescent="0.3">
      <c r="A165" t="str">
        <f>"T13544"</f>
        <v>T13544</v>
      </c>
      <c r="B165" t="s">
        <v>62</v>
      </c>
      <c r="C165">
        <v>70002</v>
      </c>
      <c r="D165" s="2">
        <v>33.270000000000003</v>
      </c>
      <c r="E165" s="1">
        <v>42849</v>
      </c>
      <c r="F165" t="str">
        <f>"201704201370"</f>
        <v>201704201370</v>
      </c>
      <c r="G165" t="str">
        <f>"INDIGENT HEALTH"</f>
        <v>INDIGENT HEALTH</v>
      </c>
      <c r="H165" s="2">
        <v>33.270000000000003</v>
      </c>
      <c r="I165" t="str">
        <f>"INDIGENT HEALTH"</f>
        <v>INDIGENT HEALTH</v>
      </c>
    </row>
    <row r="166" spans="1:9" x14ac:dyDescent="0.3">
      <c r="A166" t="str">
        <f>"001542"</f>
        <v>001542</v>
      </c>
      <c r="B166" t="s">
        <v>63</v>
      </c>
      <c r="C166">
        <v>69554</v>
      </c>
      <c r="D166" s="2">
        <v>3275</v>
      </c>
      <c r="E166" s="1">
        <v>42835</v>
      </c>
      <c r="F166" t="str">
        <f>"2017016"</f>
        <v>2017016</v>
      </c>
      <c r="G166" t="str">
        <f>"TRANSPORT/J BURNETT"</f>
        <v>TRANSPORT/J BURNETT</v>
      </c>
      <c r="H166" s="2">
        <v>495</v>
      </c>
      <c r="I166" t="str">
        <f>"TRANSPORT/J BURNETT"</f>
        <v>TRANSPORT/J BURNETT</v>
      </c>
    </row>
    <row r="167" spans="1:9" x14ac:dyDescent="0.3">
      <c r="A167" t="str">
        <f>""</f>
        <v/>
      </c>
      <c r="F167" t="str">
        <f>"2017019"</f>
        <v>2017019</v>
      </c>
      <c r="G167" t="str">
        <f>"TRANSPORT/L J KIRBY"</f>
        <v>TRANSPORT/L J KIRBY</v>
      </c>
      <c r="H167" s="2">
        <v>495</v>
      </c>
      <c r="I167" t="str">
        <f>"TRANSPORT/L J KIRBY"</f>
        <v>TRANSPORT/L J KIRBY</v>
      </c>
    </row>
    <row r="168" spans="1:9" x14ac:dyDescent="0.3">
      <c r="A168" t="str">
        <f>""</f>
        <v/>
      </c>
      <c r="F168" t="str">
        <f>"2017022"</f>
        <v>2017022</v>
      </c>
      <c r="G168" t="str">
        <f>"TRANSPORT/N M LUCK"</f>
        <v>TRANSPORT/N M LUCK</v>
      </c>
      <c r="H168" s="2">
        <v>495</v>
      </c>
      <c r="I168" t="str">
        <f>"TRANSPORT/N M LUCK"</f>
        <v>TRANSPORT/N M LUCK</v>
      </c>
    </row>
    <row r="169" spans="1:9" x14ac:dyDescent="0.3">
      <c r="A169" t="str">
        <f>""</f>
        <v/>
      </c>
      <c r="F169" t="str">
        <f>"2017024"</f>
        <v>2017024</v>
      </c>
      <c r="G169" t="str">
        <f>"TRANSPORT/Z J WALLACE"</f>
        <v>TRANSPORT/Z J WALLACE</v>
      </c>
      <c r="H169" s="2">
        <v>495</v>
      </c>
      <c r="I169" t="str">
        <f>"TRANSPORT/Z J WALLACE"</f>
        <v>TRANSPORT/Z J WALLACE</v>
      </c>
    </row>
    <row r="170" spans="1:9" x14ac:dyDescent="0.3">
      <c r="A170" t="str">
        <f>""</f>
        <v/>
      </c>
      <c r="F170" t="str">
        <f>"2017026"</f>
        <v>2017026</v>
      </c>
      <c r="G170" t="str">
        <f>"TRANSPORT/E I THRASHER"</f>
        <v>TRANSPORT/E I THRASHER</v>
      </c>
      <c r="H170" s="2">
        <v>495</v>
      </c>
      <c r="I170" t="str">
        <f>"TRANSPORT/E I THRASHER"</f>
        <v>TRANSPORT/E I THRASHER</v>
      </c>
    </row>
    <row r="171" spans="1:9" x14ac:dyDescent="0.3">
      <c r="A171" t="str">
        <f>""</f>
        <v/>
      </c>
      <c r="F171" t="str">
        <f>"2017028"</f>
        <v>2017028</v>
      </c>
      <c r="G171" t="str">
        <f>"TRANSPORT/T PHILLIPS"</f>
        <v>TRANSPORT/T PHILLIPS</v>
      </c>
      <c r="H171" s="2">
        <v>400</v>
      </c>
      <c r="I171" t="str">
        <f>"TRANSPORT/T PHILLIPS"</f>
        <v>TRANSPORT/T PHILLIPS</v>
      </c>
    </row>
    <row r="172" spans="1:9" x14ac:dyDescent="0.3">
      <c r="A172" t="str">
        <f>""</f>
        <v/>
      </c>
      <c r="F172" t="str">
        <f>"2017030"</f>
        <v>2017030</v>
      </c>
      <c r="G172" t="str">
        <f>"TRANSPORT/D J FOOTE"</f>
        <v>TRANSPORT/D J FOOTE</v>
      </c>
      <c r="H172" s="2">
        <v>400</v>
      </c>
      <c r="I172" t="str">
        <f>"TRANSPORT/D J FOOTE"</f>
        <v>TRANSPORT/D J FOOTE</v>
      </c>
    </row>
    <row r="173" spans="1:9" x14ac:dyDescent="0.3">
      <c r="A173" t="str">
        <f>"001542"</f>
        <v>001542</v>
      </c>
      <c r="B173" t="s">
        <v>63</v>
      </c>
      <c r="C173">
        <v>69821</v>
      </c>
      <c r="D173" s="2">
        <v>790</v>
      </c>
      <c r="E173" s="1">
        <v>42849</v>
      </c>
      <c r="F173" t="str">
        <f>"2017031"</f>
        <v>2017031</v>
      </c>
      <c r="G173" t="str">
        <f>"TRANSPORT-D HOLTER"</f>
        <v>TRANSPORT-D HOLTER</v>
      </c>
      <c r="H173" s="2">
        <v>495</v>
      </c>
      <c r="I173" t="str">
        <f>"TRANSPORT-D HOLTER"</f>
        <v>TRANSPORT-D HOLTER</v>
      </c>
    </row>
    <row r="174" spans="1:9" x14ac:dyDescent="0.3">
      <c r="A174" t="str">
        <f>""</f>
        <v/>
      </c>
      <c r="F174" t="str">
        <f>"2017035"</f>
        <v>2017035</v>
      </c>
      <c r="G174" t="str">
        <f>"SERVICES/R RODRIGUEZ"</f>
        <v>SERVICES/R RODRIGUEZ</v>
      </c>
      <c r="H174" s="2">
        <v>295</v>
      </c>
      <c r="I174" t="str">
        <f>"SERVICES/R RODRIGUEZ"</f>
        <v>SERVICES/R RODRIGUEZ</v>
      </c>
    </row>
    <row r="175" spans="1:9" x14ac:dyDescent="0.3">
      <c r="A175" t="str">
        <f>"000110"</f>
        <v>000110</v>
      </c>
      <c r="B175" t="s">
        <v>64</v>
      </c>
      <c r="C175">
        <v>69555</v>
      </c>
      <c r="D175" s="2">
        <v>1697.5</v>
      </c>
      <c r="E175" s="1">
        <v>42835</v>
      </c>
      <c r="F175" t="str">
        <f>"201704050707"</f>
        <v>201704050707</v>
      </c>
      <c r="G175" t="str">
        <f>"MARCH SERVICES"</f>
        <v>MARCH SERVICES</v>
      </c>
      <c r="H175" s="2">
        <v>1487.5</v>
      </c>
      <c r="I175" t="str">
        <f>"JAIL"</f>
        <v>JAIL</v>
      </c>
    </row>
    <row r="176" spans="1:9" x14ac:dyDescent="0.3">
      <c r="A176" t="str">
        <f>""</f>
        <v/>
      </c>
      <c r="F176" t="str">
        <f>"201704060717"</f>
        <v>201704060717</v>
      </c>
      <c r="G176" t="str">
        <f>"SERVICES PROVIDED /MARCH 17"</f>
        <v>SERVICES PROVIDED /MARCH 17</v>
      </c>
      <c r="H176" s="2">
        <v>210</v>
      </c>
      <c r="I176" t="str">
        <f>"SERVICES PROVIDED /MARCH 17"</f>
        <v>SERVICES PROVIDED /MARCH 17</v>
      </c>
    </row>
    <row r="177" spans="1:9" x14ac:dyDescent="0.3">
      <c r="A177" t="str">
        <f>"KEITH"</f>
        <v>KEITH</v>
      </c>
      <c r="B177" t="s">
        <v>65</v>
      </c>
      <c r="C177">
        <v>69556</v>
      </c>
      <c r="D177" s="2">
        <v>2447.33</v>
      </c>
      <c r="E177" s="1">
        <v>42835</v>
      </c>
      <c r="F177" t="str">
        <f>"74275754"</f>
        <v>74275754</v>
      </c>
      <c r="G177" t="str">
        <f>"FOOD IN74275754"</f>
        <v>FOOD IN74275754</v>
      </c>
      <c r="H177" s="2">
        <v>1229</v>
      </c>
      <c r="I177" t="str">
        <f>"FOOD IN74275754"</f>
        <v>FOOD IN74275754</v>
      </c>
    </row>
    <row r="178" spans="1:9" x14ac:dyDescent="0.3">
      <c r="A178" t="str">
        <f>""</f>
        <v/>
      </c>
      <c r="F178" t="str">
        <f>"77268776"</f>
        <v>77268776</v>
      </c>
      <c r="G178" t="str">
        <f>"FOOD"</f>
        <v>FOOD</v>
      </c>
      <c r="H178" s="2">
        <v>1218.33</v>
      </c>
      <c r="I178" t="str">
        <f>"FOODINV77268776"</f>
        <v>FOODINV77268776</v>
      </c>
    </row>
    <row r="179" spans="1:9" x14ac:dyDescent="0.3">
      <c r="A179" t="str">
        <f>"KEITH"</f>
        <v>KEITH</v>
      </c>
      <c r="B179" t="s">
        <v>65</v>
      </c>
      <c r="C179">
        <v>69958</v>
      </c>
      <c r="D179" s="2">
        <v>2016.98</v>
      </c>
      <c r="E179" s="1">
        <v>42849</v>
      </c>
      <c r="F179" t="str">
        <f>"201704201429"</f>
        <v>201704201429</v>
      </c>
      <c r="G179" t="str">
        <f>"FOOD"</f>
        <v>FOOD</v>
      </c>
      <c r="H179" s="2">
        <v>984.53</v>
      </c>
      <c r="I179" t="str">
        <f>"FOOD"</f>
        <v>FOOD</v>
      </c>
    </row>
    <row r="180" spans="1:9" x14ac:dyDescent="0.3">
      <c r="A180" t="str">
        <f>""</f>
        <v/>
      </c>
      <c r="F180" t="str">
        <f>"201704201487"</f>
        <v>201704201487</v>
      </c>
      <c r="G180" t="str">
        <f>"FOOD INV74289551"</f>
        <v>FOOD INV74289551</v>
      </c>
      <c r="H180" s="2">
        <v>1032.45</v>
      </c>
      <c r="I180" t="str">
        <f>"FOOD INV74289551"</f>
        <v>FOOD INV74289551</v>
      </c>
    </row>
    <row r="181" spans="1:9" x14ac:dyDescent="0.3">
      <c r="A181" t="str">
        <f>"004075"</f>
        <v>004075</v>
      </c>
      <c r="B181" t="s">
        <v>66</v>
      </c>
      <c r="C181">
        <v>69557</v>
      </c>
      <c r="D181" s="2">
        <v>2484.58</v>
      </c>
      <c r="E181" s="1">
        <v>42835</v>
      </c>
      <c r="F181" t="str">
        <f>"150814-00"</f>
        <v>150814-00</v>
      </c>
      <c r="G181" t="str">
        <f>"FOOD INV150814-00"</f>
        <v>FOOD INV150814-00</v>
      </c>
      <c r="H181" s="2">
        <v>2484.58</v>
      </c>
      <c r="I181" t="str">
        <f>"FOOD INV150814-00"</f>
        <v>FOOD INV150814-00</v>
      </c>
    </row>
    <row r="182" spans="1:9" x14ac:dyDescent="0.3">
      <c r="A182" t="str">
        <f>"004075"</f>
        <v>004075</v>
      </c>
      <c r="B182" t="s">
        <v>66</v>
      </c>
      <c r="C182">
        <v>69887</v>
      </c>
      <c r="D182" s="2">
        <v>5535.13</v>
      </c>
      <c r="E182" s="1">
        <v>42849</v>
      </c>
      <c r="F182" t="str">
        <f>"201704201385"</f>
        <v>201704201385</v>
      </c>
      <c r="G182" t="str">
        <f>"FOOD INV157254"</f>
        <v>FOOD INV157254</v>
      </c>
      <c r="H182" s="2">
        <v>5535.13</v>
      </c>
      <c r="I182" t="str">
        <f>"FOOD INV157254"</f>
        <v>FOOD INV157254</v>
      </c>
    </row>
    <row r="183" spans="1:9" x14ac:dyDescent="0.3">
      <c r="A183" t="str">
        <f>"001112"</f>
        <v>001112</v>
      </c>
      <c r="B183" t="s">
        <v>67</v>
      </c>
      <c r="C183">
        <v>69558</v>
      </c>
      <c r="D183" s="2">
        <v>1658.21</v>
      </c>
      <c r="E183" s="1">
        <v>42835</v>
      </c>
      <c r="F183" t="str">
        <f>"2684117"</f>
        <v>2684117</v>
      </c>
      <c r="G183" t="str">
        <f>"MULTI SERVICE CORP"</f>
        <v>MULTI SERVICE CORP</v>
      </c>
      <c r="H183" s="2">
        <v>1460.25</v>
      </c>
      <c r="I183" t="str">
        <f>"Invoice# 2684117"</f>
        <v>Invoice# 2684117</v>
      </c>
    </row>
    <row r="184" spans="1:9" x14ac:dyDescent="0.3">
      <c r="A184" t="str">
        <f>""</f>
        <v/>
      </c>
      <c r="F184" t="str">
        <f>"2691739"</f>
        <v>2691739</v>
      </c>
      <c r="G184" t="str">
        <f>"Inv# 2691739"</f>
        <v>Inv# 2691739</v>
      </c>
      <c r="H184" s="2">
        <v>197.96</v>
      </c>
      <c r="I184" t="str">
        <f>"Inv# 2691739"</f>
        <v>Inv# 2691739</v>
      </c>
    </row>
    <row r="185" spans="1:9" x14ac:dyDescent="0.3">
      <c r="A185" t="str">
        <f>"T8732"</f>
        <v>T8732</v>
      </c>
      <c r="B185" t="s">
        <v>68</v>
      </c>
      <c r="C185">
        <v>70040</v>
      </c>
      <c r="D185" s="2">
        <v>501</v>
      </c>
      <c r="E185" s="1">
        <v>42849</v>
      </c>
      <c r="F185" t="str">
        <f>"2017MH0368"</f>
        <v>2017MH0368</v>
      </c>
      <c r="G185" t="str">
        <f>"COMMITTMENT-BF"</f>
        <v>COMMITTMENT-BF</v>
      </c>
      <c r="H185" s="2">
        <v>501</v>
      </c>
      <c r="I185" t="str">
        <f>"COMMITTMENT-BF"</f>
        <v>COMMITTMENT-BF</v>
      </c>
    </row>
    <row r="186" spans="1:9" x14ac:dyDescent="0.3">
      <c r="A186" t="str">
        <f>"T2043"</f>
        <v>T2043</v>
      </c>
      <c r="B186" t="s">
        <v>69</v>
      </c>
      <c r="C186">
        <v>70011</v>
      </c>
      <c r="D186" s="2">
        <v>1682</v>
      </c>
      <c r="E186" s="1">
        <v>42849</v>
      </c>
      <c r="F186" t="str">
        <f>"103177"</f>
        <v>103177</v>
      </c>
      <c r="G186" t="str">
        <f>"PROF SERV THRU 03/15/17"</f>
        <v>PROF SERV THRU 03/15/17</v>
      </c>
      <c r="H186" s="2">
        <v>1682</v>
      </c>
      <c r="I186" t="str">
        <f>"PROF SERV THRU 03/15/17"</f>
        <v>PROF SERV THRU 03/15/17</v>
      </c>
    </row>
    <row r="187" spans="1:9" x14ac:dyDescent="0.3">
      <c r="A187" t="str">
        <f>"000309"</f>
        <v>000309</v>
      </c>
      <c r="B187" t="s">
        <v>70</v>
      </c>
      <c r="C187">
        <v>69803</v>
      </c>
      <c r="D187" s="2">
        <v>561.28</v>
      </c>
      <c r="E187" s="1">
        <v>42849</v>
      </c>
      <c r="F187" t="str">
        <f>"17051"</f>
        <v>17051</v>
      </c>
      <c r="G187" t="str">
        <f>"04/13/2017"</f>
        <v>04/13/2017</v>
      </c>
      <c r="H187" s="2">
        <v>180.5</v>
      </c>
      <c r="I187" t="str">
        <f>"04/13/2017"</f>
        <v>04/13/2017</v>
      </c>
    </row>
    <row r="188" spans="1:9" x14ac:dyDescent="0.3">
      <c r="A188" t="str">
        <f>""</f>
        <v/>
      </c>
      <c r="F188" t="str">
        <f>"201704201523"</f>
        <v>201704201523</v>
      </c>
      <c r="G188" t="str">
        <f>"CRIMINAL 04/12/17"</f>
        <v>CRIMINAL 04/12/17</v>
      </c>
      <c r="H188" s="2">
        <v>150</v>
      </c>
      <c r="I188" t="str">
        <f>"CRIMINAL 04/12/17"</f>
        <v>CRIMINAL 04/12/17</v>
      </c>
    </row>
    <row r="189" spans="1:9" x14ac:dyDescent="0.3">
      <c r="A189" t="str">
        <f>""</f>
        <v/>
      </c>
      <c r="F189" t="str">
        <f>"201704201524"</f>
        <v>201704201524</v>
      </c>
      <c r="G189" t="str">
        <f>"CRIMINAL 04/12/17 MORNING"</f>
        <v>CRIMINAL 04/12/17 MORNING</v>
      </c>
      <c r="H189" s="2">
        <v>230.78</v>
      </c>
      <c r="I189" t="str">
        <f>"CRIMINAL 04/12/17 MORNING"</f>
        <v>CRIMINAL 04/12/17 MORNING</v>
      </c>
    </row>
    <row r="190" spans="1:9" x14ac:dyDescent="0.3">
      <c r="A190" t="str">
        <f>"T11932"</f>
        <v>T11932</v>
      </c>
      <c r="B190" t="s">
        <v>71</v>
      </c>
      <c r="C190">
        <v>69994</v>
      </c>
      <c r="D190" s="2">
        <v>80</v>
      </c>
      <c r="E190" s="1">
        <v>42849</v>
      </c>
      <c r="F190" t="str">
        <f>"33514"</f>
        <v>33514</v>
      </c>
      <c r="G190" t="str">
        <f>"2006 DOT INSPECTION/PCT#3"</f>
        <v>2006 DOT INSPECTION/PCT#3</v>
      </c>
      <c r="H190" s="2">
        <v>40</v>
      </c>
      <c r="I190" t="str">
        <f>"2006 DOT INSPECTION/PCT#3"</f>
        <v>2006 DOT INSPECTION/PCT#3</v>
      </c>
    </row>
    <row r="191" spans="1:9" x14ac:dyDescent="0.3">
      <c r="A191" t="str">
        <f>""</f>
        <v/>
      </c>
      <c r="F191" t="str">
        <f>"33521"</f>
        <v>33521</v>
      </c>
      <c r="G191" t="str">
        <f>"2003 DOT INSPCECTION/PCT#3"</f>
        <v>2003 DOT INSPCECTION/PCT#3</v>
      </c>
      <c r="H191" s="2">
        <v>40</v>
      </c>
      <c r="I191" t="str">
        <f>"2003 DOT INSPCECTION/PCT#3"</f>
        <v>2003 DOT INSPCECTION/PCT#3</v>
      </c>
    </row>
    <row r="192" spans="1:9" x14ac:dyDescent="0.3">
      <c r="A192" t="str">
        <f>"005005"</f>
        <v>005005</v>
      </c>
      <c r="B192" t="s">
        <v>72</v>
      </c>
      <c r="C192">
        <v>69559</v>
      </c>
      <c r="D192" s="2">
        <v>25</v>
      </c>
      <c r="E192" s="1">
        <v>42835</v>
      </c>
      <c r="F192" t="str">
        <f>"15498"</f>
        <v>15498</v>
      </c>
      <c r="G192" t="str">
        <f>"OVERPAYMENT-12-19-14"</f>
        <v>OVERPAYMENT-12-19-14</v>
      </c>
      <c r="H192" s="2">
        <v>25</v>
      </c>
      <c r="I192" t="str">
        <f>"OVERPAYMENT-12-19-14"</f>
        <v>OVERPAYMENT-12-19-14</v>
      </c>
    </row>
    <row r="193" spans="1:9" x14ac:dyDescent="0.3">
      <c r="A193" t="str">
        <f>"000593"</f>
        <v>000593</v>
      </c>
      <c r="B193" t="s">
        <v>73</v>
      </c>
      <c r="C193">
        <v>69560</v>
      </c>
      <c r="D193" s="2">
        <v>254.4</v>
      </c>
      <c r="E193" s="1">
        <v>42835</v>
      </c>
      <c r="F193" t="str">
        <f>"84078927756"</f>
        <v>84078927756</v>
      </c>
      <c r="G193" t="str">
        <f>"BAKERY INV84078927756"</f>
        <v>BAKERY INV84078927756</v>
      </c>
      <c r="H193" s="2">
        <v>254.4</v>
      </c>
      <c r="I193" t="str">
        <f>"BAKERY INV84078927756"</f>
        <v>BAKERY INV84078927756</v>
      </c>
    </row>
    <row r="194" spans="1:9" x14ac:dyDescent="0.3">
      <c r="A194" t="str">
        <f>"000593"</f>
        <v>000593</v>
      </c>
      <c r="B194" t="s">
        <v>73</v>
      </c>
      <c r="C194">
        <v>69807</v>
      </c>
      <c r="D194" s="2">
        <v>962.34</v>
      </c>
      <c r="E194" s="1">
        <v>42849</v>
      </c>
      <c r="F194" t="str">
        <f>"201704201395"</f>
        <v>201704201395</v>
      </c>
      <c r="G194" t="str">
        <f>"BAKERY INV84078926571"</f>
        <v>BAKERY INV84078926571</v>
      </c>
      <c r="H194" s="2">
        <v>341.08</v>
      </c>
      <c r="I194" t="str">
        <f>"BAKERY INV84078926571"</f>
        <v>BAKERY INV84078926571</v>
      </c>
    </row>
    <row r="195" spans="1:9" x14ac:dyDescent="0.3">
      <c r="A195" t="str">
        <f>""</f>
        <v/>
      </c>
      <c r="F195" t="str">
        <f>"201704201430"</f>
        <v>201704201430</v>
      </c>
      <c r="G195" t="str">
        <f>"FOOD BAKERY"</f>
        <v>FOOD BAKERY</v>
      </c>
      <c r="H195" s="2">
        <v>278.27999999999997</v>
      </c>
      <c r="I195" t="str">
        <f>"FOOD BAKERY"</f>
        <v>FOOD BAKERY</v>
      </c>
    </row>
    <row r="196" spans="1:9" x14ac:dyDescent="0.3">
      <c r="A196" t="str">
        <f>""</f>
        <v/>
      </c>
      <c r="F196" t="str">
        <f>"84078927857"</f>
        <v>84078927857</v>
      </c>
      <c r="G196" t="str">
        <f>"FOOD INV84078927857"</f>
        <v>FOOD INV84078927857</v>
      </c>
      <c r="H196" s="2">
        <v>342.98</v>
      </c>
      <c r="I196" t="str">
        <f>"FOOD INV84078927857"</f>
        <v>FOOD INV84078927857</v>
      </c>
    </row>
    <row r="197" spans="1:9" x14ac:dyDescent="0.3">
      <c r="A197" t="str">
        <f>"003732"</f>
        <v>003732</v>
      </c>
      <c r="B197" t="s">
        <v>74</v>
      </c>
      <c r="C197">
        <v>69561</v>
      </c>
      <c r="D197" s="2">
        <v>1541.2</v>
      </c>
      <c r="E197" s="1">
        <v>42835</v>
      </c>
      <c r="F197" t="str">
        <f>"201704061102"</f>
        <v>201704061102</v>
      </c>
      <c r="G197" t="str">
        <f>"53983"</f>
        <v>53983</v>
      </c>
      <c r="H197" s="2">
        <v>250</v>
      </c>
      <c r="I197" t="str">
        <f>"53983"</f>
        <v>53983</v>
      </c>
    </row>
    <row r="198" spans="1:9" x14ac:dyDescent="0.3">
      <c r="A198" t="str">
        <f>""</f>
        <v/>
      </c>
      <c r="F198" t="str">
        <f>"201704061103"</f>
        <v>201704061103</v>
      </c>
      <c r="G198" t="str">
        <f>"JUVENILE-UNLAWFUL RESTRAINT"</f>
        <v>JUVENILE-UNLAWFUL RESTRAINT</v>
      </c>
      <c r="H198" s="2">
        <v>100</v>
      </c>
      <c r="I198" t="str">
        <f>"JUVENILE-UNLAWFUL RESTRAINT"</f>
        <v>JUVENILE-UNLAWFUL RESTRAINT</v>
      </c>
    </row>
    <row r="199" spans="1:9" x14ac:dyDescent="0.3">
      <c r="A199" t="str">
        <f>""</f>
        <v/>
      </c>
      <c r="F199" t="str">
        <f>"201704061104"</f>
        <v>201704061104</v>
      </c>
      <c r="G199" t="str">
        <f>"16-18045"</f>
        <v>16-18045</v>
      </c>
      <c r="H199" s="2">
        <v>100</v>
      </c>
      <c r="I199" t="str">
        <f>"16-18045"</f>
        <v>16-18045</v>
      </c>
    </row>
    <row r="200" spans="1:9" x14ac:dyDescent="0.3">
      <c r="A200" t="str">
        <f>""</f>
        <v/>
      </c>
      <c r="F200" t="str">
        <f>"201704061105"</f>
        <v>201704061105</v>
      </c>
      <c r="G200" t="str">
        <f>"16-17713"</f>
        <v>16-17713</v>
      </c>
      <c r="H200" s="2">
        <v>100</v>
      </c>
      <c r="I200" t="str">
        <f>"16-17713"</f>
        <v>16-17713</v>
      </c>
    </row>
    <row r="201" spans="1:9" x14ac:dyDescent="0.3">
      <c r="A201" t="str">
        <f>""</f>
        <v/>
      </c>
      <c r="F201" t="str">
        <f>"201704061106"</f>
        <v>201704061106</v>
      </c>
      <c r="G201" t="str">
        <f>"16-17987"</f>
        <v>16-17987</v>
      </c>
      <c r="H201" s="2">
        <v>266.2</v>
      </c>
      <c r="I201" t="str">
        <f>"16-17987"</f>
        <v>16-17987</v>
      </c>
    </row>
    <row r="202" spans="1:9" x14ac:dyDescent="0.3">
      <c r="A202" t="str">
        <f>""</f>
        <v/>
      </c>
      <c r="F202" t="str">
        <f>"201704061107"</f>
        <v>201704061107</v>
      </c>
      <c r="G202" t="str">
        <f>"17-18238"</f>
        <v>17-18238</v>
      </c>
      <c r="H202" s="2">
        <v>100</v>
      </c>
      <c r="I202" t="str">
        <f>"17-18238"</f>
        <v>17-18238</v>
      </c>
    </row>
    <row r="203" spans="1:9" x14ac:dyDescent="0.3">
      <c r="A203" t="str">
        <f>""</f>
        <v/>
      </c>
      <c r="F203" t="str">
        <f>"201704061108"</f>
        <v>201704061108</v>
      </c>
      <c r="G203" t="str">
        <f>"54992 M3012922017A"</f>
        <v>54992 M3012922017A</v>
      </c>
      <c r="H203" s="2">
        <v>375</v>
      </c>
      <c r="I203" t="str">
        <f>"54992 M3012922017A"</f>
        <v>54992 M3012922017A</v>
      </c>
    </row>
    <row r="204" spans="1:9" x14ac:dyDescent="0.3">
      <c r="A204" t="str">
        <f>""</f>
        <v/>
      </c>
      <c r="F204" t="str">
        <f>"201704061109"</f>
        <v>201704061109</v>
      </c>
      <c r="G204" t="str">
        <f>"54785"</f>
        <v>54785</v>
      </c>
      <c r="H204" s="2">
        <v>250</v>
      </c>
      <c r="I204" t="str">
        <f>"54785"</f>
        <v>54785</v>
      </c>
    </row>
    <row r="205" spans="1:9" x14ac:dyDescent="0.3">
      <c r="A205" t="str">
        <f>"003732"</f>
        <v>003732</v>
      </c>
      <c r="B205" t="s">
        <v>74</v>
      </c>
      <c r="C205">
        <v>69876</v>
      </c>
      <c r="D205" s="2">
        <v>850</v>
      </c>
      <c r="E205" s="1">
        <v>42849</v>
      </c>
      <c r="F205" t="str">
        <f>"201704201458"</f>
        <v>201704201458</v>
      </c>
      <c r="G205" t="str">
        <f>"51.795"</f>
        <v>51.795</v>
      </c>
      <c r="H205" s="2">
        <v>250</v>
      </c>
      <c r="I205" t="str">
        <f>"51.795"</f>
        <v>51.795</v>
      </c>
    </row>
    <row r="206" spans="1:9" x14ac:dyDescent="0.3">
      <c r="A206" t="str">
        <f>""</f>
        <v/>
      </c>
      <c r="F206" t="str">
        <f>"201704201459"</f>
        <v>201704201459</v>
      </c>
      <c r="G206" t="str">
        <f>"20160425 9258426713 20160425"</f>
        <v>20160425 9258426713 20160425</v>
      </c>
      <c r="H206" s="2">
        <v>250</v>
      </c>
      <c r="I206" t="str">
        <f>"20160425 9258426713 20160425"</f>
        <v>20160425 9258426713 20160425</v>
      </c>
    </row>
    <row r="207" spans="1:9" x14ac:dyDescent="0.3">
      <c r="A207" t="str">
        <f>""</f>
        <v/>
      </c>
      <c r="F207" t="str">
        <f>"201704201460"</f>
        <v>201704201460</v>
      </c>
      <c r="G207" t="str">
        <f>"02.0510.1 925341927K 16-502804"</f>
        <v>02.0510.1 925341927K 16-502804</v>
      </c>
      <c r="H207" s="2">
        <v>250</v>
      </c>
      <c r="I207" t="str">
        <f>"02.0510.1 925341927K 16-502804"</f>
        <v>02.0510.1 925341927K 16-502804</v>
      </c>
    </row>
    <row r="208" spans="1:9" x14ac:dyDescent="0.3">
      <c r="A208" t="str">
        <f>""</f>
        <v/>
      </c>
      <c r="F208" t="str">
        <f>"201704201461"</f>
        <v>201704201461</v>
      </c>
      <c r="G208" t="str">
        <f>"16-17612"</f>
        <v>16-17612</v>
      </c>
      <c r="H208" s="2">
        <v>100</v>
      </c>
      <c r="I208" t="str">
        <f>"16-17612"</f>
        <v>16-17612</v>
      </c>
    </row>
    <row r="209" spans="1:9" x14ac:dyDescent="0.3">
      <c r="A209" t="str">
        <f>"001135"</f>
        <v>001135</v>
      </c>
      <c r="B209" t="s">
        <v>75</v>
      </c>
      <c r="C209">
        <v>69815</v>
      </c>
      <c r="D209" s="2">
        <v>615.21</v>
      </c>
      <c r="E209" s="1">
        <v>42849</v>
      </c>
      <c r="F209" t="str">
        <f>"201704191341"</f>
        <v>201704191341</v>
      </c>
      <c r="G209" t="str">
        <f>"CRIMESTOPPERS FEE/MAR'17"</f>
        <v>CRIMESTOPPERS FEE/MAR'17</v>
      </c>
      <c r="H209" s="2">
        <v>615.21</v>
      </c>
      <c r="I209" t="str">
        <f>"CRIMESTOPPERS FEE/MAR'17"</f>
        <v>CRIMESTOPPERS FEE/MAR'17</v>
      </c>
    </row>
    <row r="210" spans="1:9" x14ac:dyDescent="0.3">
      <c r="A210" t="str">
        <f>"BEC"</f>
        <v>BEC</v>
      </c>
      <c r="B210" t="s">
        <v>76</v>
      </c>
      <c r="C210">
        <v>69783</v>
      </c>
      <c r="D210" s="2">
        <v>2706.73</v>
      </c>
      <c r="E210" s="1">
        <v>42843</v>
      </c>
      <c r="F210" t="str">
        <f>"201704181319"</f>
        <v>201704181319</v>
      </c>
      <c r="G210" t="str">
        <f>"5000057374 - 02/28-03/30"</f>
        <v>5000057374 - 02/28-03/30</v>
      </c>
      <c r="H210" s="2">
        <v>1892.79</v>
      </c>
      <c r="I210" t="str">
        <f>"5000057374 - 02/28-03/30"</f>
        <v>5000057374 - 02/28-03/30</v>
      </c>
    </row>
    <row r="211" spans="1:9" x14ac:dyDescent="0.3">
      <c r="A211" t="str">
        <f>""</f>
        <v/>
      </c>
      <c r="F211" t="str">
        <f>""</f>
        <v/>
      </c>
      <c r="G211" t="str">
        <f>""</f>
        <v/>
      </c>
      <c r="I211" t="str">
        <f>"5000057374 - 02/28-03/30"</f>
        <v>5000057374 - 02/28-03/30</v>
      </c>
    </row>
    <row r="212" spans="1:9" x14ac:dyDescent="0.3">
      <c r="A212" t="str">
        <f>""</f>
        <v/>
      </c>
      <c r="F212" t="str">
        <f>""</f>
        <v/>
      </c>
      <c r="G212" t="str">
        <f>""</f>
        <v/>
      </c>
      <c r="I212" t="str">
        <f>"5000057374 - 02/28-03/30"</f>
        <v>5000057374 - 02/28-03/30</v>
      </c>
    </row>
    <row r="213" spans="1:9" x14ac:dyDescent="0.3">
      <c r="A213" t="str">
        <f>""</f>
        <v/>
      </c>
      <c r="F213" t="str">
        <f>"201704181321"</f>
        <v>201704181321</v>
      </c>
      <c r="G213" t="str">
        <f>"5500033554 - 02/28-03/30"</f>
        <v>5500033554 - 02/28-03/30</v>
      </c>
      <c r="H213" s="2">
        <v>343.59</v>
      </c>
      <c r="I213" t="str">
        <f>"5500033554 - 02/28-03/30"</f>
        <v>5500033554 - 02/28-03/30</v>
      </c>
    </row>
    <row r="214" spans="1:9" x14ac:dyDescent="0.3">
      <c r="A214" t="str">
        <f>""</f>
        <v/>
      </c>
      <c r="F214" t="str">
        <f>"201704181322"</f>
        <v>201704181322</v>
      </c>
      <c r="G214" t="str">
        <f>"5000274849 - 02/28-3/30"</f>
        <v>5000274849 - 02/28-3/30</v>
      </c>
      <c r="H214" s="2">
        <v>470.35</v>
      </c>
      <c r="I214" t="str">
        <f>"5000274849 - 02/28-3/30"</f>
        <v>5000274849 - 02/28-3/30</v>
      </c>
    </row>
    <row r="215" spans="1:9" x14ac:dyDescent="0.3">
      <c r="A215" t="str">
        <f>"005029"</f>
        <v>005029</v>
      </c>
      <c r="B215" t="s">
        <v>77</v>
      </c>
      <c r="C215">
        <v>69921</v>
      </c>
      <c r="D215" s="2">
        <v>40</v>
      </c>
      <c r="E215" s="1">
        <v>42849</v>
      </c>
      <c r="F215" t="str">
        <f>"15915"</f>
        <v>15915</v>
      </c>
      <c r="G215" t="str">
        <f>"RESTITUTION-P BOATMAN"</f>
        <v>RESTITUTION-P BOATMAN</v>
      </c>
      <c r="H215" s="2">
        <v>40</v>
      </c>
      <c r="I215" t="str">
        <f>"RESTITUTION-P BOATMAN"</f>
        <v>RESTITUTION-P BOATMAN</v>
      </c>
    </row>
    <row r="216" spans="1:9" x14ac:dyDescent="0.3">
      <c r="A216" t="str">
        <f>"T5975"</f>
        <v>T5975</v>
      </c>
      <c r="B216" t="s">
        <v>78</v>
      </c>
      <c r="C216">
        <v>70026</v>
      </c>
      <c r="D216" s="2">
        <v>6450</v>
      </c>
      <c r="E216" s="1">
        <v>42849</v>
      </c>
      <c r="F216" t="str">
        <f>"201704201386"</f>
        <v>201704201386</v>
      </c>
      <c r="G216" t="str">
        <f>"INMATE COUNSELING"</f>
        <v>INMATE COUNSELING</v>
      </c>
      <c r="H216" s="2">
        <v>6450</v>
      </c>
      <c r="I216" t="str">
        <f>"INVOICE 5-2016"</f>
        <v>INVOICE 5-2016</v>
      </c>
    </row>
    <row r="217" spans="1:9" x14ac:dyDescent="0.3">
      <c r="A217" t="str">
        <f>""</f>
        <v/>
      </c>
      <c r="F217" t="str">
        <f>""</f>
        <v/>
      </c>
      <c r="G217" t="str">
        <f>""</f>
        <v/>
      </c>
      <c r="I217" t="str">
        <f>"INVOICE 6-2016"</f>
        <v>INVOICE 6-2016</v>
      </c>
    </row>
    <row r="218" spans="1:9" x14ac:dyDescent="0.3">
      <c r="A218" t="str">
        <f>""</f>
        <v/>
      </c>
      <c r="F218" t="str">
        <f>""</f>
        <v/>
      </c>
      <c r="G218" t="str">
        <f>""</f>
        <v/>
      </c>
      <c r="I218" t="str">
        <f>"INVOICE 7-2016"</f>
        <v>INVOICE 7-2016</v>
      </c>
    </row>
    <row r="219" spans="1:9" x14ac:dyDescent="0.3">
      <c r="A219" t="str">
        <f>""</f>
        <v/>
      </c>
      <c r="F219" t="str">
        <f>""</f>
        <v/>
      </c>
      <c r="G219" t="str">
        <f>""</f>
        <v/>
      </c>
      <c r="I219" t="str">
        <f>"INVOICE 7-2016"</f>
        <v>INVOICE 7-2016</v>
      </c>
    </row>
    <row r="220" spans="1:9" x14ac:dyDescent="0.3">
      <c r="A220" t="str">
        <f>""</f>
        <v/>
      </c>
      <c r="F220" t="str">
        <f>""</f>
        <v/>
      </c>
      <c r="G220" t="str">
        <f>""</f>
        <v/>
      </c>
      <c r="I220" t="str">
        <f>"INVOICE 8-2016"</f>
        <v>INVOICE 8-2016</v>
      </c>
    </row>
    <row r="221" spans="1:9" x14ac:dyDescent="0.3">
      <c r="A221" t="str">
        <f>""</f>
        <v/>
      </c>
      <c r="F221" t="str">
        <f>""</f>
        <v/>
      </c>
      <c r="G221" t="str">
        <f>""</f>
        <v/>
      </c>
      <c r="I221" t="str">
        <f>"INVOICE 9-2016"</f>
        <v>INVOICE 9-2016</v>
      </c>
    </row>
    <row r="222" spans="1:9" x14ac:dyDescent="0.3">
      <c r="A222" t="str">
        <f>""</f>
        <v/>
      </c>
      <c r="F222" t="str">
        <f>""</f>
        <v/>
      </c>
      <c r="G222" t="str">
        <f>""</f>
        <v/>
      </c>
      <c r="I222" t="str">
        <f>"INVOICE 10-2016"</f>
        <v>INVOICE 10-2016</v>
      </c>
    </row>
    <row r="223" spans="1:9" x14ac:dyDescent="0.3">
      <c r="A223" t="str">
        <f>""</f>
        <v/>
      </c>
      <c r="F223" t="str">
        <f>""</f>
        <v/>
      </c>
      <c r="G223" t="str">
        <f>""</f>
        <v/>
      </c>
      <c r="I223" t="str">
        <f>"INVOICE 11-2016"</f>
        <v>INVOICE 11-2016</v>
      </c>
    </row>
    <row r="224" spans="1:9" x14ac:dyDescent="0.3">
      <c r="A224" t="str">
        <f>""</f>
        <v/>
      </c>
      <c r="F224" t="str">
        <f>""</f>
        <v/>
      </c>
      <c r="G224" t="str">
        <f>""</f>
        <v/>
      </c>
      <c r="I224" t="str">
        <f>"INVOICE 12-2016"</f>
        <v>INVOICE 12-2016</v>
      </c>
    </row>
    <row r="225" spans="1:9" x14ac:dyDescent="0.3">
      <c r="A225" t="str">
        <f>""</f>
        <v/>
      </c>
      <c r="F225" t="str">
        <f>""</f>
        <v/>
      </c>
      <c r="G225" t="str">
        <f>""</f>
        <v/>
      </c>
      <c r="I225" t="str">
        <f>"INVOICE 1-2017"</f>
        <v>INVOICE 1-2017</v>
      </c>
    </row>
    <row r="226" spans="1:9" x14ac:dyDescent="0.3">
      <c r="A226" t="str">
        <f>""</f>
        <v/>
      </c>
      <c r="F226" t="str">
        <f>""</f>
        <v/>
      </c>
      <c r="G226" t="str">
        <f>""</f>
        <v/>
      </c>
      <c r="I226" t="str">
        <f>"INVOICE 2-2017"</f>
        <v>INVOICE 2-2017</v>
      </c>
    </row>
    <row r="227" spans="1:9" x14ac:dyDescent="0.3">
      <c r="A227" t="str">
        <f>""</f>
        <v/>
      </c>
      <c r="F227" t="str">
        <f>""</f>
        <v/>
      </c>
      <c r="G227" t="str">
        <f>""</f>
        <v/>
      </c>
      <c r="I227" t="str">
        <f>"INVOICE 3-2017"</f>
        <v>INVOICE 3-2017</v>
      </c>
    </row>
    <row r="228" spans="1:9" x14ac:dyDescent="0.3">
      <c r="A228" t="str">
        <f>"BBCI"</f>
        <v>BBCI</v>
      </c>
      <c r="B228" t="s">
        <v>79</v>
      </c>
      <c r="C228">
        <v>69935</v>
      </c>
      <c r="D228" s="2">
        <v>8006.66</v>
      </c>
      <c r="E228" s="1">
        <v>42849</v>
      </c>
      <c r="F228" t="str">
        <f>"201704201452"</f>
        <v>201704201452</v>
      </c>
      <c r="G228" t="str">
        <f>"JAIL STAFF CLOTHING"</f>
        <v>JAIL STAFF CLOTHING</v>
      </c>
      <c r="H228" s="2">
        <v>8006.66</v>
      </c>
      <c r="I228" t="str">
        <f>"UT100414714"</f>
        <v>UT100414714</v>
      </c>
    </row>
    <row r="229" spans="1:9" x14ac:dyDescent="0.3">
      <c r="A229" t="str">
        <f>""</f>
        <v/>
      </c>
      <c r="F229" t="str">
        <f>""</f>
        <v/>
      </c>
      <c r="G229" t="str">
        <f>""</f>
        <v/>
      </c>
      <c r="I229" t="str">
        <f>"UT1000409102"</f>
        <v>UT1000409102</v>
      </c>
    </row>
    <row r="230" spans="1:9" x14ac:dyDescent="0.3">
      <c r="A230" t="str">
        <f>""</f>
        <v/>
      </c>
      <c r="F230" t="str">
        <f>""</f>
        <v/>
      </c>
      <c r="G230" t="str">
        <f>""</f>
        <v/>
      </c>
      <c r="I230" t="str">
        <f>"UT1000410854"</f>
        <v>UT1000410854</v>
      </c>
    </row>
    <row r="231" spans="1:9" x14ac:dyDescent="0.3">
      <c r="A231" t="str">
        <f>""</f>
        <v/>
      </c>
      <c r="F231" t="str">
        <f>""</f>
        <v/>
      </c>
      <c r="G231" t="str">
        <f>""</f>
        <v/>
      </c>
      <c r="I231" t="str">
        <f>"UT1000411086"</f>
        <v>UT1000411086</v>
      </c>
    </row>
    <row r="232" spans="1:9" x14ac:dyDescent="0.3">
      <c r="A232" t="str">
        <f>""</f>
        <v/>
      </c>
      <c r="F232" t="str">
        <f>""</f>
        <v/>
      </c>
      <c r="G232" t="str">
        <f>""</f>
        <v/>
      </c>
      <c r="I232" t="str">
        <f>"UT1000413387"</f>
        <v>UT1000413387</v>
      </c>
    </row>
    <row r="233" spans="1:9" x14ac:dyDescent="0.3">
      <c r="A233" t="str">
        <f>""</f>
        <v/>
      </c>
      <c r="F233" t="str">
        <f>""</f>
        <v/>
      </c>
      <c r="G233" t="str">
        <f>""</f>
        <v/>
      </c>
      <c r="I233" t="str">
        <f>"UT1000405487"</f>
        <v>UT1000405487</v>
      </c>
    </row>
    <row r="234" spans="1:9" x14ac:dyDescent="0.3">
      <c r="A234" t="str">
        <f>""</f>
        <v/>
      </c>
      <c r="F234" t="str">
        <f>""</f>
        <v/>
      </c>
      <c r="G234" t="str">
        <f>""</f>
        <v/>
      </c>
      <c r="I234" t="str">
        <f>"UT1000405496"</f>
        <v>UT1000405496</v>
      </c>
    </row>
    <row r="235" spans="1:9" x14ac:dyDescent="0.3">
      <c r="A235" t="str">
        <f>""</f>
        <v/>
      </c>
      <c r="F235" t="str">
        <f>""</f>
        <v/>
      </c>
      <c r="G235" t="str">
        <f>""</f>
        <v/>
      </c>
      <c r="I235" t="str">
        <f>"UT1000405909"</f>
        <v>UT1000405909</v>
      </c>
    </row>
    <row r="236" spans="1:9" x14ac:dyDescent="0.3">
      <c r="A236" t="str">
        <f>""</f>
        <v/>
      </c>
      <c r="F236" t="str">
        <f>""</f>
        <v/>
      </c>
      <c r="G236" t="str">
        <f>""</f>
        <v/>
      </c>
      <c r="I236" t="str">
        <f>"UT1000409103"</f>
        <v>UT1000409103</v>
      </c>
    </row>
    <row r="237" spans="1:9" x14ac:dyDescent="0.3">
      <c r="A237" t="str">
        <f>""</f>
        <v/>
      </c>
      <c r="F237" t="str">
        <f>""</f>
        <v/>
      </c>
      <c r="G237" t="str">
        <f>""</f>
        <v/>
      </c>
      <c r="I237" t="str">
        <f>"UT1000415271"</f>
        <v>UT1000415271</v>
      </c>
    </row>
    <row r="238" spans="1:9" x14ac:dyDescent="0.3">
      <c r="A238" t="str">
        <f>"001367"</f>
        <v>001367</v>
      </c>
      <c r="B238" t="s">
        <v>80</v>
      </c>
      <c r="C238">
        <v>69562</v>
      </c>
      <c r="D238" s="2">
        <v>2246.02</v>
      </c>
      <c r="E238" s="1">
        <v>42835</v>
      </c>
      <c r="F238" t="str">
        <f>"4974/5022"</f>
        <v>4974/5022</v>
      </c>
      <c r="G238" t="str">
        <f>"INV 4974/UNIT 3102"</f>
        <v>INV 4974/UNIT 3102</v>
      </c>
      <c r="H238" s="2">
        <v>867.18</v>
      </c>
      <c r="I238" t="str">
        <f>"INV 4974/UNIT 3102"</f>
        <v>INV 4974/UNIT 3102</v>
      </c>
    </row>
    <row r="239" spans="1:9" x14ac:dyDescent="0.3">
      <c r="A239" t="str">
        <f>""</f>
        <v/>
      </c>
      <c r="F239" t="str">
        <f>""</f>
        <v/>
      </c>
      <c r="G239" t="str">
        <f>""</f>
        <v/>
      </c>
      <c r="I239" t="str">
        <f>"INV 4976/UNIT 0312"</f>
        <v>INV 4976/UNIT 0312</v>
      </c>
    </row>
    <row r="240" spans="1:9" x14ac:dyDescent="0.3">
      <c r="A240" t="str">
        <f>""</f>
        <v/>
      </c>
      <c r="F240" t="str">
        <f>""</f>
        <v/>
      </c>
      <c r="G240" t="str">
        <f>""</f>
        <v/>
      </c>
      <c r="I240" t="str">
        <f>"INV 4977/UNIT 121"</f>
        <v>INV 4977/UNIT 121</v>
      </c>
    </row>
    <row r="241" spans="1:9" x14ac:dyDescent="0.3">
      <c r="A241" t="str">
        <f>""</f>
        <v/>
      </c>
      <c r="F241" t="str">
        <f>""</f>
        <v/>
      </c>
      <c r="G241" t="str">
        <f>""</f>
        <v/>
      </c>
      <c r="I241" t="str">
        <f>"INV 4981/UNIT 6532"</f>
        <v>INV 4981/UNIT 6532</v>
      </c>
    </row>
    <row r="242" spans="1:9" x14ac:dyDescent="0.3">
      <c r="A242" t="str">
        <f>""</f>
        <v/>
      </c>
      <c r="F242" t="str">
        <f>""</f>
        <v/>
      </c>
      <c r="G242" t="str">
        <f>""</f>
        <v/>
      </c>
      <c r="I242" t="str">
        <f>"INV 4884/UNIT 4102"</f>
        <v>INV 4884/UNIT 4102</v>
      </c>
    </row>
    <row r="243" spans="1:9" x14ac:dyDescent="0.3">
      <c r="A243" t="str">
        <f>""</f>
        <v/>
      </c>
      <c r="F243" t="str">
        <f>""</f>
        <v/>
      </c>
      <c r="G243" t="str">
        <f>""</f>
        <v/>
      </c>
      <c r="I243" t="str">
        <f>"INV 4986/UNIT 5273"</f>
        <v>INV 4986/UNIT 5273</v>
      </c>
    </row>
    <row r="244" spans="1:9" x14ac:dyDescent="0.3">
      <c r="A244" t="str">
        <f>""</f>
        <v/>
      </c>
      <c r="F244" t="str">
        <f>""</f>
        <v/>
      </c>
      <c r="G244" t="str">
        <f>""</f>
        <v/>
      </c>
      <c r="I244" t="str">
        <f>"INV 4993/UNIT 80"</f>
        <v>INV 4993/UNIT 80</v>
      </c>
    </row>
    <row r="245" spans="1:9" x14ac:dyDescent="0.3">
      <c r="A245" t="str">
        <f>""</f>
        <v/>
      </c>
      <c r="F245" t="str">
        <f>""</f>
        <v/>
      </c>
      <c r="G245" t="str">
        <f>""</f>
        <v/>
      </c>
      <c r="I245" t="str">
        <f>"INV 4994/UNIT 116"</f>
        <v>INV 4994/UNIT 116</v>
      </c>
    </row>
    <row r="246" spans="1:9" x14ac:dyDescent="0.3">
      <c r="A246" t="str">
        <f>""</f>
        <v/>
      </c>
      <c r="F246" t="str">
        <f>""</f>
        <v/>
      </c>
      <c r="G246" t="str">
        <f>""</f>
        <v/>
      </c>
      <c r="I246" t="str">
        <f>"INV 4998/UNIT 4716"</f>
        <v>INV 4998/UNIT 4716</v>
      </c>
    </row>
    <row r="247" spans="1:9" x14ac:dyDescent="0.3">
      <c r="A247" t="str">
        <f>""</f>
        <v/>
      </c>
      <c r="F247" t="str">
        <f>""</f>
        <v/>
      </c>
      <c r="G247" t="str">
        <f>""</f>
        <v/>
      </c>
      <c r="I247" t="str">
        <f>"INV 4999/UNIT 5350"</f>
        <v>INV 4999/UNIT 5350</v>
      </c>
    </row>
    <row r="248" spans="1:9" x14ac:dyDescent="0.3">
      <c r="A248" t="str">
        <f>""</f>
        <v/>
      </c>
      <c r="F248" t="str">
        <f>""</f>
        <v/>
      </c>
      <c r="G248" t="str">
        <f>""</f>
        <v/>
      </c>
      <c r="I248" t="str">
        <f>"INV 5001/UNIT 1667"</f>
        <v>INV 5001/UNIT 1667</v>
      </c>
    </row>
    <row r="249" spans="1:9" x14ac:dyDescent="0.3">
      <c r="A249" t="str">
        <f>""</f>
        <v/>
      </c>
      <c r="F249" t="str">
        <f>""</f>
        <v/>
      </c>
      <c r="G249" t="str">
        <f>""</f>
        <v/>
      </c>
      <c r="I249" t="str">
        <f>"INV 5005/UNIT 9379"</f>
        <v>INV 5005/UNIT 9379</v>
      </c>
    </row>
    <row r="250" spans="1:9" x14ac:dyDescent="0.3">
      <c r="A250" t="str">
        <f>""</f>
        <v/>
      </c>
      <c r="F250" t="str">
        <f>""</f>
        <v/>
      </c>
      <c r="G250" t="str">
        <f>""</f>
        <v/>
      </c>
      <c r="I250" t="str">
        <f>"INV 5013/UNIT 6556"</f>
        <v>INV 5013/UNIT 6556</v>
      </c>
    </row>
    <row r="251" spans="1:9" x14ac:dyDescent="0.3">
      <c r="A251" t="str">
        <f>""</f>
        <v/>
      </c>
      <c r="F251" t="str">
        <f>""</f>
        <v/>
      </c>
      <c r="G251" t="str">
        <f>""</f>
        <v/>
      </c>
      <c r="I251" t="str">
        <f>"INV 5022/UNIT 6486"</f>
        <v>INV 5022/UNIT 6486</v>
      </c>
    </row>
    <row r="252" spans="1:9" x14ac:dyDescent="0.3">
      <c r="A252" t="str">
        <f>""</f>
        <v/>
      </c>
      <c r="F252" t="str">
        <f>"5043"</f>
        <v>5043</v>
      </c>
      <c r="G252" t="str">
        <f>"INV 5043/UNIT 1666"</f>
        <v>INV 5043/UNIT 1666</v>
      </c>
      <c r="H252" s="2">
        <v>709.38</v>
      </c>
      <c r="I252" t="str">
        <f>"INV 5043/UNIT 1666"</f>
        <v>INV 5043/UNIT 1666</v>
      </c>
    </row>
    <row r="253" spans="1:9" x14ac:dyDescent="0.3">
      <c r="A253" t="str">
        <f>""</f>
        <v/>
      </c>
      <c r="F253" t="str">
        <f>"5047"</f>
        <v>5047</v>
      </c>
      <c r="G253" t="str">
        <f>"INV 5047/UNIT 9379"</f>
        <v>INV 5047/UNIT 9379</v>
      </c>
      <c r="H253" s="2">
        <v>326.3</v>
      </c>
      <c r="I253" t="str">
        <f>"INV 5047/UNIT 9379"</f>
        <v>INV 5047/UNIT 9379</v>
      </c>
    </row>
    <row r="254" spans="1:9" x14ac:dyDescent="0.3">
      <c r="A254" t="str">
        <f>""</f>
        <v/>
      </c>
      <c r="F254" t="str">
        <f>"5054"</f>
        <v>5054</v>
      </c>
      <c r="G254" t="str">
        <f>"INV 5054/UNIT 81"</f>
        <v>INV 5054/UNIT 81</v>
      </c>
      <c r="H254" s="2">
        <v>343.16</v>
      </c>
      <c r="I254" t="str">
        <f>"INV 5054/UNIT 81"</f>
        <v>INV 5054/UNIT 81</v>
      </c>
    </row>
    <row r="255" spans="1:9" x14ac:dyDescent="0.3">
      <c r="A255" t="str">
        <f>"001367"</f>
        <v>001367</v>
      </c>
      <c r="B255" t="s">
        <v>80</v>
      </c>
      <c r="C255">
        <v>69817</v>
      </c>
      <c r="D255" s="2">
        <v>9075.9699999999993</v>
      </c>
      <c r="E255" s="1">
        <v>42849</v>
      </c>
      <c r="F255" t="str">
        <f>"201704191363"</f>
        <v>201704191363</v>
      </c>
      <c r="G255" t="str">
        <f>"INV4984/UNIT 8951"</f>
        <v>INV4984/UNIT 8951</v>
      </c>
      <c r="H255" s="2">
        <v>4449.6000000000004</v>
      </c>
      <c r="I255" t="str">
        <f>"INV 4984/UNIT 8951"</f>
        <v>INV 4984/UNIT 8951</v>
      </c>
    </row>
    <row r="256" spans="1:9" x14ac:dyDescent="0.3">
      <c r="A256" t="str">
        <f>""</f>
        <v/>
      </c>
      <c r="F256" t="str">
        <f>""</f>
        <v/>
      </c>
      <c r="G256" t="str">
        <f>""</f>
        <v/>
      </c>
      <c r="I256" t="str">
        <f>"INV 4988/UNIT 8610"</f>
        <v>INV 4988/UNIT 8610</v>
      </c>
    </row>
    <row r="257" spans="1:9" x14ac:dyDescent="0.3">
      <c r="A257" t="str">
        <f>""</f>
        <v/>
      </c>
      <c r="F257" t="str">
        <f>""</f>
        <v/>
      </c>
      <c r="G257" t="str">
        <f>""</f>
        <v/>
      </c>
      <c r="I257" t="str">
        <f>"INV 4992/UNIT 4236"</f>
        <v>INV 4992/UNIT 4236</v>
      </c>
    </row>
    <row r="258" spans="1:9" x14ac:dyDescent="0.3">
      <c r="A258" t="str">
        <f>""</f>
        <v/>
      </c>
      <c r="F258" t="str">
        <f>""</f>
        <v/>
      </c>
      <c r="G258" t="str">
        <f>""</f>
        <v/>
      </c>
      <c r="I258" t="str">
        <f>"INV 5000/UNIT 8943"</f>
        <v>INV 5000/UNIT 8943</v>
      </c>
    </row>
    <row r="259" spans="1:9" x14ac:dyDescent="0.3">
      <c r="A259" t="str">
        <f>""</f>
        <v/>
      </c>
      <c r="F259" t="str">
        <f>""</f>
        <v/>
      </c>
      <c r="G259" t="str">
        <f>""</f>
        <v/>
      </c>
      <c r="I259" t="str">
        <f>"INV 5003/UNIT 8950"</f>
        <v>INV 5003/UNIT 8950</v>
      </c>
    </row>
    <row r="260" spans="1:9" x14ac:dyDescent="0.3">
      <c r="A260" t="str">
        <f>""</f>
        <v/>
      </c>
      <c r="F260" t="str">
        <f>""</f>
        <v/>
      </c>
      <c r="G260" t="str">
        <f>""</f>
        <v/>
      </c>
      <c r="I260" t="str">
        <f>"INV 5004/UNIT 8946"</f>
        <v>INV 5004/UNIT 8946</v>
      </c>
    </row>
    <row r="261" spans="1:9" x14ac:dyDescent="0.3">
      <c r="A261" t="str">
        <f>""</f>
        <v/>
      </c>
      <c r="F261" t="str">
        <f>""</f>
        <v/>
      </c>
      <c r="G261" t="str">
        <f>""</f>
        <v/>
      </c>
      <c r="I261" t="str">
        <f>"INV 5027/UNIT 8952"</f>
        <v>INV 5027/UNIT 8952</v>
      </c>
    </row>
    <row r="262" spans="1:9" x14ac:dyDescent="0.3">
      <c r="A262" t="str">
        <f>""</f>
        <v/>
      </c>
      <c r="F262" t="str">
        <f>""</f>
        <v/>
      </c>
      <c r="G262" t="str">
        <f>""</f>
        <v/>
      </c>
      <c r="I262" t="str">
        <f>"INV 5028/UNIT 5955"</f>
        <v>INV 5028/UNIT 5955</v>
      </c>
    </row>
    <row r="263" spans="1:9" x14ac:dyDescent="0.3">
      <c r="A263" t="str">
        <f>""</f>
        <v/>
      </c>
      <c r="F263" t="str">
        <f>""</f>
        <v/>
      </c>
      <c r="G263" t="str">
        <f>""</f>
        <v/>
      </c>
      <c r="I263" t="str">
        <f>"INV 5059/UNIT 8947"</f>
        <v>INV 5059/UNIT 8947</v>
      </c>
    </row>
    <row r="264" spans="1:9" x14ac:dyDescent="0.3">
      <c r="A264" t="str">
        <f>""</f>
        <v/>
      </c>
      <c r="F264" t="str">
        <f>""</f>
        <v/>
      </c>
      <c r="G264" t="str">
        <f>""</f>
        <v/>
      </c>
      <c r="I264" t="str">
        <f>"INV 5068/UNIT 8613"</f>
        <v>INV 5068/UNIT 8613</v>
      </c>
    </row>
    <row r="265" spans="1:9" x14ac:dyDescent="0.3">
      <c r="A265" t="str">
        <f>""</f>
        <v/>
      </c>
      <c r="F265" t="str">
        <f>"201704191364"</f>
        <v>201704191364</v>
      </c>
      <c r="G265" t="str">
        <f>"INV 5064/UNIT 6541"</f>
        <v>INV 5064/UNIT 6541</v>
      </c>
      <c r="H265" s="2">
        <v>664.16</v>
      </c>
      <c r="I265" t="str">
        <f>"INV 5064/UNIT 6541"</f>
        <v>INV 5064/UNIT 6541</v>
      </c>
    </row>
    <row r="266" spans="1:9" x14ac:dyDescent="0.3">
      <c r="A266" t="str">
        <f>""</f>
        <v/>
      </c>
      <c r="F266" t="str">
        <f>""</f>
        <v/>
      </c>
      <c r="G266" t="str">
        <f>""</f>
        <v/>
      </c>
      <c r="I266" t="str">
        <f>"INV 5065/UNIT 0123"</f>
        <v>INV 5065/UNIT 0123</v>
      </c>
    </row>
    <row r="267" spans="1:9" x14ac:dyDescent="0.3">
      <c r="A267" t="str">
        <f>""</f>
        <v/>
      </c>
      <c r="F267" t="str">
        <f>""</f>
        <v/>
      </c>
      <c r="G267" t="str">
        <f>""</f>
        <v/>
      </c>
      <c r="I267" t="str">
        <f>"INV 5070/UNIT 1672"</f>
        <v>INV 5070/UNIT 1672</v>
      </c>
    </row>
    <row r="268" spans="1:9" x14ac:dyDescent="0.3">
      <c r="A268" t="str">
        <f>""</f>
        <v/>
      </c>
      <c r="F268" t="str">
        <f>""</f>
        <v/>
      </c>
      <c r="G268" t="str">
        <f>""</f>
        <v/>
      </c>
      <c r="I268" t="str">
        <f>"INV 5080/UNIT 8954"</f>
        <v>INV 5080/UNIT 8954</v>
      </c>
    </row>
    <row r="269" spans="1:9" x14ac:dyDescent="0.3">
      <c r="A269" t="str">
        <f>""</f>
        <v/>
      </c>
      <c r="F269" t="str">
        <f>""</f>
        <v/>
      </c>
      <c r="G269" t="str">
        <f>""</f>
        <v/>
      </c>
      <c r="I269" t="str">
        <f>"INV 5083/UNIT 1668"</f>
        <v>INV 5083/UNIT 1668</v>
      </c>
    </row>
    <row r="270" spans="1:9" x14ac:dyDescent="0.3">
      <c r="A270" t="str">
        <f>""</f>
        <v/>
      </c>
      <c r="F270" t="str">
        <f>""</f>
        <v/>
      </c>
      <c r="G270" t="str">
        <f>""</f>
        <v/>
      </c>
      <c r="I270" t="str">
        <f>"INV 5084/UNIT 4362"</f>
        <v>INV 5084/UNIT 4362</v>
      </c>
    </row>
    <row r="271" spans="1:9" x14ac:dyDescent="0.3">
      <c r="A271" t="str">
        <f>""</f>
        <v/>
      </c>
      <c r="F271" t="str">
        <f>""</f>
        <v/>
      </c>
      <c r="G271" t="str">
        <f>""</f>
        <v/>
      </c>
      <c r="I271" t="str">
        <f>"INV 5086/UNIT 0312"</f>
        <v>INV 5086/UNIT 0312</v>
      </c>
    </row>
    <row r="272" spans="1:9" x14ac:dyDescent="0.3">
      <c r="A272" t="str">
        <f>""</f>
        <v/>
      </c>
      <c r="F272" t="str">
        <f>""</f>
        <v/>
      </c>
      <c r="G272" t="str">
        <f>""</f>
        <v/>
      </c>
      <c r="I272" t="str">
        <f>"INV 5094/UNIT 0124"</f>
        <v>INV 5094/UNIT 0124</v>
      </c>
    </row>
    <row r="273" spans="1:9" x14ac:dyDescent="0.3">
      <c r="A273" t="str">
        <f>""</f>
        <v/>
      </c>
      <c r="F273" t="str">
        <f>""</f>
        <v/>
      </c>
      <c r="G273" t="str">
        <f>""</f>
        <v/>
      </c>
      <c r="I273" t="str">
        <f>"INV 5100/0120"</f>
        <v>INV 5100/0120</v>
      </c>
    </row>
    <row r="274" spans="1:9" x14ac:dyDescent="0.3">
      <c r="A274" t="str">
        <f>""</f>
        <v/>
      </c>
      <c r="F274" t="str">
        <f>""</f>
        <v/>
      </c>
      <c r="G274" t="str">
        <f>""</f>
        <v/>
      </c>
      <c r="I274" t="str">
        <f>"INV 5112/UNIT 0125"</f>
        <v>INV 5112/UNIT 0125</v>
      </c>
    </row>
    <row r="275" spans="1:9" x14ac:dyDescent="0.3">
      <c r="A275" t="str">
        <f>""</f>
        <v/>
      </c>
      <c r="F275" t="str">
        <f>""</f>
        <v/>
      </c>
      <c r="G275" t="str">
        <f>""</f>
        <v/>
      </c>
      <c r="I275" t="str">
        <f>"INV 5115/UNIT 6543"</f>
        <v>INV 5115/UNIT 6543</v>
      </c>
    </row>
    <row r="276" spans="1:9" x14ac:dyDescent="0.3">
      <c r="A276" t="str">
        <f>""</f>
        <v/>
      </c>
      <c r="F276" t="str">
        <f>""</f>
        <v/>
      </c>
      <c r="G276" t="str">
        <f>""</f>
        <v/>
      </c>
      <c r="I276" t="str">
        <f>"INV 5116/UNIT 1665"</f>
        <v>INV 5116/UNIT 1665</v>
      </c>
    </row>
    <row r="277" spans="1:9" x14ac:dyDescent="0.3">
      <c r="A277" t="str">
        <f>""</f>
        <v/>
      </c>
      <c r="F277" t="str">
        <f>""</f>
        <v/>
      </c>
      <c r="G277" t="str">
        <f>""</f>
        <v/>
      </c>
      <c r="I277" t="str">
        <f>"INV 5120/UNIT 0124"</f>
        <v>INV 5120/UNIT 0124</v>
      </c>
    </row>
    <row r="278" spans="1:9" x14ac:dyDescent="0.3">
      <c r="A278" t="str">
        <f>""</f>
        <v/>
      </c>
      <c r="F278" t="str">
        <f>""</f>
        <v/>
      </c>
      <c r="G278" t="str">
        <f>""</f>
        <v/>
      </c>
      <c r="I278" t="str">
        <f>"INV 5132/UNIT 0121"</f>
        <v>INV 5132/UNIT 0121</v>
      </c>
    </row>
    <row r="279" spans="1:9" x14ac:dyDescent="0.3">
      <c r="A279" t="str">
        <f>""</f>
        <v/>
      </c>
      <c r="F279" t="str">
        <f>"201704201437"</f>
        <v>201704201437</v>
      </c>
      <c r="G279" t="str">
        <f>"INV 5071/UNIT 1672"</f>
        <v>INV 5071/UNIT 1672</v>
      </c>
      <c r="H279" s="2">
        <v>103.51</v>
      </c>
      <c r="I279" t="str">
        <f>"INV 5071/UNIT 1672"</f>
        <v>INV 5071/UNIT 1672</v>
      </c>
    </row>
    <row r="280" spans="1:9" x14ac:dyDescent="0.3">
      <c r="A280" t="str">
        <f>""</f>
        <v/>
      </c>
      <c r="F280" t="str">
        <f>"201704201441"</f>
        <v>201704201441</v>
      </c>
      <c r="G280" t="str">
        <f>"INV 5109/UNIT 85"</f>
        <v>INV 5109/UNIT 85</v>
      </c>
      <c r="H280" s="2">
        <v>1915</v>
      </c>
      <c r="I280" t="str">
        <f>"INV 5109/UNIT 85"</f>
        <v>INV 5109/UNIT 85</v>
      </c>
    </row>
    <row r="281" spans="1:9" x14ac:dyDescent="0.3">
      <c r="A281" t="str">
        <f>""</f>
        <v/>
      </c>
      <c r="F281" t="str">
        <f>"201704201445"</f>
        <v>201704201445</v>
      </c>
      <c r="G281" t="str">
        <f>"INV 5077/UNIT 119"</f>
        <v>INV 5077/UNIT 119</v>
      </c>
      <c r="H281" s="2">
        <v>1253.72</v>
      </c>
      <c r="I281" t="str">
        <f>"INV 5077/UNIT 119"</f>
        <v>INV 5077/UNIT 119</v>
      </c>
    </row>
    <row r="282" spans="1:9" x14ac:dyDescent="0.3">
      <c r="A282" t="str">
        <f>""</f>
        <v/>
      </c>
      <c r="F282" t="str">
        <f>"201704201447"</f>
        <v>201704201447</v>
      </c>
      <c r="G282" t="str">
        <f>"INV 4962/UNIT 0125"</f>
        <v>INV 4962/UNIT 0125</v>
      </c>
      <c r="H282" s="2">
        <v>275.01</v>
      </c>
      <c r="I282" t="str">
        <f>"INV 4962/UNIT 0125"</f>
        <v>INV 4962/UNIT 0125</v>
      </c>
    </row>
    <row r="283" spans="1:9" x14ac:dyDescent="0.3">
      <c r="A283" t="str">
        <f>""</f>
        <v/>
      </c>
      <c r="F283" t="str">
        <f>"201704201448"</f>
        <v>201704201448</v>
      </c>
      <c r="G283" t="str">
        <f>"INV 5118/UNIT 1665"</f>
        <v>INV 5118/UNIT 1665</v>
      </c>
      <c r="H283" s="2">
        <v>139.96</v>
      </c>
      <c r="I283" t="str">
        <f>"INV 5118/UNIT 1665"</f>
        <v>INV 5118/UNIT 1665</v>
      </c>
    </row>
    <row r="284" spans="1:9" x14ac:dyDescent="0.3">
      <c r="A284" t="str">
        <f>""</f>
        <v/>
      </c>
      <c r="F284" t="str">
        <f>"201704201450"</f>
        <v>201704201450</v>
      </c>
      <c r="G284" t="str">
        <f>"INV 5093/UNIT 1673"</f>
        <v>INV 5093/UNIT 1673</v>
      </c>
      <c r="H284" s="2">
        <v>275.01</v>
      </c>
      <c r="I284" t="str">
        <f>"INV 5093/UNIT 1673"</f>
        <v>INV 5093/UNIT 1673</v>
      </c>
    </row>
    <row r="285" spans="1:9" x14ac:dyDescent="0.3">
      <c r="A285" t="str">
        <f>"003996"</f>
        <v>003996</v>
      </c>
      <c r="B285" t="s">
        <v>81</v>
      </c>
      <c r="C285">
        <v>69563</v>
      </c>
      <c r="D285" s="2">
        <v>315</v>
      </c>
      <c r="E285" s="1">
        <v>42835</v>
      </c>
      <c r="F285" t="str">
        <f>"201704060758"</f>
        <v>201704060758</v>
      </c>
      <c r="G285" t="str">
        <f>"FERAL HOGS"</f>
        <v>FERAL HOGS</v>
      </c>
      <c r="H285" s="2">
        <v>205</v>
      </c>
      <c r="I285" t="str">
        <f>"FERAL HOGS"</f>
        <v>FERAL HOGS</v>
      </c>
    </row>
    <row r="286" spans="1:9" x14ac:dyDescent="0.3">
      <c r="A286" t="str">
        <f>""</f>
        <v/>
      </c>
      <c r="F286" t="str">
        <f>"201704060768"</f>
        <v>201704060768</v>
      </c>
      <c r="G286" t="str">
        <f>"FERAL HOGS"</f>
        <v>FERAL HOGS</v>
      </c>
      <c r="H286" s="2">
        <v>110</v>
      </c>
      <c r="I286" t="str">
        <f>"FERAL HOGS"</f>
        <v>FERAL HOGS</v>
      </c>
    </row>
    <row r="287" spans="1:9" x14ac:dyDescent="0.3">
      <c r="A287" t="str">
        <f>"T9216"</f>
        <v>T9216</v>
      </c>
      <c r="B287" t="s">
        <v>82</v>
      </c>
      <c r="C287">
        <v>69564</v>
      </c>
      <c r="D287" s="2">
        <v>500</v>
      </c>
      <c r="E287" s="1">
        <v>42835</v>
      </c>
      <c r="F287" t="str">
        <f>"201704061110"</f>
        <v>201704061110</v>
      </c>
      <c r="G287" t="str">
        <f>"53635"</f>
        <v>53635</v>
      </c>
      <c r="H287" s="2">
        <v>250</v>
      </c>
      <c r="I287" t="str">
        <f>"53635"</f>
        <v>53635</v>
      </c>
    </row>
    <row r="288" spans="1:9" x14ac:dyDescent="0.3">
      <c r="A288" t="str">
        <f>""</f>
        <v/>
      </c>
      <c r="F288" t="str">
        <f>"201704061111"</f>
        <v>201704061111</v>
      </c>
      <c r="G288" t="str">
        <f>"54996"</f>
        <v>54996</v>
      </c>
      <c r="H288" s="2">
        <v>250</v>
      </c>
      <c r="I288" t="str">
        <f>"54996"</f>
        <v>54996</v>
      </c>
    </row>
    <row r="289" spans="1:9" x14ac:dyDescent="0.3">
      <c r="A289" t="str">
        <f>"T9216"</f>
        <v>T9216</v>
      </c>
      <c r="B289" t="s">
        <v>82</v>
      </c>
      <c r="C289">
        <v>70043</v>
      </c>
      <c r="D289" s="2">
        <v>500</v>
      </c>
      <c r="E289" s="1">
        <v>42849</v>
      </c>
      <c r="F289" t="str">
        <f>"201704201463"</f>
        <v>201704201463</v>
      </c>
      <c r="G289" t="str">
        <f>"54.448 310032015B CH-20160823"</f>
        <v>54.448 310032015B CH-20160823</v>
      </c>
      <c r="H289" s="2">
        <v>500</v>
      </c>
      <c r="I289" t="str">
        <f>"54.448 310032015B CH-20160823"</f>
        <v>54.448 310032015B CH-20160823</v>
      </c>
    </row>
    <row r="290" spans="1:9" x14ac:dyDescent="0.3">
      <c r="A290" t="str">
        <f>"002356"</f>
        <v>002356</v>
      </c>
      <c r="B290" t="s">
        <v>83</v>
      </c>
      <c r="C290">
        <v>69565</v>
      </c>
      <c r="D290" s="2">
        <v>30</v>
      </c>
      <c r="E290" s="1">
        <v>42835</v>
      </c>
      <c r="F290" t="str">
        <f>"17-18220"</f>
        <v>17-18220</v>
      </c>
      <c r="G290" t="str">
        <f>"CAR FUND/3-07-17"</f>
        <v>CAR FUND/3-07-17</v>
      </c>
      <c r="H290" s="2">
        <v>15</v>
      </c>
      <c r="I290" t="str">
        <f>"CAR FUND/3-07-17"</f>
        <v>CAR FUND/3-07-17</v>
      </c>
    </row>
    <row r="291" spans="1:9" x14ac:dyDescent="0.3">
      <c r="A291" t="str">
        <f>""</f>
        <v/>
      </c>
      <c r="F291" t="str">
        <f>"423-4850"</f>
        <v>423-4850</v>
      </c>
      <c r="G291" t="str">
        <f>"CAR FUND/3-02-2017"</f>
        <v>CAR FUND/3-02-2017</v>
      </c>
      <c r="H291" s="2">
        <v>15</v>
      </c>
      <c r="I291" t="str">
        <f>"CAR FUND/3-02-2017"</f>
        <v>CAR FUND/3-02-2017</v>
      </c>
    </row>
    <row r="292" spans="1:9" x14ac:dyDescent="0.3">
      <c r="A292" t="str">
        <f>"002356"</f>
        <v>002356</v>
      </c>
      <c r="B292" t="s">
        <v>83</v>
      </c>
      <c r="C292">
        <v>69843</v>
      </c>
      <c r="D292" s="2">
        <v>30</v>
      </c>
      <c r="E292" s="1">
        <v>42849</v>
      </c>
      <c r="F292" t="str">
        <f>"17-18310"</f>
        <v>17-18310</v>
      </c>
      <c r="G292" t="str">
        <f>"CENT ADOPTION REG FUND 4/18/17"</f>
        <v>CENT ADOPTION REG FUND 4/18/17</v>
      </c>
      <c r="H292" s="2">
        <v>15</v>
      </c>
      <c r="I292" t="str">
        <f>"CENT ADOPTION REG FUND 4/18/17"</f>
        <v>CENT ADOPTION REG FUND 4/18/17</v>
      </c>
    </row>
    <row r="293" spans="1:9" x14ac:dyDescent="0.3">
      <c r="A293" t="str">
        <f>""</f>
        <v/>
      </c>
      <c r="F293" t="str">
        <f>"201704201562"</f>
        <v>201704201562</v>
      </c>
      <c r="G293" t="str">
        <f>"423-4938"</f>
        <v>423-4938</v>
      </c>
      <c r="H293" s="2">
        <v>15</v>
      </c>
      <c r="I293" t="str">
        <f>"423-4938"</f>
        <v>423-4938</v>
      </c>
    </row>
    <row r="294" spans="1:9" x14ac:dyDescent="0.3">
      <c r="A294" t="str">
        <f>"002589"</f>
        <v>002589</v>
      </c>
      <c r="B294" t="s">
        <v>84</v>
      </c>
      <c r="C294">
        <v>69848</v>
      </c>
      <c r="D294" s="2">
        <v>75</v>
      </c>
      <c r="E294" s="1">
        <v>42849</v>
      </c>
      <c r="F294" t="str">
        <f>"12423"</f>
        <v>12423</v>
      </c>
      <c r="G294" t="str">
        <f>"SERVICE 1/27/17"</f>
        <v>SERVICE 1/27/17</v>
      </c>
      <c r="H294" s="2">
        <v>75</v>
      </c>
      <c r="I294" t="str">
        <f>"SERVICE 1/27/17"</f>
        <v>SERVICE 1/27/17</v>
      </c>
    </row>
    <row r="295" spans="1:9" x14ac:dyDescent="0.3">
      <c r="A295" t="str">
        <f>"T12628"</f>
        <v>T12628</v>
      </c>
      <c r="B295" t="s">
        <v>85</v>
      </c>
      <c r="C295">
        <v>69566</v>
      </c>
      <c r="D295" s="2">
        <v>171</v>
      </c>
      <c r="E295" s="1">
        <v>42835</v>
      </c>
      <c r="F295" t="str">
        <f>"262060-1"</f>
        <v>262060-1</v>
      </c>
      <c r="G295" t="str">
        <f>"CLEANER/GIS &amp; ADD"</f>
        <v>CLEANER/GIS &amp; ADD</v>
      </c>
      <c r="H295" s="2">
        <v>171</v>
      </c>
      <c r="I295" t="str">
        <f>"CLEANER/GIS &amp; ADD"</f>
        <v>CLEANER/GIS &amp; ADD</v>
      </c>
    </row>
    <row r="296" spans="1:9" x14ac:dyDescent="0.3">
      <c r="A296" t="str">
        <f>"003467"</f>
        <v>003467</v>
      </c>
      <c r="B296" t="s">
        <v>86</v>
      </c>
      <c r="C296">
        <v>69567</v>
      </c>
      <c r="D296" s="2">
        <v>345</v>
      </c>
      <c r="E296" s="1">
        <v>42835</v>
      </c>
      <c r="F296" t="str">
        <f>"201704060749"</f>
        <v>201704060749</v>
      </c>
      <c r="G296" t="str">
        <f>"FERAL HOGS"</f>
        <v>FERAL HOGS</v>
      </c>
      <c r="H296" s="2">
        <v>345</v>
      </c>
      <c r="I296" t="str">
        <f>"FERAL HOGS"</f>
        <v>FERAL HOGS</v>
      </c>
    </row>
    <row r="297" spans="1:9" x14ac:dyDescent="0.3">
      <c r="A297" t="str">
        <f>"002723"</f>
        <v>002723</v>
      </c>
      <c r="B297" t="s">
        <v>87</v>
      </c>
      <c r="C297">
        <v>69851</v>
      </c>
      <c r="D297" s="2">
        <v>365</v>
      </c>
      <c r="E297" s="1">
        <v>42849</v>
      </c>
      <c r="F297" t="str">
        <f>"14411"</f>
        <v>14411</v>
      </c>
      <c r="G297" t="str">
        <f>"2ND QTR MAINT/COURTHOUSE"</f>
        <v>2ND QTR MAINT/COURTHOUSE</v>
      </c>
      <c r="H297" s="2">
        <v>365</v>
      </c>
      <c r="I297" t="str">
        <f>"2ND QTR MAINT/COURTHOUSE"</f>
        <v>2ND QTR MAINT/COURTHOUSE</v>
      </c>
    </row>
    <row r="298" spans="1:9" x14ac:dyDescent="0.3">
      <c r="A298" t="str">
        <f>"003164"</f>
        <v>003164</v>
      </c>
      <c r="B298" t="s">
        <v>88</v>
      </c>
      <c r="C298">
        <v>69568</v>
      </c>
      <c r="D298" s="2">
        <v>1053.8699999999999</v>
      </c>
      <c r="E298" s="1">
        <v>42835</v>
      </c>
      <c r="F298" t="str">
        <f>"201704050701"</f>
        <v>201704050701</v>
      </c>
      <c r="G298" t="str">
        <f>"Mastercard Statement"</f>
        <v>Mastercard Statement</v>
      </c>
      <c r="H298" s="2">
        <v>1053.8699999999999</v>
      </c>
      <c r="I298" t="str">
        <f>"TCDRS"</f>
        <v>TCDRS</v>
      </c>
    </row>
    <row r="299" spans="1:9" x14ac:dyDescent="0.3">
      <c r="A299" t="str">
        <f>""</f>
        <v/>
      </c>
      <c r="F299" t="str">
        <f>""</f>
        <v/>
      </c>
      <c r="G299" t="str">
        <f>""</f>
        <v/>
      </c>
      <c r="I299" t="str">
        <f>"Registration"</f>
        <v>Registration</v>
      </c>
    </row>
    <row r="300" spans="1:9" x14ac:dyDescent="0.3">
      <c r="A300" t="str">
        <f>""</f>
        <v/>
      </c>
      <c r="F300" t="str">
        <f>""</f>
        <v/>
      </c>
      <c r="G300" t="str">
        <f>""</f>
        <v/>
      </c>
      <c r="I300" t="str">
        <f>"Reservation"</f>
        <v>Reservation</v>
      </c>
    </row>
    <row r="301" spans="1:9" x14ac:dyDescent="0.3">
      <c r="A301" t="str">
        <f>""</f>
        <v/>
      </c>
      <c r="F301" t="str">
        <f>""</f>
        <v/>
      </c>
      <c r="G301" t="str">
        <f>""</f>
        <v/>
      </c>
      <c r="I301" t="str">
        <f>"Go Daddy"</f>
        <v>Go Daddy</v>
      </c>
    </row>
    <row r="302" spans="1:9" x14ac:dyDescent="0.3">
      <c r="A302" t="str">
        <f>""</f>
        <v/>
      </c>
      <c r="F302" t="str">
        <f>""</f>
        <v/>
      </c>
      <c r="G302" t="str">
        <f>""</f>
        <v/>
      </c>
      <c r="I302" t="str">
        <f>"Go Daddy"</f>
        <v>Go Daddy</v>
      </c>
    </row>
    <row r="303" spans="1:9" x14ac:dyDescent="0.3">
      <c r="A303" t="str">
        <f>""</f>
        <v/>
      </c>
      <c r="F303" t="str">
        <f>""</f>
        <v/>
      </c>
      <c r="G303" t="str">
        <f>""</f>
        <v/>
      </c>
      <c r="I303" t="str">
        <f>"Walmart"</f>
        <v>Walmart</v>
      </c>
    </row>
    <row r="304" spans="1:9" x14ac:dyDescent="0.3">
      <c r="A304" t="str">
        <f>""</f>
        <v/>
      </c>
      <c r="F304" t="str">
        <f>""</f>
        <v/>
      </c>
      <c r="G304" t="str">
        <f>""</f>
        <v/>
      </c>
      <c r="I304" t="str">
        <f>"Kam Fab"</f>
        <v>Kam Fab</v>
      </c>
    </row>
    <row r="305" spans="1:9" x14ac:dyDescent="0.3">
      <c r="A305" t="str">
        <f>""</f>
        <v/>
      </c>
      <c r="F305" t="str">
        <f>""</f>
        <v/>
      </c>
      <c r="G305" t="str">
        <f>""</f>
        <v/>
      </c>
      <c r="I305" t="str">
        <f>"Rosanna Garza"</f>
        <v>Rosanna Garza</v>
      </c>
    </row>
    <row r="306" spans="1:9" x14ac:dyDescent="0.3">
      <c r="A306" t="str">
        <f>""</f>
        <v/>
      </c>
      <c r="F306" t="str">
        <f>""</f>
        <v/>
      </c>
      <c r="G306" t="str">
        <f>""</f>
        <v/>
      </c>
      <c r="I306" t="str">
        <f>"Robert Bennet"</f>
        <v>Robert Bennet</v>
      </c>
    </row>
    <row r="307" spans="1:9" x14ac:dyDescent="0.3">
      <c r="A307" t="str">
        <f>""</f>
        <v/>
      </c>
      <c r="F307" t="str">
        <f>""</f>
        <v/>
      </c>
      <c r="G307" t="str">
        <f>""</f>
        <v/>
      </c>
      <c r="I307" t="str">
        <f>"Charles Adams"</f>
        <v>Charles Adams</v>
      </c>
    </row>
    <row r="308" spans="1:9" x14ac:dyDescent="0.3">
      <c r="A308" t="str">
        <f>""</f>
        <v/>
      </c>
      <c r="F308" t="str">
        <f>""</f>
        <v/>
      </c>
      <c r="G308" t="str">
        <f>""</f>
        <v/>
      </c>
      <c r="I308" t="str">
        <f>"Erika DeJesus"</f>
        <v>Erika DeJesus</v>
      </c>
    </row>
    <row r="309" spans="1:9" x14ac:dyDescent="0.3">
      <c r="A309" t="str">
        <f>""</f>
        <v/>
      </c>
      <c r="F309" t="str">
        <f>""</f>
        <v/>
      </c>
      <c r="G309" t="str">
        <f>""</f>
        <v/>
      </c>
      <c r="I309" t="str">
        <f>"Kenneth Leatherwood"</f>
        <v>Kenneth Leatherwood</v>
      </c>
    </row>
    <row r="310" spans="1:9" x14ac:dyDescent="0.3">
      <c r="A310" t="str">
        <f>""</f>
        <v/>
      </c>
      <c r="F310" t="str">
        <f>""</f>
        <v/>
      </c>
      <c r="G310" t="str">
        <f>""</f>
        <v/>
      </c>
      <c r="I310" t="str">
        <f>"Auto Works"</f>
        <v>Auto Works</v>
      </c>
    </row>
    <row r="311" spans="1:9" x14ac:dyDescent="0.3">
      <c r="A311" t="str">
        <f>""</f>
        <v/>
      </c>
      <c r="F311" t="str">
        <f>""</f>
        <v/>
      </c>
      <c r="G311" t="str">
        <f>""</f>
        <v/>
      </c>
      <c r="I311" t="str">
        <f>"Deer Skin"</f>
        <v>Deer Skin</v>
      </c>
    </row>
    <row r="312" spans="1:9" x14ac:dyDescent="0.3">
      <c r="A312" t="str">
        <f>"CARD"</f>
        <v>CARD</v>
      </c>
      <c r="B312" t="s">
        <v>89</v>
      </c>
      <c r="C312">
        <v>69569</v>
      </c>
      <c r="D312" s="2">
        <v>875.75</v>
      </c>
      <c r="E312" s="1">
        <v>42835</v>
      </c>
      <c r="F312" t="str">
        <f>"201704050709"</f>
        <v>201704050709</v>
      </c>
      <c r="G312" t="str">
        <f>"FEB 21-MAR 23 STATEMENT"</f>
        <v>FEB 21-MAR 23 STATEMENT</v>
      </c>
      <c r="H312" s="2">
        <v>875.75</v>
      </c>
      <c r="I312" t="str">
        <f>"POSTAGE"</f>
        <v>POSTAGE</v>
      </c>
    </row>
    <row r="313" spans="1:9" x14ac:dyDescent="0.3">
      <c r="A313" t="str">
        <f>""</f>
        <v/>
      </c>
      <c r="F313" t="str">
        <f>""</f>
        <v/>
      </c>
      <c r="G313" t="str">
        <f>""</f>
        <v/>
      </c>
      <c r="I313" t="str">
        <f>"POSTAGE"</f>
        <v>POSTAGE</v>
      </c>
    </row>
    <row r="314" spans="1:9" x14ac:dyDescent="0.3">
      <c r="A314" t="str">
        <f>""</f>
        <v/>
      </c>
      <c r="F314" t="str">
        <f>""</f>
        <v/>
      </c>
      <c r="G314" t="str">
        <f>""</f>
        <v/>
      </c>
      <c r="I314" t="str">
        <f>"ROPES - ESTRAY"</f>
        <v>ROPES - ESTRAY</v>
      </c>
    </row>
    <row r="315" spans="1:9" x14ac:dyDescent="0.3">
      <c r="A315" t="str">
        <f>""</f>
        <v/>
      </c>
      <c r="F315" t="str">
        <f>""</f>
        <v/>
      </c>
      <c r="G315" t="str">
        <f>""</f>
        <v/>
      </c>
      <c r="I315" t="str">
        <f>"FILE CABINET - SPEC"</f>
        <v>FILE CABINET - SPEC</v>
      </c>
    </row>
    <row r="316" spans="1:9" x14ac:dyDescent="0.3">
      <c r="A316" t="str">
        <f>""</f>
        <v/>
      </c>
      <c r="F316" t="str">
        <f>""</f>
        <v/>
      </c>
      <c r="G316" t="str">
        <f>""</f>
        <v/>
      </c>
      <c r="I316" t="str">
        <f>"FILE CABINETS - COP"</f>
        <v>FILE CABINETS - COP</v>
      </c>
    </row>
    <row r="317" spans="1:9" x14ac:dyDescent="0.3">
      <c r="A317" t="str">
        <f>""</f>
        <v/>
      </c>
      <c r="F317" t="str">
        <f>""</f>
        <v/>
      </c>
      <c r="G317" t="str">
        <f>""</f>
        <v/>
      </c>
      <c r="I317" t="str">
        <f>"OLSIN NATIONAL"</f>
        <v>OLSIN NATIONAL</v>
      </c>
    </row>
    <row r="318" spans="1:9" x14ac:dyDescent="0.3">
      <c r="A318" t="str">
        <f>""</f>
        <v/>
      </c>
      <c r="F318" t="str">
        <f>""</f>
        <v/>
      </c>
      <c r="G318" t="str">
        <f>""</f>
        <v/>
      </c>
      <c r="I318" t="str">
        <f>"OLSIN NATIONAL"</f>
        <v>OLSIN NATIONAL</v>
      </c>
    </row>
    <row r="319" spans="1:9" x14ac:dyDescent="0.3">
      <c r="A319" t="str">
        <f>"CASA"</f>
        <v>CASA</v>
      </c>
      <c r="B319" t="s">
        <v>90</v>
      </c>
      <c r="C319">
        <v>69938</v>
      </c>
      <c r="D319" s="2">
        <v>11000</v>
      </c>
      <c r="E319" s="1">
        <v>42849</v>
      </c>
      <c r="F319" t="str">
        <f>"201704131209"</f>
        <v>201704131209</v>
      </c>
      <c r="G319" t="str">
        <f>"PER BUDGET-FY'17"</f>
        <v>PER BUDGET-FY'17</v>
      </c>
      <c r="H319" s="2">
        <v>11000</v>
      </c>
      <c r="I319" t="str">
        <f>"PER BUDGET-FY'17"</f>
        <v>PER BUDGET-FY'17</v>
      </c>
    </row>
    <row r="320" spans="1:9" x14ac:dyDescent="0.3">
      <c r="A320" t="str">
        <f>"002680"</f>
        <v>002680</v>
      </c>
      <c r="B320" t="s">
        <v>91</v>
      </c>
      <c r="C320">
        <v>69570</v>
      </c>
      <c r="D320" s="2">
        <v>160</v>
      </c>
      <c r="E320" s="1">
        <v>42835</v>
      </c>
      <c r="F320" t="str">
        <f>"37665"</f>
        <v>37665</v>
      </c>
      <c r="G320" t="str">
        <f>"ACCT#BASTR/INSPECTION"</f>
        <v>ACCT#BASTR/INSPECTION</v>
      </c>
      <c r="H320" s="2">
        <v>160</v>
      </c>
      <c r="I320" t="str">
        <f>"ACCT#BASTR/INSPECTION"</f>
        <v>ACCT#BASTR/INSPECTION</v>
      </c>
    </row>
    <row r="321" spans="1:9" x14ac:dyDescent="0.3">
      <c r="A321" t="str">
        <f>"T4871"</f>
        <v>T4871</v>
      </c>
      <c r="B321" t="s">
        <v>92</v>
      </c>
      <c r="C321">
        <v>0</v>
      </c>
      <c r="D321" s="2">
        <v>329.6</v>
      </c>
      <c r="E321" s="1">
        <v>42835</v>
      </c>
      <c r="F321" t="str">
        <f>"3371367"</f>
        <v>3371367</v>
      </c>
      <c r="G321" t="str">
        <f>"CISCO 8841 PHONE SYSTEM"</f>
        <v>CISCO 8841 PHONE SYSTEM</v>
      </c>
      <c r="H321" s="2">
        <v>329.6</v>
      </c>
      <c r="I321" t="str">
        <f>"CISCO 8841 PHONE SYSTEM"</f>
        <v>CISCO 8841 PHONE SYSTEM</v>
      </c>
    </row>
    <row r="322" spans="1:9" x14ac:dyDescent="0.3">
      <c r="A322" t="str">
        <f>"T4871"</f>
        <v>T4871</v>
      </c>
      <c r="B322" t="s">
        <v>92</v>
      </c>
      <c r="C322">
        <v>0</v>
      </c>
      <c r="D322" s="2">
        <v>908.3</v>
      </c>
      <c r="E322" s="1">
        <v>42836</v>
      </c>
      <c r="F322" t="str">
        <f>"201704111194"</f>
        <v>201704111194</v>
      </c>
      <c r="G322" t="str">
        <f>"ITEM#3196268"</f>
        <v>ITEM#3196268</v>
      </c>
      <c r="H322" s="2">
        <v>908.3</v>
      </c>
      <c r="I322" t="str">
        <f>"ITEM#3196268"</f>
        <v>ITEM#3196268</v>
      </c>
    </row>
    <row r="323" spans="1:9" x14ac:dyDescent="0.3">
      <c r="A323" t="str">
        <f>"T4871"</f>
        <v>T4871</v>
      </c>
      <c r="B323" t="s">
        <v>92</v>
      </c>
      <c r="C323">
        <v>0</v>
      </c>
      <c r="D323" s="2">
        <v>789.82</v>
      </c>
      <c r="E323" s="1">
        <v>42849</v>
      </c>
      <c r="F323" t="str">
        <f>"201704201436"</f>
        <v>201704201436</v>
      </c>
      <c r="G323" t="str">
        <f>"INV HJM5957/HJG1844"</f>
        <v>INV HJM5957/HJG1844</v>
      </c>
      <c r="H323" s="2">
        <v>650.98</v>
      </c>
      <c r="I323" t="str">
        <f>"INV HJM5957"</f>
        <v>INV HJM5957</v>
      </c>
    </row>
    <row r="324" spans="1:9" x14ac:dyDescent="0.3">
      <c r="A324" t="str">
        <f>""</f>
        <v/>
      </c>
      <c r="F324" t="str">
        <f>""</f>
        <v/>
      </c>
      <c r="G324" t="str">
        <f>""</f>
        <v/>
      </c>
      <c r="I324" t="str">
        <f>"INV HJG1844"</f>
        <v>INV HJG1844</v>
      </c>
    </row>
    <row r="325" spans="1:9" x14ac:dyDescent="0.3">
      <c r="A325" t="str">
        <f>""</f>
        <v/>
      </c>
      <c r="F325" t="str">
        <f>"HHR1952"</f>
        <v>HHR1952</v>
      </c>
      <c r="G325" t="str">
        <f>"CUST#9566243/PCT#3"</f>
        <v>CUST#9566243/PCT#3</v>
      </c>
      <c r="H325" s="2">
        <v>138.84</v>
      </c>
      <c r="I325" t="str">
        <f>"CUST#9566243/PCT#3"</f>
        <v>CUST#9566243/PCT#3</v>
      </c>
    </row>
    <row r="326" spans="1:9" x14ac:dyDescent="0.3">
      <c r="A326" t="str">
        <f>"CTMF"</f>
        <v>CTMF</v>
      </c>
      <c r="B326" t="s">
        <v>93</v>
      </c>
      <c r="C326">
        <v>69946</v>
      </c>
      <c r="D326" s="2">
        <v>40</v>
      </c>
      <c r="E326" s="1">
        <v>42849</v>
      </c>
      <c r="F326" t="str">
        <f>"11175"</f>
        <v>11175</v>
      </c>
      <c r="G326" t="str">
        <f>"WELD ALUM TUBE/PCT#2"</f>
        <v>WELD ALUM TUBE/PCT#2</v>
      </c>
      <c r="H326" s="2">
        <v>40</v>
      </c>
      <c r="I326" t="str">
        <f>"WELD ALUM TUBE/PCT#2"</f>
        <v>WELD ALUM TUBE/PCT#2</v>
      </c>
    </row>
    <row r="327" spans="1:9" x14ac:dyDescent="0.3">
      <c r="A327" t="str">
        <f>"CTRPNT"</f>
        <v>CTRPNT</v>
      </c>
      <c r="B327" t="s">
        <v>94</v>
      </c>
      <c r="C327">
        <v>69513</v>
      </c>
      <c r="D327" s="2">
        <v>1709.68</v>
      </c>
      <c r="E327" s="1">
        <v>42830</v>
      </c>
      <c r="F327" t="str">
        <f>"201704050673"</f>
        <v>201704050673</v>
      </c>
      <c r="G327" t="str">
        <f>"ACCT#2974567-6"</f>
        <v>ACCT#2974567-6</v>
      </c>
      <c r="H327" s="2">
        <v>1548.38</v>
      </c>
      <c r="I327" t="str">
        <f>"ACCT#2974567-6"</f>
        <v>ACCT#2974567-6</v>
      </c>
    </row>
    <row r="328" spans="1:9" x14ac:dyDescent="0.3">
      <c r="A328" t="str">
        <f>""</f>
        <v/>
      </c>
      <c r="F328" t="str">
        <f>"201704050674"</f>
        <v>201704050674</v>
      </c>
      <c r="G328" t="str">
        <f>"2959074-2"</f>
        <v>2959074-2</v>
      </c>
      <c r="H328" s="2">
        <v>50.33</v>
      </c>
      <c r="I328" t="str">
        <f>"2959074-2"</f>
        <v>2959074-2</v>
      </c>
    </row>
    <row r="329" spans="1:9" x14ac:dyDescent="0.3">
      <c r="A329" t="str">
        <f>""</f>
        <v/>
      </c>
      <c r="F329" t="str">
        <f>"201704050675"</f>
        <v>201704050675</v>
      </c>
      <c r="G329" t="str">
        <f>"ACCT#3204434-9"</f>
        <v>ACCT#3204434-9</v>
      </c>
      <c r="H329" s="2">
        <v>35.840000000000003</v>
      </c>
      <c r="I329" t="str">
        <f>"ACCT#3204434-9"</f>
        <v>ACCT#3204434-9</v>
      </c>
    </row>
    <row r="330" spans="1:9" x14ac:dyDescent="0.3">
      <c r="A330" t="str">
        <f>""</f>
        <v/>
      </c>
      <c r="F330" t="str">
        <f>"201704050676"</f>
        <v>201704050676</v>
      </c>
      <c r="G330" t="str">
        <f>"ACCT#6400890108-0"</f>
        <v>ACCT#6400890108-0</v>
      </c>
      <c r="H330" s="2">
        <v>39.29</v>
      </c>
      <c r="I330" t="str">
        <f>"ACCT#6400890108-0"</f>
        <v>ACCT#6400890108-0</v>
      </c>
    </row>
    <row r="331" spans="1:9" x14ac:dyDescent="0.3">
      <c r="A331" t="str">
        <f>""</f>
        <v/>
      </c>
      <c r="F331" t="str">
        <f>"201704050677"</f>
        <v>201704050677</v>
      </c>
      <c r="G331" t="str">
        <f>"ACCT#3204433-1"</f>
        <v>ACCT#3204433-1</v>
      </c>
      <c r="H331" s="2">
        <v>35.840000000000003</v>
      </c>
      <c r="I331" t="str">
        <f>"ACCT#3204433-1"</f>
        <v>ACCT#3204433-1</v>
      </c>
    </row>
    <row r="332" spans="1:9" x14ac:dyDescent="0.3">
      <c r="A332" t="str">
        <f>"CTRPNT"</f>
        <v>CTRPNT</v>
      </c>
      <c r="B332" t="s">
        <v>94</v>
      </c>
      <c r="C332">
        <v>69784</v>
      </c>
      <c r="D332" s="2">
        <v>111.94</v>
      </c>
      <c r="E332" s="1">
        <v>42843</v>
      </c>
      <c r="F332" t="str">
        <f>"201704181323"</f>
        <v>201704181323</v>
      </c>
      <c r="G332" t="str">
        <f>"2959097-3 - 03/01-03/30"</f>
        <v>2959097-3 - 03/01-03/30</v>
      </c>
      <c r="H332" s="2">
        <v>36.9</v>
      </c>
      <c r="I332" t="str">
        <f>"2959097-3 - 03/01-03/30"</f>
        <v>2959097-3 - 03/01-03/30</v>
      </c>
    </row>
    <row r="333" spans="1:9" x14ac:dyDescent="0.3">
      <c r="A333" t="str">
        <f>""</f>
        <v/>
      </c>
      <c r="F333" t="str">
        <f>"201704181324"</f>
        <v>201704181324</v>
      </c>
      <c r="G333" t="str">
        <f>"6400893680-5 - 03/01-03/30"</f>
        <v>6400893680-5 - 03/01-03/30</v>
      </c>
      <c r="H333" s="2">
        <v>39.200000000000003</v>
      </c>
      <c r="I333" t="str">
        <f>"6400893680-5 - 03/01-03/30"</f>
        <v>6400893680-5 - 03/01-03/30</v>
      </c>
    </row>
    <row r="334" spans="1:9" x14ac:dyDescent="0.3">
      <c r="A334" t="str">
        <f>""</f>
        <v/>
      </c>
      <c r="F334" t="str">
        <f>"201704181325"</f>
        <v>201704181325</v>
      </c>
      <c r="G334" t="str">
        <f>"2814197-6 - 03/01-03/30"</f>
        <v>2814197-6 - 03/01-03/30</v>
      </c>
      <c r="H334" s="2">
        <v>35.840000000000003</v>
      </c>
      <c r="I334" t="str">
        <f>"2814197-6 - 03/01-03/30"</f>
        <v>2814197-6 - 03/01-03/30</v>
      </c>
    </row>
    <row r="335" spans="1:9" x14ac:dyDescent="0.3">
      <c r="A335" t="str">
        <f>"T12897"</f>
        <v>T12897</v>
      </c>
      <c r="B335" t="s">
        <v>95</v>
      </c>
      <c r="C335">
        <v>69571</v>
      </c>
      <c r="D335" s="2">
        <v>3499.8</v>
      </c>
      <c r="E335" s="1">
        <v>42835</v>
      </c>
      <c r="F335" t="str">
        <f>"19BFS914-1S1C"</f>
        <v>19BFS914-1S1C</v>
      </c>
      <c r="G335" t="str">
        <f>"Invoice# CID2047687"</f>
        <v>Invoice# CID2047687</v>
      </c>
      <c r="H335" s="2">
        <v>3499.8</v>
      </c>
      <c r="I335" t="str">
        <f>"ITem# 19BFS914-1S1C"</f>
        <v>ITem# 19BFS914-1S1C</v>
      </c>
    </row>
    <row r="336" spans="1:9" x14ac:dyDescent="0.3">
      <c r="A336" t="str">
        <f>""</f>
        <v/>
      </c>
      <c r="F336" t="str">
        <f>""</f>
        <v/>
      </c>
      <c r="G336" t="str">
        <f>""</f>
        <v/>
      </c>
      <c r="I336" t="str">
        <f>"Freight Charge"</f>
        <v>Freight Charge</v>
      </c>
    </row>
    <row r="337" spans="1:9" x14ac:dyDescent="0.3">
      <c r="A337" t="str">
        <f>"CENTEX"</f>
        <v>CENTEX</v>
      </c>
      <c r="B337" t="s">
        <v>96</v>
      </c>
      <c r="C337">
        <v>69572</v>
      </c>
      <c r="D337" s="2">
        <v>6635.6</v>
      </c>
      <c r="E337" s="1">
        <v>42835</v>
      </c>
      <c r="F337" t="str">
        <f>"30116795"</f>
        <v>30116795</v>
      </c>
      <c r="G337" t="str">
        <f>"CUST#BASPCT3/BASE/PCT#3"</f>
        <v>CUST#BASPCT3/BASE/PCT#3</v>
      </c>
      <c r="H337" s="2">
        <v>1140.83</v>
      </c>
      <c r="I337" t="str">
        <f>"CUST#BASPCT3/BASE/PCT#3"</f>
        <v>CUST#BASPCT3/BASE/PCT#3</v>
      </c>
    </row>
    <row r="338" spans="1:9" x14ac:dyDescent="0.3">
      <c r="A338" t="str">
        <f>""</f>
        <v/>
      </c>
      <c r="F338" t="str">
        <f>"30116844"</f>
        <v>30116844</v>
      </c>
      <c r="G338" t="str">
        <f>"CUST#BASPCT3/BASE/PCT#3"</f>
        <v>CUST#BASPCT3/BASE/PCT#3</v>
      </c>
      <c r="H338" s="2">
        <v>1815.38</v>
      </c>
      <c r="I338" t="str">
        <f>"CUST#BASPCT3/BASE/PCT#3"</f>
        <v>CUST#BASPCT3/BASE/PCT#3</v>
      </c>
    </row>
    <row r="339" spans="1:9" x14ac:dyDescent="0.3">
      <c r="A339" t="str">
        <f>""</f>
        <v/>
      </c>
      <c r="F339" t="str">
        <f>"30116889"</f>
        <v>30116889</v>
      </c>
      <c r="G339" t="str">
        <f>"CUST#BASPCT#3/BASE/PCT#3"</f>
        <v>CUST#BASPCT#3/BASE/PCT#3</v>
      </c>
      <c r="H339" s="2">
        <v>2470.2199999999998</v>
      </c>
      <c r="I339" t="str">
        <f>"CUST#BASPCT#3/BASE/PCT#3"</f>
        <v>CUST#BASPCT#3/BASE/PCT#3</v>
      </c>
    </row>
    <row r="340" spans="1:9" x14ac:dyDescent="0.3">
      <c r="A340" t="str">
        <f>""</f>
        <v/>
      </c>
      <c r="F340" t="str">
        <f>"30116938"</f>
        <v>30116938</v>
      </c>
      <c r="G340" t="str">
        <f>"CUST#BASCPT3/BASE/PCT#3"</f>
        <v>CUST#BASCPT3/BASE/PCT#3</v>
      </c>
      <c r="H340" s="2">
        <v>1209.17</v>
      </c>
      <c r="I340" t="str">
        <f>"CUST#BASCPT3/BASE/PCT#3"</f>
        <v>CUST#BASCPT3/BASE/PCT#3</v>
      </c>
    </row>
    <row r="341" spans="1:9" x14ac:dyDescent="0.3">
      <c r="A341" t="str">
        <f>"CENTEX"</f>
        <v>CENTEX</v>
      </c>
      <c r="B341" t="s">
        <v>96</v>
      </c>
      <c r="C341">
        <v>69940</v>
      </c>
      <c r="D341" s="2">
        <v>13393.29</v>
      </c>
      <c r="E341" s="1">
        <v>42849</v>
      </c>
      <c r="F341" t="str">
        <f>"30116661"</f>
        <v>30116661</v>
      </c>
      <c r="G341" t="str">
        <f>"CUST#BASPCT3/BASE/PCT#3"</f>
        <v>CUST#BASPCT3/BASE/PCT#3</v>
      </c>
      <c r="H341" s="2">
        <v>2408.2800000000002</v>
      </c>
      <c r="I341" t="str">
        <f>"CUST#BASPCT3/BASE/PCT#3"</f>
        <v>CUST#BASPCT3/BASE/PCT#3</v>
      </c>
    </row>
    <row r="342" spans="1:9" x14ac:dyDescent="0.3">
      <c r="A342" t="str">
        <f>""</f>
        <v/>
      </c>
      <c r="F342" t="str">
        <f>"30117062"</f>
        <v>30117062</v>
      </c>
      <c r="G342" t="str">
        <f>"CUST#BASPCT#3/BASE/PCT#3"</f>
        <v>CUST#BASPCT#3/BASE/PCT#3</v>
      </c>
      <c r="H342" s="2">
        <v>595</v>
      </c>
      <c r="I342" t="str">
        <f>"CUST#BASPCT#3/BASE/PCT#3"</f>
        <v>CUST#BASPCT#3/BASE/PCT#3</v>
      </c>
    </row>
    <row r="343" spans="1:9" x14ac:dyDescent="0.3">
      <c r="A343" t="str">
        <f>""</f>
        <v/>
      </c>
      <c r="F343" t="str">
        <f>"30117110"</f>
        <v>30117110</v>
      </c>
      <c r="G343" t="str">
        <f t="shared" ref="G343:G349" si="1">"CUST#BASPCT3/BASE/PCT#3"</f>
        <v>CUST#BASPCT3/BASE/PCT#3</v>
      </c>
      <c r="H343" s="2">
        <v>797.48</v>
      </c>
      <c r="I343" t="str">
        <f t="shared" ref="I343:I349" si="2">"CUST#BASPCT3/BASE/PCT#3"</f>
        <v>CUST#BASPCT3/BASE/PCT#3</v>
      </c>
    </row>
    <row r="344" spans="1:9" x14ac:dyDescent="0.3">
      <c r="A344" t="str">
        <f>""</f>
        <v/>
      </c>
      <c r="F344" t="str">
        <f>"30117152"</f>
        <v>30117152</v>
      </c>
      <c r="G344" t="str">
        <f t="shared" si="1"/>
        <v>CUST#BASPCT3/BASE/PCT#3</v>
      </c>
      <c r="H344" s="2">
        <v>809.72</v>
      </c>
      <c r="I344" t="str">
        <f t="shared" si="2"/>
        <v>CUST#BASPCT3/BASE/PCT#3</v>
      </c>
    </row>
    <row r="345" spans="1:9" x14ac:dyDescent="0.3">
      <c r="A345" t="str">
        <f>""</f>
        <v/>
      </c>
      <c r="F345" t="str">
        <f>"30117184"</f>
        <v>30117184</v>
      </c>
      <c r="G345" t="str">
        <f t="shared" si="1"/>
        <v>CUST#BASPCT3/BASE/PCT#3</v>
      </c>
      <c r="H345" s="2">
        <v>1956.35</v>
      </c>
      <c r="I345" t="str">
        <f t="shared" si="2"/>
        <v>CUST#BASPCT3/BASE/PCT#3</v>
      </c>
    </row>
    <row r="346" spans="1:9" x14ac:dyDescent="0.3">
      <c r="A346" t="str">
        <f>""</f>
        <v/>
      </c>
      <c r="F346" t="str">
        <f>"30117343"</f>
        <v>30117343</v>
      </c>
      <c r="G346" t="str">
        <f t="shared" si="1"/>
        <v>CUST#BASPCT3/BASE/PCT#3</v>
      </c>
      <c r="H346" s="2">
        <v>2006.83</v>
      </c>
      <c r="I346" t="str">
        <f t="shared" si="2"/>
        <v>CUST#BASPCT3/BASE/PCT#3</v>
      </c>
    </row>
    <row r="347" spans="1:9" x14ac:dyDescent="0.3">
      <c r="A347" t="str">
        <f>""</f>
        <v/>
      </c>
      <c r="F347" t="str">
        <f>"30117386"</f>
        <v>30117386</v>
      </c>
      <c r="G347" t="str">
        <f t="shared" si="1"/>
        <v>CUST#BASPCT3/BASE/PCT#3</v>
      </c>
      <c r="H347" s="2">
        <v>1820.45</v>
      </c>
      <c r="I347" t="str">
        <f t="shared" si="2"/>
        <v>CUST#BASPCT3/BASE/PCT#3</v>
      </c>
    </row>
    <row r="348" spans="1:9" x14ac:dyDescent="0.3">
      <c r="A348" t="str">
        <f>""</f>
        <v/>
      </c>
      <c r="F348" t="str">
        <f>"30117462"</f>
        <v>30117462</v>
      </c>
      <c r="G348" t="str">
        <f t="shared" si="1"/>
        <v>CUST#BASPCT3/BASE/PCT#3</v>
      </c>
      <c r="H348" s="2">
        <v>1595.41</v>
      </c>
      <c r="I348" t="str">
        <f t="shared" si="2"/>
        <v>CUST#BASPCT3/BASE/PCT#3</v>
      </c>
    </row>
    <row r="349" spans="1:9" x14ac:dyDescent="0.3">
      <c r="A349" t="str">
        <f>""</f>
        <v/>
      </c>
      <c r="F349" t="str">
        <f>"30117487"</f>
        <v>30117487</v>
      </c>
      <c r="G349" t="str">
        <f t="shared" si="1"/>
        <v>CUST#BASPCT3/BASE/PCT#3</v>
      </c>
      <c r="H349" s="2">
        <v>1403.77</v>
      </c>
      <c r="I349" t="str">
        <f t="shared" si="2"/>
        <v>CUST#BASPCT3/BASE/PCT#3</v>
      </c>
    </row>
    <row r="350" spans="1:9" x14ac:dyDescent="0.3">
      <c r="A350" t="str">
        <f>"003739"</f>
        <v>003739</v>
      </c>
      <c r="B350" t="s">
        <v>97</v>
      </c>
      <c r="C350">
        <v>69573</v>
      </c>
      <c r="D350" s="2">
        <v>933.14</v>
      </c>
      <c r="E350" s="1">
        <v>42835</v>
      </c>
      <c r="F350" t="str">
        <f>"0000042433"</f>
        <v>0000042433</v>
      </c>
      <c r="G350" t="str">
        <f>"Invoice 0000042433"</f>
        <v>Invoice 0000042433</v>
      </c>
      <c r="H350" s="2">
        <v>933.14</v>
      </c>
      <c r="I350" t="str">
        <f>"Invoice 0000042433"</f>
        <v>Invoice 0000042433</v>
      </c>
    </row>
    <row r="351" spans="1:9" x14ac:dyDescent="0.3">
      <c r="A351" t="str">
        <f>"003739"</f>
        <v>003739</v>
      </c>
      <c r="B351" t="s">
        <v>97</v>
      </c>
      <c r="C351">
        <v>69878</v>
      </c>
      <c r="D351" s="2">
        <v>385</v>
      </c>
      <c r="E351" s="1">
        <v>42849</v>
      </c>
      <c r="F351" t="str">
        <f>"201704201401"</f>
        <v>201704201401</v>
      </c>
      <c r="G351" t="str">
        <f>"INV# 42226 &amp; 42745"</f>
        <v>INV# 42226 &amp; 42745</v>
      </c>
      <c r="H351" s="2">
        <v>385</v>
      </c>
      <c r="I351" t="str">
        <f>"Payment"</f>
        <v>Payment</v>
      </c>
    </row>
    <row r="352" spans="1:9" x14ac:dyDescent="0.3">
      <c r="A352" t="str">
        <f>""</f>
        <v/>
      </c>
      <c r="F352" t="str">
        <f>""</f>
        <v/>
      </c>
      <c r="G352" t="str">
        <f>""</f>
        <v/>
      </c>
      <c r="I352" t="str">
        <f>"Payment"</f>
        <v>Payment</v>
      </c>
    </row>
    <row r="353" spans="1:9" x14ac:dyDescent="0.3">
      <c r="A353" t="str">
        <f>"002795"</f>
        <v>002795</v>
      </c>
      <c r="B353" t="s">
        <v>98</v>
      </c>
      <c r="C353">
        <v>69853</v>
      </c>
      <c r="D353" s="2">
        <v>4200</v>
      </c>
      <c r="E353" s="1">
        <v>42849</v>
      </c>
      <c r="F353" t="str">
        <f>"11651"</f>
        <v>11651</v>
      </c>
      <c r="G353" t="str">
        <f>"CTA:654-16 L D.JENSBY"</f>
        <v>CTA:654-16 L D.JENSBY</v>
      </c>
      <c r="H353" s="2">
        <v>2100</v>
      </c>
      <c r="I353" t="str">
        <f>"CTA:654-16 L D.JENSBY"</f>
        <v>CTA:654-16 L D.JENSBY</v>
      </c>
    </row>
    <row r="354" spans="1:9" x14ac:dyDescent="0.3">
      <c r="A354" t="str">
        <f>""</f>
        <v/>
      </c>
      <c r="F354" t="str">
        <f>"11659"</f>
        <v>11659</v>
      </c>
      <c r="G354" t="str">
        <f>"CTA 10417/L JACKSON-KIRBY"</f>
        <v>CTA 10417/L JACKSON-KIRBY</v>
      </c>
      <c r="H354" s="2">
        <v>2100</v>
      </c>
      <c r="I354" t="str">
        <f>"CTA 10417/L JACKSON-KIRBY"</f>
        <v>CTA 10417/L JACKSON-KIRBY</v>
      </c>
    </row>
    <row r="355" spans="1:9" x14ac:dyDescent="0.3">
      <c r="A355" t="str">
        <f>"005008"</f>
        <v>005008</v>
      </c>
      <c r="B355" t="s">
        <v>99</v>
      </c>
      <c r="C355">
        <v>69574</v>
      </c>
      <c r="D355" s="2">
        <v>85</v>
      </c>
      <c r="E355" s="1">
        <v>42835</v>
      </c>
      <c r="F355" t="str">
        <f>"201704050626"</f>
        <v>201704050626</v>
      </c>
      <c r="G355" t="str">
        <f>"PER DIEM"</f>
        <v>PER DIEM</v>
      </c>
      <c r="H355" s="2">
        <v>85</v>
      </c>
      <c r="I355" t="str">
        <f>"PER DIEM"</f>
        <v>PER DIEM</v>
      </c>
    </row>
    <row r="356" spans="1:9" x14ac:dyDescent="0.3">
      <c r="A356" t="str">
        <f>"004648"</f>
        <v>004648</v>
      </c>
      <c r="B356" t="s">
        <v>100</v>
      </c>
      <c r="C356">
        <v>69575</v>
      </c>
      <c r="D356" s="2">
        <v>467.5</v>
      </c>
      <c r="E356" s="1">
        <v>42835</v>
      </c>
      <c r="F356" t="str">
        <f>"201704061114"</f>
        <v>201704061114</v>
      </c>
      <c r="G356" t="str">
        <f>"17-18250"</f>
        <v>17-18250</v>
      </c>
      <c r="H356" s="2">
        <v>100</v>
      </c>
      <c r="I356" t="str">
        <f>"17-18250"</f>
        <v>17-18250</v>
      </c>
    </row>
    <row r="357" spans="1:9" x14ac:dyDescent="0.3">
      <c r="A357" t="str">
        <f>""</f>
        <v/>
      </c>
      <c r="F357" t="str">
        <f>"201704061115"</f>
        <v>201704061115</v>
      </c>
      <c r="G357" t="str">
        <f>"15-17513"</f>
        <v>15-17513</v>
      </c>
      <c r="H357" s="2">
        <v>230</v>
      </c>
      <c r="I357" t="str">
        <f>"15-17513"</f>
        <v>15-17513</v>
      </c>
    </row>
    <row r="358" spans="1:9" x14ac:dyDescent="0.3">
      <c r="A358" t="str">
        <f>""</f>
        <v/>
      </c>
      <c r="F358" t="str">
        <f>"201704061116"</f>
        <v>201704061116</v>
      </c>
      <c r="G358" t="str">
        <f>"17-18119"</f>
        <v>17-18119</v>
      </c>
      <c r="H358" s="2">
        <v>37.5</v>
      </c>
      <c r="I358" t="str">
        <f>"17-18119"</f>
        <v>17-18119</v>
      </c>
    </row>
    <row r="359" spans="1:9" x14ac:dyDescent="0.3">
      <c r="A359" t="str">
        <f>""</f>
        <v/>
      </c>
      <c r="F359" t="str">
        <f>"201704061117"</f>
        <v>201704061117</v>
      </c>
      <c r="G359" t="str">
        <f>"17-8229"</f>
        <v>17-8229</v>
      </c>
      <c r="H359" s="2">
        <v>100</v>
      </c>
      <c r="I359" t="str">
        <f>"17-8229"</f>
        <v>17-8229</v>
      </c>
    </row>
    <row r="360" spans="1:9" x14ac:dyDescent="0.3">
      <c r="A360" t="str">
        <f>"004648"</f>
        <v>004648</v>
      </c>
      <c r="B360" t="s">
        <v>100</v>
      </c>
      <c r="C360">
        <v>69904</v>
      </c>
      <c r="D360" s="2">
        <v>100</v>
      </c>
      <c r="E360" s="1">
        <v>42849</v>
      </c>
      <c r="F360" t="str">
        <f>"201704201465"</f>
        <v>201704201465</v>
      </c>
      <c r="G360" t="str">
        <f>"16-17819"</f>
        <v>16-17819</v>
      </c>
      <c r="H360" s="2">
        <v>100</v>
      </c>
      <c r="I360" t="str">
        <f>"16-17819"</f>
        <v>16-17819</v>
      </c>
    </row>
    <row r="361" spans="1:9" x14ac:dyDescent="0.3">
      <c r="A361" t="str">
        <f>"T11408"</f>
        <v>T11408</v>
      </c>
      <c r="B361" t="s">
        <v>101</v>
      </c>
      <c r="C361">
        <v>69576</v>
      </c>
      <c r="D361" s="2">
        <v>45</v>
      </c>
      <c r="E361" s="1">
        <v>42835</v>
      </c>
      <c r="F361" t="str">
        <f>"201704060757"</f>
        <v>201704060757</v>
      </c>
      <c r="G361" t="str">
        <f>"FERAL HOGS"</f>
        <v>FERAL HOGS</v>
      </c>
      <c r="H361" s="2">
        <v>45</v>
      </c>
      <c r="I361" t="str">
        <f>"FERAL HOGS"</f>
        <v>FERAL HOGS</v>
      </c>
    </row>
    <row r="362" spans="1:9" x14ac:dyDescent="0.3">
      <c r="A362" t="str">
        <f>"T11831"</f>
        <v>T11831</v>
      </c>
      <c r="B362" t="s">
        <v>102</v>
      </c>
      <c r="C362">
        <v>69577</v>
      </c>
      <c r="D362" s="2">
        <v>560.04</v>
      </c>
      <c r="E362" s="1">
        <v>42835</v>
      </c>
      <c r="F362" t="str">
        <f>"0138192"</f>
        <v>0138192</v>
      </c>
      <c r="G362" t="str">
        <f>"BATH TOWELS 0138192-IN"</f>
        <v>BATH TOWELS 0138192-IN</v>
      </c>
      <c r="H362" s="2">
        <v>560.04</v>
      </c>
      <c r="I362" t="str">
        <f>"BATH TOWELS 0138192-IN"</f>
        <v>BATH TOWELS 0138192-IN</v>
      </c>
    </row>
    <row r="363" spans="1:9" x14ac:dyDescent="0.3">
      <c r="A363" t="str">
        <f>"T7886"</f>
        <v>T7886</v>
      </c>
      <c r="B363" t="s">
        <v>103</v>
      </c>
      <c r="C363">
        <v>70037</v>
      </c>
      <c r="D363" s="2">
        <v>240</v>
      </c>
      <c r="E363" s="1">
        <v>42849</v>
      </c>
      <c r="F363" t="str">
        <f>"000065"</f>
        <v>000065</v>
      </c>
      <c r="G363" t="str">
        <f>"SUPPLIES"</f>
        <v>SUPPLIES</v>
      </c>
      <c r="H363" s="2">
        <v>240</v>
      </c>
      <c r="I363" t="str">
        <f>"SUPPLIES"</f>
        <v>SUPPLIES</v>
      </c>
    </row>
    <row r="364" spans="1:9" x14ac:dyDescent="0.3">
      <c r="A364" t="str">
        <f>"T9145"</f>
        <v>T9145</v>
      </c>
      <c r="B364" t="s">
        <v>104</v>
      </c>
      <c r="C364">
        <v>69578</v>
      </c>
      <c r="D364" s="2">
        <v>2150</v>
      </c>
      <c r="E364" s="1">
        <v>42835</v>
      </c>
      <c r="F364" t="str">
        <f>"201704050639"</f>
        <v>201704050639</v>
      </c>
      <c r="G364" t="str">
        <f>"16082 02-0916-2"</f>
        <v>16082 02-0916-2</v>
      </c>
      <c r="H364" s="2">
        <v>600</v>
      </c>
      <c r="I364" t="str">
        <f>"16082 02-0916-2"</f>
        <v>16082 02-0916-2</v>
      </c>
    </row>
    <row r="365" spans="1:9" x14ac:dyDescent="0.3">
      <c r="A365" t="str">
        <f>""</f>
        <v/>
      </c>
      <c r="F365" t="str">
        <f>"201704050640"</f>
        <v>201704050640</v>
      </c>
      <c r="G365" t="str">
        <f>"13264"</f>
        <v>13264</v>
      </c>
      <c r="H365" s="2">
        <v>400</v>
      </c>
      <c r="I365" t="str">
        <f>"13264"</f>
        <v>13264</v>
      </c>
    </row>
    <row r="366" spans="1:9" x14ac:dyDescent="0.3">
      <c r="A366" t="str">
        <f>""</f>
        <v/>
      </c>
      <c r="F366" t="str">
        <f>"201704050641"</f>
        <v>201704050641</v>
      </c>
      <c r="G366" t="str">
        <f>"16183 16156 C160012"</f>
        <v>16183 16156 C160012</v>
      </c>
      <c r="H366" s="2">
        <v>800</v>
      </c>
      <c r="I366" t="str">
        <f>"16183 16156 C160012"</f>
        <v>16183 16156 C160012</v>
      </c>
    </row>
    <row r="367" spans="1:9" x14ac:dyDescent="0.3">
      <c r="A367" t="str">
        <f>""</f>
        <v/>
      </c>
      <c r="F367" t="str">
        <f>"201704061112"</f>
        <v>201704061112</v>
      </c>
      <c r="G367" t="str">
        <f>"16-17784"</f>
        <v>16-17784</v>
      </c>
      <c r="H367" s="2">
        <v>100</v>
      </c>
      <c r="I367" t="str">
        <f>"16-17784"</f>
        <v>16-17784</v>
      </c>
    </row>
    <row r="368" spans="1:9" x14ac:dyDescent="0.3">
      <c r="A368" t="str">
        <f>""</f>
        <v/>
      </c>
      <c r="F368" t="str">
        <f>"201704061113"</f>
        <v>201704061113</v>
      </c>
      <c r="G368" t="str">
        <f>"J-3065"</f>
        <v>J-3065</v>
      </c>
      <c r="H368" s="2">
        <v>250</v>
      </c>
      <c r="I368" t="str">
        <f>"J-3065"</f>
        <v>J-3065</v>
      </c>
    </row>
    <row r="369" spans="1:9" x14ac:dyDescent="0.3">
      <c r="A369" t="str">
        <f>"T9145"</f>
        <v>T9145</v>
      </c>
      <c r="B369" t="s">
        <v>104</v>
      </c>
      <c r="C369">
        <v>70042</v>
      </c>
      <c r="D369" s="2">
        <v>3750</v>
      </c>
      <c r="E369" s="1">
        <v>42849</v>
      </c>
      <c r="F369" t="str">
        <f>"201704201467"</f>
        <v>201704201467</v>
      </c>
      <c r="G369" t="str">
        <f>"301172017D"</f>
        <v>301172017D</v>
      </c>
      <c r="H369" s="2">
        <v>250</v>
      </c>
      <c r="I369" t="str">
        <f>"301172017D"</f>
        <v>301172017D</v>
      </c>
    </row>
    <row r="370" spans="1:9" x14ac:dyDescent="0.3">
      <c r="A370" t="str">
        <f>""</f>
        <v/>
      </c>
      <c r="F370" t="str">
        <f>"201704201468"</f>
        <v>201704201468</v>
      </c>
      <c r="G370" t="str">
        <f>"16-18018"</f>
        <v>16-18018</v>
      </c>
      <c r="H370" s="2">
        <v>100</v>
      </c>
      <c r="I370" t="str">
        <f>"16-18018"</f>
        <v>16-18018</v>
      </c>
    </row>
    <row r="371" spans="1:9" x14ac:dyDescent="0.3">
      <c r="A371" t="str">
        <f>""</f>
        <v/>
      </c>
      <c r="F371" t="str">
        <f>"201704201469"</f>
        <v>201704201469</v>
      </c>
      <c r="G371" t="str">
        <f>"16.081"</f>
        <v>16.081</v>
      </c>
      <c r="H371" s="2">
        <v>400</v>
      </c>
      <c r="I371" t="str">
        <f>"16.081"</f>
        <v>16.081</v>
      </c>
    </row>
    <row r="372" spans="1:9" x14ac:dyDescent="0.3">
      <c r="A372" t="str">
        <f>""</f>
        <v/>
      </c>
      <c r="F372" t="str">
        <f>"201704201470"</f>
        <v>201704201470</v>
      </c>
      <c r="G372" t="str">
        <f>"15P62816A"</f>
        <v>15P62816A</v>
      </c>
      <c r="H372" s="2">
        <v>400</v>
      </c>
      <c r="I372" t="str">
        <f>"15P62816A"</f>
        <v>15P62816A</v>
      </c>
    </row>
    <row r="373" spans="1:9" x14ac:dyDescent="0.3">
      <c r="A373" t="str">
        <f>""</f>
        <v/>
      </c>
      <c r="F373" t="str">
        <f>"201704201471"</f>
        <v>201704201471</v>
      </c>
      <c r="G373" t="str">
        <f>"301172017A B C E"</f>
        <v>301172017A B C E</v>
      </c>
      <c r="H373" s="2">
        <v>1000</v>
      </c>
      <c r="I373" t="str">
        <f>"301172017A B C E"</f>
        <v>301172017A B C E</v>
      </c>
    </row>
    <row r="374" spans="1:9" x14ac:dyDescent="0.3">
      <c r="A374" t="str">
        <f>""</f>
        <v/>
      </c>
      <c r="F374" t="str">
        <f>"201704201472"</f>
        <v>201704201472</v>
      </c>
      <c r="G374" t="str">
        <f>"14.904"</f>
        <v>14.904</v>
      </c>
      <c r="H374" s="2">
        <v>400</v>
      </c>
      <c r="I374" t="str">
        <f>"14.904"</f>
        <v>14.904</v>
      </c>
    </row>
    <row r="375" spans="1:9" x14ac:dyDescent="0.3">
      <c r="A375" t="str">
        <f>""</f>
        <v/>
      </c>
      <c r="F375" t="str">
        <f>"201704201473"</f>
        <v>201704201473</v>
      </c>
      <c r="G375" t="str">
        <f>"14427"</f>
        <v>14427</v>
      </c>
      <c r="H375" s="2">
        <v>400</v>
      </c>
      <c r="I375" t="str">
        <f>"14427"</f>
        <v>14427</v>
      </c>
    </row>
    <row r="376" spans="1:9" x14ac:dyDescent="0.3">
      <c r="A376" t="str">
        <f>""</f>
        <v/>
      </c>
      <c r="F376" t="str">
        <f>"201704201474"</f>
        <v>201704201474</v>
      </c>
      <c r="G376" t="str">
        <f>"15.112"</f>
        <v>15.112</v>
      </c>
      <c r="H376" s="2">
        <v>400</v>
      </c>
      <c r="I376" t="str">
        <f>"15.112"</f>
        <v>15.112</v>
      </c>
    </row>
    <row r="377" spans="1:9" x14ac:dyDescent="0.3">
      <c r="A377" t="str">
        <f>""</f>
        <v/>
      </c>
      <c r="F377" t="str">
        <f>"201704201475"</f>
        <v>201704201475</v>
      </c>
      <c r="G377" t="str">
        <f>"15.835"</f>
        <v>15.835</v>
      </c>
      <c r="H377" s="2">
        <v>400</v>
      </c>
      <c r="I377" t="str">
        <f>"15.835"</f>
        <v>15.835</v>
      </c>
    </row>
    <row r="378" spans="1:9" x14ac:dyDescent="0.3">
      <c r="A378" t="str">
        <f>"T14090"</f>
        <v>T14090</v>
      </c>
      <c r="B378" t="s">
        <v>105</v>
      </c>
      <c r="C378">
        <v>69579</v>
      </c>
      <c r="D378" s="2">
        <v>25.74</v>
      </c>
      <c r="E378" s="1">
        <v>42835</v>
      </c>
      <c r="F378" t="str">
        <f>"201704060721"</f>
        <v>201704060721</v>
      </c>
      <c r="G378" t="str">
        <f>"REIMB-COFFEE"</f>
        <v>REIMB-COFFEE</v>
      </c>
      <c r="H378" s="2">
        <v>25.74</v>
      </c>
      <c r="I378" t="str">
        <f>"REIMB-COFFEE"</f>
        <v>REIMB-COFFEE</v>
      </c>
    </row>
    <row r="379" spans="1:9" x14ac:dyDescent="0.3">
      <c r="A379" t="str">
        <f>"T11789"</f>
        <v>T11789</v>
      </c>
      <c r="B379" t="s">
        <v>106</v>
      </c>
      <c r="C379">
        <v>69580</v>
      </c>
      <c r="D379" s="2">
        <v>22.14</v>
      </c>
      <c r="E379" s="1">
        <v>42835</v>
      </c>
      <c r="F379" t="str">
        <f>"201704060732"</f>
        <v>201704060732</v>
      </c>
      <c r="G379" t="str">
        <f>"INDIGENT HEALTH"</f>
        <v>INDIGENT HEALTH</v>
      </c>
      <c r="H379" s="2">
        <v>22.14</v>
      </c>
      <c r="I379" t="str">
        <f>"INDIGENT HEALTH"</f>
        <v>INDIGENT HEALTH</v>
      </c>
    </row>
    <row r="380" spans="1:9" x14ac:dyDescent="0.3">
      <c r="A380" t="str">
        <f>"004228"</f>
        <v>004228</v>
      </c>
      <c r="B380" t="s">
        <v>107</v>
      </c>
      <c r="C380">
        <v>69766</v>
      </c>
      <c r="D380" s="2">
        <v>195</v>
      </c>
      <c r="E380" s="1">
        <v>42842</v>
      </c>
      <c r="F380" t="str">
        <f>"201704171215"</f>
        <v>201704171215</v>
      </c>
      <c r="G380" t="str">
        <f>"TRAVEL ADVANCE-CINDYE WOLFORD"</f>
        <v>TRAVEL ADVANCE-CINDYE WOLFORD</v>
      </c>
      <c r="H380" s="2">
        <v>195</v>
      </c>
      <c r="I380" t="str">
        <f>"TRAVEL ADVANCE-CINDYE WOLFORD"</f>
        <v>TRAVEL ADVANCE-CINDYE WOLFORD</v>
      </c>
    </row>
    <row r="381" spans="1:9" x14ac:dyDescent="0.3">
      <c r="A381" t="str">
        <f>"004228"</f>
        <v>004228</v>
      </c>
      <c r="B381" t="s">
        <v>107</v>
      </c>
      <c r="C381">
        <v>69892</v>
      </c>
      <c r="D381" s="2">
        <v>186.38</v>
      </c>
      <c r="E381" s="1">
        <v>42849</v>
      </c>
      <c r="F381" t="str">
        <f>"201704181314"</f>
        <v>201704181314</v>
      </c>
      <c r="G381" t="str">
        <f>"REIMB-TRAINING"</f>
        <v>REIMB-TRAINING</v>
      </c>
      <c r="H381" s="2">
        <v>43</v>
      </c>
      <c r="I381" t="str">
        <f>"REIMB-TRAINING"</f>
        <v>REIMB-TRAINING</v>
      </c>
    </row>
    <row r="382" spans="1:9" x14ac:dyDescent="0.3">
      <c r="A382" t="str">
        <f>""</f>
        <v/>
      </c>
      <c r="F382" t="str">
        <f>"201704181315"</f>
        <v>201704181315</v>
      </c>
      <c r="G382" t="str">
        <f>"REIMB-MILEAGE"</f>
        <v>REIMB-MILEAGE</v>
      </c>
      <c r="H382" s="2">
        <v>143.38</v>
      </c>
      <c r="I382" t="str">
        <f>"REIMB-MILEAGE"</f>
        <v>REIMB-MILEAGE</v>
      </c>
    </row>
    <row r="383" spans="1:9" x14ac:dyDescent="0.3">
      <c r="A383" t="str">
        <f>"CINTAS"</f>
        <v>CINTAS</v>
      </c>
      <c r="B383" t="s">
        <v>108</v>
      </c>
      <c r="C383">
        <v>69581</v>
      </c>
      <c r="D383" s="2">
        <v>50.26</v>
      </c>
      <c r="E383" s="1">
        <v>42835</v>
      </c>
      <c r="F383" t="str">
        <f>"8403110184"</f>
        <v>8403110184</v>
      </c>
      <c r="G383" t="str">
        <f>"CUST#10342486/PCT#2"</f>
        <v>CUST#10342486/PCT#2</v>
      </c>
      <c r="H383" s="2">
        <v>50.26</v>
      </c>
      <c r="I383" t="str">
        <f>"CUST#10342486/PCT#2"</f>
        <v>CUST#10342486/PCT#2</v>
      </c>
    </row>
    <row r="384" spans="1:9" x14ac:dyDescent="0.3">
      <c r="A384" t="str">
        <f>"CINTAS"</f>
        <v>CINTAS</v>
      </c>
      <c r="B384" t="s">
        <v>108</v>
      </c>
      <c r="C384">
        <v>69941</v>
      </c>
      <c r="D384" s="2">
        <v>262.20999999999998</v>
      </c>
      <c r="E384" s="1">
        <v>42849</v>
      </c>
      <c r="F384" t="str">
        <f>"5007350263"</f>
        <v>5007350263</v>
      </c>
      <c r="G384" t="str">
        <f>"CUST#11167190/PCT#1"</f>
        <v>CUST#11167190/PCT#1</v>
      </c>
      <c r="H384" s="2">
        <v>22.03</v>
      </c>
      <c r="I384" t="str">
        <f>"CUST#11167190/PCT#1"</f>
        <v>CUST#11167190/PCT#1</v>
      </c>
    </row>
    <row r="385" spans="1:9" x14ac:dyDescent="0.3">
      <c r="A385" t="str">
        <f>""</f>
        <v/>
      </c>
      <c r="F385" t="str">
        <f>"5007592204"</f>
        <v>5007592204</v>
      </c>
      <c r="G385" t="str">
        <f>"CUST#011167190/PCT#1"</f>
        <v>CUST#011167190/PCT#1</v>
      </c>
      <c r="H385" s="2">
        <v>50.37</v>
      </c>
      <c r="I385" t="str">
        <f>"CUST#011167190/PCT#1"</f>
        <v>CUST#011167190/PCT#1</v>
      </c>
    </row>
    <row r="386" spans="1:9" x14ac:dyDescent="0.3">
      <c r="A386" t="str">
        <f>""</f>
        <v/>
      </c>
      <c r="F386" t="str">
        <f>"8403127829"</f>
        <v>8403127829</v>
      </c>
      <c r="G386" t="str">
        <f>"CUST#10342487/PCT#3"</f>
        <v>CUST#10342487/PCT#3</v>
      </c>
      <c r="H386" s="2">
        <v>189.81</v>
      </c>
      <c r="I386" t="str">
        <f>"CUST#10342487/PCT#3"</f>
        <v>CUST#10342487/PCT#3</v>
      </c>
    </row>
    <row r="387" spans="1:9" x14ac:dyDescent="0.3">
      <c r="A387" t="str">
        <f>"004728"</f>
        <v>004728</v>
      </c>
      <c r="B387" t="s">
        <v>109</v>
      </c>
      <c r="C387">
        <v>69910</v>
      </c>
      <c r="D387" s="2">
        <v>1252.96</v>
      </c>
      <c r="E387" s="1">
        <v>42849</v>
      </c>
      <c r="F387" t="str">
        <f>"86488500/86512961"</f>
        <v>86488500/86512961</v>
      </c>
      <c r="G387" t="str">
        <f>"ACCT#086-11381/GS"</f>
        <v>ACCT#086-11381/GS</v>
      </c>
      <c r="H387" s="2">
        <v>1252.96</v>
      </c>
      <c r="I387" t="str">
        <f>"ACCT#086-11381/GS"</f>
        <v>ACCT#086-11381/GS</v>
      </c>
    </row>
    <row r="388" spans="1:9" x14ac:dyDescent="0.3">
      <c r="A388" t="str">
        <f>"BCO"</f>
        <v>BCO</v>
      </c>
      <c r="B388" t="s">
        <v>110</v>
      </c>
      <c r="C388">
        <v>69582</v>
      </c>
      <c r="D388" s="2">
        <v>42178.05</v>
      </c>
      <c r="E388" s="1">
        <v>42835</v>
      </c>
      <c r="F388" t="str">
        <f>"201704060738"</f>
        <v>201704060738</v>
      </c>
      <c r="G388" t="str">
        <f>"UTILITES"</f>
        <v>UTILITES</v>
      </c>
      <c r="H388" s="2">
        <v>25851.24</v>
      </c>
      <c r="I388" t="str">
        <f>"UTILITES"</f>
        <v>UTILITES</v>
      </c>
    </row>
    <row r="389" spans="1:9" x14ac:dyDescent="0.3">
      <c r="A389" t="str">
        <f>""</f>
        <v/>
      </c>
      <c r="F389" t="str">
        <f>"201704060739"</f>
        <v>201704060739</v>
      </c>
      <c r="G389" t="str">
        <f>"UTILITES"</f>
        <v>UTILITES</v>
      </c>
      <c r="H389" s="2">
        <v>2685.77</v>
      </c>
      <c r="I389" t="str">
        <f>"UTILITES"</f>
        <v>UTILITES</v>
      </c>
    </row>
    <row r="390" spans="1:9" x14ac:dyDescent="0.3">
      <c r="A390" t="str">
        <f>""</f>
        <v/>
      </c>
      <c r="F390" t="str">
        <f>"201704060740"</f>
        <v>201704060740</v>
      </c>
      <c r="G390" t="str">
        <f>"UTILTIES"</f>
        <v>UTILTIES</v>
      </c>
      <c r="H390" s="2">
        <v>13641.04</v>
      </c>
      <c r="I390" t="str">
        <f>"UTILTIES"</f>
        <v>UTILTIES</v>
      </c>
    </row>
    <row r="391" spans="1:9" x14ac:dyDescent="0.3">
      <c r="A391" t="str">
        <f>"BCO"</f>
        <v>BCO</v>
      </c>
      <c r="B391" t="s">
        <v>110</v>
      </c>
      <c r="C391">
        <v>69936</v>
      </c>
      <c r="D391" s="2">
        <v>53.19</v>
      </c>
      <c r="E391" s="1">
        <v>42849</v>
      </c>
      <c r="F391" t="str">
        <f>"201704191349"</f>
        <v>201704191349</v>
      </c>
      <c r="G391" t="str">
        <f>"ARREST FEES/OCT-DEC'16"</f>
        <v>ARREST FEES/OCT-DEC'16</v>
      </c>
      <c r="H391" s="2">
        <v>53.19</v>
      </c>
      <c r="I391" t="str">
        <f>"ARREST FEES/OCT-DEC'16"</f>
        <v>ARREST FEES/OCT-DEC'16</v>
      </c>
    </row>
    <row r="392" spans="1:9" x14ac:dyDescent="0.3">
      <c r="A392" t="str">
        <f>"COB"</f>
        <v>COB</v>
      </c>
      <c r="B392" t="s">
        <v>110</v>
      </c>
      <c r="C392">
        <v>69943</v>
      </c>
      <c r="D392" s="2">
        <v>500</v>
      </c>
      <c r="E392" s="1">
        <v>42849</v>
      </c>
      <c r="F392" t="str">
        <f>"201704191342"</f>
        <v>201704191342</v>
      </c>
      <c r="G392" t="str">
        <f>"RENTAL-PARKING LOT"</f>
        <v>RENTAL-PARKING LOT</v>
      </c>
      <c r="H392" s="2">
        <v>500</v>
      </c>
      <c r="I392" t="str">
        <f>"RENTAL-PARKING LOT"</f>
        <v>RENTAL-PARKING LOT</v>
      </c>
    </row>
    <row r="393" spans="1:9" x14ac:dyDescent="0.3">
      <c r="A393" t="str">
        <f>"ECO"</f>
        <v>ECO</v>
      </c>
      <c r="B393" t="s">
        <v>111</v>
      </c>
      <c r="C393">
        <v>69583</v>
      </c>
      <c r="D393" s="2">
        <v>959.29</v>
      </c>
      <c r="E393" s="1">
        <v>42835</v>
      </c>
      <c r="F393" t="str">
        <f>"201704060712"</f>
        <v>201704060712</v>
      </c>
      <c r="G393" t="str">
        <f>"ACCT#007-0008410-002/CNTY DHS"</f>
        <v>ACCT#007-0008410-002/CNTY DHS</v>
      </c>
      <c r="H393" s="2">
        <v>89.34</v>
      </c>
      <c r="I393" t="str">
        <f>"ACCT#007-0008410-002/CNTY DHS"</f>
        <v>ACCT#007-0008410-002/CNTY DHS</v>
      </c>
    </row>
    <row r="394" spans="1:9" x14ac:dyDescent="0.3">
      <c r="A394" t="str">
        <f>""</f>
        <v/>
      </c>
      <c r="F394" t="str">
        <f>"201704060713"</f>
        <v>201704060713</v>
      </c>
      <c r="G394" t="str">
        <f>"ACCT#007-0011530-000/ANNEX"</f>
        <v>ACCT#007-0011530-000/ANNEX</v>
      </c>
      <c r="H394" s="2">
        <v>77.09</v>
      </c>
      <c r="I394" t="str">
        <f>"ACCT#007-0011530-000/ANNEX"</f>
        <v>ACCT#007-0011530-000/ANNEX</v>
      </c>
    </row>
    <row r="395" spans="1:9" x14ac:dyDescent="0.3">
      <c r="A395" t="str">
        <f>""</f>
        <v/>
      </c>
      <c r="F395" t="str">
        <f>"201704060714"</f>
        <v>201704060714</v>
      </c>
      <c r="G395" t="str">
        <f>"ACCT#007-0011535-000/CO BARN"</f>
        <v>ACCT#007-0011535-000/CO BARN</v>
      </c>
      <c r="H395" s="2">
        <v>262.77999999999997</v>
      </c>
      <c r="I395" t="str">
        <f>"ACCT#007-0011535-000/CO BARN"</f>
        <v>ACCT#007-0011535-000/CO BARN</v>
      </c>
    </row>
    <row r="396" spans="1:9" x14ac:dyDescent="0.3">
      <c r="A396" t="str">
        <f>""</f>
        <v/>
      </c>
      <c r="F396" t="str">
        <f>"201704060715"</f>
        <v>201704060715</v>
      </c>
      <c r="G396" t="str">
        <f>"ACCT#007-0011534-001/1125 DILD"</f>
        <v>ACCT#007-0011534-001/1125 DILD</v>
      </c>
      <c r="H396" s="2">
        <v>128.81</v>
      </c>
      <c r="I396" t="str">
        <f>"ACCT#007-0011534-001/1125 DILD"</f>
        <v>ACCT#007-0011534-001/1125 DILD</v>
      </c>
    </row>
    <row r="397" spans="1:9" x14ac:dyDescent="0.3">
      <c r="A397" t="str">
        <f>""</f>
        <v/>
      </c>
      <c r="F397" t="str">
        <f>"201704060784"</f>
        <v>201704060784</v>
      </c>
      <c r="G397" t="str">
        <f>"ACCT#007-0011510-000/708 BULL"</f>
        <v>ACCT#007-0011510-000/708 BULL</v>
      </c>
      <c r="H397" s="2">
        <v>204.21</v>
      </c>
      <c r="I397" t="str">
        <f>"ACCT#007-0011510-000/708 BULL"</f>
        <v>ACCT#007-0011510-000/708 BULL</v>
      </c>
    </row>
    <row r="398" spans="1:9" x14ac:dyDescent="0.3">
      <c r="A398" t="str">
        <f>""</f>
        <v/>
      </c>
      <c r="F398" t="str">
        <f>"201704060785"</f>
        <v>201704060785</v>
      </c>
      <c r="G398" t="str">
        <f>"ACCT#007-0011501-000/708 A BUL"</f>
        <v>ACCT#007-0011501-000/708 A BUL</v>
      </c>
      <c r="H398" s="2">
        <v>107.72</v>
      </c>
      <c r="I398" t="str">
        <f>"ACCT#007-0011501-000/708 A BUL"</f>
        <v>ACCT#007-0011501-000/708 A BUL</v>
      </c>
    </row>
    <row r="399" spans="1:9" x14ac:dyDescent="0.3">
      <c r="A399" t="str">
        <f>""</f>
        <v/>
      </c>
      <c r="F399" t="str">
        <f>"201704060786"</f>
        <v>201704060786</v>
      </c>
      <c r="G399" t="str">
        <f>"ACCT#0070011544-001/1133 DILDY"</f>
        <v>ACCT#0070011544-001/1133 DILDY</v>
      </c>
      <c r="H399" s="2">
        <v>89.34</v>
      </c>
      <c r="I399" t="str">
        <f>"ACCT#0070011544-001/1133 DILDY"</f>
        <v>ACCT#0070011544-001/1133 DILDY</v>
      </c>
    </row>
    <row r="400" spans="1:9" x14ac:dyDescent="0.3">
      <c r="A400" t="str">
        <f>"ECO"</f>
        <v>ECO</v>
      </c>
      <c r="B400" t="s">
        <v>111</v>
      </c>
      <c r="C400">
        <v>69951</v>
      </c>
      <c r="D400" s="2">
        <v>32.97</v>
      </c>
      <c r="E400" s="1">
        <v>42849</v>
      </c>
      <c r="F400" t="str">
        <f>"201704191347"</f>
        <v>201704191347</v>
      </c>
      <c r="G400" t="str">
        <f>"ARREST FEE/OCT-DEC'16"</f>
        <v>ARREST FEE/OCT-DEC'16</v>
      </c>
      <c r="H400" s="2">
        <v>32.97</v>
      </c>
      <c r="I400" t="str">
        <f>"ARREST FEE/OCT-DEC'16"</f>
        <v>ARREST FEE/OCT-DEC'16</v>
      </c>
    </row>
    <row r="401" spans="1:9" x14ac:dyDescent="0.3">
      <c r="A401" t="str">
        <f>"SCO"</f>
        <v>SCO</v>
      </c>
      <c r="B401" t="s">
        <v>112</v>
      </c>
      <c r="C401">
        <v>69514</v>
      </c>
      <c r="D401" s="2">
        <v>2451.23</v>
      </c>
      <c r="E401" s="1">
        <v>42830</v>
      </c>
      <c r="F401" t="str">
        <f>"201704050663"</f>
        <v>201704050663</v>
      </c>
      <c r="G401" t="str">
        <f>"ACCT#044-0001240-000/PCT2"</f>
        <v>ACCT#044-0001240-000/PCT2</v>
      </c>
      <c r="H401" s="2">
        <v>296.47000000000003</v>
      </c>
      <c r="I401" t="str">
        <f>"ACCT#044-0001240-000/PCT2"</f>
        <v>ACCT#044-0001240-000/PCT2</v>
      </c>
    </row>
    <row r="402" spans="1:9" x14ac:dyDescent="0.3">
      <c r="A402" t="str">
        <f>""</f>
        <v/>
      </c>
      <c r="F402" t="str">
        <f>"201704050664"</f>
        <v>201704050664</v>
      </c>
      <c r="G402" t="str">
        <f>"ACCT#044-0001253-000"</f>
        <v>ACCT#044-0001253-000</v>
      </c>
      <c r="H402" s="2">
        <v>267.33</v>
      </c>
      <c r="I402" t="str">
        <f>"ACCT#044-0001253-000"</f>
        <v>ACCT#044-0001253-000</v>
      </c>
    </row>
    <row r="403" spans="1:9" x14ac:dyDescent="0.3">
      <c r="A403" t="str">
        <f>""</f>
        <v/>
      </c>
      <c r="F403" t="str">
        <f>"201704050665"</f>
        <v>201704050665</v>
      </c>
      <c r="G403" t="str">
        <f>"ACCT#044-0001252-00"</f>
        <v>ACCT#044-0001252-00</v>
      </c>
      <c r="H403" s="2">
        <v>1225.43</v>
      </c>
      <c r="I403" t="str">
        <f>"ACCT#044-0001252-00"</f>
        <v>ACCT#044-0001252-00</v>
      </c>
    </row>
    <row r="404" spans="1:9" x14ac:dyDescent="0.3">
      <c r="A404" t="str">
        <f>""</f>
        <v/>
      </c>
      <c r="F404" t="str">
        <f>"201704050666"</f>
        <v>201704050666</v>
      </c>
      <c r="G404" t="str">
        <f>"ACCT#044-0001250-000"</f>
        <v>ACCT#044-0001250-000</v>
      </c>
      <c r="H404" s="2">
        <v>109.28</v>
      </c>
      <c r="I404" t="str">
        <f>"ACCT#044-0001250-000"</f>
        <v>ACCT#044-0001250-000</v>
      </c>
    </row>
    <row r="405" spans="1:9" x14ac:dyDescent="0.3">
      <c r="A405" t="str">
        <f>""</f>
        <v/>
      </c>
      <c r="F405" t="str">
        <f>"201704050667"</f>
        <v>201704050667</v>
      </c>
      <c r="G405" t="str">
        <f>"CITY OF SMITHVILLE"</f>
        <v>CITY OF SMITHVILLE</v>
      </c>
      <c r="H405" s="2">
        <v>64.36</v>
      </c>
      <c r="I405" t="str">
        <f>"CITY OF SMITHVILLE"</f>
        <v>CITY OF SMITHVILLE</v>
      </c>
    </row>
    <row r="406" spans="1:9" x14ac:dyDescent="0.3">
      <c r="A406" t="str">
        <f>""</f>
        <v/>
      </c>
      <c r="F406" t="str">
        <f>"201704050668"</f>
        <v>201704050668</v>
      </c>
      <c r="G406" t="str">
        <f>"ACCT#007-0000388-000"</f>
        <v>ACCT#007-0000388-000</v>
      </c>
      <c r="H406" s="2">
        <v>384.92</v>
      </c>
      <c r="I406" t="str">
        <f>"ACCT#007-0000388-000"</f>
        <v>ACCT#007-0000388-000</v>
      </c>
    </row>
    <row r="407" spans="1:9" x14ac:dyDescent="0.3">
      <c r="A407" t="str">
        <f>""</f>
        <v/>
      </c>
      <c r="F407" t="str">
        <f>"201704050669"</f>
        <v>201704050669</v>
      </c>
      <c r="G407" t="str">
        <f>"ACCT#001-0000183-000"</f>
        <v>ACCT#001-0000183-000</v>
      </c>
      <c r="H407" s="2">
        <v>103.44</v>
      </c>
      <c r="I407" t="str">
        <f>"ACCT#001-0000183-000"</f>
        <v>ACCT#001-0000183-000</v>
      </c>
    </row>
    <row r="408" spans="1:9" x14ac:dyDescent="0.3">
      <c r="A408" t="str">
        <f>"SCO"</f>
        <v>SCO</v>
      </c>
      <c r="B408" t="s">
        <v>112</v>
      </c>
      <c r="C408">
        <v>69982</v>
      </c>
      <c r="D408" s="2">
        <v>26.39</v>
      </c>
      <c r="E408" s="1">
        <v>42849</v>
      </c>
      <c r="F408" t="str">
        <f>"201704191348"</f>
        <v>201704191348</v>
      </c>
      <c r="G408" t="str">
        <f>"ARREST FEES/OCT-DEC '16"</f>
        <v>ARREST FEES/OCT-DEC '16</v>
      </c>
      <c r="H408" s="2">
        <v>26.39</v>
      </c>
      <c r="I408" t="str">
        <f>"ARREST FEES/OCT-DEC '16"</f>
        <v>ARREST FEES/OCT-DEC '16</v>
      </c>
    </row>
    <row r="409" spans="1:9" x14ac:dyDescent="0.3">
      <c r="A409" t="str">
        <f>"003318"</f>
        <v>003318</v>
      </c>
      <c r="B409" t="s">
        <v>113</v>
      </c>
      <c r="C409">
        <v>69584</v>
      </c>
      <c r="D409" s="2">
        <v>50</v>
      </c>
      <c r="E409" s="1">
        <v>42835</v>
      </c>
      <c r="F409" t="str">
        <f>"201704060753"</f>
        <v>201704060753</v>
      </c>
      <c r="G409" t="str">
        <f>"FERAL HOGS"</f>
        <v>FERAL HOGS</v>
      </c>
      <c r="H409" s="2">
        <v>20</v>
      </c>
      <c r="I409" t="str">
        <f>"FERAL HOGS"</f>
        <v>FERAL HOGS</v>
      </c>
    </row>
    <row r="410" spans="1:9" x14ac:dyDescent="0.3">
      <c r="A410" t="str">
        <f>""</f>
        <v/>
      </c>
      <c r="F410" t="str">
        <f>"201704060756"</f>
        <v>201704060756</v>
      </c>
      <c r="G410" t="str">
        <f>"FERAL HOGS"</f>
        <v>FERAL HOGS</v>
      </c>
      <c r="H410" s="2">
        <v>30</v>
      </c>
      <c r="I410" t="str">
        <f>"FERAL HOGS"</f>
        <v>FERAL HOGS</v>
      </c>
    </row>
    <row r="411" spans="1:9" x14ac:dyDescent="0.3">
      <c r="A411" t="str">
        <f>"002198"</f>
        <v>002198</v>
      </c>
      <c r="B411" t="s">
        <v>114</v>
      </c>
      <c r="C411">
        <v>69585</v>
      </c>
      <c r="D411" s="2">
        <v>749</v>
      </c>
      <c r="E411" s="1">
        <v>42835</v>
      </c>
      <c r="F411" t="str">
        <f>"0027936"</f>
        <v>0027936</v>
      </c>
      <c r="G411" t="str">
        <f>"GENERATOR MAINTENANCE"</f>
        <v>GENERATOR MAINTENANCE</v>
      </c>
      <c r="H411" s="2">
        <v>749</v>
      </c>
      <c r="I411" t="str">
        <f>"GENERATOR MAINTENANCE"</f>
        <v>GENERATOR MAINTENANCE</v>
      </c>
    </row>
    <row r="412" spans="1:9" x14ac:dyDescent="0.3">
      <c r="A412" t="str">
        <f>"CLINIC"</f>
        <v>CLINIC</v>
      </c>
      <c r="B412" t="s">
        <v>115</v>
      </c>
      <c r="C412">
        <v>69586</v>
      </c>
      <c r="D412" s="2">
        <v>190.47</v>
      </c>
      <c r="E412" s="1">
        <v>42835</v>
      </c>
      <c r="F412" t="str">
        <f>"201704060722"</f>
        <v>201704060722</v>
      </c>
      <c r="G412" t="str">
        <f>"INDIGENT HEALTH"</f>
        <v>INDIGENT HEALTH</v>
      </c>
      <c r="H412" s="2">
        <v>8.6</v>
      </c>
      <c r="I412" t="str">
        <f>"INDIGENT HEALTH"</f>
        <v>INDIGENT HEALTH</v>
      </c>
    </row>
    <row r="413" spans="1:9" x14ac:dyDescent="0.3">
      <c r="A413" t="str">
        <f>""</f>
        <v/>
      </c>
      <c r="F413" t="str">
        <f>"4181"</f>
        <v>4181</v>
      </c>
      <c r="G413" t="str">
        <f>"PATIENT-B S SMITH"</f>
        <v>PATIENT-B S SMITH</v>
      </c>
      <c r="H413" s="2">
        <v>181.87</v>
      </c>
      <c r="I413" t="str">
        <f>"PATIENT-B S SMITH"</f>
        <v>PATIENT-B S SMITH</v>
      </c>
    </row>
    <row r="414" spans="1:9" x14ac:dyDescent="0.3">
      <c r="A414" t="str">
        <f>"CLINIC"</f>
        <v>CLINIC</v>
      </c>
      <c r="B414" t="s">
        <v>115</v>
      </c>
      <c r="C414">
        <v>69942</v>
      </c>
      <c r="D414" s="2">
        <v>486.94</v>
      </c>
      <c r="E414" s="1">
        <v>42849</v>
      </c>
      <c r="F414" t="str">
        <f>"201704171220"</f>
        <v>201704171220</v>
      </c>
      <c r="G414" t="str">
        <f>"JAIL PHYSICIAN SERVICES/SO"</f>
        <v>JAIL PHYSICIAN SERVICES/SO</v>
      </c>
      <c r="H414" s="2">
        <v>181.87</v>
      </c>
      <c r="I414" t="str">
        <f>"JAIL PHYSICIAN SERVICES/SO"</f>
        <v>JAIL PHYSICIAN SERVICES/SO</v>
      </c>
    </row>
    <row r="415" spans="1:9" x14ac:dyDescent="0.3">
      <c r="A415" t="str">
        <f>""</f>
        <v/>
      </c>
      <c r="F415" t="str">
        <f>"201704201371"</f>
        <v>201704201371</v>
      </c>
      <c r="G415" t="str">
        <f>"INDIGENT HEALTH"</f>
        <v>INDIGENT HEALTH</v>
      </c>
      <c r="H415" s="2">
        <v>57.41</v>
      </c>
      <c r="I415" t="str">
        <f>"INDIGENT HEALTH"</f>
        <v>INDIGENT HEALTH</v>
      </c>
    </row>
    <row r="416" spans="1:9" x14ac:dyDescent="0.3">
      <c r="A416" t="str">
        <f>""</f>
        <v/>
      </c>
      <c r="F416" t="str">
        <f>"201704201388"</f>
        <v>201704201388</v>
      </c>
      <c r="G416" t="str">
        <f>"MEDICAL"</f>
        <v>MEDICAL</v>
      </c>
      <c r="H416" s="2">
        <v>247.66</v>
      </c>
      <c r="I416" t="str">
        <f>"MEDICAL INV201703"</f>
        <v>MEDICAL INV201703</v>
      </c>
    </row>
    <row r="417" spans="1:9" x14ac:dyDescent="0.3">
      <c r="A417" t="str">
        <f>"004998"</f>
        <v>004998</v>
      </c>
      <c r="B417" t="s">
        <v>116</v>
      </c>
      <c r="C417">
        <v>69587</v>
      </c>
      <c r="D417" s="2">
        <v>8</v>
      </c>
      <c r="E417" s="1">
        <v>42835</v>
      </c>
      <c r="F417" t="str">
        <f>"15905"</f>
        <v>15905</v>
      </c>
      <c r="G417" t="str">
        <f>"OVERPAYMENT/2-9-17"</f>
        <v>OVERPAYMENT/2-9-17</v>
      </c>
      <c r="H417" s="2">
        <v>8</v>
      </c>
      <c r="I417" t="str">
        <f>"OVERPAYMENT/2-9-17"</f>
        <v>OVERPAYMENT/2-9-17</v>
      </c>
    </row>
    <row r="418" spans="1:9" x14ac:dyDescent="0.3">
      <c r="A418" t="str">
        <f>"COMMER"</f>
        <v>COMMER</v>
      </c>
      <c r="B418" t="s">
        <v>117</v>
      </c>
      <c r="C418">
        <v>69944</v>
      </c>
      <c r="D418" s="2">
        <v>575.94000000000005</v>
      </c>
      <c r="E418" s="1">
        <v>42849</v>
      </c>
      <c r="F418" t="str">
        <f>"201704201419"</f>
        <v>201704201419</v>
      </c>
      <c r="G418" t="str">
        <f>"KETTLE REPAIR"</f>
        <v>KETTLE REPAIR</v>
      </c>
      <c r="H418" s="2">
        <v>575.94000000000005</v>
      </c>
      <c r="I418" t="str">
        <f>"KETTLE REPAIR"</f>
        <v>KETTLE REPAIR</v>
      </c>
    </row>
    <row r="419" spans="1:9" x14ac:dyDescent="0.3">
      <c r="A419" t="str">
        <f>"002809"</f>
        <v>002809</v>
      </c>
      <c r="B419" t="s">
        <v>118</v>
      </c>
      <c r="C419">
        <v>69588</v>
      </c>
      <c r="D419" s="2">
        <v>246</v>
      </c>
      <c r="E419" s="1">
        <v>42835</v>
      </c>
      <c r="F419" t="str">
        <f>"12463708965"</f>
        <v>12463708965</v>
      </c>
      <c r="G419" t="str">
        <f>"COFFEE INV 12463708965"</f>
        <v>COFFEE INV 12463708965</v>
      </c>
      <c r="H419" s="2">
        <v>246</v>
      </c>
      <c r="I419" t="str">
        <f>"COFFEE INV 12463708965"</f>
        <v>COFFEE INV 12463708965</v>
      </c>
    </row>
    <row r="420" spans="1:9" x14ac:dyDescent="0.3">
      <c r="A420" t="str">
        <f>"002809"</f>
        <v>002809</v>
      </c>
      <c r="B420" t="s">
        <v>118</v>
      </c>
      <c r="C420">
        <v>69854</v>
      </c>
      <c r="D420" s="2">
        <v>93</v>
      </c>
      <c r="E420" s="1">
        <v>42849</v>
      </c>
      <c r="F420" t="str">
        <f>"201704201392"</f>
        <v>201704201392</v>
      </c>
      <c r="G420" t="str">
        <f>"INVOICE 12463710345 COFFE"</f>
        <v>INVOICE 12463710345 COFFE</v>
      </c>
      <c r="H420" s="2">
        <v>93</v>
      </c>
      <c r="I420" t="str">
        <f>"INVOICE 12463710345 COFFE"</f>
        <v>INVOICE 12463710345 COFFE</v>
      </c>
    </row>
    <row r="421" spans="1:9" x14ac:dyDescent="0.3">
      <c r="A421" t="str">
        <f>"CONTEC"</f>
        <v>CONTEC</v>
      </c>
      <c r="B421" t="s">
        <v>119</v>
      </c>
      <c r="C421">
        <v>69945</v>
      </c>
      <c r="D421" s="2">
        <v>1458.66</v>
      </c>
      <c r="E421" s="1">
        <v>42849</v>
      </c>
      <c r="F421" t="str">
        <f>"14822676"</f>
        <v>14822676</v>
      </c>
      <c r="G421" t="str">
        <f>"REF#11739880/PCT#3"</f>
        <v>REF#11739880/PCT#3</v>
      </c>
      <c r="H421" s="2">
        <v>1458.66</v>
      </c>
      <c r="I421" t="str">
        <f>"REF#11739880/PCT#3"</f>
        <v>REF#11739880/PCT#3</v>
      </c>
    </row>
    <row r="422" spans="1:9" x14ac:dyDescent="0.3">
      <c r="A422" t="str">
        <f>"CCO"</f>
        <v>CCO</v>
      </c>
      <c r="B422" t="s">
        <v>120</v>
      </c>
      <c r="C422">
        <v>69939</v>
      </c>
      <c r="D422" s="2">
        <v>4228.34</v>
      </c>
      <c r="E422" s="1">
        <v>42849</v>
      </c>
      <c r="F422" t="str">
        <f>"CTCS469105"</f>
        <v>CTCS469105</v>
      </c>
      <c r="G422" t="str">
        <f>"VEHICLE REPAIR - VIN 5086"</f>
        <v>VEHICLE REPAIR - VIN 5086</v>
      </c>
      <c r="H422" s="2">
        <v>2927.71</v>
      </c>
      <c r="I422" t="str">
        <f>"VEHICLE REPAIR - VIN 5086"</f>
        <v>VEHICLE REPAIR - VIN 5086</v>
      </c>
    </row>
    <row r="423" spans="1:9" x14ac:dyDescent="0.3">
      <c r="A423" t="str">
        <f>""</f>
        <v/>
      </c>
      <c r="F423" t="str">
        <f>"CVW215485"</f>
        <v>CVW215485</v>
      </c>
      <c r="G423" t="str">
        <f>"ACCT#220-4011/PCT#3"</f>
        <v>ACCT#220-4011/PCT#3</v>
      </c>
      <c r="H423" s="2">
        <v>1300.6300000000001</v>
      </c>
      <c r="I423" t="str">
        <f>"ACCT#220-4011/PCT#3"</f>
        <v>ACCT#220-4011/PCT#3</v>
      </c>
    </row>
    <row r="424" spans="1:9" x14ac:dyDescent="0.3">
      <c r="A424" t="str">
        <f>"004106"</f>
        <v>004106</v>
      </c>
      <c r="B424" t="s">
        <v>121</v>
      </c>
      <c r="C424">
        <v>69589</v>
      </c>
      <c r="D424" s="2">
        <v>750</v>
      </c>
      <c r="E424" s="1">
        <v>42835</v>
      </c>
      <c r="F424" t="str">
        <f>"201704030606"</f>
        <v>201704030606</v>
      </c>
      <c r="G424" t="str">
        <f>"PSYCHOLOGICAL EVAL.SO"</f>
        <v>PSYCHOLOGICAL EVAL.SO</v>
      </c>
      <c r="H424" s="2">
        <v>500</v>
      </c>
      <c r="I424" t="str">
        <f>"PSYCHOLOGICAL EVAL.SO"</f>
        <v>PSYCHOLOGICAL EVAL.SO</v>
      </c>
    </row>
    <row r="425" spans="1:9" x14ac:dyDescent="0.3">
      <c r="A425" t="str">
        <f>""</f>
        <v/>
      </c>
      <c r="F425" t="str">
        <f>"201704050633"</f>
        <v>201704050633</v>
      </c>
      <c r="G425" t="str">
        <f>"PSYCH EVALS"</f>
        <v>PSYCH EVALS</v>
      </c>
      <c r="H425" s="2">
        <v>250</v>
      </c>
      <c r="I425" t="str">
        <f>"MARCH 2017"</f>
        <v>MARCH 2017</v>
      </c>
    </row>
    <row r="426" spans="1:9" x14ac:dyDescent="0.3">
      <c r="A426" t="str">
        <f>"T11708"</f>
        <v>T11708</v>
      </c>
      <c r="B426" t="s">
        <v>122</v>
      </c>
      <c r="C426">
        <v>69590</v>
      </c>
      <c r="D426" s="2">
        <v>150</v>
      </c>
      <c r="E426" s="1">
        <v>42835</v>
      </c>
      <c r="F426" t="str">
        <f>"201704030615"</f>
        <v>201704030615</v>
      </c>
      <c r="G426" t="str">
        <f>"OFFICE CLEANINGS/PCT#2"</f>
        <v>OFFICE CLEANINGS/PCT#2</v>
      </c>
      <c r="H426" s="2">
        <v>150</v>
      </c>
      <c r="I426" t="str">
        <f>"OFFICE CLEANINGS/PCT#2"</f>
        <v>OFFICE CLEANINGS/PCT#2</v>
      </c>
    </row>
    <row r="427" spans="1:9" x14ac:dyDescent="0.3">
      <c r="A427" t="str">
        <f>"002352"</f>
        <v>002352</v>
      </c>
      <c r="B427" t="s">
        <v>123</v>
      </c>
      <c r="C427">
        <v>69841</v>
      </c>
      <c r="D427" s="2">
        <v>545</v>
      </c>
      <c r="E427" s="1">
        <v>42849</v>
      </c>
      <c r="F427" t="str">
        <f>"12423"</f>
        <v>12423</v>
      </c>
      <c r="G427" t="str">
        <f>"SERVICE 1/27/17"</f>
        <v>SERVICE 1/27/17</v>
      </c>
      <c r="H427" s="2">
        <v>160</v>
      </c>
      <c r="I427" t="str">
        <f>"SERVICE 1/27/17"</f>
        <v>SERVICE 1/27/17</v>
      </c>
    </row>
    <row r="428" spans="1:9" x14ac:dyDescent="0.3">
      <c r="A428" t="str">
        <f>""</f>
        <v/>
      </c>
      <c r="F428" t="str">
        <f>"12429"</f>
        <v>12429</v>
      </c>
      <c r="G428" t="str">
        <f>"SERVICE/1-27-17"</f>
        <v>SERVICE/1-27-17</v>
      </c>
      <c r="H428" s="2">
        <v>160</v>
      </c>
      <c r="I428" t="str">
        <f>"SERVICE/1-27-17"</f>
        <v>SERVICE/1-27-17</v>
      </c>
    </row>
    <row r="429" spans="1:9" x14ac:dyDescent="0.3">
      <c r="A429" t="str">
        <f>""</f>
        <v/>
      </c>
      <c r="F429" t="str">
        <f>"12557"</f>
        <v>12557</v>
      </c>
      <c r="G429" t="str">
        <f>"SERVICE/2-21-17"</f>
        <v>SERVICE/2-21-17</v>
      </c>
      <c r="H429" s="2">
        <v>80</v>
      </c>
      <c r="I429" t="str">
        <f>"SERVICE/2-21-17"</f>
        <v>SERVICE/2-21-17</v>
      </c>
    </row>
    <row r="430" spans="1:9" x14ac:dyDescent="0.3">
      <c r="A430" t="str">
        <f>""</f>
        <v/>
      </c>
      <c r="F430" t="str">
        <f>"12592"</f>
        <v>12592</v>
      </c>
      <c r="G430" t="str">
        <f>"SERVICE 1/27/17"</f>
        <v>SERVICE 1/27/17</v>
      </c>
      <c r="H430" s="2">
        <v>80</v>
      </c>
      <c r="I430" t="str">
        <f>"SERVICE 1/27/17"</f>
        <v>SERVICE 1/27/17</v>
      </c>
    </row>
    <row r="431" spans="1:9" x14ac:dyDescent="0.3">
      <c r="A431" t="str">
        <f>""</f>
        <v/>
      </c>
      <c r="F431" t="str">
        <f>"8793"</f>
        <v>8793</v>
      </c>
      <c r="G431" t="str">
        <f>"SERVICE 2/23/17"</f>
        <v>SERVICE 2/23/17</v>
      </c>
      <c r="H431" s="2">
        <v>65</v>
      </c>
      <c r="I431" t="str">
        <f>"SERVICE 2/23/17"</f>
        <v>SERVICE 2/23/17</v>
      </c>
    </row>
    <row r="432" spans="1:9" x14ac:dyDescent="0.3">
      <c r="A432" t="str">
        <f>"004294"</f>
        <v>004294</v>
      </c>
      <c r="B432" t="s">
        <v>124</v>
      </c>
      <c r="C432">
        <v>69592</v>
      </c>
      <c r="D432" s="2">
        <v>15</v>
      </c>
      <c r="E432" s="1">
        <v>42835</v>
      </c>
      <c r="F432" t="str">
        <f>"201704060750"</f>
        <v>201704060750</v>
      </c>
      <c r="G432" t="str">
        <f>"FERAL HOGS"</f>
        <v>FERAL HOGS</v>
      </c>
      <c r="H432" s="2">
        <v>15</v>
      </c>
      <c r="I432" t="str">
        <f>"FERAL HOGS"</f>
        <v>FERAL HOGS</v>
      </c>
    </row>
    <row r="433" spans="1:9" x14ac:dyDescent="0.3">
      <c r="A433" t="str">
        <f>"BROOKS"</f>
        <v>BROOKS</v>
      </c>
      <c r="B433" t="s">
        <v>125</v>
      </c>
      <c r="C433">
        <v>69937</v>
      </c>
      <c r="D433" s="2">
        <v>100</v>
      </c>
      <c r="E433" s="1">
        <v>42849</v>
      </c>
      <c r="F433" t="str">
        <f>"201704131206"</f>
        <v>201704131206</v>
      </c>
      <c r="G433" t="str">
        <f>"LEGAL CONSULT/MARCH'17"</f>
        <v>LEGAL CONSULT/MARCH'17</v>
      </c>
      <c r="H433" s="2">
        <v>100</v>
      </c>
      <c r="I433" t="str">
        <f>"LEGAL CONSULT/MARCH'17"</f>
        <v>LEGAL CONSULT/MARCH'17</v>
      </c>
    </row>
    <row r="434" spans="1:9" x14ac:dyDescent="0.3">
      <c r="A434" t="str">
        <f>"DF"</f>
        <v>DF</v>
      </c>
      <c r="B434" t="s">
        <v>126</v>
      </c>
      <c r="C434">
        <v>69949</v>
      </c>
      <c r="D434" s="2">
        <v>126</v>
      </c>
      <c r="E434" s="1">
        <v>42849</v>
      </c>
      <c r="F434" t="str">
        <f>"19123"</f>
        <v>19123</v>
      </c>
      <c r="G434" t="str">
        <f>"SCREENED RED INFIELD/PCT2"</f>
        <v>SCREENED RED INFIELD/PCT2</v>
      </c>
      <c r="H434" s="2">
        <v>126</v>
      </c>
      <c r="I434" t="str">
        <f>"SCREENED RED INFIELD/PCT2"</f>
        <v>SCREENED RED INFIELD/PCT2</v>
      </c>
    </row>
    <row r="435" spans="1:9" x14ac:dyDescent="0.3">
      <c r="A435" t="str">
        <f>"005018"</f>
        <v>005018</v>
      </c>
      <c r="B435" t="s">
        <v>127</v>
      </c>
      <c r="C435">
        <v>69593</v>
      </c>
      <c r="D435" s="2">
        <v>295</v>
      </c>
      <c r="E435" s="1">
        <v>42835</v>
      </c>
      <c r="F435" t="str">
        <f>"201704060777"</f>
        <v>201704060777</v>
      </c>
      <c r="G435" t="str">
        <f>"FERAL HOGS"</f>
        <v>FERAL HOGS</v>
      </c>
      <c r="H435" s="2">
        <v>295</v>
      </c>
      <c r="I435" t="str">
        <f>"FERAL HOGS"</f>
        <v>FERAL HOGS</v>
      </c>
    </row>
    <row r="436" spans="1:9" x14ac:dyDescent="0.3">
      <c r="A436" t="str">
        <f>"003335"</f>
        <v>003335</v>
      </c>
      <c r="B436" t="s">
        <v>128</v>
      </c>
      <c r="C436">
        <v>69594</v>
      </c>
      <c r="D436" s="2">
        <v>707.5</v>
      </c>
      <c r="E436" s="1">
        <v>42835</v>
      </c>
      <c r="F436" t="str">
        <f>"201704061121"</f>
        <v>201704061121</v>
      </c>
      <c r="G436" t="str">
        <f>"07-12290"</f>
        <v>07-12290</v>
      </c>
      <c r="H436" s="2">
        <v>145</v>
      </c>
      <c r="I436" t="str">
        <f>"07-12290"</f>
        <v>07-12290</v>
      </c>
    </row>
    <row r="437" spans="1:9" x14ac:dyDescent="0.3">
      <c r="A437" t="str">
        <f>""</f>
        <v/>
      </c>
      <c r="F437" t="str">
        <f>"201704061122"</f>
        <v>201704061122</v>
      </c>
      <c r="G437" t="str">
        <f>"15-17193"</f>
        <v>15-17193</v>
      </c>
      <c r="H437" s="2">
        <v>352.5</v>
      </c>
      <c r="I437" t="str">
        <f>"15-17193"</f>
        <v>15-17193</v>
      </c>
    </row>
    <row r="438" spans="1:9" x14ac:dyDescent="0.3">
      <c r="A438" t="str">
        <f>""</f>
        <v/>
      </c>
      <c r="F438" t="str">
        <f>"201704061123"</f>
        <v>201704061123</v>
      </c>
      <c r="G438" t="str">
        <f>"16-18043"</f>
        <v>16-18043</v>
      </c>
      <c r="H438" s="2">
        <v>210</v>
      </c>
      <c r="I438" t="str">
        <f>"16-18043"</f>
        <v>16-18043</v>
      </c>
    </row>
    <row r="439" spans="1:9" x14ac:dyDescent="0.3">
      <c r="A439" t="str">
        <f>"003335"</f>
        <v>003335</v>
      </c>
      <c r="B439" t="s">
        <v>128</v>
      </c>
      <c r="C439">
        <v>69867</v>
      </c>
      <c r="D439" s="2">
        <v>175</v>
      </c>
      <c r="E439" s="1">
        <v>42849</v>
      </c>
      <c r="F439" t="str">
        <f>"201704201476"</f>
        <v>201704201476</v>
      </c>
      <c r="G439" t="str">
        <f>"05-9958"</f>
        <v>05-9958</v>
      </c>
      <c r="H439" s="2">
        <v>175</v>
      </c>
      <c r="I439" t="str">
        <f>"05-9958"</f>
        <v>05-9958</v>
      </c>
    </row>
    <row r="440" spans="1:9" x14ac:dyDescent="0.3">
      <c r="A440" t="str">
        <f>"003054"</f>
        <v>003054</v>
      </c>
      <c r="B440" t="s">
        <v>129</v>
      </c>
      <c r="C440">
        <v>69595</v>
      </c>
      <c r="D440" s="2">
        <v>60.99</v>
      </c>
      <c r="E440" s="1">
        <v>42835</v>
      </c>
      <c r="F440" t="str">
        <f>"201704030609"</f>
        <v>201704030609</v>
      </c>
      <c r="G440" t="str">
        <f>"REIMB-MILEAGE"</f>
        <v>REIMB-MILEAGE</v>
      </c>
      <c r="H440" s="2">
        <v>60.99</v>
      </c>
      <c r="I440" t="str">
        <f>"REIMB-MILEAGE"</f>
        <v>REIMB-MILEAGE</v>
      </c>
    </row>
    <row r="441" spans="1:9" x14ac:dyDescent="0.3">
      <c r="A441" t="str">
        <f>"005034"</f>
        <v>005034</v>
      </c>
      <c r="B441" t="s">
        <v>130</v>
      </c>
      <c r="C441">
        <v>69767</v>
      </c>
      <c r="D441" s="2">
        <v>194.67</v>
      </c>
      <c r="E441" s="1">
        <v>42842</v>
      </c>
      <c r="F441" t="str">
        <f>"201704171213"</f>
        <v>201704171213</v>
      </c>
      <c r="G441" t="str">
        <f>"HOTEL - MONICA DETAOLI"</f>
        <v>HOTEL - MONICA DETAOLI</v>
      </c>
      <c r="H441" s="2">
        <v>194.67</v>
      </c>
      <c r="I441" t="str">
        <f>"HOTEL - MONICA DETAOLI"</f>
        <v>HOTEL - MONICA DETAOLI</v>
      </c>
    </row>
    <row r="442" spans="1:9" x14ac:dyDescent="0.3">
      <c r="A442" t="str">
        <f>"DELL"</f>
        <v>DELL</v>
      </c>
      <c r="B442" t="s">
        <v>131</v>
      </c>
      <c r="C442">
        <v>69947</v>
      </c>
      <c r="D442" s="2">
        <v>39.99</v>
      </c>
      <c r="E442" s="1">
        <v>42849</v>
      </c>
      <c r="F442" t="str">
        <f>"10139391276"</f>
        <v>10139391276</v>
      </c>
      <c r="G442" t="str">
        <f>"KEYBOARD"</f>
        <v>KEYBOARD</v>
      </c>
      <c r="H442" s="2">
        <v>39.99</v>
      </c>
      <c r="I442" t="str">
        <f>"KEYBOARD"</f>
        <v>KEYBOARD</v>
      </c>
    </row>
    <row r="443" spans="1:9" x14ac:dyDescent="0.3">
      <c r="A443" t="str">
        <f>"004270"</f>
        <v>004270</v>
      </c>
      <c r="B443" t="s">
        <v>132</v>
      </c>
      <c r="C443">
        <v>69596</v>
      </c>
      <c r="D443" s="2">
        <v>65.47</v>
      </c>
      <c r="E443" s="1">
        <v>42835</v>
      </c>
      <c r="F443" t="str">
        <f>"201704050697"</f>
        <v>201704050697</v>
      </c>
      <c r="G443" t="str">
        <f>"VGA ADAPTER"</f>
        <v>VGA ADAPTER</v>
      </c>
      <c r="H443" s="2">
        <v>65.47</v>
      </c>
      <c r="I443" t="str">
        <f>"VGA ADAPTER"</f>
        <v>VGA ADAPTER</v>
      </c>
    </row>
    <row r="444" spans="1:9" x14ac:dyDescent="0.3">
      <c r="A444" t="str">
        <f>""</f>
        <v/>
      </c>
      <c r="F444" t="str">
        <f>""</f>
        <v/>
      </c>
      <c r="G444" t="str">
        <f>""</f>
        <v/>
      </c>
      <c r="I444" t="str">
        <f>"SHIPPING"</f>
        <v>SHIPPING</v>
      </c>
    </row>
    <row r="445" spans="1:9" x14ac:dyDescent="0.3">
      <c r="A445" t="str">
        <f>"005017"</f>
        <v>005017</v>
      </c>
      <c r="B445" t="s">
        <v>133</v>
      </c>
      <c r="C445">
        <v>69597</v>
      </c>
      <c r="D445" s="2">
        <v>60</v>
      </c>
      <c r="E445" s="1">
        <v>42835</v>
      </c>
      <c r="F445" t="str">
        <f>"201704060776"</f>
        <v>201704060776</v>
      </c>
      <c r="G445" t="str">
        <f>"FERAL HOGS"</f>
        <v>FERAL HOGS</v>
      </c>
      <c r="H445" s="2">
        <v>60</v>
      </c>
      <c r="I445" t="str">
        <f>"FERAL HOGS"</f>
        <v>FERAL HOGS</v>
      </c>
    </row>
    <row r="446" spans="1:9" x14ac:dyDescent="0.3">
      <c r="A446" t="str">
        <f>"DENTRU"</f>
        <v>DENTRU</v>
      </c>
      <c r="B446" t="s">
        <v>134</v>
      </c>
      <c r="C446">
        <v>69948</v>
      </c>
      <c r="D446" s="2">
        <v>2385</v>
      </c>
      <c r="E446" s="1">
        <v>42849</v>
      </c>
      <c r="F446" t="str">
        <f>"201704201394"</f>
        <v>201704201394</v>
      </c>
      <c r="G446" t="str">
        <f>"MARCH DENTAL SERVICE"</f>
        <v>MARCH DENTAL SERVICE</v>
      </c>
      <c r="H446" s="2">
        <v>2385</v>
      </c>
      <c r="I446" t="str">
        <f>"MARCH DENTAL SERVICE"</f>
        <v>MARCH DENTAL SERVICE</v>
      </c>
    </row>
    <row r="447" spans="1:9" x14ac:dyDescent="0.3">
      <c r="A447" t="str">
        <f>"T5686"</f>
        <v>T5686</v>
      </c>
      <c r="B447" t="s">
        <v>135</v>
      </c>
      <c r="C447">
        <v>69598</v>
      </c>
      <c r="D447" s="2">
        <v>16</v>
      </c>
      <c r="E447" s="1">
        <v>42835</v>
      </c>
      <c r="F447" t="str">
        <f>"23368"</f>
        <v>23368</v>
      </c>
      <c r="G447" t="str">
        <f>"RE KEYINV23368"</f>
        <v>RE KEYINV23368</v>
      </c>
      <c r="H447" s="2">
        <v>16</v>
      </c>
      <c r="I447" t="str">
        <f>"RE KEYINV23368"</f>
        <v>RE KEYINV23368</v>
      </c>
    </row>
    <row r="448" spans="1:9" x14ac:dyDescent="0.3">
      <c r="A448" t="str">
        <f>"T5686"</f>
        <v>T5686</v>
      </c>
      <c r="B448" t="s">
        <v>135</v>
      </c>
      <c r="C448">
        <v>70024</v>
      </c>
      <c r="D448" s="2">
        <v>81</v>
      </c>
      <c r="E448" s="1">
        <v>42849</v>
      </c>
      <c r="F448" t="str">
        <f>"23401"</f>
        <v>23401</v>
      </c>
      <c r="G448" t="str">
        <f>"DUPLICATE KEYS/PCT#1"</f>
        <v>DUPLICATE KEYS/PCT#1</v>
      </c>
      <c r="H448" s="2">
        <v>13</v>
      </c>
      <c r="I448" t="str">
        <f>"DUPLICATE KEYS/PCT#1"</f>
        <v>DUPLICATE KEYS/PCT#1</v>
      </c>
    </row>
    <row r="449" spans="1:9" x14ac:dyDescent="0.3">
      <c r="A449" t="str">
        <f>""</f>
        <v/>
      </c>
      <c r="F449" t="str">
        <f>"23402"</f>
        <v>23402</v>
      </c>
      <c r="G449" t="str">
        <f>"DUPLICATE KEYS"</f>
        <v>DUPLICATE KEYS</v>
      </c>
      <c r="H449" s="2">
        <v>12</v>
      </c>
      <c r="I449" t="str">
        <f>"DUPLICATE KEYS"</f>
        <v>DUPLICATE KEYS</v>
      </c>
    </row>
    <row r="450" spans="1:9" x14ac:dyDescent="0.3">
      <c r="A450" t="str">
        <f>""</f>
        <v/>
      </c>
      <c r="F450" t="str">
        <f>"23416"</f>
        <v>23416</v>
      </c>
      <c r="G450" t="str">
        <f>"DUPLICATE KEYS"</f>
        <v>DUPLICATE KEYS</v>
      </c>
      <c r="H450" s="2">
        <v>8</v>
      </c>
      <c r="I450" t="str">
        <f>"DUPLICATE KEYS"</f>
        <v>DUPLICATE KEYS</v>
      </c>
    </row>
    <row r="451" spans="1:9" x14ac:dyDescent="0.3">
      <c r="A451" t="str">
        <f>""</f>
        <v/>
      </c>
      <c r="F451" t="str">
        <f>"23450"</f>
        <v>23450</v>
      </c>
      <c r="G451" t="str">
        <f>"DUPLICATE KEYS/PCT#1"</f>
        <v>DUPLICATE KEYS/PCT#1</v>
      </c>
      <c r="H451" s="2">
        <v>48</v>
      </c>
      <c r="I451" t="str">
        <f>"DUPLICATE KEYS/PCT#1"</f>
        <v>DUPLICATE KEYS/PCT#1</v>
      </c>
    </row>
    <row r="452" spans="1:9" x14ac:dyDescent="0.3">
      <c r="A452" t="str">
        <f>"001911"</f>
        <v>001911</v>
      </c>
      <c r="B452" t="s">
        <v>136</v>
      </c>
      <c r="C452">
        <v>69830</v>
      </c>
      <c r="D452" s="2">
        <v>2326.39</v>
      </c>
      <c r="E452" s="1">
        <v>42849</v>
      </c>
      <c r="F452" t="str">
        <f>"17121118N"</f>
        <v>17121118N</v>
      </c>
      <c r="G452" t="str">
        <f>"CUST#PKE5000"</f>
        <v>CUST#PKE5000</v>
      </c>
      <c r="H452" s="2">
        <v>2326.39</v>
      </c>
      <c r="I452" t="str">
        <f>"CUST#PKE5000"</f>
        <v>CUST#PKE5000</v>
      </c>
    </row>
    <row r="453" spans="1:9" x14ac:dyDescent="0.3">
      <c r="A453" t="str">
        <f>""</f>
        <v/>
      </c>
      <c r="F453" t="str">
        <f>""</f>
        <v/>
      </c>
      <c r="G453" t="str">
        <f>""</f>
        <v/>
      </c>
      <c r="I453" t="str">
        <f>"CUST#PKE5000"</f>
        <v>CUST#PKE5000</v>
      </c>
    </row>
    <row r="454" spans="1:9" x14ac:dyDescent="0.3">
      <c r="A454" t="str">
        <f>"005007"</f>
        <v>005007</v>
      </c>
      <c r="B454" t="s">
        <v>137</v>
      </c>
      <c r="C454">
        <v>69599</v>
      </c>
      <c r="D454" s="2">
        <v>950</v>
      </c>
      <c r="E454" s="1">
        <v>42835</v>
      </c>
      <c r="F454" t="str">
        <f>"201704050698"</f>
        <v>201704050698</v>
      </c>
      <c r="G454" t="str">
        <f>"DRC"</f>
        <v>DRC</v>
      </c>
      <c r="H454" s="2">
        <v>950</v>
      </c>
      <c r="I454" t="str">
        <f>"Mediation Training"</f>
        <v>Mediation Training</v>
      </c>
    </row>
    <row r="455" spans="1:9" x14ac:dyDescent="0.3">
      <c r="A455" t="str">
        <f>"004275"</f>
        <v>004275</v>
      </c>
      <c r="B455" t="s">
        <v>138</v>
      </c>
      <c r="C455">
        <v>69894</v>
      </c>
      <c r="D455" s="2">
        <v>20</v>
      </c>
      <c r="E455" s="1">
        <v>42849</v>
      </c>
      <c r="F455" t="str">
        <f>"    10442"</f>
        <v xml:space="preserve">    10442</v>
      </c>
      <c r="G455" t="str">
        <f>"RESTITUTION-R WRIGHT"</f>
        <v>RESTITUTION-R WRIGHT</v>
      </c>
      <c r="H455" s="2">
        <v>20</v>
      </c>
      <c r="I455" t="str">
        <f>"RESTITUTION-R WRIGHT"</f>
        <v>RESTITUTION-R WRIGHT</v>
      </c>
    </row>
    <row r="456" spans="1:9" x14ac:dyDescent="0.3">
      <c r="A456" t="str">
        <f>"T12751"</f>
        <v>T12751</v>
      </c>
      <c r="B456" t="s">
        <v>139</v>
      </c>
      <c r="C456">
        <v>69600</v>
      </c>
      <c r="D456" s="2">
        <v>40</v>
      </c>
      <c r="E456" s="1">
        <v>42835</v>
      </c>
      <c r="F456" t="str">
        <f>"201704060752"</f>
        <v>201704060752</v>
      </c>
      <c r="G456" t="str">
        <f>"FERAL HOGS"</f>
        <v>FERAL HOGS</v>
      </c>
      <c r="H456" s="2">
        <v>40</v>
      </c>
      <c r="I456" t="str">
        <f>"FERAL HOGS"</f>
        <v>FERAL HOGS</v>
      </c>
    </row>
    <row r="457" spans="1:9" x14ac:dyDescent="0.3">
      <c r="A457" t="str">
        <f>"004924"</f>
        <v>004924</v>
      </c>
      <c r="B457" t="s">
        <v>140</v>
      </c>
      <c r="C457">
        <v>69601</v>
      </c>
      <c r="D457" s="2">
        <v>562.04999999999995</v>
      </c>
      <c r="E457" s="1">
        <v>42835</v>
      </c>
      <c r="F457" t="str">
        <f>"201704060710"</f>
        <v>201704060710</v>
      </c>
      <c r="G457" t="str">
        <f>"ACCT#2922/CEDAR CREEK ANNEX"</f>
        <v>ACCT#2922/CEDAR CREEK ANNEX</v>
      </c>
      <c r="H457" s="2">
        <v>187.35</v>
      </c>
      <c r="I457" t="str">
        <f>"ACCT#2922/CEDAR CREEK ANNEX"</f>
        <v>ACCT#2922/CEDAR CREEK ANNEX</v>
      </c>
    </row>
    <row r="458" spans="1:9" x14ac:dyDescent="0.3">
      <c r="A458" t="str">
        <f>""</f>
        <v/>
      </c>
      <c r="F458" t="str">
        <f>"201704060711"</f>
        <v>201704060711</v>
      </c>
      <c r="G458" t="str">
        <f>"ACCT#2921/CEDAR CREEK PAVILLIO"</f>
        <v>ACCT#2921/CEDAR CREEK PAVILLIO</v>
      </c>
      <c r="H458" s="2">
        <v>374.7</v>
      </c>
      <c r="I458" t="str">
        <f>"ACCT#2921/CEDAR CREEK PAVILLIO"</f>
        <v>ACCT#2921/CEDAR CREEK PAVILLIO</v>
      </c>
    </row>
    <row r="459" spans="1:9" x14ac:dyDescent="0.3">
      <c r="A459" t="str">
        <f>"T9323"</f>
        <v>T9323</v>
      </c>
      <c r="B459" t="s">
        <v>141</v>
      </c>
      <c r="C459">
        <v>69602</v>
      </c>
      <c r="D459" s="2">
        <v>1362.5</v>
      </c>
      <c r="E459" s="1">
        <v>42835</v>
      </c>
      <c r="F459" t="str">
        <f>"201704050642"</f>
        <v>201704050642</v>
      </c>
      <c r="G459" t="str">
        <f>"20160195B &amp;C"</f>
        <v>20160195B &amp;C</v>
      </c>
      <c r="H459" s="2">
        <v>600</v>
      </c>
      <c r="I459" t="str">
        <f>"20160195B &amp;C"</f>
        <v>20160195B &amp;C</v>
      </c>
    </row>
    <row r="460" spans="1:9" x14ac:dyDescent="0.3">
      <c r="A460" t="str">
        <f>""</f>
        <v/>
      </c>
      <c r="F460" t="str">
        <f>"201704061118"</f>
        <v>201704061118</v>
      </c>
      <c r="G460" t="str">
        <f>"17-18167"</f>
        <v>17-18167</v>
      </c>
      <c r="H460" s="2">
        <v>212.5</v>
      </c>
      <c r="I460" t="str">
        <f>"17-18167"</f>
        <v>17-18167</v>
      </c>
    </row>
    <row r="461" spans="1:9" x14ac:dyDescent="0.3">
      <c r="A461" t="str">
        <f>""</f>
        <v/>
      </c>
      <c r="F461" t="str">
        <f>"201704061119"</f>
        <v>201704061119</v>
      </c>
      <c r="G461" t="str">
        <f>"16-17904"</f>
        <v>16-17904</v>
      </c>
      <c r="H461" s="2">
        <v>300</v>
      </c>
      <c r="I461" t="str">
        <f>"16-17904"</f>
        <v>16-17904</v>
      </c>
    </row>
    <row r="462" spans="1:9" x14ac:dyDescent="0.3">
      <c r="A462" t="str">
        <f>""</f>
        <v/>
      </c>
      <c r="F462" t="str">
        <f>"201704061120"</f>
        <v>201704061120</v>
      </c>
      <c r="G462" t="str">
        <f>"55023"</f>
        <v>55023</v>
      </c>
      <c r="H462" s="2">
        <v>250</v>
      </c>
      <c r="I462" t="str">
        <f>"55023"</f>
        <v>55023</v>
      </c>
    </row>
    <row r="463" spans="1:9" x14ac:dyDescent="0.3">
      <c r="A463" t="str">
        <f>"T9323"</f>
        <v>T9323</v>
      </c>
      <c r="B463" t="s">
        <v>141</v>
      </c>
      <c r="C463">
        <v>70044</v>
      </c>
      <c r="D463" s="2">
        <v>5412.5</v>
      </c>
      <c r="E463" s="1">
        <v>42849</v>
      </c>
      <c r="F463" t="str">
        <f>"201704201498"</f>
        <v>201704201498</v>
      </c>
      <c r="G463" t="str">
        <f>"CH-21060506-B"</f>
        <v>CH-21060506-B</v>
      </c>
      <c r="H463" s="2">
        <v>400</v>
      </c>
      <c r="I463" t="str">
        <f>"CH-21060506-B"</f>
        <v>CH-21060506-B</v>
      </c>
    </row>
    <row r="464" spans="1:9" x14ac:dyDescent="0.3">
      <c r="A464" t="str">
        <f>""</f>
        <v/>
      </c>
      <c r="F464" t="str">
        <f>"201704201499"</f>
        <v>201704201499</v>
      </c>
      <c r="G464" t="str">
        <f>"301062016C D"</f>
        <v>301062016C D</v>
      </c>
      <c r="H464" s="2">
        <v>600</v>
      </c>
      <c r="I464" t="str">
        <f>"301062016C D"</f>
        <v>301062016C D</v>
      </c>
    </row>
    <row r="465" spans="1:9" x14ac:dyDescent="0.3">
      <c r="A465" t="str">
        <f>""</f>
        <v/>
      </c>
      <c r="F465" t="str">
        <f>"201704201500"</f>
        <v>201704201500</v>
      </c>
      <c r="G465" t="str">
        <f>"CH-20160803-A"</f>
        <v>CH-20160803-A</v>
      </c>
      <c r="H465" s="2">
        <v>400</v>
      </c>
      <c r="I465" t="str">
        <f>"CH-20160803-A"</f>
        <v>CH-20160803-A</v>
      </c>
    </row>
    <row r="466" spans="1:9" x14ac:dyDescent="0.3">
      <c r="A466" t="str">
        <f>""</f>
        <v/>
      </c>
      <c r="F466" t="str">
        <f>"201704201501"</f>
        <v>201704201501</v>
      </c>
      <c r="G466" t="str">
        <f>"0400694CFALDM"</f>
        <v>0400694CFALDM</v>
      </c>
      <c r="H466" s="2">
        <v>400</v>
      </c>
      <c r="I466" t="str">
        <f>"0400694CFALDM"</f>
        <v>0400694CFALDM</v>
      </c>
    </row>
    <row r="467" spans="1:9" x14ac:dyDescent="0.3">
      <c r="A467" t="str">
        <f>""</f>
        <v/>
      </c>
      <c r="F467" t="str">
        <f>"201704201502"</f>
        <v>201704201502</v>
      </c>
      <c r="G467" t="str">
        <f>"16078"</f>
        <v>16078</v>
      </c>
      <c r="H467" s="2">
        <v>400</v>
      </c>
      <c r="I467" t="str">
        <f>"16078"</f>
        <v>16078</v>
      </c>
    </row>
    <row r="468" spans="1:9" x14ac:dyDescent="0.3">
      <c r="A468" t="str">
        <f>""</f>
        <v/>
      </c>
      <c r="F468" t="str">
        <f>"201704201503"</f>
        <v>201704201503</v>
      </c>
      <c r="G468" t="str">
        <f>"15975"</f>
        <v>15975</v>
      </c>
      <c r="H468" s="2">
        <v>400</v>
      </c>
      <c r="I468" t="str">
        <f>"15975"</f>
        <v>15975</v>
      </c>
    </row>
    <row r="469" spans="1:9" x14ac:dyDescent="0.3">
      <c r="A469" t="str">
        <f>""</f>
        <v/>
      </c>
      <c r="F469" t="str">
        <f>"201704201504"</f>
        <v>201704201504</v>
      </c>
      <c r="G469" t="str">
        <f>"5506 20170023A 20170023"</f>
        <v>5506 20170023A 20170023</v>
      </c>
      <c r="H469" s="2">
        <v>500</v>
      </c>
      <c r="I469" t="str">
        <f>"5506 20170023A 20170023"</f>
        <v>5506 20170023A 20170023</v>
      </c>
    </row>
    <row r="470" spans="1:9" x14ac:dyDescent="0.3">
      <c r="A470" t="str">
        <f>""</f>
        <v/>
      </c>
      <c r="F470" t="str">
        <f>"201704201505"</f>
        <v>201704201505</v>
      </c>
      <c r="G470" t="str">
        <f>"54982  54983"</f>
        <v>54982  54983</v>
      </c>
      <c r="H470" s="2">
        <v>375</v>
      </c>
      <c r="I470" t="str">
        <f>"54982  54983"</f>
        <v>54982  54983</v>
      </c>
    </row>
    <row r="471" spans="1:9" x14ac:dyDescent="0.3">
      <c r="A471" t="str">
        <f>""</f>
        <v/>
      </c>
      <c r="F471" t="str">
        <f>"201704201506"</f>
        <v>201704201506</v>
      </c>
      <c r="G471" t="str">
        <f>"54745  54822"</f>
        <v>54745  54822</v>
      </c>
      <c r="H471" s="2">
        <v>375</v>
      </c>
      <c r="I471" t="str">
        <f>"54745  54822"</f>
        <v>54745  54822</v>
      </c>
    </row>
    <row r="472" spans="1:9" x14ac:dyDescent="0.3">
      <c r="A472" t="str">
        <f>""</f>
        <v/>
      </c>
      <c r="F472" t="str">
        <f>"201704201507"</f>
        <v>201704201507</v>
      </c>
      <c r="G472" t="str">
        <f>"54018"</f>
        <v>54018</v>
      </c>
      <c r="H472" s="2">
        <v>250</v>
      </c>
      <c r="I472" t="str">
        <f>"54018"</f>
        <v>54018</v>
      </c>
    </row>
    <row r="473" spans="1:9" x14ac:dyDescent="0.3">
      <c r="A473" t="str">
        <f>""</f>
        <v/>
      </c>
      <c r="F473" t="str">
        <f>"201704201508"</f>
        <v>201704201508</v>
      </c>
      <c r="G473" t="str">
        <f>"20170095  17-18274"</f>
        <v>20170095  17-18274</v>
      </c>
      <c r="H473" s="2">
        <v>100</v>
      </c>
      <c r="I473" t="str">
        <f>"20170095  17-18274"</f>
        <v>20170095  17-18274</v>
      </c>
    </row>
    <row r="474" spans="1:9" x14ac:dyDescent="0.3">
      <c r="A474" t="str">
        <f>""</f>
        <v/>
      </c>
      <c r="F474" t="str">
        <f>"201704201509"</f>
        <v>201704201509</v>
      </c>
      <c r="G474" t="str">
        <f>"16-17904"</f>
        <v>16-17904</v>
      </c>
      <c r="H474" s="2">
        <v>212.5</v>
      </c>
      <c r="I474" t="str">
        <f>"16-17904"</f>
        <v>16-17904</v>
      </c>
    </row>
    <row r="475" spans="1:9" x14ac:dyDescent="0.3">
      <c r="A475" t="str">
        <f>""</f>
        <v/>
      </c>
      <c r="F475" t="str">
        <f>"201704201510"</f>
        <v>201704201510</v>
      </c>
      <c r="G475" t="str">
        <f>"16148"</f>
        <v>16148</v>
      </c>
      <c r="H475" s="2">
        <v>400</v>
      </c>
      <c r="I475" t="str">
        <f>"16148"</f>
        <v>16148</v>
      </c>
    </row>
    <row r="476" spans="1:9" x14ac:dyDescent="0.3">
      <c r="A476" t="str">
        <f>""</f>
        <v/>
      </c>
      <c r="F476" t="str">
        <f>"201704201511"</f>
        <v>201704201511</v>
      </c>
      <c r="G476" t="str">
        <f>"16161  304182016A"</f>
        <v>16161  304182016A</v>
      </c>
      <c r="H476" s="2">
        <v>600</v>
      </c>
      <c r="I476" t="str">
        <f>"16161  304182016A"</f>
        <v>16161  304182016A</v>
      </c>
    </row>
    <row r="477" spans="1:9" x14ac:dyDescent="0.3">
      <c r="A477" t="str">
        <f>"005022"</f>
        <v>005022</v>
      </c>
      <c r="B477" t="s">
        <v>142</v>
      </c>
      <c r="C477">
        <v>69603</v>
      </c>
      <c r="D477" s="2">
        <v>10</v>
      </c>
      <c r="E477" s="1">
        <v>42835</v>
      </c>
      <c r="F477" t="str">
        <f>"201704060781"</f>
        <v>201704060781</v>
      </c>
      <c r="G477" t="str">
        <f>"FERAL HOGS"</f>
        <v>FERAL HOGS</v>
      </c>
      <c r="H477" s="2">
        <v>10</v>
      </c>
      <c r="I477" t="str">
        <f>"FERAL HOGS"</f>
        <v>FERAL HOGS</v>
      </c>
    </row>
    <row r="478" spans="1:9" x14ac:dyDescent="0.3">
      <c r="A478" t="str">
        <f>"ECOLAB"</f>
        <v>ECOLAB</v>
      </c>
      <c r="B478" t="s">
        <v>143</v>
      </c>
      <c r="C478">
        <v>69952</v>
      </c>
      <c r="D478" s="2">
        <v>1030.98</v>
      </c>
      <c r="E478" s="1">
        <v>42849</v>
      </c>
      <c r="F478" t="str">
        <f>"201704201384"</f>
        <v>201704201384</v>
      </c>
      <c r="G478" t="str">
        <f>"LAUNDRY SUPPLIES"</f>
        <v>LAUNDRY SUPPLIES</v>
      </c>
      <c r="H478" s="2">
        <v>1030.98</v>
      </c>
      <c r="I478" t="str">
        <f>"DETERGENT"</f>
        <v>DETERGENT</v>
      </c>
    </row>
    <row r="479" spans="1:9" x14ac:dyDescent="0.3">
      <c r="A479" t="str">
        <f>""</f>
        <v/>
      </c>
      <c r="F479" t="str">
        <f>""</f>
        <v/>
      </c>
      <c r="G479" t="str">
        <f>""</f>
        <v/>
      </c>
      <c r="I479" t="str">
        <f>"PEROXIDE MS DISINFEC"</f>
        <v>PEROXIDE MS DISINFEC</v>
      </c>
    </row>
    <row r="480" spans="1:9" x14ac:dyDescent="0.3">
      <c r="A480" t="str">
        <f>""</f>
        <v/>
      </c>
      <c r="F480" t="str">
        <f>""</f>
        <v/>
      </c>
      <c r="G480" t="str">
        <f>""</f>
        <v/>
      </c>
      <c r="I480" t="str">
        <f>"TRI STAR SO FRESH"</f>
        <v>TRI STAR SO FRESH</v>
      </c>
    </row>
    <row r="481" spans="1:9" x14ac:dyDescent="0.3">
      <c r="A481" t="str">
        <f>""</f>
        <v/>
      </c>
      <c r="F481" t="str">
        <f>""</f>
        <v/>
      </c>
      <c r="G481" t="str">
        <f>""</f>
        <v/>
      </c>
      <c r="I481" t="str">
        <f>"LIQUID DESTAINER"</f>
        <v>LIQUID DESTAINER</v>
      </c>
    </row>
    <row r="482" spans="1:9" x14ac:dyDescent="0.3">
      <c r="A482" t="str">
        <f>"004447"</f>
        <v>004447</v>
      </c>
      <c r="B482" t="s">
        <v>144</v>
      </c>
      <c r="C482">
        <v>69604</v>
      </c>
      <c r="D482" s="2">
        <v>350</v>
      </c>
      <c r="E482" s="1">
        <v>42835</v>
      </c>
      <c r="F482" t="str">
        <f>"201704060754"</f>
        <v>201704060754</v>
      </c>
      <c r="G482" t="str">
        <f>"FERAL HOGS"</f>
        <v>FERAL HOGS</v>
      </c>
      <c r="H482" s="2">
        <v>350</v>
      </c>
      <c r="I482" t="str">
        <f>"FERAL HOGS"</f>
        <v>FERAL HOGS</v>
      </c>
    </row>
    <row r="483" spans="1:9" x14ac:dyDescent="0.3">
      <c r="A483" t="str">
        <f>"T6190"</f>
        <v>T6190</v>
      </c>
      <c r="B483" t="s">
        <v>145</v>
      </c>
      <c r="C483">
        <v>69605</v>
      </c>
      <c r="D483" s="2">
        <v>9245.4</v>
      </c>
      <c r="E483" s="1">
        <v>42835</v>
      </c>
      <c r="F483" t="str">
        <f>"1003953"</f>
        <v>1003953</v>
      </c>
      <c r="G483" t="str">
        <f t="shared" ref="G483:G489" si="3">"ACCT#B06875/ELECTIONS"</f>
        <v>ACCT#B06875/ELECTIONS</v>
      </c>
      <c r="H483" s="2">
        <v>91.79</v>
      </c>
      <c r="I483" t="str">
        <f t="shared" ref="I483:I489" si="4">"ACCT#B06875/ELECTIONS"</f>
        <v>ACCT#B06875/ELECTIONS</v>
      </c>
    </row>
    <row r="484" spans="1:9" x14ac:dyDescent="0.3">
      <c r="A484" t="str">
        <f>""</f>
        <v/>
      </c>
      <c r="F484" t="str">
        <f>"1003954"</f>
        <v>1003954</v>
      </c>
      <c r="G484" t="str">
        <f t="shared" si="3"/>
        <v>ACCT#B06875/ELECTIONS</v>
      </c>
      <c r="H484" s="2">
        <v>61.33</v>
      </c>
      <c r="I484" t="str">
        <f t="shared" si="4"/>
        <v>ACCT#B06875/ELECTIONS</v>
      </c>
    </row>
    <row r="485" spans="1:9" x14ac:dyDescent="0.3">
      <c r="A485" t="str">
        <f>""</f>
        <v/>
      </c>
      <c r="F485" t="str">
        <f>"1003955"</f>
        <v>1003955</v>
      </c>
      <c r="G485" t="str">
        <f t="shared" si="3"/>
        <v>ACCT#B06875/ELECTIONS</v>
      </c>
      <c r="H485" s="2">
        <v>491.89</v>
      </c>
      <c r="I485" t="str">
        <f t="shared" si="4"/>
        <v>ACCT#B06875/ELECTIONS</v>
      </c>
    </row>
    <row r="486" spans="1:9" x14ac:dyDescent="0.3">
      <c r="A486" t="str">
        <f>""</f>
        <v/>
      </c>
      <c r="F486" t="str">
        <f>"1003956"</f>
        <v>1003956</v>
      </c>
      <c r="G486" t="str">
        <f t="shared" si="3"/>
        <v>ACCT#B06875/ELECTIONS</v>
      </c>
      <c r="H486" s="2">
        <v>317.02</v>
      </c>
      <c r="I486" t="str">
        <f t="shared" si="4"/>
        <v>ACCT#B06875/ELECTIONS</v>
      </c>
    </row>
    <row r="487" spans="1:9" x14ac:dyDescent="0.3">
      <c r="A487" t="str">
        <f>""</f>
        <v/>
      </c>
      <c r="F487" t="str">
        <f>"1003968"</f>
        <v>1003968</v>
      </c>
      <c r="G487" t="str">
        <f t="shared" si="3"/>
        <v>ACCT#B06875/ELECTIONS</v>
      </c>
      <c r="H487" s="2">
        <v>1686.61</v>
      </c>
      <c r="I487" t="str">
        <f t="shared" si="4"/>
        <v>ACCT#B06875/ELECTIONS</v>
      </c>
    </row>
    <row r="488" spans="1:9" x14ac:dyDescent="0.3">
      <c r="A488" t="str">
        <f>""</f>
        <v/>
      </c>
      <c r="F488" t="str">
        <f>"1003971"</f>
        <v>1003971</v>
      </c>
      <c r="G488" t="str">
        <f t="shared" si="3"/>
        <v>ACCT#B06875/ELECTIONS</v>
      </c>
      <c r="H488" s="2">
        <v>1063.8</v>
      </c>
      <c r="I488" t="str">
        <f t="shared" si="4"/>
        <v>ACCT#B06875/ELECTIONS</v>
      </c>
    </row>
    <row r="489" spans="1:9" x14ac:dyDescent="0.3">
      <c r="A489" t="str">
        <f>""</f>
        <v/>
      </c>
      <c r="F489" t="str">
        <f>"1004426"</f>
        <v>1004426</v>
      </c>
      <c r="G489" t="str">
        <f t="shared" si="3"/>
        <v>ACCT#B06875/ELECTIONS</v>
      </c>
      <c r="H489" s="2">
        <v>2101.27</v>
      </c>
      <c r="I489" t="str">
        <f t="shared" si="4"/>
        <v>ACCT#B06875/ELECTIONS</v>
      </c>
    </row>
    <row r="490" spans="1:9" x14ac:dyDescent="0.3">
      <c r="A490" t="str">
        <f>""</f>
        <v/>
      </c>
      <c r="F490" t="str">
        <f>"1004427"</f>
        <v>1004427</v>
      </c>
      <c r="G490" t="str">
        <f>"ACCT#B06875/ELECTION"</f>
        <v>ACCT#B06875/ELECTION</v>
      </c>
      <c r="H490" s="2">
        <v>1900.32</v>
      </c>
      <c r="I490" t="str">
        <f>"ACCT#B06875/ELECTION"</f>
        <v>ACCT#B06875/ELECTION</v>
      </c>
    </row>
    <row r="491" spans="1:9" x14ac:dyDescent="0.3">
      <c r="A491" t="str">
        <f>""</f>
        <v/>
      </c>
      <c r="F491" t="str">
        <f>"1004428"</f>
        <v>1004428</v>
      </c>
      <c r="G491" t="str">
        <f>"ACCT#B06875/ELECTION"</f>
        <v>ACCT#B06875/ELECTION</v>
      </c>
      <c r="H491" s="2">
        <v>1531.37</v>
      </c>
      <c r="I491" t="str">
        <f>"ACCT#B06875/ELECTION"</f>
        <v>ACCT#B06875/ELECTION</v>
      </c>
    </row>
    <row r="492" spans="1:9" x14ac:dyDescent="0.3">
      <c r="A492" t="str">
        <f>"T6190"</f>
        <v>T6190</v>
      </c>
      <c r="B492" t="s">
        <v>145</v>
      </c>
      <c r="C492">
        <v>70027</v>
      </c>
      <c r="D492" s="2">
        <v>256.7</v>
      </c>
      <c r="E492" s="1">
        <v>42849</v>
      </c>
      <c r="F492" t="str">
        <f>"1005936"</f>
        <v>1005936</v>
      </c>
      <c r="G492" t="str">
        <f>"ACCT#B06875/ELECTIONS"</f>
        <v>ACCT#B06875/ELECTIONS</v>
      </c>
      <c r="H492" s="2">
        <v>256.7</v>
      </c>
      <c r="I492" t="str">
        <f>"ACCT#B06875/ELECTIONS"</f>
        <v>ACCT#B06875/ELECTIONS</v>
      </c>
    </row>
    <row r="493" spans="1:9" x14ac:dyDescent="0.3">
      <c r="A493" t="str">
        <f>"003027"</f>
        <v>003027</v>
      </c>
      <c r="B493" t="s">
        <v>146</v>
      </c>
      <c r="C493">
        <v>69606</v>
      </c>
      <c r="D493" s="2">
        <v>15.21</v>
      </c>
      <c r="E493" s="1">
        <v>42835</v>
      </c>
      <c r="F493" t="str">
        <f>"145-05714-01"</f>
        <v>145-05714-01</v>
      </c>
      <c r="G493" t="str">
        <f>"CUST#0888336/GS"</f>
        <v>CUST#0888336/GS</v>
      </c>
      <c r="H493" s="2">
        <v>15.21</v>
      </c>
      <c r="I493" t="str">
        <f>"CUST#0888336/GS"</f>
        <v>CUST#0888336/GS</v>
      </c>
    </row>
    <row r="494" spans="1:9" x14ac:dyDescent="0.3">
      <c r="A494" t="str">
        <f>"003027"</f>
        <v>003027</v>
      </c>
      <c r="B494" t="s">
        <v>146</v>
      </c>
      <c r="C494">
        <v>69859</v>
      </c>
      <c r="D494" s="2">
        <v>3099.73</v>
      </c>
      <c r="E494" s="1">
        <v>42849</v>
      </c>
      <c r="F494" t="str">
        <f>"145-06111-01"</f>
        <v>145-06111-01</v>
      </c>
      <c r="G494" t="str">
        <f t="shared" ref="G494:G500" si="5">"ELECTRICAL SUPPLIES"</f>
        <v>ELECTRICAL SUPPLIES</v>
      </c>
      <c r="H494" s="2">
        <v>893.62</v>
      </c>
      <c r="I494" t="str">
        <f t="shared" ref="I494:I500" si="6">"ELECTRICAL SUPPLIES"</f>
        <v>ELECTRICAL SUPPLIES</v>
      </c>
    </row>
    <row r="495" spans="1:9" x14ac:dyDescent="0.3">
      <c r="A495" t="str">
        <f>""</f>
        <v/>
      </c>
      <c r="F495" t="str">
        <f>"145-06111-02"</f>
        <v>145-06111-02</v>
      </c>
      <c r="G495" t="str">
        <f t="shared" si="5"/>
        <v>ELECTRICAL SUPPLIES</v>
      </c>
      <c r="H495" s="2">
        <v>1514.47</v>
      </c>
      <c r="I495" t="str">
        <f t="shared" si="6"/>
        <v>ELECTRICAL SUPPLIES</v>
      </c>
    </row>
    <row r="496" spans="1:9" x14ac:dyDescent="0.3">
      <c r="A496" t="str">
        <f>""</f>
        <v/>
      </c>
      <c r="F496" t="str">
        <f>"145-06129-01"</f>
        <v>145-06129-01</v>
      </c>
      <c r="G496" t="str">
        <f t="shared" si="5"/>
        <v>ELECTRICAL SUPPLIES</v>
      </c>
      <c r="H496" s="2">
        <v>64.349999999999994</v>
      </c>
      <c r="I496" t="str">
        <f t="shared" si="6"/>
        <v>ELECTRICAL SUPPLIES</v>
      </c>
    </row>
    <row r="497" spans="1:9" x14ac:dyDescent="0.3">
      <c r="A497" t="str">
        <f>""</f>
        <v/>
      </c>
      <c r="F497" t="str">
        <f>"145-06129-02"</f>
        <v>145-06129-02</v>
      </c>
      <c r="G497" t="str">
        <f t="shared" si="5"/>
        <v>ELECTRICAL SUPPLIES</v>
      </c>
      <c r="H497" s="2">
        <v>45.44</v>
      </c>
      <c r="I497" t="str">
        <f t="shared" si="6"/>
        <v>ELECTRICAL SUPPLIES</v>
      </c>
    </row>
    <row r="498" spans="1:9" x14ac:dyDescent="0.3">
      <c r="A498" t="str">
        <f>""</f>
        <v/>
      </c>
      <c r="F498" t="str">
        <f>"145-06170-01"</f>
        <v>145-06170-01</v>
      </c>
      <c r="G498" t="str">
        <f t="shared" si="5"/>
        <v>ELECTRICAL SUPPLIES</v>
      </c>
      <c r="H498" s="2">
        <v>390</v>
      </c>
      <c r="I498" t="str">
        <f t="shared" si="6"/>
        <v>ELECTRICAL SUPPLIES</v>
      </c>
    </row>
    <row r="499" spans="1:9" x14ac:dyDescent="0.3">
      <c r="A499" t="str">
        <f>""</f>
        <v/>
      </c>
      <c r="F499" t="str">
        <f>"145-06170-02"</f>
        <v>145-06170-02</v>
      </c>
      <c r="G499" t="str">
        <f t="shared" si="5"/>
        <v>ELECTRICAL SUPPLIES</v>
      </c>
      <c r="H499" s="2">
        <v>150</v>
      </c>
      <c r="I499" t="str">
        <f t="shared" si="6"/>
        <v>ELECTRICAL SUPPLIES</v>
      </c>
    </row>
    <row r="500" spans="1:9" x14ac:dyDescent="0.3">
      <c r="A500" t="str">
        <f>""</f>
        <v/>
      </c>
      <c r="F500" t="str">
        <f>"145-06274-01"</f>
        <v>145-06274-01</v>
      </c>
      <c r="G500" t="str">
        <f t="shared" si="5"/>
        <v>ELECTRICAL SUPPLIES</v>
      </c>
      <c r="H500" s="2">
        <v>41.85</v>
      </c>
      <c r="I500" t="str">
        <f t="shared" si="6"/>
        <v>ELECTRICAL SUPPLIES</v>
      </c>
    </row>
    <row r="501" spans="1:9" x14ac:dyDescent="0.3">
      <c r="A501" t="str">
        <f>"002497"</f>
        <v>002497</v>
      </c>
      <c r="B501" t="s">
        <v>147</v>
      </c>
      <c r="C501">
        <v>69847</v>
      </c>
      <c r="D501" s="2">
        <v>115</v>
      </c>
      <c r="E501" s="1">
        <v>42849</v>
      </c>
      <c r="F501" t="str">
        <f>"201704191361"</f>
        <v>201704191361</v>
      </c>
      <c r="G501" t="str">
        <f>"PER DIEM"</f>
        <v>PER DIEM</v>
      </c>
      <c r="H501" s="2">
        <v>115</v>
      </c>
    </row>
    <row r="502" spans="1:9" x14ac:dyDescent="0.3">
      <c r="A502" t="str">
        <f>"T10729"</f>
        <v>T10729</v>
      </c>
      <c r="B502" t="s">
        <v>148</v>
      </c>
      <c r="C502">
        <v>69607</v>
      </c>
      <c r="D502" s="2">
        <v>15223.74</v>
      </c>
      <c r="E502" s="1">
        <v>42835</v>
      </c>
      <c r="F502" t="str">
        <f>"109215"</f>
        <v>109215</v>
      </c>
      <c r="G502" t="str">
        <f>"Software maintenance"</f>
        <v>Software maintenance</v>
      </c>
      <c r="H502" s="2">
        <v>15223.74</v>
      </c>
      <c r="I502" t="str">
        <f>"Materials#109215"</f>
        <v>Materials#109215</v>
      </c>
    </row>
    <row r="503" spans="1:9" x14ac:dyDescent="0.3">
      <c r="A503" t="str">
        <f>"000589"</f>
        <v>000589</v>
      </c>
      <c r="B503" t="s">
        <v>149</v>
      </c>
      <c r="C503">
        <v>69608</v>
      </c>
      <c r="D503" s="2">
        <v>3450.65</v>
      </c>
      <c r="E503" s="1">
        <v>42835</v>
      </c>
      <c r="F503" t="str">
        <f>"9401606408"</f>
        <v>9401606408</v>
      </c>
      <c r="G503" t="str">
        <f>"CUST#912923/SS-1/PCT#4"</f>
        <v>CUST#912923/SS-1/PCT#4</v>
      </c>
      <c r="H503" s="2">
        <v>3450.65</v>
      </c>
      <c r="I503" t="str">
        <f>"CUST#912923/SS-1/PCT#4"</f>
        <v>CUST#912923/SS-1/PCT#4</v>
      </c>
    </row>
    <row r="504" spans="1:9" x14ac:dyDescent="0.3">
      <c r="A504" t="str">
        <f>"004780"</f>
        <v>004780</v>
      </c>
      <c r="B504" t="s">
        <v>150</v>
      </c>
      <c r="C504">
        <v>69609</v>
      </c>
      <c r="D504" s="2">
        <v>3328.42</v>
      </c>
      <c r="E504" s="1">
        <v>42835</v>
      </c>
      <c r="F504" t="str">
        <f>"201704050694"</f>
        <v>201704050694</v>
      </c>
      <c r="G504" t="str">
        <f>"FACILITY SOLUTIONS GROUP INC"</f>
        <v>FACILITY SOLUTIONS GROUP INC</v>
      </c>
      <c r="H504" s="2">
        <v>2636.67</v>
      </c>
      <c r="I504" t="str">
        <f>"Materials"</f>
        <v>Materials</v>
      </c>
    </row>
    <row r="505" spans="1:9" x14ac:dyDescent="0.3">
      <c r="A505" t="str">
        <f>""</f>
        <v/>
      </c>
      <c r="F505" t="str">
        <f>""</f>
        <v/>
      </c>
      <c r="G505" t="str">
        <f>""</f>
        <v/>
      </c>
      <c r="I505" t="str">
        <f>"Labor"</f>
        <v>Labor</v>
      </c>
    </row>
    <row r="506" spans="1:9" x14ac:dyDescent="0.3">
      <c r="A506" t="str">
        <f>""</f>
        <v/>
      </c>
      <c r="F506" t="str">
        <f>"4415243-00"</f>
        <v>4415243-00</v>
      </c>
      <c r="G506" t="str">
        <f>"Invoice# 4415243-00"</f>
        <v>Invoice# 4415243-00</v>
      </c>
      <c r="H506" s="2">
        <v>691.75</v>
      </c>
      <c r="I506" t="str">
        <f>"930-00106"</f>
        <v>930-00106</v>
      </c>
    </row>
    <row r="507" spans="1:9" x14ac:dyDescent="0.3">
      <c r="A507" t="str">
        <f>""</f>
        <v/>
      </c>
      <c r="F507" t="str">
        <f>""</f>
        <v/>
      </c>
      <c r="G507" t="str">
        <f>""</f>
        <v/>
      </c>
      <c r="I507" t="str">
        <f>"97778"</f>
        <v>97778</v>
      </c>
    </row>
    <row r="508" spans="1:9" x14ac:dyDescent="0.3">
      <c r="A508" t="str">
        <f>""</f>
        <v/>
      </c>
      <c r="F508" t="str">
        <f>""</f>
        <v/>
      </c>
      <c r="G508" t="str">
        <f>""</f>
        <v/>
      </c>
      <c r="I508" t="str">
        <f>"Shipping"</f>
        <v>Shipping</v>
      </c>
    </row>
    <row r="509" spans="1:9" x14ac:dyDescent="0.3">
      <c r="A509" t="str">
        <f>"FCC"</f>
        <v>FCC</v>
      </c>
      <c r="B509" t="s">
        <v>151</v>
      </c>
      <c r="C509">
        <v>69953</v>
      </c>
      <c r="D509" s="2">
        <v>11000</v>
      </c>
      <c r="E509" s="1">
        <v>42849</v>
      </c>
      <c r="F509" t="str">
        <f>"201704131202"</f>
        <v>201704131202</v>
      </c>
      <c r="G509" t="str">
        <f>"PER BUDGET FY' 16/17"</f>
        <v>PER BUDGET FY' 16/17</v>
      </c>
      <c r="H509" s="2">
        <v>11000</v>
      </c>
      <c r="I509" t="str">
        <f>"PER BUDGET FY' 16/17"</f>
        <v>PER BUDGET FY' 16/17</v>
      </c>
    </row>
    <row r="510" spans="1:9" x14ac:dyDescent="0.3">
      <c r="A510" t="str">
        <f>"T526"</f>
        <v>T526</v>
      </c>
      <c r="B510" t="s">
        <v>153</v>
      </c>
      <c r="C510">
        <v>70023</v>
      </c>
      <c r="D510" s="2">
        <v>60.54</v>
      </c>
      <c r="E510" s="1">
        <v>42849</v>
      </c>
      <c r="F510" t="str">
        <f>"5-762-02221"</f>
        <v>5-762-02221</v>
      </c>
      <c r="G510" t="str">
        <f>"FEDERAL EXPRESS"</f>
        <v>FEDERAL EXPRESS</v>
      </c>
      <c r="H510" s="2">
        <v>60.54</v>
      </c>
      <c r="I510" t="str">
        <f>"FEDERAL EXPRESS"</f>
        <v>FEDERAL EXPRESS</v>
      </c>
    </row>
    <row r="511" spans="1:9" x14ac:dyDescent="0.3">
      <c r="A511" t="str">
        <f>"T9733"</f>
        <v>T9733</v>
      </c>
      <c r="B511" t="s">
        <v>154</v>
      </c>
      <c r="C511">
        <v>70045</v>
      </c>
      <c r="D511" s="2">
        <v>10</v>
      </c>
      <c r="E511" s="1">
        <v>42849</v>
      </c>
      <c r="F511" t="str">
        <f>"15700"</f>
        <v>15700</v>
      </c>
      <c r="G511" t="str">
        <f>"RESTITUTION-E MARTINEZ"</f>
        <v>RESTITUTION-E MARTINEZ</v>
      </c>
      <c r="H511" s="2">
        <v>10</v>
      </c>
      <c r="I511" t="str">
        <f>"RESTITUTION-E MARTINEZ"</f>
        <v>RESTITUTION-E MARTINEZ</v>
      </c>
    </row>
    <row r="512" spans="1:9" x14ac:dyDescent="0.3">
      <c r="A512" t="str">
        <f>"004691"</f>
        <v>004691</v>
      </c>
      <c r="B512" t="s">
        <v>155</v>
      </c>
      <c r="C512">
        <v>69610</v>
      </c>
      <c r="D512" s="2">
        <v>11885.92</v>
      </c>
      <c r="E512" s="1">
        <v>42835</v>
      </c>
      <c r="F512" t="str">
        <f>"NP49937215"</f>
        <v>NP49937215</v>
      </c>
      <c r="G512" t="str">
        <f>"INV NP49937215"</f>
        <v>INV NP49937215</v>
      </c>
      <c r="H512" s="2">
        <v>10855.76</v>
      </c>
      <c r="I512" t="str">
        <f>"INV NP49937215"</f>
        <v>INV NP49937215</v>
      </c>
    </row>
    <row r="513" spans="1:9" x14ac:dyDescent="0.3">
      <c r="A513" t="str">
        <f>""</f>
        <v/>
      </c>
      <c r="F513" t="str">
        <f>"NP50092918"</f>
        <v>NP50092918</v>
      </c>
      <c r="G513" t="str">
        <f>"Stmt# NP50092918"</f>
        <v>Stmt# NP50092918</v>
      </c>
      <c r="H513" s="2">
        <v>608.17999999999995</v>
      </c>
      <c r="I513" t="str">
        <f>"General Ser. Payment"</f>
        <v>General Ser. Payment</v>
      </c>
    </row>
    <row r="514" spans="1:9" x14ac:dyDescent="0.3">
      <c r="A514" t="str">
        <f>""</f>
        <v/>
      </c>
      <c r="F514" t="str">
        <f>""</f>
        <v/>
      </c>
      <c r="G514" t="str">
        <f>""</f>
        <v/>
      </c>
      <c r="I514" t="str">
        <f>"Sign Shop Payment"</f>
        <v>Sign Shop Payment</v>
      </c>
    </row>
    <row r="515" spans="1:9" x14ac:dyDescent="0.3">
      <c r="A515" t="str">
        <f>""</f>
        <v/>
      </c>
      <c r="F515" t="str">
        <f>""</f>
        <v/>
      </c>
      <c r="G515" t="str">
        <f>""</f>
        <v/>
      </c>
      <c r="I515" t="str">
        <f>"Ag payment"</f>
        <v>Ag payment</v>
      </c>
    </row>
    <row r="516" spans="1:9" x14ac:dyDescent="0.3">
      <c r="A516" t="str">
        <f>""</f>
        <v/>
      </c>
      <c r="F516" t="str">
        <f>""</f>
        <v/>
      </c>
      <c r="G516" t="str">
        <f>""</f>
        <v/>
      </c>
      <c r="I516" t="str">
        <f>"Pct. 1 Payment"</f>
        <v>Pct. 1 Payment</v>
      </c>
    </row>
    <row r="517" spans="1:9" x14ac:dyDescent="0.3">
      <c r="A517" t="str">
        <f>""</f>
        <v/>
      </c>
      <c r="F517" t="str">
        <f>"NP50093195"</f>
        <v>NP50093195</v>
      </c>
      <c r="G517" t="str">
        <f>"Stmt# NP50093195"</f>
        <v>Stmt# NP50093195</v>
      </c>
      <c r="H517" s="2">
        <v>421.98</v>
      </c>
      <c r="I517" t="str">
        <f>"Stmt# NP50093195"</f>
        <v>Stmt# NP50093195</v>
      </c>
    </row>
    <row r="518" spans="1:9" x14ac:dyDescent="0.3">
      <c r="A518" t="str">
        <f>"004691"</f>
        <v>004691</v>
      </c>
      <c r="B518" t="s">
        <v>155</v>
      </c>
      <c r="C518">
        <v>69907</v>
      </c>
      <c r="D518" s="2">
        <v>10956.99</v>
      </c>
      <c r="E518" s="1">
        <v>42849</v>
      </c>
      <c r="F518" t="str">
        <f>"201704201398"</f>
        <v>201704201398</v>
      </c>
      <c r="G518" t="str">
        <f>"STMT# NP50163323"</f>
        <v>STMT# NP50163323</v>
      </c>
      <c r="H518" s="2">
        <v>580.33000000000004</v>
      </c>
      <c r="I518" t="str">
        <f>"General Services"</f>
        <v>General Services</v>
      </c>
    </row>
    <row r="519" spans="1:9" x14ac:dyDescent="0.3">
      <c r="A519" t="str">
        <f>""</f>
        <v/>
      </c>
      <c r="F519" t="str">
        <f>""</f>
        <v/>
      </c>
      <c r="G519" t="str">
        <f>""</f>
        <v/>
      </c>
      <c r="I519" t="str">
        <f>"Sign Shop"</f>
        <v>Sign Shop</v>
      </c>
    </row>
    <row r="520" spans="1:9" x14ac:dyDescent="0.3">
      <c r="A520" t="str">
        <f>""</f>
        <v/>
      </c>
      <c r="F520" t="str">
        <f>""</f>
        <v/>
      </c>
      <c r="G520" t="str">
        <f>""</f>
        <v/>
      </c>
      <c r="I520" t="str">
        <f>"Habitat Conservation"</f>
        <v>Habitat Conservation</v>
      </c>
    </row>
    <row r="521" spans="1:9" x14ac:dyDescent="0.3">
      <c r="A521" t="str">
        <f>""</f>
        <v/>
      </c>
      <c r="F521" t="str">
        <f>""</f>
        <v/>
      </c>
      <c r="G521" t="str">
        <f>""</f>
        <v/>
      </c>
      <c r="I521" t="str">
        <f>"Ag Extension"</f>
        <v>Ag Extension</v>
      </c>
    </row>
    <row r="522" spans="1:9" x14ac:dyDescent="0.3">
      <c r="A522" t="str">
        <f>""</f>
        <v/>
      </c>
      <c r="F522" t="str">
        <f>"201704201402"</f>
        <v>201704201402</v>
      </c>
      <c r="G522" t="str">
        <f>"STMT# NP50163597"</f>
        <v>STMT# NP50163597</v>
      </c>
      <c r="H522" s="2">
        <v>309.77</v>
      </c>
      <c r="I522" t="str">
        <f>"Payment"</f>
        <v>Payment</v>
      </c>
    </row>
    <row r="523" spans="1:9" x14ac:dyDescent="0.3">
      <c r="A523" t="str">
        <f>""</f>
        <v/>
      </c>
      <c r="F523" t="str">
        <f>"NP50093156"</f>
        <v>NP50093156</v>
      </c>
      <c r="G523" t="str">
        <f>"INV NP50093156"</f>
        <v>INV NP50093156</v>
      </c>
      <c r="H523" s="2">
        <v>10066.89</v>
      </c>
      <c r="I523" t="str">
        <f>"INV NP50093156"</f>
        <v>INV NP50093156</v>
      </c>
    </row>
    <row r="524" spans="1:9" x14ac:dyDescent="0.3">
      <c r="A524" t="str">
        <f>"FLS"</f>
        <v>FLS</v>
      </c>
      <c r="B524" t="s">
        <v>156</v>
      </c>
      <c r="C524">
        <v>69611</v>
      </c>
      <c r="D524" s="2">
        <v>875</v>
      </c>
      <c r="E524" s="1">
        <v>42835</v>
      </c>
      <c r="F524" t="str">
        <f>"201704061124"</f>
        <v>201704061124</v>
      </c>
      <c r="G524" t="str">
        <f>"53623 54727"</f>
        <v>53623 54727</v>
      </c>
      <c r="H524" s="2">
        <v>375</v>
      </c>
      <c r="I524" t="str">
        <f>"53623 54727"</f>
        <v>53623 54727</v>
      </c>
    </row>
    <row r="525" spans="1:9" x14ac:dyDescent="0.3">
      <c r="A525" t="str">
        <f>""</f>
        <v/>
      </c>
      <c r="F525" t="str">
        <f>"201704061125"</f>
        <v>201704061125</v>
      </c>
      <c r="G525" t="str">
        <f>"54914"</f>
        <v>54914</v>
      </c>
      <c r="H525" s="2">
        <v>250</v>
      </c>
      <c r="I525" t="str">
        <f>"54914"</f>
        <v>54914</v>
      </c>
    </row>
    <row r="526" spans="1:9" x14ac:dyDescent="0.3">
      <c r="A526" t="str">
        <f>""</f>
        <v/>
      </c>
      <c r="F526" t="str">
        <f>"201704061126"</f>
        <v>201704061126</v>
      </c>
      <c r="G526" t="str">
        <f>"54887"</f>
        <v>54887</v>
      </c>
      <c r="H526" s="2">
        <v>250</v>
      </c>
      <c r="I526" t="str">
        <f>"54887"</f>
        <v>54887</v>
      </c>
    </row>
    <row r="527" spans="1:9" x14ac:dyDescent="0.3">
      <c r="A527" t="str">
        <f>"FLS"</f>
        <v>FLS</v>
      </c>
      <c r="B527" t="s">
        <v>156</v>
      </c>
      <c r="C527">
        <v>69954</v>
      </c>
      <c r="D527" s="2">
        <v>1600</v>
      </c>
      <c r="E527" s="1">
        <v>42849</v>
      </c>
      <c r="F527" t="str">
        <f>"201704201477"</f>
        <v>201704201477</v>
      </c>
      <c r="G527" t="str">
        <f>"15.539"</f>
        <v>15.539</v>
      </c>
      <c r="H527" s="2">
        <v>400</v>
      </c>
      <c r="I527" t="str">
        <f>"15.539"</f>
        <v>15.539</v>
      </c>
    </row>
    <row r="528" spans="1:9" x14ac:dyDescent="0.3">
      <c r="A528" t="str">
        <f>""</f>
        <v/>
      </c>
      <c r="F528" t="str">
        <f>"201704201478"</f>
        <v>201704201478</v>
      </c>
      <c r="G528" t="str">
        <f>"20160379B"</f>
        <v>20160379B</v>
      </c>
      <c r="H528" s="2">
        <v>400</v>
      </c>
      <c r="I528" t="str">
        <f>"20160379B"</f>
        <v>20160379B</v>
      </c>
    </row>
    <row r="529" spans="1:9" x14ac:dyDescent="0.3">
      <c r="A529" t="str">
        <f>""</f>
        <v/>
      </c>
      <c r="F529" t="str">
        <f>"201704201479"</f>
        <v>201704201479</v>
      </c>
      <c r="G529" t="str">
        <f>"20160331"</f>
        <v>20160331</v>
      </c>
      <c r="H529" s="2">
        <v>400</v>
      </c>
      <c r="I529" t="str">
        <f>"20160331"</f>
        <v>20160331</v>
      </c>
    </row>
    <row r="530" spans="1:9" x14ac:dyDescent="0.3">
      <c r="A530" t="str">
        <f>""</f>
        <v/>
      </c>
      <c r="F530" t="str">
        <f>"201704201480"</f>
        <v>201704201480</v>
      </c>
      <c r="G530" t="str">
        <f>"16.170"</f>
        <v>16.170</v>
      </c>
      <c r="H530" s="2">
        <v>400</v>
      </c>
      <c r="I530" t="str">
        <f>"16.170"</f>
        <v>16.170</v>
      </c>
    </row>
    <row r="531" spans="1:9" x14ac:dyDescent="0.3">
      <c r="A531" t="str">
        <f>"G&amp;C"</f>
        <v>G&amp;C</v>
      </c>
      <c r="B531" t="s">
        <v>157</v>
      </c>
      <c r="C531">
        <v>69612</v>
      </c>
      <c r="D531" s="2">
        <v>147.21</v>
      </c>
      <c r="E531" s="1">
        <v>42835</v>
      </c>
      <c r="F531" t="str">
        <f>"101237"</f>
        <v>101237</v>
      </c>
      <c r="G531" t="str">
        <f>"FERAL HOG CLAIM BNTY"</f>
        <v>FERAL HOG CLAIM BNTY</v>
      </c>
      <c r="H531" s="2">
        <v>147.21</v>
      </c>
      <c r="I531" t="str">
        <f>"FERAL HOG CLAIM BNTY"</f>
        <v>FERAL HOG CLAIM BNTY</v>
      </c>
    </row>
    <row r="532" spans="1:9" x14ac:dyDescent="0.3">
      <c r="A532" t="str">
        <f>"G&amp;C"</f>
        <v>G&amp;C</v>
      </c>
      <c r="B532" t="s">
        <v>157</v>
      </c>
      <c r="C532">
        <v>69955</v>
      </c>
      <c r="D532" s="2">
        <v>143</v>
      </c>
      <c r="E532" s="1">
        <v>42849</v>
      </c>
      <c r="F532" t="str">
        <f>"101390"</f>
        <v>101390</v>
      </c>
      <c r="G532" t="str">
        <f>"BCARDS-RETZLOFF THOMAS"</f>
        <v>BCARDS-RETZLOFF THOMAS</v>
      </c>
      <c r="H532" s="2">
        <v>143</v>
      </c>
      <c r="I532" t="str">
        <f>"BCARDS-RETZLOFF THOMAS"</f>
        <v>BCARDS-RETZLOFF THOMAS</v>
      </c>
    </row>
    <row r="533" spans="1:9" x14ac:dyDescent="0.3">
      <c r="A533" t="str">
        <f>"002605"</f>
        <v>002605</v>
      </c>
      <c r="B533" t="s">
        <v>158</v>
      </c>
      <c r="C533">
        <v>69849</v>
      </c>
      <c r="D533" s="2">
        <v>307.45999999999998</v>
      </c>
      <c r="E533" s="1">
        <v>42849</v>
      </c>
      <c r="F533" t="str">
        <f>"1062174084/86949"</f>
        <v>1062174084/86949</v>
      </c>
      <c r="G533" t="str">
        <f>"CUST#2179855/PCT#3"</f>
        <v>CUST#2179855/PCT#3</v>
      </c>
      <c r="H533" s="2">
        <v>307.45999999999998</v>
      </c>
      <c r="I533" t="str">
        <f>"CUST#2179855/PCT#3"</f>
        <v>CUST#2179855/PCT#3</v>
      </c>
    </row>
    <row r="534" spans="1:9" x14ac:dyDescent="0.3">
      <c r="A534" t="str">
        <f>"004055"</f>
        <v>004055</v>
      </c>
      <c r="B534" t="s">
        <v>159</v>
      </c>
      <c r="C534">
        <v>69613</v>
      </c>
      <c r="D534" s="2">
        <v>203.3</v>
      </c>
      <c r="E534" s="1">
        <v>42835</v>
      </c>
      <c r="F534" t="str">
        <f>"1105"</f>
        <v>1105</v>
      </c>
      <c r="G534" t="str">
        <f>"UNIT 71"</f>
        <v>UNIT 71</v>
      </c>
      <c r="H534" s="2">
        <v>178.3</v>
      </c>
      <c r="I534" t="str">
        <f>"UNIT 71 DOOR REPAIR"</f>
        <v>UNIT 71 DOOR REPAIR</v>
      </c>
    </row>
    <row r="535" spans="1:9" x14ac:dyDescent="0.3">
      <c r="A535" t="str">
        <f>""</f>
        <v/>
      </c>
      <c r="F535" t="str">
        <f>"1106"</f>
        <v>1106</v>
      </c>
      <c r="G535" t="str">
        <f>"UNIT 1126 &amp; 71"</f>
        <v>UNIT 1126 &amp; 71</v>
      </c>
      <c r="H535" s="2">
        <v>25</v>
      </c>
      <c r="I535" t="str">
        <f>"UNIT 1126"</f>
        <v>UNIT 1126</v>
      </c>
    </row>
    <row r="536" spans="1:9" x14ac:dyDescent="0.3">
      <c r="A536" t="str">
        <f>""</f>
        <v/>
      </c>
      <c r="F536" t="str">
        <f>""</f>
        <v/>
      </c>
      <c r="G536" t="str">
        <f>""</f>
        <v/>
      </c>
      <c r="I536" t="str">
        <f>"UNIT 71"</f>
        <v>UNIT 71</v>
      </c>
    </row>
    <row r="537" spans="1:9" x14ac:dyDescent="0.3">
      <c r="A537" t="str">
        <f>"004906"</f>
        <v>004906</v>
      </c>
      <c r="B537" t="s">
        <v>160</v>
      </c>
      <c r="C537">
        <v>69614</v>
      </c>
      <c r="D537" s="2">
        <v>20</v>
      </c>
      <c r="E537" s="1">
        <v>42835</v>
      </c>
      <c r="F537" t="str">
        <f>"201704060761"</f>
        <v>201704060761</v>
      </c>
      <c r="G537" t="str">
        <f>"FERAL HOGS"</f>
        <v>FERAL HOGS</v>
      </c>
      <c r="H537" s="2">
        <v>10</v>
      </c>
      <c r="I537" t="str">
        <f>"FERAL HOGS"</f>
        <v>FERAL HOGS</v>
      </c>
    </row>
    <row r="538" spans="1:9" x14ac:dyDescent="0.3">
      <c r="A538" t="str">
        <f>""</f>
        <v/>
      </c>
      <c r="F538" t="str">
        <f>"201704060764"</f>
        <v>201704060764</v>
      </c>
      <c r="G538" t="str">
        <f>"FERAL HOGS"</f>
        <v>FERAL HOGS</v>
      </c>
      <c r="H538" s="2">
        <v>10</v>
      </c>
      <c r="I538" t="str">
        <f>"FERAL HOGS"</f>
        <v>FERAL HOGS</v>
      </c>
    </row>
    <row r="539" spans="1:9" x14ac:dyDescent="0.3">
      <c r="A539" t="str">
        <f>"003221"</f>
        <v>003221</v>
      </c>
      <c r="B539" t="s">
        <v>161</v>
      </c>
      <c r="C539">
        <v>69615</v>
      </c>
      <c r="D539" s="2">
        <v>7920</v>
      </c>
      <c r="E539" s="1">
        <v>42835</v>
      </c>
      <c r="F539" t="str">
        <f>"732142"</f>
        <v>732142</v>
      </c>
      <c r="G539" t="str">
        <f>"HEADWALLS/PCT#4"</f>
        <v>HEADWALLS/PCT#4</v>
      </c>
      <c r="H539" s="2">
        <v>7920</v>
      </c>
      <c r="I539" t="str">
        <f>"HEADWALLS/PCT#4"</f>
        <v>HEADWALLS/PCT#4</v>
      </c>
    </row>
    <row r="540" spans="1:9" x14ac:dyDescent="0.3">
      <c r="A540" t="str">
        <f>"004048"</f>
        <v>004048</v>
      </c>
      <c r="B540" t="s">
        <v>162</v>
      </c>
      <c r="C540">
        <v>69616</v>
      </c>
      <c r="D540" s="2">
        <v>390</v>
      </c>
      <c r="E540" s="1">
        <v>42835</v>
      </c>
      <c r="F540" t="str">
        <f>"201704030611"</f>
        <v>201704030611</v>
      </c>
      <c r="G540" t="str">
        <f>"REGISTRATION- L MAYFIELD"</f>
        <v>REGISTRATION- L MAYFIELD</v>
      </c>
      <c r="H540" s="2">
        <v>195</v>
      </c>
      <c r="I540" t="str">
        <f>"REGISTRATION- L MAYFIELD"</f>
        <v>REGISTRATION- L MAYFIELD</v>
      </c>
    </row>
    <row r="541" spans="1:9" x14ac:dyDescent="0.3">
      <c r="A541" t="str">
        <f>""</f>
        <v/>
      </c>
      <c r="F541" t="str">
        <f>"201704030612"</f>
        <v>201704030612</v>
      </c>
      <c r="G541" t="str">
        <f>"REGISTRATION- M BORREGO"</f>
        <v>REGISTRATION- M BORREGO</v>
      </c>
      <c r="H541" s="2">
        <v>195</v>
      </c>
      <c r="I541" t="str">
        <f>"REGISTRATION- M BORREGO"</f>
        <v>REGISTRATION- M BORREGO</v>
      </c>
    </row>
    <row r="542" spans="1:9" x14ac:dyDescent="0.3">
      <c r="A542" t="str">
        <f>"004605"</f>
        <v>004605</v>
      </c>
      <c r="B542" t="s">
        <v>163</v>
      </c>
      <c r="C542">
        <v>69901</v>
      </c>
      <c r="D542" s="2">
        <v>50</v>
      </c>
      <c r="E542" s="1">
        <v>42849</v>
      </c>
      <c r="F542" t="str">
        <f>"          12085"</f>
        <v xml:space="preserve">          12085</v>
      </c>
      <c r="G542" t="str">
        <f>"RESTITUTION-E ACOSTA"</f>
        <v>RESTITUTION-E ACOSTA</v>
      </c>
      <c r="H542" s="2">
        <v>50</v>
      </c>
      <c r="I542" t="str">
        <f>"RESTITUTION-E ACOSTA"</f>
        <v>RESTITUTION-E ACOSTA</v>
      </c>
    </row>
    <row r="543" spans="1:9" x14ac:dyDescent="0.3">
      <c r="A543" t="str">
        <f>"004204"</f>
        <v>004204</v>
      </c>
      <c r="B543" t="s">
        <v>164</v>
      </c>
      <c r="C543">
        <v>69890</v>
      </c>
      <c r="D543" s="2">
        <v>1078.06</v>
      </c>
      <c r="E543" s="1">
        <v>42849</v>
      </c>
      <c r="F543" t="str">
        <f>"201704201415"</f>
        <v>201704201415</v>
      </c>
      <c r="G543" t="str">
        <f>"BOILER REPAIR 79114"</f>
        <v>BOILER REPAIR 79114</v>
      </c>
      <c r="H543" s="2">
        <v>1078.06</v>
      </c>
      <c r="I543" t="str">
        <f>"BOILER REPAIR"</f>
        <v>BOILER REPAIR</v>
      </c>
    </row>
    <row r="544" spans="1:9" x14ac:dyDescent="0.3">
      <c r="A544" t="str">
        <f>"WWGI"</f>
        <v>WWGI</v>
      </c>
      <c r="B544" t="s">
        <v>165</v>
      </c>
      <c r="C544">
        <v>70055</v>
      </c>
      <c r="D544" s="2">
        <v>137.04</v>
      </c>
      <c r="E544" s="1">
        <v>42849</v>
      </c>
      <c r="F544" t="str">
        <f>"201704201414"</f>
        <v>201704201414</v>
      </c>
      <c r="G544" t="str">
        <f>"CAPACITOR PVI BOILER"</f>
        <v>CAPACITOR PVI BOILER</v>
      </c>
      <c r="H544" s="2">
        <v>10.32</v>
      </c>
      <c r="I544" t="str">
        <f>"CAPACITOR PVI BOILER"</f>
        <v>CAPACITOR PVI BOILER</v>
      </c>
    </row>
    <row r="545" spans="1:10" x14ac:dyDescent="0.3">
      <c r="A545" t="str">
        <f>""</f>
        <v/>
      </c>
      <c r="F545" t="str">
        <f>"9412965601"</f>
        <v>9412965601</v>
      </c>
      <c r="G545" t="str">
        <f>"ACCT#814780730/AS"</f>
        <v>ACCT#814780730/AS</v>
      </c>
      <c r="H545" s="2">
        <v>126.72</v>
      </c>
      <c r="I545" t="str">
        <f>"ACCT#814780730/AS"</f>
        <v>ACCT#814780730/AS</v>
      </c>
    </row>
    <row r="546" spans="1:10" x14ac:dyDescent="0.3">
      <c r="A546" t="str">
        <f>"GTDI"</f>
        <v>GTDI</v>
      </c>
      <c r="B546" t="s">
        <v>166</v>
      </c>
      <c r="C546">
        <v>69617</v>
      </c>
      <c r="D546" s="2">
        <v>2399.5</v>
      </c>
      <c r="E546" s="1">
        <v>42835</v>
      </c>
      <c r="F546" t="str">
        <f>"0608957"</f>
        <v>0608957</v>
      </c>
      <c r="G546" t="str">
        <f>"INV 0608957"</f>
        <v>INV 0608957</v>
      </c>
      <c r="H546" s="2">
        <v>2399.5</v>
      </c>
      <c r="I546" t="str">
        <f>"INV 0608957"</f>
        <v>INV 0608957</v>
      </c>
    </row>
    <row r="547" spans="1:10" x14ac:dyDescent="0.3">
      <c r="A547" t="str">
        <f>""</f>
        <v/>
      </c>
      <c r="F547" t="str">
        <f>""</f>
        <v/>
      </c>
      <c r="G547" t="str">
        <f>""</f>
        <v/>
      </c>
      <c r="I547" t="str">
        <f>"SHIPPING"</f>
        <v>SHIPPING</v>
      </c>
    </row>
    <row r="548" spans="1:10" x14ac:dyDescent="0.3">
      <c r="A548" t="str">
        <f>""</f>
        <v/>
      </c>
      <c r="F548" t="str">
        <f>""</f>
        <v/>
      </c>
      <c r="G548" t="str">
        <f>""</f>
        <v/>
      </c>
      <c r="I548" t="str">
        <f>"INV 0610922"</f>
        <v>INV 0610922</v>
      </c>
    </row>
    <row r="549" spans="1:10" x14ac:dyDescent="0.3">
      <c r="A549" t="str">
        <f>""</f>
        <v/>
      </c>
      <c r="F549" t="str">
        <f>""</f>
        <v/>
      </c>
      <c r="G549" t="str">
        <f>""</f>
        <v/>
      </c>
      <c r="I549" t="str">
        <f>"INV 0609134"</f>
        <v>INV 0609134</v>
      </c>
    </row>
    <row r="550" spans="1:10" x14ac:dyDescent="0.3">
      <c r="A550" t="str">
        <f>""</f>
        <v/>
      </c>
      <c r="F550" t="str">
        <f>""</f>
        <v/>
      </c>
      <c r="G550" t="str">
        <f>""</f>
        <v/>
      </c>
      <c r="I550" t="str">
        <f>"INV 0609584"</f>
        <v>INV 0609584</v>
      </c>
    </row>
    <row r="551" spans="1:10" x14ac:dyDescent="0.3">
      <c r="A551" t="str">
        <f>"T3667"</f>
        <v>T3667</v>
      </c>
      <c r="B551" t="s">
        <v>167</v>
      </c>
      <c r="C551">
        <v>69618</v>
      </c>
      <c r="D551" s="2">
        <v>534.12</v>
      </c>
      <c r="E551" s="1">
        <v>42835</v>
      </c>
      <c r="F551" t="str">
        <f>"1294725"</f>
        <v>1294725</v>
      </c>
      <c r="G551" t="str">
        <f>"CUST#01/0007014928/GS"</f>
        <v>CUST#01/0007014928/GS</v>
      </c>
      <c r="H551" s="2">
        <v>534.12</v>
      </c>
      <c r="I551" t="str">
        <f>"CUST#01/0007014928/GS"</f>
        <v>CUST#01/0007014928/GS</v>
      </c>
    </row>
    <row r="552" spans="1:10" x14ac:dyDescent="0.3">
      <c r="A552" t="str">
        <f>"T3667"</f>
        <v>T3667</v>
      </c>
      <c r="B552" t="s">
        <v>167</v>
      </c>
      <c r="C552">
        <v>70018</v>
      </c>
      <c r="D552" s="2">
        <v>536.97</v>
      </c>
      <c r="E552" s="1">
        <v>42849</v>
      </c>
      <c r="F552" t="str">
        <f>"1303269"</f>
        <v>1303269</v>
      </c>
      <c r="G552" t="str">
        <f>"SUPPLIES"</f>
        <v>SUPPLIES</v>
      </c>
      <c r="H552" s="2">
        <v>434.16</v>
      </c>
      <c r="I552" t="str">
        <f>"SUPPLIES"</f>
        <v>SUPPLIES</v>
      </c>
    </row>
    <row r="553" spans="1:10" x14ac:dyDescent="0.3">
      <c r="A553" t="str">
        <f>""</f>
        <v/>
      </c>
      <c r="F553" t="str">
        <f>"1306204"</f>
        <v>1306204</v>
      </c>
      <c r="G553" t="str">
        <f>"SUPPLIES"</f>
        <v>SUPPLIES</v>
      </c>
      <c r="H553" s="2">
        <v>102.81</v>
      </c>
      <c r="I553" t="str">
        <f>"SUPPLIES"</f>
        <v>SUPPLIES</v>
      </c>
    </row>
    <row r="554" spans="1:10" x14ac:dyDescent="0.3">
      <c r="A554" t="str">
        <f>"T14120"</f>
        <v>T14120</v>
      </c>
      <c r="B554" t="s">
        <v>168</v>
      </c>
      <c r="C554">
        <v>70007</v>
      </c>
      <c r="D554" s="2">
        <v>85</v>
      </c>
      <c r="E554" s="1">
        <v>42849</v>
      </c>
      <c r="F554" t="str">
        <f>"819477"</f>
        <v>819477</v>
      </c>
      <c r="G554" t="str">
        <f>"ACCT#9039/PCT#3"</f>
        <v>ACCT#9039/PCT#3</v>
      </c>
      <c r="H554" s="2">
        <v>85</v>
      </c>
      <c r="I554" t="str">
        <f>"ACCT#9039/PCT#3"</f>
        <v>ACCT#9039/PCT#3</v>
      </c>
    </row>
    <row r="555" spans="1:10" x14ac:dyDescent="0.3">
      <c r="A555" t="str">
        <f>"T13876"</f>
        <v>T13876</v>
      </c>
      <c r="B555" t="s">
        <v>169</v>
      </c>
      <c r="C555">
        <v>70005</v>
      </c>
      <c r="D555" s="2">
        <v>5000</v>
      </c>
      <c r="E555" s="1">
        <v>42849</v>
      </c>
      <c r="F555" t="str">
        <f>"A224036"</f>
        <v>A224036</v>
      </c>
      <c r="G555" t="str">
        <f>"ENG SERVICES 03/31/17"</f>
        <v>ENG SERVICES 03/31/17</v>
      </c>
      <c r="H555" s="2">
        <v>5000</v>
      </c>
      <c r="I555" t="str">
        <f>"ENG SERVICES 03/31/17"</f>
        <v>ENG SERVICES 03/31/17</v>
      </c>
    </row>
    <row r="556" spans="1:10" x14ac:dyDescent="0.3">
      <c r="A556" t="str">
        <f>"002250"</f>
        <v>002250</v>
      </c>
      <c r="B556" t="s">
        <v>170</v>
      </c>
      <c r="C556">
        <v>69619</v>
      </c>
      <c r="D556" s="2">
        <v>223.74</v>
      </c>
      <c r="E556" s="1">
        <v>42835</v>
      </c>
      <c r="F556" t="str">
        <f>"201704050628"</f>
        <v>201704050628</v>
      </c>
      <c r="G556" t="str">
        <f>"LODGING"</f>
        <v>LODGING</v>
      </c>
      <c r="H556" s="2">
        <v>223.74</v>
      </c>
      <c r="I556" t="str">
        <f>"LODGING"</f>
        <v>LODGING</v>
      </c>
    </row>
    <row r="557" spans="1:10" x14ac:dyDescent="0.3">
      <c r="A557" t="str">
        <f>"003170"</f>
        <v>003170</v>
      </c>
      <c r="B557" t="s">
        <v>171</v>
      </c>
      <c r="C557">
        <v>69866</v>
      </c>
      <c r="D557" s="2">
        <v>225</v>
      </c>
      <c r="E557" s="1">
        <v>42849</v>
      </c>
      <c r="F557" t="s">
        <v>58</v>
      </c>
      <c r="G557" t="s">
        <v>59</v>
      </c>
      <c r="H557" s="2" t="str">
        <f>"SERVICE 1/27/17"</f>
        <v>SERVICE 1/27/17</v>
      </c>
      <c r="I557" t="str">
        <f>"995-4110"</f>
        <v>995-4110</v>
      </c>
      <c r="J557">
        <v>150</v>
      </c>
    </row>
    <row r="558" spans="1:10" x14ac:dyDescent="0.3">
      <c r="A558" t="str">
        <f>""</f>
        <v/>
      </c>
      <c r="F558" t="s">
        <v>50</v>
      </c>
      <c r="G558" t="s">
        <v>51</v>
      </c>
      <c r="H558" s="2" t="str">
        <f>"SERVICE 2/22/17"</f>
        <v>SERVICE 2/22/17</v>
      </c>
      <c r="I558" t="str">
        <f>"995-4110"</f>
        <v>995-4110</v>
      </c>
      <c r="J558">
        <v>75</v>
      </c>
    </row>
    <row r="559" spans="1:10" x14ac:dyDescent="0.3">
      <c r="A559" t="str">
        <f>"002748"</f>
        <v>002748</v>
      </c>
      <c r="B559" t="s">
        <v>172</v>
      </c>
      <c r="C559">
        <v>69852</v>
      </c>
      <c r="D559" s="2">
        <v>75</v>
      </c>
      <c r="E559" s="1">
        <v>42849</v>
      </c>
      <c r="F559" t="str">
        <f>"12139"</f>
        <v>12139</v>
      </c>
      <c r="G559" t="str">
        <f>"SERVICE 1/27/17"</f>
        <v>SERVICE 1/27/17</v>
      </c>
      <c r="H559" s="2">
        <v>75</v>
      </c>
      <c r="I559" t="str">
        <f>"SERVICE 1/27/17"</f>
        <v>SERVICE 1/27/17</v>
      </c>
    </row>
    <row r="560" spans="1:10" x14ac:dyDescent="0.3">
      <c r="A560" t="str">
        <f>"002748"</f>
        <v>002748</v>
      </c>
      <c r="B560" t="s">
        <v>172</v>
      </c>
      <c r="C560">
        <v>70058</v>
      </c>
      <c r="D560" s="2">
        <v>75</v>
      </c>
      <c r="E560" s="1">
        <v>42852</v>
      </c>
      <c r="F560" t="str">
        <f>"201704271567"</f>
        <v>201704271567</v>
      </c>
      <c r="G560" t="str">
        <f>"SERVICE CITATION CAUSE # G-267"</f>
        <v>SERVICE CITATION CAUSE # G-267</v>
      </c>
      <c r="H560" s="2">
        <v>75</v>
      </c>
    </row>
    <row r="561" spans="1:9" x14ac:dyDescent="0.3">
      <c r="A561" t="str">
        <f>"002748"</f>
        <v>002748</v>
      </c>
      <c r="B561" t="s">
        <v>172</v>
      </c>
      <c r="C561">
        <v>70058</v>
      </c>
      <c r="D561" s="2">
        <v>75</v>
      </c>
      <c r="E561" s="1">
        <v>42852</v>
      </c>
      <c r="F561" t="str">
        <f>"CHECK"</f>
        <v>CHECK</v>
      </c>
      <c r="G561" t="str">
        <f>""</f>
        <v/>
      </c>
      <c r="H561" s="2">
        <v>75</v>
      </c>
    </row>
    <row r="562" spans="1:9" x14ac:dyDescent="0.3">
      <c r="A562" t="str">
        <f>"002751"</f>
        <v>002751</v>
      </c>
      <c r="B562" t="s">
        <v>173</v>
      </c>
      <c r="C562">
        <v>70059</v>
      </c>
      <c r="D562" s="2">
        <v>75</v>
      </c>
      <c r="E562" s="1">
        <v>42852</v>
      </c>
      <c r="F562" t="str">
        <f>"201704271568"</f>
        <v>201704271568</v>
      </c>
      <c r="G562" t="str">
        <f>"SERVICE CITATION CAUSE # G-267"</f>
        <v>SERVICE CITATION CAUSE # G-267</v>
      </c>
      <c r="H562" s="2">
        <v>75</v>
      </c>
      <c r="I562" t="str">
        <f>"SERVICE CITATION CAUSE # G-267"</f>
        <v>SERVICE CITATION CAUSE # G-267</v>
      </c>
    </row>
    <row r="563" spans="1:9" x14ac:dyDescent="0.3">
      <c r="A563" t="str">
        <f>"001798"</f>
        <v>001798</v>
      </c>
      <c r="B563" t="s">
        <v>174</v>
      </c>
      <c r="C563">
        <v>69620</v>
      </c>
      <c r="D563" s="2">
        <v>499.31</v>
      </c>
      <c r="E563" s="1">
        <v>42835</v>
      </c>
      <c r="F563" t="str">
        <f>"030317-03"</f>
        <v>030317-03</v>
      </c>
      <c r="G563" t="str">
        <f>"HEADSET/LIFTER"</f>
        <v>HEADSET/LIFTER</v>
      </c>
      <c r="H563" s="2">
        <v>499.31</v>
      </c>
      <c r="I563" t="str">
        <f>"WIRELESS SYSTEM"</f>
        <v>WIRELESS SYSTEM</v>
      </c>
    </row>
    <row r="564" spans="1:9" x14ac:dyDescent="0.3">
      <c r="A564" t="str">
        <f>""</f>
        <v/>
      </c>
      <c r="F564" t="str">
        <f>""</f>
        <v/>
      </c>
      <c r="G564" t="str">
        <f>""</f>
        <v/>
      </c>
      <c r="I564" t="str">
        <f>"LIFTER"</f>
        <v>LIFTER</v>
      </c>
    </row>
    <row r="565" spans="1:9" x14ac:dyDescent="0.3">
      <c r="A565" t="str">
        <f>""</f>
        <v/>
      </c>
      <c r="F565" t="str">
        <f>""</f>
        <v/>
      </c>
      <c r="G565" t="str">
        <f>""</f>
        <v/>
      </c>
      <c r="I565" t="str">
        <f>"FREIGHT"</f>
        <v>FREIGHT</v>
      </c>
    </row>
    <row r="566" spans="1:9" x14ac:dyDescent="0.3">
      <c r="A566" t="str">
        <f>"STEEN"</f>
        <v>STEEN</v>
      </c>
      <c r="B566" t="s">
        <v>175</v>
      </c>
      <c r="C566">
        <v>69621</v>
      </c>
      <c r="D566" s="2">
        <v>240</v>
      </c>
      <c r="E566" s="1">
        <v>42835</v>
      </c>
      <c r="F566" t="str">
        <f>"6840"</f>
        <v>6840</v>
      </c>
      <c r="G566" t="str">
        <f>"ABST FEE/1--27-2017"</f>
        <v>ABST FEE/1--27-2017</v>
      </c>
      <c r="H566" s="2">
        <v>240</v>
      </c>
      <c r="I566" t="str">
        <f>"ABST FEE/1--27-2017"</f>
        <v>ABST FEE/1--27-2017</v>
      </c>
    </row>
    <row r="567" spans="1:9" x14ac:dyDescent="0.3">
      <c r="A567" t="str">
        <f>"004624"</f>
        <v>004624</v>
      </c>
      <c r="B567" t="s">
        <v>176</v>
      </c>
      <c r="C567">
        <v>69902</v>
      </c>
      <c r="D567" s="2">
        <v>100</v>
      </c>
      <c r="E567" s="1">
        <v>42849</v>
      </c>
      <c r="F567" t="str">
        <f>"    10658"</f>
        <v xml:space="preserve">    10658</v>
      </c>
      <c r="G567" t="str">
        <f>"RESTITUTION-M FELTS"</f>
        <v>RESTITUTION-M FELTS</v>
      </c>
      <c r="H567" s="2">
        <v>100</v>
      </c>
      <c r="I567" t="str">
        <f>"RESTITUTION-M FELTS"</f>
        <v>RESTITUTION-M FELTS</v>
      </c>
    </row>
    <row r="568" spans="1:9" x14ac:dyDescent="0.3">
      <c r="A568" t="str">
        <f>"000728"</f>
        <v>000728</v>
      </c>
      <c r="B568" t="s">
        <v>177</v>
      </c>
      <c r="C568">
        <v>70057</v>
      </c>
      <c r="D568" s="2">
        <v>500</v>
      </c>
      <c r="E568" s="1">
        <v>42851</v>
      </c>
      <c r="F568" t="str">
        <f>"201704261564"</f>
        <v>201704261564</v>
      </c>
      <c r="G568" t="str">
        <f>"HITS REGISTRATION FEES"</f>
        <v>HITS REGISTRATION FEES</v>
      </c>
      <c r="H568" s="2">
        <v>500</v>
      </c>
      <c r="I568" t="str">
        <f>"HITS REGISTRATION FEES"</f>
        <v>HITS REGISTRATION FEES</v>
      </c>
    </row>
    <row r="569" spans="1:9" x14ac:dyDescent="0.3">
      <c r="A569" t="str">
        <f>"004351"</f>
        <v>004351</v>
      </c>
      <c r="B569" t="s">
        <v>178</v>
      </c>
      <c r="C569">
        <v>69896</v>
      </c>
      <c r="D569" s="2">
        <v>323.60000000000002</v>
      </c>
      <c r="E569" s="1">
        <v>42849</v>
      </c>
      <c r="F569" t="str">
        <f>"201704171216"</f>
        <v>201704171216</v>
      </c>
      <c r="G569" t="str">
        <f>"REIMB-MILEAGE"</f>
        <v>REIMB-MILEAGE</v>
      </c>
      <c r="H569" s="2">
        <v>323.60000000000002</v>
      </c>
      <c r="I569" t="str">
        <f>"REIMB-MILEAGE"</f>
        <v>REIMB-MILEAGE</v>
      </c>
    </row>
    <row r="570" spans="1:9" x14ac:dyDescent="0.3">
      <c r="A570" t="str">
        <f>"HPC"</f>
        <v>HPC</v>
      </c>
      <c r="B570" t="s">
        <v>179</v>
      </c>
      <c r="C570">
        <v>69957</v>
      </c>
      <c r="D570" s="2">
        <v>650</v>
      </c>
      <c r="E570" s="1">
        <v>42849</v>
      </c>
      <c r="F570" t="str">
        <f>"201704201426"</f>
        <v>201704201426</v>
      </c>
      <c r="G570" t="str">
        <f>"APRIL SERVICE"</f>
        <v>APRIL SERVICE</v>
      </c>
      <c r="H570" s="2">
        <v>650</v>
      </c>
      <c r="I570" t="str">
        <f>"APRIL SERVICE"</f>
        <v>APRIL SERVICE</v>
      </c>
    </row>
    <row r="571" spans="1:9" x14ac:dyDescent="0.3">
      <c r="A571" t="str">
        <f>"ECKEL"</f>
        <v>ECKEL</v>
      </c>
      <c r="B571" t="s">
        <v>180</v>
      </c>
      <c r="C571">
        <v>69622</v>
      </c>
      <c r="D571" s="2">
        <v>850</v>
      </c>
      <c r="E571" s="1">
        <v>42835</v>
      </c>
      <c r="F571" t="str">
        <f>"201704061127"</f>
        <v>201704061127</v>
      </c>
      <c r="G571" t="str">
        <f>"05-10025"</f>
        <v>05-10025</v>
      </c>
      <c r="H571" s="2">
        <v>100</v>
      </c>
      <c r="I571" t="str">
        <f>"05-10025"</f>
        <v>05-10025</v>
      </c>
    </row>
    <row r="572" spans="1:9" x14ac:dyDescent="0.3">
      <c r="A572" t="str">
        <f>""</f>
        <v/>
      </c>
      <c r="F572" t="str">
        <f>"201704061128"</f>
        <v>201704061128</v>
      </c>
      <c r="G572" t="str">
        <f>"54765"</f>
        <v>54765</v>
      </c>
      <c r="H572" s="2">
        <v>250</v>
      </c>
      <c r="I572" t="str">
        <f>"54765"</f>
        <v>54765</v>
      </c>
    </row>
    <row r="573" spans="1:9" x14ac:dyDescent="0.3">
      <c r="A573" t="str">
        <f>""</f>
        <v/>
      </c>
      <c r="F573" t="str">
        <f>"201704061129"</f>
        <v>201704061129</v>
      </c>
      <c r="G573" t="str">
        <f>"54995"</f>
        <v>54995</v>
      </c>
      <c r="H573" s="2">
        <v>250</v>
      </c>
      <c r="I573" t="str">
        <f>"54995"</f>
        <v>54995</v>
      </c>
    </row>
    <row r="574" spans="1:9" x14ac:dyDescent="0.3">
      <c r="A574" t="str">
        <f>""</f>
        <v/>
      </c>
      <c r="F574" t="str">
        <f>"201704061130"</f>
        <v>201704061130</v>
      </c>
      <c r="G574" t="str">
        <f>"48837"</f>
        <v>48837</v>
      </c>
      <c r="H574" s="2">
        <v>250</v>
      </c>
      <c r="I574" t="str">
        <f>"48837"</f>
        <v>48837</v>
      </c>
    </row>
    <row r="575" spans="1:9" x14ac:dyDescent="0.3">
      <c r="A575" t="str">
        <f>"ECKEL"</f>
        <v>ECKEL</v>
      </c>
      <c r="B575" t="s">
        <v>180</v>
      </c>
      <c r="C575">
        <v>69950</v>
      </c>
      <c r="D575" s="2">
        <v>250</v>
      </c>
      <c r="E575" s="1">
        <v>42849</v>
      </c>
      <c r="F575" t="str">
        <f>"201704201481"</f>
        <v>201704201481</v>
      </c>
      <c r="G575" t="str">
        <f>"16-18010"</f>
        <v>16-18010</v>
      </c>
      <c r="H575" s="2">
        <v>250</v>
      </c>
      <c r="I575" t="str">
        <f>"16-18010"</f>
        <v>16-18010</v>
      </c>
    </row>
    <row r="576" spans="1:9" x14ac:dyDescent="0.3">
      <c r="A576" t="str">
        <f>"HM"</f>
        <v>HM</v>
      </c>
      <c r="B576" t="s">
        <v>181</v>
      </c>
      <c r="C576">
        <v>69623</v>
      </c>
      <c r="D576" s="2">
        <v>292.55</v>
      </c>
      <c r="E576" s="1">
        <v>42835</v>
      </c>
      <c r="F576" t="str">
        <f>"PIMP0234807"</f>
        <v>PIMP0234807</v>
      </c>
      <c r="G576" t="str">
        <f t="shared" ref="G576:G581" si="7">"CUST#0129200/PCT#4"</f>
        <v>CUST#0129200/PCT#4</v>
      </c>
      <c r="H576" s="2">
        <v>190.86</v>
      </c>
      <c r="I576" t="str">
        <f t="shared" ref="I576:I581" si="8">"CUST#0129200/PCT#4"</f>
        <v>CUST#0129200/PCT#4</v>
      </c>
    </row>
    <row r="577" spans="1:9" x14ac:dyDescent="0.3">
      <c r="A577" t="str">
        <f>""</f>
        <v/>
      </c>
      <c r="F577" t="str">
        <f>"PIMP0234808"</f>
        <v>PIMP0234808</v>
      </c>
      <c r="G577" t="str">
        <f t="shared" si="7"/>
        <v>CUST#0129200/PCT#4</v>
      </c>
      <c r="H577" s="2">
        <v>25.21</v>
      </c>
      <c r="I577" t="str">
        <f t="shared" si="8"/>
        <v>CUST#0129200/PCT#4</v>
      </c>
    </row>
    <row r="578" spans="1:9" x14ac:dyDescent="0.3">
      <c r="A578" t="str">
        <f>""</f>
        <v/>
      </c>
      <c r="F578" t="str">
        <f>"PIMP0234809"</f>
        <v>PIMP0234809</v>
      </c>
      <c r="G578" t="str">
        <f t="shared" si="7"/>
        <v>CUST#0129200/PCT#4</v>
      </c>
      <c r="H578" s="2">
        <v>0.89</v>
      </c>
      <c r="I578" t="str">
        <f t="shared" si="8"/>
        <v>CUST#0129200/PCT#4</v>
      </c>
    </row>
    <row r="579" spans="1:9" x14ac:dyDescent="0.3">
      <c r="A579" t="str">
        <f>""</f>
        <v/>
      </c>
      <c r="F579" t="str">
        <f>"PIMP0234852"</f>
        <v>PIMP0234852</v>
      </c>
      <c r="G579" t="str">
        <f t="shared" si="7"/>
        <v>CUST#0129200/PCT#4</v>
      </c>
      <c r="H579" s="2">
        <v>10.199999999999999</v>
      </c>
      <c r="I579" t="str">
        <f t="shared" si="8"/>
        <v>CUST#0129200/PCT#4</v>
      </c>
    </row>
    <row r="580" spans="1:9" x14ac:dyDescent="0.3">
      <c r="A580" t="str">
        <f>""</f>
        <v/>
      </c>
      <c r="F580" t="str">
        <f>"PIMP0234960"</f>
        <v>PIMP0234960</v>
      </c>
      <c r="G580" t="str">
        <f t="shared" si="7"/>
        <v>CUST#0129200/PCT#4</v>
      </c>
      <c r="H580" s="2">
        <v>55.12</v>
      </c>
      <c r="I580" t="str">
        <f t="shared" si="8"/>
        <v>CUST#0129200/PCT#4</v>
      </c>
    </row>
    <row r="581" spans="1:9" x14ac:dyDescent="0.3">
      <c r="A581" t="str">
        <f>""</f>
        <v/>
      </c>
      <c r="F581" t="str">
        <f>"PIMP0235000"</f>
        <v>PIMP0235000</v>
      </c>
      <c r="G581" t="str">
        <f t="shared" si="7"/>
        <v>CUST#0129200/PCT#4</v>
      </c>
      <c r="H581" s="2">
        <v>10.27</v>
      </c>
      <c r="I581" t="str">
        <f t="shared" si="8"/>
        <v>CUST#0129200/PCT#4</v>
      </c>
    </row>
    <row r="582" spans="1:9" x14ac:dyDescent="0.3">
      <c r="A582" t="str">
        <f>"HM"</f>
        <v>HM</v>
      </c>
      <c r="B582" t="s">
        <v>181</v>
      </c>
      <c r="C582">
        <v>69956</v>
      </c>
      <c r="D582" s="2">
        <v>363.42</v>
      </c>
      <c r="E582" s="1">
        <v>42849</v>
      </c>
      <c r="F582" t="str">
        <f>"PIMA0258282"</f>
        <v>PIMA0258282</v>
      </c>
      <c r="G582" t="str">
        <f>"CUST#0129150/PCT#3"</f>
        <v>CUST#0129150/PCT#3</v>
      </c>
      <c r="H582" s="2">
        <v>69.48</v>
      </c>
      <c r="I582" t="str">
        <f>"CUST#0129150/PCT#3"</f>
        <v>CUST#0129150/PCT#3</v>
      </c>
    </row>
    <row r="583" spans="1:9" x14ac:dyDescent="0.3">
      <c r="A583" t="str">
        <f>""</f>
        <v/>
      </c>
      <c r="F583" t="str">
        <f>"PIMAA0257196"</f>
        <v>PIMAA0257196</v>
      </c>
      <c r="G583" t="str">
        <f>"C UST#0129150/PCT#3"</f>
        <v>C UST#0129150/PCT#3</v>
      </c>
      <c r="H583" s="2">
        <v>293.94</v>
      </c>
      <c r="I583" t="str">
        <f>"C UST#0129150/PCT#3"</f>
        <v>C UST#0129150/PCT#3</v>
      </c>
    </row>
    <row r="584" spans="1:9" x14ac:dyDescent="0.3">
      <c r="A584" t="str">
        <f>"T8869"</f>
        <v>T8869</v>
      </c>
      <c r="B584" t="s">
        <v>182</v>
      </c>
      <c r="C584">
        <v>69624</v>
      </c>
      <c r="D584" s="2">
        <v>992.92</v>
      </c>
      <c r="E584" s="1">
        <v>42835</v>
      </c>
      <c r="F584" t="str">
        <f>"4010388/7021699"</f>
        <v>4010388/7021699</v>
      </c>
      <c r="G584" t="str">
        <f>"Account **7656"</f>
        <v>Account **7656</v>
      </c>
      <c r="H584" s="2">
        <v>992.92</v>
      </c>
      <c r="I584" t="str">
        <f>"Inv# 4010388"</f>
        <v>Inv# 4010388</v>
      </c>
    </row>
    <row r="585" spans="1:9" x14ac:dyDescent="0.3">
      <c r="A585" t="str">
        <f>""</f>
        <v/>
      </c>
      <c r="F585" t="str">
        <f>""</f>
        <v/>
      </c>
      <c r="G585" t="str">
        <f>""</f>
        <v/>
      </c>
      <c r="I585" t="str">
        <f>"Inv# 2030660"</f>
        <v>Inv# 2030660</v>
      </c>
    </row>
    <row r="586" spans="1:9" x14ac:dyDescent="0.3">
      <c r="A586" t="str">
        <f>""</f>
        <v/>
      </c>
      <c r="F586" t="str">
        <f>""</f>
        <v/>
      </c>
      <c r="G586" t="str">
        <f>""</f>
        <v/>
      </c>
      <c r="I586" t="str">
        <f>"Inv# 1090795"</f>
        <v>Inv# 1090795</v>
      </c>
    </row>
    <row r="587" spans="1:9" x14ac:dyDescent="0.3">
      <c r="A587" t="str">
        <f>""</f>
        <v/>
      </c>
      <c r="F587" t="str">
        <f>""</f>
        <v/>
      </c>
      <c r="G587" t="str">
        <f>""</f>
        <v/>
      </c>
      <c r="I587" t="str">
        <f>"Inv# 8030997"</f>
        <v>Inv# 8030997</v>
      </c>
    </row>
    <row r="588" spans="1:9" x14ac:dyDescent="0.3">
      <c r="A588" t="str">
        <f>""</f>
        <v/>
      </c>
      <c r="F588" t="str">
        <f>""</f>
        <v/>
      </c>
      <c r="G588" t="str">
        <f>""</f>
        <v/>
      </c>
      <c r="I588" t="str">
        <f>"Inv# 9011656"</f>
        <v>Inv# 9011656</v>
      </c>
    </row>
    <row r="589" spans="1:9" x14ac:dyDescent="0.3">
      <c r="A589" t="str">
        <f>""</f>
        <v/>
      </c>
      <c r="F589" t="str">
        <f>""</f>
        <v/>
      </c>
      <c r="G589" t="str">
        <f>""</f>
        <v/>
      </c>
      <c r="I589" t="str">
        <f>"Inv# 8032014"</f>
        <v>Inv# 8032014</v>
      </c>
    </row>
    <row r="590" spans="1:9" x14ac:dyDescent="0.3">
      <c r="A590" t="str">
        <f>""</f>
        <v/>
      </c>
      <c r="F590" t="str">
        <f>""</f>
        <v/>
      </c>
      <c r="G590" t="str">
        <f>""</f>
        <v/>
      </c>
      <c r="I590" t="str">
        <f>"Inv# 4012084"</f>
        <v>Inv# 4012084</v>
      </c>
    </row>
    <row r="591" spans="1:9" x14ac:dyDescent="0.3">
      <c r="A591" t="str">
        <f>""</f>
        <v/>
      </c>
      <c r="F591" t="str">
        <f>""</f>
        <v/>
      </c>
      <c r="G591" t="str">
        <f>""</f>
        <v/>
      </c>
      <c r="I591" t="str">
        <f>"Inv# 3012184"</f>
        <v>Inv# 3012184</v>
      </c>
    </row>
    <row r="592" spans="1:9" x14ac:dyDescent="0.3">
      <c r="A592" t="str">
        <f>""</f>
        <v/>
      </c>
      <c r="F592" t="str">
        <f>""</f>
        <v/>
      </c>
      <c r="G592" t="str">
        <f>""</f>
        <v/>
      </c>
      <c r="I592" t="str">
        <f>"Inv# 2012304"</f>
        <v>Inv# 2012304</v>
      </c>
    </row>
    <row r="593" spans="1:9" x14ac:dyDescent="0.3">
      <c r="A593" t="str">
        <f>""</f>
        <v/>
      </c>
      <c r="F593" t="str">
        <f>""</f>
        <v/>
      </c>
      <c r="G593" t="str">
        <f>""</f>
        <v/>
      </c>
      <c r="I593" t="str">
        <f>"Inv# 565083"</f>
        <v>Inv# 565083</v>
      </c>
    </row>
    <row r="594" spans="1:9" x14ac:dyDescent="0.3">
      <c r="A594" t="str">
        <f>""</f>
        <v/>
      </c>
      <c r="F594" t="str">
        <f>""</f>
        <v/>
      </c>
      <c r="G594" t="str">
        <f>""</f>
        <v/>
      </c>
      <c r="I594" t="str">
        <f>"Inv# 7021699"</f>
        <v>Inv# 7021699</v>
      </c>
    </row>
    <row r="595" spans="1:9" x14ac:dyDescent="0.3">
      <c r="A595" t="str">
        <f>""</f>
        <v/>
      </c>
      <c r="F595" t="str">
        <f>""</f>
        <v/>
      </c>
      <c r="G595" t="str">
        <f>""</f>
        <v/>
      </c>
      <c r="I595" t="str">
        <f>"Inv# 5091036"</f>
        <v>Inv# 5091036</v>
      </c>
    </row>
    <row r="596" spans="1:9" x14ac:dyDescent="0.3">
      <c r="A596" t="str">
        <f>""</f>
        <v/>
      </c>
      <c r="F596" t="str">
        <f>""</f>
        <v/>
      </c>
      <c r="G596" t="str">
        <f>""</f>
        <v/>
      </c>
      <c r="I596" t="str">
        <f>"Inv# 3210413"</f>
        <v>Inv# 3210413</v>
      </c>
    </row>
    <row r="597" spans="1:9" x14ac:dyDescent="0.3">
      <c r="A597" t="str">
        <f>""</f>
        <v/>
      </c>
      <c r="F597" t="str">
        <f>""</f>
        <v/>
      </c>
      <c r="G597" t="str">
        <f>""</f>
        <v/>
      </c>
      <c r="I597" t="str">
        <f>"Inv# 7031099"</f>
        <v>Inv# 7031099</v>
      </c>
    </row>
    <row r="598" spans="1:9" x14ac:dyDescent="0.3">
      <c r="A598" t="str">
        <f>""</f>
        <v/>
      </c>
      <c r="F598" t="str">
        <f>""</f>
        <v/>
      </c>
      <c r="G598" t="str">
        <f>""</f>
        <v/>
      </c>
      <c r="I598" t="str">
        <f>"Inv# 1032596"</f>
        <v>Inv# 1032596</v>
      </c>
    </row>
    <row r="599" spans="1:9" x14ac:dyDescent="0.3">
      <c r="A599" t="str">
        <f>""</f>
        <v/>
      </c>
      <c r="F599" t="str">
        <f>""</f>
        <v/>
      </c>
      <c r="G599" t="str">
        <f>""</f>
        <v/>
      </c>
      <c r="I599" t="str">
        <f>"Inv# 4090729"</f>
        <v>Inv# 4090729</v>
      </c>
    </row>
    <row r="600" spans="1:9" x14ac:dyDescent="0.3">
      <c r="A600" t="str">
        <f>""</f>
        <v/>
      </c>
      <c r="F600" t="str">
        <f>""</f>
        <v/>
      </c>
      <c r="G600" t="str">
        <f>""</f>
        <v/>
      </c>
      <c r="I600" t="str">
        <f>"Inv# 7031089"</f>
        <v>Inv# 7031089</v>
      </c>
    </row>
    <row r="601" spans="1:9" x14ac:dyDescent="0.3">
      <c r="A601" t="str">
        <f>""</f>
        <v/>
      </c>
      <c r="F601" t="str">
        <f>""</f>
        <v/>
      </c>
      <c r="G601" t="str">
        <f>""</f>
        <v/>
      </c>
      <c r="I601" t="str">
        <f>"Inv# 2031589"</f>
        <v>Inv# 2031589</v>
      </c>
    </row>
    <row r="602" spans="1:9" x14ac:dyDescent="0.3">
      <c r="A602" t="str">
        <f>""</f>
        <v/>
      </c>
      <c r="F602" t="str">
        <f>""</f>
        <v/>
      </c>
      <c r="G602" t="str">
        <f>""</f>
        <v/>
      </c>
      <c r="I602" t="str">
        <f>"Inv# 1031650"</f>
        <v>Inv# 1031650</v>
      </c>
    </row>
    <row r="603" spans="1:9" x14ac:dyDescent="0.3">
      <c r="A603" t="str">
        <f>""</f>
        <v/>
      </c>
      <c r="F603" t="str">
        <f>""</f>
        <v/>
      </c>
      <c r="G603" t="str">
        <f>""</f>
        <v/>
      </c>
      <c r="I603" t="str">
        <f>"Inv# 8091207"</f>
        <v>Inv# 8091207</v>
      </c>
    </row>
    <row r="604" spans="1:9" x14ac:dyDescent="0.3">
      <c r="A604" t="str">
        <f>""</f>
        <v/>
      </c>
      <c r="F604" t="str">
        <f>""</f>
        <v/>
      </c>
      <c r="G604" t="str">
        <f>""</f>
        <v/>
      </c>
      <c r="I604" t="str">
        <f>"Inv# 8564639"</f>
        <v>Inv# 8564639</v>
      </c>
    </row>
    <row r="605" spans="1:9" x14ac:dyDescent="0.3">
      <c r="A605" t="str">
        <f>""</f>
        <v/>
      </c>
      <c r="F605" t="str">
        <f>""</f>
        <v/>
      </c>
      <c r="G605" t="str">
        <f>""</f>
        <v/>
      </c>
      <c r="I605" t="str">
        <f>"Inv# 2564992"</f>
        <v>Inv# 2564992</v>
      </c>
    </row>
    <row r="606" spans="1:9" x14ac:dyDescent="0.3">
      <c r="A606" t="str">
        <f>""</f>
        <v/>
      </c>
      <c r="F606" t="str">
        <f>""</f>
        <v/>
      </c>
      <c r="G606" t="str">
        <f>""</f>
        <v/>
      </c>
      <c r="I606" t="str">
        <f>"Inv# 1091589"</f>
        <v>Inv# 1091589</v>
      </c>
    </row>
    <row r="607" spans="1:9" x14ac:dyDescent="0.3">
      <c r="A607" t="str">
        <f>"003653"</f>
        <v>003653</v>
      </c>
      <c r="B607" t="s">
        <v>183</v>
      </c>
      <c r="C607">
        <v>69872</v>
      </c>
      <c r="D607" s="2">
        <v>3288.39</v>
      </c>
      <c r="E607" s="1">
        <v>42849</v>
      </c>
      <c r="F607" t="str">
        <f>"201704131210"</f>
        <v>201704131210</v>
      </c>
      <c r="G607" t="str">
        <f>"ACCT#100402264/PCT#4"</f>
        <v>ACCT#100402264/PCT#4</v>
      </c>
      <c r="H607" s="2">
        <v>3288.39</v>
      </c>
      <c r="I607" t="str">
        <f>"ACCT#100402264/PCT#4"</f>
        <v>ACCT#100402264/PCT#4</v>
      </c>
    </row>
    <row r="608" spans="1:9" x14ac:dyDescent="0.3">
      <c r="A608" t="str">
        <f>"004973"</f>
        <v>004973</v>
      </c>
      <c r="B608" t="s">
        <v>184</v>
      </c>
      <c r="C608">
        <v>69625</v>
      </c>
      <c r="D608" s="2">
        <v>140</v>
      </c>
      <c r="E608" s="1">
        <v>42835</v>
      </c>
      <c r="F608" t="str">
        <f>"201704060745"</f>
        <v>201704060745</v>
      </c>
      <c r="G608" t="str">
        <f>"FERAL HOGS"</f>
        <v>FERAL HOGS</v>
      </c>
      <c r="H608" s="2">
        <v>140</v>
      </c>
      <c r="I608" t="str">
        <f>"FERAL HOGS"</f>
        <v>FERAL HOGS</v>
      </c>
    </row>
    <row r="609" spans="1:9" x14ac:dyDescent="0.3">
      <c r="A609" t="str">
        <f>"T11576"</f>
        <v>T11576</v>
      </c>
      <c r="B609" t="s">
        <v>185</v>
      </c>
      <c r="C609">
        <v>69992</v>
      </c>
      <c r="D609" s="2">
        <v>2430</v>
      </c>
      <c r="E609" s="1">
        <v>42849</v>
      </c>
      <c r="F609" t="str">
        <f>"63904"</f>
        <v>63904</v>
      </c>
      <c r="G609" t="str">
        <f>"PROFESSIONAL SERV/MAY'17"</f>
        <v>PROFESSIONAL SERV/MAY'17</v>
      </c>
      <c r="H609" s="2">
        <v>2430</v>
      </c>
      <c r="I609" t="str">
        <f>"PROFESSIONAL SERV/MAY'17"</f>
        <v>PROFESSIONAL SERV/MAY'17</v>
      </c>
    </row>
    <row r="610" spans="1:9" x14ac:dyDescent="0.3">
      <c r="A610" t="str">
        <f>""</f>
        <v/>
      </c>
      <c r="F610" t="str">
        <f>""</f>
        <v/>
      </c>
      <c r="G610" t="str">
        <f>""</f>
        <v/>
      </c>
      <c r="I610" t="str">
        <f>"PROFESSIONAL SERV/MAY'17"</f>
        <v>PROFESSIONAL SERV/MAY'17</v>
      </c>
    </row>
    <row r="611" spans="1:9" x14ac:dyDescent="0.3">
      <c r="A611" t="str">
        <f>"004547"</f>
        <v>004547</v>
      </c>
      <c r="B611" t="s">
        <v>186</v>
      </c>
      <c r="C611">
        <v>69626</v>
      </c>
      <c r="D611" s="2">
        <v>300</v>
      </c>
      <c r="E611" s="1">
        <v>42835</v>
      </c>
      <c r="F611" t="str">
        <f>"201704050699"</f>
        <v>201704050699</v>
      </c>
      <c r="G611" t="str">
        <f>"INSTITUTE OF SUPPLY MANGEMENT"</f>
        <v>INSTITUTE OF SUPPLY MANGEMENT</v>
      </c>
      <c r="H611" s="2">
        <v>300</v>
      </c>
      <c r="I611" t="str">
        <f>"Fee"</f>
        <v>Fee</v>
      </c>
    </row>
    <row r="612" spans="1:9" x14ac:dyDescent="0.3">
      <c r="A612" t="str">
        <f>"004993"</f>
        <v>004993</v>
      </c>
      <c r="B612" t="s">
        <v>187</v>
      </c>
      <c r="C612">
        <v>69627</v>
      </c>
      <c r="D612" s="2">
        <v>956.88</v>
      </c>
      <c r="E612" s="1">
        <v>42835</v>
      </c>
      <c r="F612" t="str">
        <f>"148429"</f>
        <v>148429</v>
      </c>
      <c r="G612" t="str">
        <f>"CUST#31226/ELECTIONS"</f>
        <v>CUST#31226/ELECTIONS</v>
      </c>
      <c r="H612" s="2">
        <v>956.88</v>
      </c>
      <c r="I612" t="str">
        <f>"CUST#31226/ELECTIONS"</f>
        <v>CUST#31226/ELECTIONS</v>
      </c>
    </row>
    <row r="613" spans="1:9" x14ac:dyDescent="0.3">
      <c r="A613" t="str">
        <f>"T2858"</f>
        <v>T2858</v>
      </c>
      <c r="B613" t="s">
        <v>188</v>
      </c>
      <c r="C613">
        <v>70012</v>
      </c>
      <c r="D613" s="2">
        <v>234.86</v>
      </c>
      <c r="E613" s="1">
        <v>42849</v>
      </c>
      <c r="F613" t="str">
        <f>"201704201416"</f>
        <v>201704201416</v>
      </c>
      <c r="G613" t="str">
        <f>"BATTERY"</f>
        <v>BATTERY</v>
      </c>
      <c r="H613" s="2">
        <v>234.86</v>
      </c>
      <c r="I613" t="str">
        <f>"BATTERY"</f>
        <v>BATTERY</v>
      </c>
    </row>
    <row r="614" spans="1:9" x14ac:dyDescent="0.3">
      <c r="A614" t="str">
        <f>"T7585"</f>
        <v>T7585</v>
      </c>
      <c r="B614" t="s">
        <v>189</v>
      </c>
      <c r="C614">
        <v>70034</v>
      </c>
      <c r="D614" s="2">
        <v>260</v>
      </c>
      <c r="E614" s="1">
        <v>42849</v>
      </c>
      <c r="F614" t="str">
        <f>"13635"</f>
        <v>13635</v>
      </c>
      <c r="G614" t="str">
        <f>"CONSTRUCTION UNIT RENTAL"</f>
        <v>CONSTRUCTION UNIT RENTAL</v>
      </c>
      <c r="H614" s="2">
        <v>260</v>
      </c>
      <c r="I614" t="str">
        <f>"CONSTRUCTION UNIT RENTAL"</f>
        <v>CONSTRUCTION UNIT RENTAL</v>
      </c>
    </row>
    <row r="615" spans="1:9" x14ac:dyDescent="0.3">
      <c r="A615" t="str">
        <f>"002431"</f>
        <v>002431</v>
      </c>
      <c r="B615" t="s">
        <v>190</v>
      </c>
      <c r="C615">
        <v>69628</v>
      </c>
      <c r="D615" s="2">
        <v>6</v>
      </c>
      <c r="E615" s="1">
        <v>42835</v>
      </c>
      <c r="F615" t="str">
        <f>" 14193"</f>
        <v xml:space="preserve"> 14193</v>
      </c>
      <c r="G615" t="str">
        <f>"OVERPAYMENT/8-23-11"</f>
        <v>OVERPAYMENT/8-23-11</v>
      </c>
      <c r="H615" s="2">
        <v>6</v>
      </c>
      <c r="I615" t="str">
        <f>"OVERPAYMENT/8-23-11"</f>
        <v>OVERPAYMENT/8-23-11</v>
      </c>
    </row>
    <row r="616" spans="1:9" x14ac:dyDescent="0.3">
      <c r="A616" t="str">
        <f>"004999"</f>
        <v>004999</v>
      </c>
      <c r="B616" t="s">
        <v>191</v>
      </c>
      <c r="C616">
        <v>69629</v>
      </c>
      <c r="D616" s="2">
        <v>25</v>
      </c>
      <c r="E616" s="1">
        <v>42835</v>
      </c>
      <c r="F616" t="str">
        <f>"14415"</f>
        <v>14415</v>
      </c>
      <c r="G616" t="str">
        <f>"OVERPAYMENT/11-16-11"</f>
        <v>OVERPAYMENT/11-16-11</v>
      </c>
      <c r="H616" s="2">
        <v>25</v>
      </c>
      <c r="I616" t="str">
        <f>"OVERPAYMENT/11-16-11"</f>
        <v>OVERPAYMENT/11-16-11</v>
      </c>
    </row>
    <row r="617" spans="1:9" x14ac:dyDescent="0.3">
      <c r="A617" t="str">
        <f>"004723"</f>
        <v>004723</v>
      </c>
      <c r="B617" t="s">
        <v>192</v>
      </c>
      <c r="C617">
        <v>69762</v>
      </c>
      <c r="D617" s="2">
        <v>100</v>
      </c>
      <c r="E617" s="1">
        <v>42837</v>
      </c>
      <c r="F617" t="str">
        <f>"544020"</f>
        <v>544020</v>
      </c>
      <c r="G617" t="str">
        <f>"INSTALL URINAL/PCT#4 BARN"</f>
        <v>INSTALL URINAL/PCT#4 BARN</v>
      </c>
      <c r="H617" s="2">
        <v>100</v>
      </c>
      <c r="I617" t="str">
        <f>"INSTALL URINAL/PCT#4 BARN"</f>
        <v>INSTALL URINAL/PCT#4 BARN</v>
      </c>
    </row>
    <row r="618" spans="1:9" x14ac:dyDescent="0.3">
      <c r="A618" t="str">
        <f>"JOB"</f>
        <v>JOB</v>
      </c>
      <c r="B618" t="s">
        <v>193</v>
      </c>
      <c r="C618">
        <v>69630</v>
      </c>
      <c r="D618" s="2">
        <v>1375</v>
      </c>
      <c r="E618" s="1">
        <v>42835</v>
      </c>
      <c r="F618" t="str">
        <f>"201704061132"</f>
        <v>201704061132</v>
      </c>
      <c r="G618" t="str">
        <f>"53932"</f>
        <v>53932</v>
      </c>
      <c r="H618" s="2">
        <v>250</v>
      </c>
      <c r="I618" t="str">
        <f>"53932"</f>
        <v>53932</v>
      </c>
    </row>
    <row r="619" spans="1:9" x14ac:dyDescent="0.3">
      <c r="A619" t="str">
        <f>""</f>
        <v/>
      </c>
      <c r="F619" t="str">
        <f>"201704061133"</f>
        <v>201704061133</v>
      </c>
      <c r="G619" t="str">
        <f>"53731 53085"</f>
        <v>53731 53085</v>
      </c>
      <c r="H619" s="2">
        <v>375</v>
      </c>
      <c r="I619" t="str">
        <f>"53731 53085"</f>
        <v>53731 53085</v>
      </c>
    </row>
    <row r="620" spans="1:9" x14ac:dyDescent="0.3">
      <c r="A620" t="str">
        <f>""</f>
        <v/>
      </c>
      <c r="F620" t="str">
        <f>"201704061134"</f>
        <v>201704061134</v>
      </c>
      <c r="G620" t="str">
        <f>"54207"</f>
        <v>54207</v>
      </c>
      <c r="H620" s="2">
        <v>250</v>
      </c>
      <c r="I620" t="str">
        <f>"54207"</f>
        <v>54207</v>
      </c>
    </row>
    <row r="621" spans="1:9" x14ac:dyDescent="0.3">
      <c r="A621" t="str">
        <f>""</f>
        <v/>
      </c>
      <c r="F621" t="str">
        <f>"201704061135"</f>
        <v>201704061135</v>
      </c>
      <c r="G621" t="str">
        <f>"54366"</f>
        <v>54366</v>
      </c>
      <c r="H621" s="2">
        <v>250</v>
      </c>
      <c r="I621" t="str">
        <f>"54366"</f>
        <v>54366</v>
      </c>
    </row>
    <row r="622" spans="1:9" x14ac:dyDescent="0.3">
      <c r="A622" t="str">
        <f>""</f>
        <v/>
      </c>
      <c r="F622" t="str">
        <f>"201704061136"</f>
        <v>201704061136</v>
      </c>
      <c r="G622" t="str">
        <f>"54686"</f>
        <v>54686</v>
      </c>
      <c r="H622" s="2">
        <v>250</v>
      </c>
      <c r="I622" t="str">
        <f>"54686"</f>
        <v>54686</v>
      </c>
    </row>
    <row r="623" spans="1:9" x14ac:dyDescent="0.3">
      <c r="A623" t="str">
        <f>"005003"</f>
        <v>005003</v>
      </c>
      <c r="B623" t="s">
        <v>194</v>
      </c>
      <c r="C623">
        <v>69631</v>
      </c>
      <c r="D623" s="2">
        <v>25</v>
      </c>
      <c r="E623" s="1">
        <v>42835</v>
      </c>
      <c r="F623" t="str">
        <f>"14432"</f>
        <v>14432</v>
      </c>
      <c r="G623" t="str">
        <f>"OVERPAYMENT-10-25-11"</f>
        <v>OVERPAYMENT-10-25-11</v>
      </c>
      <c r="H623" s="2">
        <v>25</v>
      </c>
    </row>
    <row r="624" spans="1:9" x14ac:dyDescent="0.3">
      <c r="A624" t="str">
        <f>"T13801"</f>
        <v>T13801</v>
      </c>
      <c r="B624" t="s">
        <v>195</v>
      </c>
      <c r="C624">
        <v>69632</v>
      </c>
      <c r="D624" s="2">
        <v>82.08</v>
      </c>
      <c r="E624" s="1">
        <v>42835</v>
      </c>
      <c r="F624" t="str">
        <f>"4160"</f>
        <v>4160</v>
      </c>
      <c r="G624" t="str">
        <f>"PATIENT-K COOK"</f>
        <v>PATIENT-K COOK</v>
      </c>
      <c r="H624" s="2">
        <v>82.08</v>
      </c>
      <c r="I624" t="str">
        <f>"PATIENT-K COOK"</f>
        <v>PATIENT-K COOK</v>
      </c>
    </row>
    <row r="625" spans="1:10" x14ac:dyDescent="0.3">
      <c r="A625" t="str">
        <f>"T13801"</f>
        <v>T13801</v>
      </c>
      <c r="B625" t="s">
        <v>195</v>
      </c>
      <c r="C625">
        <v>70004</v>
      </c>
      <c r="D625" s="2">
        <v>82.08</v>
      </c>
      <c r="E625" s="1">
        <v>42849</v>
      </c>
      <c r="F625" t="str">
        <f>"201704171219"</f>
        <v>201704171219</v>
      </c>
      <c r="G625" t="str">
        <f>"JAIL PHYSICIAN SERVICES/SO"</f>
        <v>JAIL PHYSICIAN SERVICES/SO</v>
      </c>
      <c r="H625" s="2">
        <v>82.08</v>
      </c>
      <c r="I625" t="str">
        <f>"JAIL PHYSICIAN SERVICES/SO"</f>
        <v>JAIL PHYSICIAN SERVICES/SO</v>
      </c>
    </row>
    <row r="626" spans="1:10" x14ac:dyDescent="0.3">
      <c r="A626" t="str">
        <f>"004314"</f>
        <v>004314</v>
      </c>
      <c r="B626" t="s">
        <v>196</v>
      </c>
      <c r="C626">
        <v>69633</v>
      </c>
      <c r="D626" s="2">
        <v>115</v>
      </c>
      <c r="E626" s="1">
        <v>42835</v>
      </c>
      <c r="F626" t="str">
        <f>"201704060755"</f>
        <v>201704060755</v>
      </c>
      <c r="G626" t="str">
        <f>"FERAL HOGS"</f>
        <v>FERAL HOGS</v>
      </c>
      <c r="H626" s="2">
        <v>115</v>
      </c>
      <c r="I626" t="str">
        <f>"FERAL HOGS"</f>
        <v>FERAL HOGS</v>
      </c>
    </row>
    <row r="627" spans="1:10" x14ac:dyDescent="0.3">
      <c r="A627" t="str">
        <f>"T7860"</f>
        <v>T7860</v>
      </c>
      <c r="B627" t="s">
        <v>197</v>
      </c>
      <c r="C627">
        <v>69634</v>
      </c>
      <c r="D627" s="2">
        <v>1150</v>
      </c>
      <c r="E627" s="1">
        <v>42835</v>
      </c>
      <c r="F627" t="str">
        <f>"11471"</f>
        <v>11471</v>
      </c>
      <c r="G627" t="str">
        <f>"AD LITEM FEE/1-27-17"</f>
        <v>AD LITEM FEE/1-27-17</v>
      </c>
      <c r="H627" s="2">
        <v>150</v>
      </c>
      <c r="I627" t="str">
        <f>"AD LITEM FEE/1-27-17"</f>
        <v>AD LITEM FEE/1-27-17</v>
      </c>
    </row>
    <row r="628" spans="1:10" x14ac:dyDescent="0.3">
      <c r="A628" t="str">
        <f>""</f>
        <v/>
      </c>
      <c r="F628" t="str">
        <f>"11876"</f>
        <v>11876</v>
      </c>
      <c r="G628" t="str">
        <f>"AD LITEM FEE/1-27-17"</f>
        <v>AD LITEM FEE/1-27-17</v>
      </c>
      <c r="H628" s="2">
        <v>150</v>
      </c>
      <c r="I628" t="str">
        <f>"AD LITEM FEE/1-27-17"</f>
        <v>AD LITEM FEE/1-27-17</v>
      </c>
    </row>
    <row r="629" spans="1:10" x14ac:dyDescent="0.3">
      <c r="A629" t="str">
        <f>""</f>
        <v/>
      </c>
      <c r="F629" t="str">
        <f>"201704061182"</f>
        <v>201704061182</v>
      </c>
      <c r="G629" t="str">
        <f>"17-18203"</f>
        <v>17-18203</v>
      </c>
      <c r="H629" s="2">
        <v>100</v>
      </c>
      <c r="I629" t="str">
        <f>"17-18203"</f>
        <v>17-18203</v>
      </c>
    </row>
    <row r="630" spans="1:10" x14ac:dyDescent="0.3">
      <c r="A630" t="str">
        <f>""</f>
        <v/>
      </c>
      <c r="F630" t="str">
        <f>"201704061183"</f>
        <v>201704061183</v>
      </c>
      <c r="G630" t="str">
        <f>"54620 54621"</f>
        <v>54620 54621</v>
      </c>
      <c r="H630" s="2">
        <v>375</v>
      </c>
      <c r="I630" t="str">
        <f>"54620 54621"</f>
        <v>54620 54621</v>
      </c>
    </row>
    <row r="631" spans="1:10" x14ac:dyDescent="0.3">
      <c r="A631" t="str">
        <f>""</f>
        <v/>
      </c>
      <c r="F631" t="str">
        <f>"201704061184"</f>
        <v>201704061184</v>
      </c>
      <c r="G631" t="str">
        <f>"54825 54826"</f>
        <v>54825 54826</v>
      </c>
      <c r="H631" s="2">
        <v>375</v>
      </c>
      <c r="I631" t="str">
        <f>"54825 54826"</f>
        <v>54825 54826</v>
      </c>
    </row>
    <row r="632" spans="1:10" x14ac:dyDescent="0.3">
      <c r="A632" t="str">
        <f>"T7860"</f>
        <v>T7860</v>
      </c>
      <c r="B632" t="s">
        <v>197</v>
      </c>
      <c r="C632">
        <v>70036</v>
      </c>
      <c r="D632" s="2">
        <v>900</v>
      </c>
      <c r="E632" s="1">
        <v>42849</v>
      </c>
      <c r="F632" t="s">
        <v>58</v>
      </c>
      <c r="G632" t="s">
        <v>59</v>
      </c>
      <c r="H632" s="2" t="str">
        <f>"AD LITEM FEE 1/27/17"</f>
        <v>AD LITEM FEE 1/27/17</v>
      </c>
      <c r="I632" t="str">
        <f>"995-4110"</f>
        <v>995-4110</v>
      </c>
      <c r="J632">
        <v>150</v>
      </c>
    </row>
    <row r="633" spans="1:10" x14ac:dyDescent="0.3">
      <c r="A633" t="str">
        <f>""</f>
        <v/>
      </c>
      <c r="F633" t="str">
        <f>"201704201553"</f>
        <v>201704201553</v>
      </c>
      <c r="G633" t="str">
        <f>"54.526"</f>
        <v>54.526</v>
      </c>
      <c r="H633" s="2">
        <v>250</v>
      </c>
      <c r="I633" t="str">
        <f>"54.526"</f>
        <v>54.526</v>
      </c>
    </row>
    <row r="634" spans="1:10" x14ac:dyDescent="0.3">
      <c r="A634" t="str">
        <f>""</f>
        <v/>
      </c>
      <c r="F634" t="str">
        <f>"201704201554"</f>
        <v>201704201554</v>
      </c>
      <c r="G634" t="str">
        <f>"403126-4M 9253413069 201602164"</f>
        <v>403126-4M 9253413069 201602164</v>
      </c>
      <c r="H634" s="2">
        <v>250</v>
      </c>
      <c r="I634" t="str">
        <f>"403126-4M 9253413069 201602164"</f>
        <v>403126-4M 9253413069 201602164</v>
      </c>
    </row>
    <row r="635" spans="1:10" x14ac:dyDescent="0.3">
      <c r="A635" t="str">
        <f>""</f>
        <v/>
      </c>
      <c r="F635" t="str">
        <f>"201704201555"</f>
        <v>201704201555</v>
      </c>
      <c r="G635" t="str">
        <f>"16-18016"</f>
        <v>16-18016</v>
      </c>
      <c r="H635" s="2">
        <v>100</v>
      </c>
      <c r="I635" t="str">
        <f>"16-18016"</f>
        <v>16-18016</v>
      </c>
    </row>
    <row r="636" spans="1:10" x14ac:dyDescent="0.3">
      <c r="A636" t="str">
        <f>""</f>
        <v/>
      </c>
      <c r="F636" t="str">
        <f>"8793"</f>
        <v>8793</v>
      </c>
      <c r="G636" t="str">
        <f>"AD LITEM FEE 2/23/17"</f>
        <v>AD LITEM FEE 2/23/17</v>
      </c>
      <c r="H636" s="2">
        <v>150</v>
      </c>
      <c r="I636" t="str">
        <f>"AD LITEM FEE 2/23/17"</f>
        <v>AD LITEM FEE 2/23/17</v>
      </c>
    </row>
    <row r="637" spans="1:10" x14ac:dyDescent="0.3">
      <c r="A637" t="str">
        <f>"004891"</f>
        <v>004891</v>
      </c>
      <c r="B637" t="s">
        <v>198</v>
      </c>
      <c r="C637">
        <v>69914</v>
      </c>
      <c r="D637" s="2">
        <v>50</v>
      </c>
      <c r="E637" s="1">
        <v>42849</v>
      </c>
      <c r="F637" t="str">
        <f>"    14505"</f>
        <v xml:space="preserve">    14505</v>
      </c>
      <c r="G637" t="str">
        <f>"RESTITUTION-M ALMS"</f>
        <v>RESTITUTION-M ALMS</v>
      </c>
      <c r="H637" s="2">
        <v>50</v>
      </c>
      <c r="I637" t="str">
        <f>"RESTITUTION-M ALMS"</f>
        <v>RESTITUTION-M ALMS</v>
      </c>
    </row>
    <row r="638" spans="1:10" x14ac:dyDescent="0.3">
      <c r="A638" t="str">
        <f>"PP"</f>
        <v>PP</v>
      </c>
      <c r="B638" t="s">
        <v>199</v>
      </c>
      <c r="C638">
        <v>69976</v>
      </c>
      <c r="D638" s="2">
        <v>10</v>
      </c>
      <c r="E638" s="1">
        <v>42849</v>
      </c>
      <c r="F638" t="str">
        <f>"25212"</f>
        <v>25212</v>
      </c>
      <c r="G638" t="str">
        <f>"QUADRILLE PADS/PCT#4"</f>
        <v>QUADRILLE PADS/PCT#4</v>
      </c>
      <c r="H638" s="2">
        <v>10</v>
      </c>
      <c r="I638" t="str">
        <f>"QUADRILLE PADS/PCT#4"</f>
        <v>QUADRILLE PADS/PCT#4</v>
      </c>
    </row>
    <row r="639" spans="1:10" x14ac:dyDescent="0.3">
      <c r="A639" t="str">
        <f>"005001"</f>
        <v>005001</v>
      </c>
      <c r="B639" t="s">
        <v>200</v>
      </c>
      <c r="C639">
        <v>69635</v>
      </c>
      <c r="D639" s="2">
        <v>0.2</v>
      </c>
      <c r="E639" s="1">
        <v>42835</v>
      </c>
      <c r="F639" t="str">
        <f>"13903"</f>
        <v>13903</v>
      </c>
      <c r="G639" t="str">
        <f>"OVERPAYMENT/8-21-14"</f>
        <v>OVERPAYMENT/8-21-14</v>
      </c>
      <c r="H639" s="2">
        <v>0.2</v>
      </c>
      <c r="I639" t="str">
        <f>"OVERPAYMENT/8-21-14"</f>
        <v>OVERPAYMENT/8-21-14</v>
      </c>
    </row>
    <row r="640" spans="1:10" x14ac:dyDescent="0.3">
      <c r="A640" t="str">
        <f>"005016"</f>
        <v>005016</v>
      </c>
      <c r="B640" t="s">
        <v>201</v>
      </c>
      <c r="C640">
        <v>69636</v>
      </c>
      <c r="D640" s="2">
        <v>5</v>
      </c>
      <c r="E640" s="1">
        <v>42835</v>
      </c>
      <c r="F640" t="str">
        <f>"201704060775"</f>
        <v>201704060775</v>
      </c>
      <c r="G640" t="str">
        <f>"FERAL HOGS"</f>
        <v>FERAL HOGS</v>
      </c>
      <c r="H640" s="2">
        <v>5</v>
      </c>
      <c r="I640" t="str">
        <f>"FERAL HOGS"</f>
        <v>FERAL HOGS</v>
      </c>
    </row>
    <row r="641" spans="1:9" x14ac:dyDescent="0.3">
      <c r="A641" t="str">
        <f>"001893"</f>
        <v>001893</v>
      </c>
      <c r="B641" t="s">
        <v>202</v>
      </c>
      <c r="C641">
        <v>69829</v>
      </c>
      <c r="D641" s="2">
        <v>135</v>
      </c>
      <c r="E641" s="1">
        <v>42849</v>
      </c>
      <c r="F641" t="str">
        <f>"201704191357"</f>
        <v>201704191357</v>
      </c>
      <c r="G641" t="str">
        <f>"PER DIEM"</f>
        <v>PER DIEM</v>
      </c>
      <c r="H641" s="2">
        <v>135</v>
      </c>
      <c r="I641" t="str">
        <f>"PER DIEM"</f>
        <v>PER DIEM</v>
      </c>
    </row>
    <row r="642" spans="1:9" x14ac:dyDescent="0.3">
      <c r="A642" t="str">
        <f>"003848"</f>
        <v>003848</v>
      </c>
      <c r="B642" t="s">
        <v>203</v>
      </c>
      <c r="C642">
        <v>69637</v>
      </c>
      <c r="D642" s="2">
        <v>400</v>
      </c>
      <c r="E642" s="1">
        <v>42835</v>
      </c>
      <c r="F642" t="str">
        <f>"201704050643"</f>
        <v>201704050643</v>
      </c>
      <c r="G642" t="str">
        <f>"16-5-07250"</f>
        <v>16-5-07250</v>
      </c>
      <c r="H642" s="2">
        <v>400</v>
      </c>
      <c r="I642" t="str">
        <f>"16-5-07250"</f>
        <v>16-5-07250</v>
      </c>
    </row>
    <row r="643" spans="1:9" x14ac:dyDescent="0.3">
      <c r="A643" t="str">
        <f>"003848"</f>
        <v>003848</v>
      </c>
      <c r="B643" t="s">
        <v>203</v>
      </c>
      <c r="C643">
        <v>69883</v>
      </c>
      <c r="D643" s="2">
        <v>2000</v>
      </c>
      <c r="E643" s="1">
        <v>42849</v>
      </c>
      <c r="F643" t="str">
        <f>"201704201482"</f>
        <v>201704201482</v>
      </c>
      <c r="G643" t="str">
        <f>"16098"</f>
        <v>16098</v>
      </c>
      <c r="H643" s="2">
        <v>400</v>
      </c>
      <c r="I643" t="str">
        <f>"16098"</f>
        <v>16098</v>
      </c>
    </row>
    <row r="644" spans="1:9" x14ac:dyDescent="0.3">
      <c r="A644" t="str">
        <f>""</f>
        <v/>
      </c>
      <c r="F644" t="str">
        <f>"201704201483"</f>
        <v>201704201483</v>
      </c>
      <c r="G644" t="str">
        <f>"1JP7216A"</f>
        <v>1JP7216A</v>
      </c>
      <c r="H644" s="2">
        <v>400</v>
      </c>
      <c r="I644" t="str">
        <f>"1JP7216A"</f>
        <v>1JP7216A</v>
      </c>
    </row>
    <row r="645" spans="1:9" x14ac:dyDescent="0.3">
      <c r="A645" t="str">
        <f>""</f>
        <v/>
      </c>
      <c r="F645" t="str">
        <f>"201704201484"</f>
        <v>201704201484</v>
      </c>
      <c r="G645" t="str">
        <f>"306192016A"</f>
        <v>306192016A</v>
      </c>
      <c r="H645" s="2">
        <v>400</v>
      </c>
      <c r="I645" t="str">
        <f>"306192016A"</f>
        <v>306192016A</v>
      </c>
    </row>
    <row r="646" spans="1:9" x14ac:dyDescent="0.3">
      <c r="A646" t="str">
        <f>""</f>
        <v/>
      </c>
      <c r="F646" t="str">
        <f>"201704201485"</f>
        <v>201704201485</v>
      </c>
      <c r="G646" t="str">
        <f>"3012220170"</f>
        <v>3012220170</v>
      </c>
      <c r="H646" s="2">
        <v>400</v>
      </c>
      <c r="I646" t="str">
        <f>"3012220170"</f>
        <v>3012220170</v>
      </c>
    </row>
    <row r="647" spans="1:9" x14ac:dyDescent="0.3">
      <c r="A647" t="str">
        <f>""</f>
        <v/>
      </c>
      <c r="F647" t="str">
        <f>"201704201486"</f>
        <v>201704201486</v>
      </c>
      <c r="G647" t="str">
        <f>"2016-0351"</f>
        <v>2016-0351</v>
      </c>
      <c r="H647" s="2">
        <v>400</v>
      </c>
      <c r="I647" t="str">
        <f>"2016-0351"</f>
        <v>2016-0351</v>
      </c>
    </row>
    <row r="648" spans="1:9" x14ac:dyDescent="0.3">
      <c r="A648" t="str">
        <f>"005006"</f>
        <v>005006</v>
      </c>
      <c r="B648" t="s">
        <v>204</v>
      </c>
      <c r="C648">
        <v>69638</v>
      </c>
      <c r="D648" s="2">
        <v>1</v>
      </c>
      <c r="E648" s="1">
        <v>42835</v>
      </c>
      <c r="F648" t="str">
        <f>"13116"</f>
        <v>13116</v>
      </c>
      <c r="G648" t="str">
        <f>"OVERPAYMENT/11-20-14"</f>
        <v>OVERPAYMENT/11-20-14</v>
      </c>
      <c r="H648" s="2">
        <v>1</v>
      </c>
    </row>
    <row r="649" spans="1:9" x14ac:dyDescent="0.3">
      <c r="A649" t="str">
        <f>"005019"</f>
        <v>005019</v>
      </c>
      <c r="B649" t="s">
        <v>205</v>
      </c>
      <c r="C649">
        <v>69639</v>
      </c>
      <c r="D649" s="2">
        <v>245</v>
      </c>
      <c r="E649" s="1">
        <v>42835</v>
      </c>
      <c r="F649" t="str">
        <f>"201704060778"</f>
        <v>201704060778</v>
      </c>
      <c r="G649" t="str">
        <f>"FERAL HOGS"</f>
        <v>FERAL HOGS</v>
      </c>
      <c r="H649" s="2">
        <v>245</v>
      </c>
      <c r="I649" t="str">
        <f>"FERAL HOGS"</f>
        <v>FERAL HOGS</v>
      </c>
    </row>
    <row r="650" spans="1:9" x14ac:dyDescent="0.3">
      <c r="A650" t="str">
        <f>"002330"</f>
        <v>002330</v>
      </c>
      <c r="B650" t="s">
        <v>206</v>
      </c>
      <c r="C650">
        <v>69838</v>
      </c>
      <c r="D650" s="2">
        <v>237.6</v>
      </c>
      <c r="E650" s="1">
        <v>42849</v>
      </c>
      <c r="F650" t="str">
        <f>"201704191351"</f>
        <v>201704191351</v>
      </c>
      <c r="G650" t="str">
        <f>"MILEAGE"</f>
        <v>MILEAGE</v>
      </c>
      <c r="H650" s="2">
        <v>237.6</v>
      </c>
      <c r="I650" t="str">
        <f>"MILEAGE"</f>
        <v>MILEAGE</v>
      </c>
    </row>
    <row r="651" spans="1:9" x14ac:dyDescent="0.3">
      <c r="A651" t="str">
        <f>"005002"</f>
        <v>005002</v>
      </c>
      <c r="B651" t="s">
        <v>207</v>
      </c>
      <c r="C651">
        <v>69640</v>
      </c>
      <c r="D651" s="2">
        <v>0.6</v>
      </c>
      <c r="E651" s="1">
        <v>42835</v>
      </c>
      <c r="F651" t="str">
        <f>"13421"</f>
        <v>13421</v>
      </c>
      <c r="G651" t="str">
        <f>"OVERPAYMENT-12-17-10"</f>
        <v>OVERPAYMENT-12-17-10</v>
      </c>
      <c r="H651" s="2">
        <v>0.6</v>
      </c>
      <c r="I651" t="str">
        <f>"OVERPAYMENT-12-17-10"</f>
        <v>OVERPAYMENT-12-17-10</v>
      </c>
    </row>
    <row r="652" spans="1:9" x14ac:dyDescent="0.3">
      <c r="A652" t="str">
        <f>"005000"</f>
        <v>005000</v>
      </c>
      <c r="B652" t="s">
        <v>208</v>
      </c>
      <c r="C652">
        <v>69641</v>
      </c>
      <c r="D652" s="2">
        <v>20</v>
      </c>
      <c r="E652" s="1">
        <v>42835</v>
      </c>
      <c r="F652" t="str">
        <f>"14628"</f>
        <v>14628</v>
      </c>
      <c r="G652" t="str">
        <f>"OVERPAYMENT/1-13-14"</f>
        <v>OVERPAYMENT/1-13-14</v>
      </c>
      <c r="H652" s="2">
        <v>20</v>
      </c>
      <c r="I652" t="str">
        <f>"OVERPAYMENT/1-13-14"</f>
        <v>OVERPAYMENT/1-13-14</v>
      </c>
    </row>
    <row r="653" spans="1:9" x14ac:dyDescent="0.3">
      <c r="A653" t="str">
        <f>"004675"</f>
        <v>004675</v>
      </c>
      <c r="B653" t="s">
        <v>209</v>
      </c>
      <c r="C653">
        <v>69905</v>
      </c>
      <c r="D653" s="2">
        <v>100</v>
      </c>
      <c r="E653" s="1">
        <v>42849</v>
      </c>
      <c r="F653" t="str">
        <f>" 15204"</f>
        <v xml:space="preserve"> 15204</v>
      </c>
      <c r="G653" t="str">
        <f>"RESTITUTION-P MILLER"</f>
        <v>RESTITUTION-P MILLER</v>
      </c>
      <c r="H653" s="2">
        <v>100</v>
      </c>
      <c r="I653" t="str">
        <f>"RESTITUTION-P MILLER"</f>
        <v>RESTITUTION-P MILLER</v>
      </c>
    </row>
    <row r="654" spans="1:9" x14ac:dyDescent="0.3">
      <c r="A654" t="str">
        <f>"001889"</f>
        <v>001889</v>
      </c>
      <c r="B654" t="s">
        <v>210</v>
      </c>
      <c r="C654">
        <v>69642</v>
      </c>
      <c r="D654" s="2">
        <v>200</v>
      </c>
      <c r="E654" s="1">
        <v>42835</v>
      </c>
      <c r="F654" t="str">
        <f>"426547"</f>
        <v>426547</v>
      </c>
      <c r="G654" t="str">
        <f>"TOWER/LANDSCAPE MAINT"</f>
        <v>TOWER/LANDSCAPE MAINT</v>
      </c>
      <c r="H654" s="2">
        <v>200</v>
      </c>
      <c r="I654" t="str">
        <f>"TOWER/LANDSCAPE MAINT"</f>
        <v>TOWER/LANDSCAPE MAINT</v>
      </c>
    </row>
    <row r="655" spans="1:9" x14ac:dyDescent="0.3">
      <c r="A655" t="str">
        <f>"001889"</f>
        <v>001889</v>
      </c>
      <c r="B655" t="s">
        <v>210</v>
      </c>
      <c r="C655">
        <v>69828</v>
      </c>
      <c r="D655" s="2">
        <v>200</v>
      </c>
      <c r="E655" s="1">
        <v>42849</v>
      </c>
      <c r="F655" t="str">
        <f>"426545"</f>
        <v>426545</v>
      </c>
      <c r="G655" t="str">
        <f>"TOWER LANDSCAPE MAINT"</f>
        <v>TOWER LANDSCAPE MAINT</v>
      </c>
      <c r="H655" s="2">
        <v>200</v>
      </c>
      <c r="I655" t="str">
        <f>"TOWER LANDSCAPE MAINT"</f>
        <v>TOWER LANDSCAPE MAINT</v>
      </c>
    </row>
    <row r="656" spans="1:9" x14ac:dyDescent="0.3">
      <c r="A656" t="str">
        <f>"005047"</f>
        <v>005047</v>
      </c>
      <c r="B656" t="s">
        <v>211</v>
      </c>
      <c r="C656">
        <v>70056</v>
      </c>
      <c r="D656" s="2">
        <v>203.23</v>
      </c>
      <c r="E656" s="1">
        <v>42850</v>
      </c>
      <c r="F656" t="str">
        <f>"201704251563"</f>
        <v>201704251563</v>
      </c>
      <c r="G656" t="str">
        <f>"TIRE REPLACEMENT"</f>
        <v>TIRE REPLACEMENT</v>
      </c>
      <c r="H656" s="2">
        <v>203.23</v>
      </c>
      <c r="I656" t="str">
        <f>"TIRE REPLACEMENT"</f>
        <v>TIRE REPLACEMENT</v>
      </c>
    </row>
    <row r="657" spans="1:9" x14ac:dyDescent="0.3">
      <c r="A657" t="str">
        <f>"T14548"</f>
        <v>T14548</v>
      </c>
      <c r="B657" t="s">
        <v>212</v>
      </c>
      <c r="C657">
        <v>69643</v>
      </c>
      <c r="D657" s="2">
        <v>5125</v>
      </c>
      <c r="E657" s="1">
        <v>42835</v>
      </c>
      <c r="F657" t="str">
        <f>"201704050648"</f>
        <v>201704050648</v>
      </c>
      <c r="G657" t="str">
        <f>"406266-5 406266-6"</f>
        <v>406266-5 406266-6</v>
      </c>
      <c r="H657" s="2">
        <v>400</v>
      </c>
      <c r="I657" t="str">
        <f>"406266-5 406266-6"</f>
        <v>406266-5 406266-6</v>
      </c>
    </row>
    <row r="658" spans="1:9" x14ac:dyDescent="0.3">
      <c r="A658" t="str">
        <f>""</f>
        <v/>
      </c>
      <c r="F658" t="str">
        <f>"201704050649"</f>
        <v>201704050649</v>
      </c>
      <c r="G658" t="str">
        <f>"16190"</f>
        <v>16190</v>
      </c>
      <c r="H658" s="2">
        <v>400</v>
      </c>
      <c r="I658" t="str">
        <f>"16190"</f>
        <v>16190</v>
      </c>
    </row>
    <row r="659" spans="1:9" x14ac:dyDescent="0.3">
      <c r="A659" t="str">
        <f>""</f>
        <v/>
      </c>
      <c r="F659" t="str">
        <f>"201704050650"</f>
        <v>201704050650</v>
      </c>
      <c r="G659" t="str">
        <f>"16118"</f>
        <v>16118</v>
      </c>
      <c r="H659" s="2">
        <v>3600</v>
      </c>
      <c r="I659" t="str">
        <f>"16118"</f>
        <v>16118</v>
      </c>
    </row>
    <row r="660" spans="1:9" x14ac:dyDescent="0.3">
      <c r="A660" t="str">
        <f>""</f>
        <v/>
      </c>
      <c r="F660" t="str">
        <f>"201704061137"</f>
        <v>201704061137</v>
      </c>
      <c r="G660" t="str">
        <f>"54612"</f>
        <v>54612</v>
      </c>
      <c r="H660" s="2">
        <v>250</v>
      </c>
      <c r="I660" t="str">
        <f>"54612"</f>
        <v>54612</v>
      </c>
    </row>
    <row r="661" spans="1:9" x14ac:dyDescent="0.3">
      <c r="A661" t="str">
        <f>""</f>
        <v/>
      </c>
      <c r="F661" t="str">
        <f>"201704061138"</f>
        <v>201704061138</v>
      </c>
      <c r="G661" t="str">
        <f>"53600 AC-2016-1231A"</f>
        <v>53600 AC-2016-1231A</v>
      </c>
      <c r="H661" s="2">
        <v>375</v>
      </c>
      <c r="I661" t="str">
        <f>"53600 AC-2016-1231A"</f>
        <v>53600 AC-2016-1231A</v>
      </c>
    </row>
    <row r="662" spans="1:9" x14ac:dyDescent="0.3">
      <c r="A662" t="str">
        <f>""</f>
        <v/>
      </c>
      <c r="F662" t="str">
        <f>"201704061139"</f>
        <v>201704061139</v>
      </c>
      <c r="G662" t="str">
        <f>"17-18257"</f>
        <v>17-18257</v>
      </c>
      <c r="H662" s="2">
        <v>100</v>
      </c>
      <c r="I662" t="str">
        <f>"17-18257"</f>
        <v>17-18257</v>
      </c>
    </row>
    <row r="663" spans="1:9" x14ac:dyDescent="0.3">
      <c r="A663" t="str">
        <f>"T14548"</f>
        <v>T14548</v>
      </c>
      <c r="B663" t="s">
        <v>212</v>
      </c>
      <c r="C663">
        <v>70009</v>
      </c>
      <c r="D663" s="2">
        <v>875</v>
      </c>
      <c r="E663" s="1">
        <v>42849</v>
      </c>
      <c r="F663" t="str">
        <f>"201704201490"</f>
        <v>201704201490</v>
      </c>
      <c r="G663" t="str">
        <f>"15-17088"</f>
        <v>15-17088</v>
      </c>
      <c r="H663" s="2">
        <v>75</v>
      </c>
      <c r="I663" t="str">
        <f>"15-17088"</f>
        <v>15-17088</v>
      </c>
    </row>
    <row r="664" spans="1:9" x14ac:dyDescent="0.3">
      <c r="A664" t="str">
        <f>""</f>
        <v/>
      </c>
      <c r="F664" t="str">
        <f>"201704201491"</f>
        <v>201704201491</v>
      </c>
      <c r="G664" t="str">
        <f>"15478"</f>
        <v>15478</v>
      </c>
      <c r="H664" s="2">
        <v>400</v>
      </c>
      <c r="I664" t="str">
        <f>"15478"</f>
        <v>15478</v>
      </c>
    </row>
    <row r="665" spans="1:9" x14ac:dyDescent="0.3">
      <c r="A665" t="str">
        <f>""</f>
        <v/>
      </c>
      <c r="F665" t="str">
        <f>"201704201492"</f>
        <v>201704201492</v>
      </c>
      <c r="G665" t="str">
        <f>"16032"</f>
        <v>16032</v>
      </c>
      <c r="H665" s="2">
        <v>400</v>
      </c>
      <c r="I665" t="str">
        <f>"16032"</f>
        <v>16032</v>
      </c>
    </row>
    <row r="666" spans="1:9" x14ac:dyDescent="0.3">
      <c r="A666" t="str">
        <f>"004892"</f>
        <v>004892</v>
      </c>
      <c r="B666" t="s">
        <v>213</v>
      </c>
      <c r="C666">
        <v>69915</v>
      </c>
      <c r="D666" s="2">
        <v>25</v>
      </c>
      <c r="E666" s="1">
        <v>42849</v>
      </c>
      <c r="F666" t="str">
        <f>"    8898"</f>
        <v xml:space="preserve">    8898</v>
      </c>
      <c r="G666" t="str">
        <f>"RESTITUTION-J HOFFMAN"</f>
        <v>RESTITUTION-J HOFFMAN</v>
      </c>
      <c r="H666" s="2">
        <v>25</v>
      </c>
      <c r="I666" t="str">
        <f>"RESTITUTION-J HOFFMAN"</f>
        <v>RESTITUTION-J HOFFMAN</v>
      </c>
    </row>
    <row r="667" spans="1:9" x14ac:dyDescent="0.3">
      <c r="A667" t="str">
        <f>"003677"</f>
        <v>003677</v>
      </c>
      <c r="B667" t="s">
        <v>214</v>
      </c>
      <c r="C667">
        <v>69873</v>
      </c>
      <c r="D667" s="2">
        <v>25</v>
      </c>
      <c r="E667" s="1">
        <v>42849</v>
      </c>
      <c r="F667" t="str">
        <f>"        10393"</f>
        <v xml:space="preserve">        10393</v>
      </c>
      <c r="G667" t="str">
        <f>"RESTITUTION-D SPURK"</f>
        <v>RESTITUTION-D SPURK</v>
      </c>
      <c r="H667" s="2">
        <v>25</v>
      </c>
      <c r="I667" t="str">
        <f>"RESTITUTION-D SPURK"</f>
        <v>RESTITUTION-D SPURK</v>
      </c>
    </row>
    <row r="668" spans="1:9" x14ac:dyDescent="0.3">
      <c r="A668" t="str">
        <f>"KMPC"</f>
        <v>KMPC</v>
      </c>
      <c r="B668" t="s">
        <v>215</v>
      </c>
      <c r="C668">
        <v>69645</v>
      </c>
      <c r="D668" s="2">
        <v>143.97</v>
      </c>
      <c r="E668" s="1">
        <v>42835</v>
      </c>
      <c r="F668" t="str">
        <f>"1520-00000125377"</f>
        <v>1520-00000125377</v>
      </c>
      <c r="G668" t="str">
        <f>"RUSTOLIUM"</f>
        <v>RUSTOLIUM</v>
      </c>
      <c r="H668" s="2">
        <v>143.97</v>
      </c>
      <c r="I668" t="str">
        <f>"RUSTOLIUM"</f>
        <v>RUSTOLIUM</v>
      </c>
    </row>
    <row r="669" spans="1:9" x14ac:dyDescent="0.3">
      <c r="A669" t="str">
        <f>"KMPC"</f>
        <v>KMPC</v>
      </c>
      <c r="B669" t="s">
        <v>215</v>
      </c>
      <c r="C669">
        <v>69960</v>
      </c>
      <c r="D669" s="2">
        <v>281.06</v>
      </c>
      <c r="E669" s="1">
        <v>42849</v>
      </c>
      <c r="F669" t="str">
        <f>"201704201457"</f>
        <v>201704201457</v>
      </c>
      <c r="G669" t="str">
        <f>"INV1520-00000125770 LINER"</f>
        <v>INV1520-00000125770 LINER</v>
      </c>
      <c r="H669" s="2">
        <v>281.06</v>
      </c>
      <c r="I669" t="str">
        <f>"INV1520-00000125770 PAINT"</f>
        <v>INV1520-00000125770 PAINT</v>
      </c>
    </row>
    <row r="670" spans="1:9" x14ac:dyDescent="0.3">
      <c r="A670" t="str">
        <f>"T12139"</f>
        <v>T12139</v>
      </c>
      <c r="B670" t="s">
        <v>216</v>
      </c>
      <c r="C670">
        <v>69997</v>
      </c>
      <c r="D670" s="2">
        <v>315</v>
      </c>
      <c r="E670" s="1">
        <v>42849</v>
      </c>
      <c r="F670" t="str">
        <f>"587729"</f>
        <v>587729</v>
      </c>
      <c r="G670" t="str">
        <f>"TRASH P/U &amp; MOW/PCT#1"</f>
        <v>TRASH P/U &amp; MOW/PCT#1</v>
      </c>
      <c r="H670" s="2">
        <v>315</v>
      </c>
      <c r="I670" t="str">
        <f>"TRASH P/U &amp; MOW/PCT#1"</f>
        <v>TRASH P/U &amp; MOW/PCT#1</v>
      </c>
    </row>
    <row r="671" spans="1:9" x14ac:dyDescent="0.3">
      <c r="A671" t="str">
        <f>"KBTRI"</f>
        <v>KBTRI</v>
      </c>
      <c r="B671" t="s">
        <v>217</v>
      </c>
      <c r="C671">
        <v>69646</v>
      </c>
      <c r="D671" s="2">
        <v>5034</v>
      </c>
      <c r="E671" s="1">
        <v>42835</v>
      </c>
      <c r="F671" t="str">
        <f>"30"</f>
        <v>30</v>
      </c>
      <c r="G671" t="str">
        <f>"TOWER RENT/OEM"</f>
        <v>TOWER RENT/OEM</v>
      </c>
      <c r="H671" s="2">
        <v>2517</v>
      </c>
      <c r="I671" t="str">
        <f>"TOWER RENT/OEM"</f>
        <v>TOWER RENT/OEM</v>
      </c>
    </row>
    <row r="672" spans="1:9" x14ac:dyDescent="0.3">
      <c r="A672" t="str">
        <f>""</f>
        <v/>
      </c>
      <c r="F672" t="str">
        <f>"38"</f>
        <v>38</v>
      </c>
      <c r="G672" t="str">
        <f>"TOWER RENT/OEM"</f>
        <v>TOWER RENT/OEM</v>
      </c>
      <c r="H672" s="2">
        <v>2517</v>
      </c>
      <c r="I672" t="str">
        <f>"TOWER RENT/OEM"</f>
        <v>TOWER RENT/OEM</v>
      </c>
    </row>
    <row r="673" spans="1:9" x14ac:dyDescent="0.3">
      <c r="A673" t="str">
        <f>"004969"</f>
        <v>004969</v>
      </c>
      <c r="B673" t="s">
        <v>218</v>
      </c>
      <c r="C673">
        <v>69647</v>
      </c>
      <c r="D673" s="2">
        <v>709.81</v>
      </c>
      <c r="E673" s="1">
        <v>42835</v>
      </c>
      <c r="F673" t="str">
        <f>"201704050700"</f>
        <v>201704050700</v>
      </c>
      <c r="G673" t="str">
        <f>"SHAWN HARRIS"</f>
        <v>SHAWN HARRIS</v>
      </c>
      <c r="H673" s="2">
        <v>709.81</v>
      </c>
      <c r="I673" t="str">
        <f>"AC FILTERS"</f>
        <v>AC FILTERS</v>
      </c>
    </row>
    <row r="674" spans="1:9" x14ac:dyDescent="0.3">
      <c r="A674" t="str">
        <f>"KFT"</f>
        <v>KFT</v>
      </c>
      <c r="B674" t="s">
        <v>219</v>
      </c>
      <c r="C674">
        <v>69959</v>
      </c>
      <c r="D674" s="2">
        <v>49.92</v>
      </c>
      <c r="E674" s="1">
        <v>42849</v>
      </c>
      <c r="F674" t="str">
        <f>"241417"</f>
        <v>241417</v>
      </c>
      <c r="G674" t="str">
        <f>"CUST#BASCO3/PCT#3"</f>
        <v>CUST#BASCO3/PCT#3</v>
      </c>
      <c r="H674" s="2">
        <v>49.92</v>
      </c>
      <c r="I674" t="str">
        <f>"CUST#BASCO3/PCT#3"</f>
        <v>CUST#BASCO3/PCT#3</v>
      </c>
    </row>
    <row r="675" spans="1:9" x14ac:dyDescent="0.3">
      <c r="A675" t="str">
        <f>"003916"</f>
        <v>003916</v>
      </c>
      <c r="B675" t="s">
        <v>220</v>
      </c>
      <c r="C675">
        <v>69648</v>
      </c>
      <c r="D675" s="2">
        <v>99</v>
      </c>
      <c r="E675" s="1">
        <v>42835</v>
      </c>
      <c r="F675" t="str">
        <f>"259086"</f>
        <v>259086</v>
      </c>
      <c r="G675" t="str">
        <f>"ORDER#MON-9884/DSTA"</f>
        <v>ORDER#MON-9884/DSTA</v>
      </c>
      <c r="H675" s="2">
        <v>99</v>
      </c>
      <c r="I675" t="str">
        <f>"ORDER#MON-9884/DSTA"</f>
        <v>ORDER#MON-9884/DSTA</v>
      </c>
    </row>
    <row r="676" spans="1:9" x14ac:dyDescent="0.3">
      <c r="A676" t="str">
        <f>"003287"</f>
        <v>003287</v>
      </c>
      <c r="B676" t="s">
        <v>221</v>
      </c>
      <c r="C676">
        <v>69649</v>
      </c>
      <c r="D676" s="2">
        <v>23641.35</v>
      </c>
      <c r="E676" s="1">
        <v>42835</v>
      </c>
      <c r="F676" t="str">
        <f>"217621"</f>
        <v>217621</v>
      </c>
      <c r="G676" t="str">
        <f>"CUST#TXBASTROPDC/DIST CLERK"</f>
        <v>CUST#TXBASTROPDC/DIST CLERK</v>
      </c>
      <c r="H676" s="2">
        <v>23641.35</v>
      </c>
      <c r="I676" t="str">
        <f>"CUST#TXBASTROPDC/DIST CLERK"</f>
        <v>CUST#TXBASTROPDC/DIST CLERK</v>
      </c>
    </row>
    <row r="677" spans="1:9" x14ac:dyDescent="0.3">
      <c r="A677" t="str">
        <f>"005013"</f>
        <v>005013</v>
      </c>
      <c r="B677" t="s">
        <v>222</v>
      </c>
      <c r="C677">
        <v>69650</v>
      </c>
      <c r="D677" s="2">
        <v>166.11</v>
      </c>
      <c r="E677" s="1">
        <v>42835</v>
      </c>
      <c r="F677" t="str">
        <f>"201704050703"</f>
        <v>201704050703</v>
      </c>
      <c r="G677" t="str">
        <f>"LODGING"</f>
        <v>LODGING</v>
      </c>
      <c r="H677" s="2">
        <v>166.11</v>
      </c>
    </row>
    <row r="678" spans="1:9" x14ac:dyDescent="0.3">
      <c r="A678" t="str">
        <f>"005013"</f>
        <v>005013</v>
      </c>
      <c r="B678" t="s">
        <v>222</v>
      </c>
      <c r="C678">
        <v>69650</v>
      </c>
      <c r="D678" s="2">
        <v>166.11</v>
      </c>
      <c r="E678" s="1">
        <v>42835</v>
      </c>
      <c r="F678" t="str">
        <f>"CHECK"</f>
        <v>CHECK</v>
      </c>
      <c r="G678" t="str">
        <f>""</f>
        <v/>
      </c>
      <c r="H678" s="2">
        <v>166.11</v>
      </c>
    </row>
    <row r="679" spans="1:9" x14ac:dyDescent="0.3">
      <c r="A679" t="str">
        <f>"001722"</f>
        <v>001722</v>
      </c>
      <c r="B679" t="s">
        <v>223</v>
      </c>
      <c r="C679">
        <v>69651</v>
      </c>
      <c r="D679" s="2">
        <v>2413.6799999999998</v>
      </c>
      <c r="E679" s="1">
        <v>42835</v>
      </c>
      <c r="F679" t="str">
        <f>"03222132"</f>
        <v>03222132</v>
      </c>
      <c r="G679" t="str">
        <f>"FOOD INV03222132"</f>
        <v>FOOD INV03222132</v>
      </c>
      <c r="H679" s="2">
        <v>1159.6099999999999</v>
      </c>
      <c r="I679" t="str">
        <f>"FOOD INV03222132"</f>
        <v>FOOD INV03222132</v>
      </c>
    </row>
    <row r="680" spans="1:9" x14ac:dyDescent="0.3">
      <c r="A680" t="str">
        <f>""</f>
        <v/>
      </c>
      <c r="F680" t="str">
        <f>"0329009"</f>
        <v>0329009</v>
      </c>
      <c r="G680" t="str">
        <f>"FOOD INV0329009"</f>
        <v>FOOD INV0329009</v>
      </c>
      <c r="H680" s="2">
        <v>1254.07</v>
      </c>
      <c r="I680" t="str">
        <f>"FOOD INV0329009"</f>
        <v>FOOD INV0329009</v>
      </c>
    </row>
    <row r="681" spans="1:9" x14ac:dyDescent="0.3">
      <c r="A681" t="str">
        <f>"001722"</f>
        <v>001722</v>
      </c>
      <c r="B681" t="s">
        <v>223</v>
      </c>
      <c r="C681">
        <v>69823</v>
      </c>
      <c r="D681" s="2">
        <v>2211.13</v>
      </c>
      <c r="E681" s="1">
        <v>42849</v>
      </c>
      <c r="F681" t="str">
        <f>"201704201397"</f>
        <v>201704201397</v>
      </c>
      <c r="G681" t="str">
        <f>"FOOD INV535311"</f>
        <v>FOOD INV535311</v>
      </c>
      <c r="H681" s="2">
        <v>988.42</v>
      </c>
      <c r="I681" t="str">
        <f>"FOOD INV535311"</f>
        <v>FOOD INV535311</v>
      </c>
    </row>
    <row r="682" spans="1:9" x14ac:dyDescent="0.3">
      <c r="A682" t="str">
        <f>""</f>
        <v/>
      </c>
      <c r="F682" t="str">
        <f>"201704201431"</f>
        <v>201704201431</v>
      </c>
      <c r="G682" t="str">
        <f>"FOOD INVOICE04057901"</f>
        <v>FOOD INVOICE04057901</v>
      </c>
      <c r="H682" s="2">
        <v>1222.71</v>
      </c>
      <c r="I682" t="str">
        <f>"FOOD INVOICE04057901"</f>
        <v>FOOD INVOICE04057901</v>
      </c>
    </row>
    <row r="683" spans="1:9" x14ac:dyDescent="0.3">
      <c r="A683" t="str">
        <f>"005027"</f>
        <v>005027</v>
      </c>
      <c r="B683" t="s">
        <v>224</v>
      </c>
      <c r="C683">
        <v>69920</v>
      </c>
      <c r="D683" s="2">
        <v>290.57</v>
      </c>
      <c r="E683" s="1">
        <v>42849</v>
      </c>
      <c r="F683" t="str">
        <f>"201704131203"</f>
        <v>201704131203</v>
      </c>
      <c r="G683" t="str">
        <f>"PER DIEM/GCAT CONF.TRAINING"</f>
        <v>PER DIEM/GCAT CONF.TRAINING</v>
      </c>
      <c r="H683" s="2">
        <v>290.57</v>
      </c>
      <c r="I683" t="str">
        <f>"PER DIEM/GCAT CONF.TRAINING"</f>
        <v>PER DIEM/GCAT CONF.TRAINING</v>
      </c>
    </row>
    <row r="684" spans="1:9" x14ac:dyDescent="0.3">
      <c r="A684" t="str">
        <f>"000900"</f>
        <v>000900</v>
      </c>
      <c r="B684" t="s">
        <v>225</v>
      </c>
      <c r="C684">
        <v>69812</v>
      </c>
      <c r="D684" s="2">
        <v>8602</v>
      </c>
      <c r="E684" s="1">
        <v>42849</v>
      </c>
      <c r="F684" t="str">
        <f>"249041"</f>
        <v>249041</v>
      </c>
      <c r="G684" t="str">
        <f>"CUST#BASCOU/PCT#1"</f>
        <v>CUST#BASCOU/PCT#1</v>
      </c>
      <c r="H684" s="2">
        <v>8602</v>
      </c>
      <c r="I684" t="str">
        <f>"CUST#BASCOU/PCT#1"</f>
        <v>CUST#BASCOU/PCT#1</v>
      </c>
    </row>
    <row r="685" spans="1:9" x14ac:dyDescent="0.3">
      <c r="A685" t="str">
        <f>"002420"</f>
        <v>002420</v>
      </c>
      <c r="B685" t="s">
        <v>226</v>
      </c>
      <c r="C685">
        <v>69652</v>
      </c>
      <c r="D685" s="2">
        <v>1854.5</v>
      </c>
      <c r="E685" s="1">
        <v>42835</v>
      </c>
      <c r="F685" t="str">
        <f>"201704050654"</f>
        <v>201704050654</v>
      </c>
      <c r="G685" t="str">
        <f>"423-2403"</f>
        <v>423-2403</v>
      </c>
      <c r="H685" s="2">
        <v>225</v>
      </c>
      <c r="I685" t="str">
        <f>"423-2403"</f>
        <v>423-2403</v>
      </c>
    </row>
    <row r="686" spans="1:9" x14ac:dyDescent="0.3">
      <c r="A686" t="str">
        <f>""</f>
        <v/>
      </c>
      <c r="F686" t="str">
        <f>"201704050655"</f>
        <v>201704050655</v>
      </c>
      <c r="G686" t="str">
        <f>"423-1932"</f>
        <v>423-1932</v>
      </c>
      <c r="H686" s="2">
        <v>175</v>
      </c>
      <c r="I686" t="str">
        <f>"423-1932"</f>
        <v>423-1932</v>
      </c>
    </row>
    <row r="687" spans="1:9" x14ac:dyDescent="0.3">
      <c r="A687" t="str">
        <f>""</f>
        <v/>
      </c>
      <c r="F687" t="str">
        <f>"201704061140"</f>
        <v>201704061140</v>
      </c>
      <c r="G687" t="str">
        <f>"16-17797"</f>
        <v>16-17797</v>
      </c>
      <c r="H687" s="2">
        <v>52.5</v>
      </c>
      <c r="I687" t="str">
        <f>"16-17797"</f>
        <v>16-17797</v>
      </c>
    </row>
    <row r="688" spans="1:9" x14ac:dyDescent="0.3">
      <c r="A688" t="str">
        <f>""</f>
        <v/>
      </c>
      <c r="F688" t="str">
        <f>"201704061141"</f>
        <v>201704061141</v>
      </c>
      <c r="G688" t="str">
        <f>"08-12854"</f>
        <v>08-12854</v>
      </c>
      <c r="H688" s="2">
        <v>52.5</v>
      </c>
      <c r="I688" t="str">
        <f>"08-12854"</f>
        <v>08-12854</v>
      </c>
    </row>
    <row r="689" spans="1:9" x14ac:dyDescent="0.3">
      <c r="A689" t="str">
        <f>""</f>
        <v/>
      </c>
      <c r="F689" t="str">
        <f>"201704061142"</f>
        <v>201704061142</v>
      </c>
      <c r="G689" t="str">
        <f>"16-17785"</f>
        <v>16-17785</v>
      </c>
      <c r="H689" s="2">
        <v>122.5</v>
      </c>
      <c r="I689" t="str">
        <f>"16-17785"</f>
        <v>16-17785</v>
      </c>
    </row>
    <row r="690" spans="1:9" x14ac:dyDescent="0.3">
      <c r="A690" t="str">
        <f>""</f>
        <v/>
      </c>
      <c r="F690" t="str">
        <f>"201704061143"</f>
        <v>201704061143</v>
      </c>
      <c r="G690" t="str">
        <f>"03-8456"</f>
        <v>03-8456</v>
      </c>
      <c r="H690" s="2">
        <v>30</v>
      </c>
      <c r="I690" t="str">
        <f>"03-8456"</f>
        <v>03-8456</v>
      </c>
    </row>
    <row r="691" spans="1:9" x14ac:dyDescent="0.3">
      <c r="A691" t="str">
        <f>""</f>
        <v/>
      </c>
      <c r="F691" t="str">
        <f>"201704061144"</f>
        <v>201704061144</v>
      </c>
      <c r="G691" t="str">
        <f>"16-17708"</f>
        <v>16-17708</v>
      </c>
      <c r="H691" s="2">
        <v>100</v>
      </c>
      <c r="I691" t="str">
        <f>"16-17708"</f>
        <v>16-17708</v>
      </c>
    </row>
    <row r="692" spans="1:9" x14ac:dyDescent="0.3">
      <c r="A692" t="str">
        <f>""</f>
        <v/>
      </c>
      <c r="F692" t="str">
        <f>"201704061145"</f>
        <v>201704061145</v>
      </c>
      <c r="G692" t="str">
        <f>"16-17760"</f>
        <v>16-17760</v>
      </c>
      <c r="H692" s="2">
        <v>232.5</v>
      </c>
      <c r="I692" t="str">
        <f>"16-17760"</f>
        <v>16-17760</v>
      </c>
    </row>
    <row r="693" spans="1:9" x14ac:dyDescent="0.3">
      <c r="A693" t="str">
        <f>""</f>
        <v/>
      </c>
      <c r="F693" t="str">
        <f>"201704061146"</f>
        <v>201704061146</v>
      </c>
      <c r="G693" t="str">
        <f>"16-18010"</f>
        <v>16-18010</v>
      </c>
      <c r="H693" s="2">
        <v>255</v>
      </c>
      <c r="I693" t="str">
        <f>"16-18010"</f>
        <v>16-18010</v>
      </c>
    </row>
    <row r="694" spans="1:9" x14ac:dyDescent="0.3">
      <c r="A694" t="str">
        <f>""</f>
        <v/>
      </c>
      <c r="F694" t="str">
        <f>"201704061147"</f>
        <v>201704061147</v>
      </c>
      <c r="G694" t="str">
        <f>"03-8456"</f>
        <v>03-8456</v>
      </c>
      <c r="H694" s="2">
        <v>220</v>
      </c>
      <c r="I694" t="str">
        <f>"03-8456"</f>
        <v>03-8456</v>
      </c>
    </row>
    <row r="695" spans="1:9" x14ac:dyDescent="0.3">
      <c r="A695" t="str">
        <f>""</f>
        <v/>
      </c>
      <c r="F695" t="str">
        <f>"201704061148"</f>
        <v>201704061148</v>
      </c>
      <c r="G695" t="str">
        <f>"14-16754"</f>
        <v>14-16754</v>
      </c>
      <c r="H695" s="2">
        <v>269.5</v>
      </c>
      <c r="I695" t="str">
        <f>"14-16754"</f>
        <v>14-16754</v>
      </c>
    </row>
    <row r="696" spans="1:9" x14ac:dyDescent="0.3">
      <c r="A696" t="str">
        <f>""</f>
        <v/>
      </c>
      <c r="F696" t="str">
        <f>"201704061149"</f>
        <v>201704061149</v>
      </c>
      <c r="G696" t="str">
        <f>"08-12854"</f>
        <v>08-12854</v>
      </c>
      <c r="H696" s="2">
        <v>120</v>
      </c>
      <c r="I696" t="str">
        <f>"08-12854"</f>
        <v>08-12854</v>
      </c>
    </row>
    <row r="697" spans="1:9" x14ac:dyDescent="0.3">
      <c r="A697" t="str">
        <f>"002420"</f>
        <v>002420</v>
      </c>
      <c r="B697" t="s">
        <v>226</v>
      </c>
      <c r="C697">
        <v>69844</v>
      </c>
      <c r="D697" s="2">
        <v>330</v>
      </c>
      <c r="E697" s="1">
        <v>42849</v>
      </c>
      <c r="F697" t="str">
        <f>"201704201488"</f>
        <v>201704201488</v>
      </c>
      <c r="G697" t="str">
        <f>"423-2288"</f>
        <v>423-2288</v>
      </c>
      <c r="H697" s="2">
        <v>247.5</v>
      </c>
      <c r="I697" t="str">
        <f>"423-2288"</f>
        <v>423-2288</v>
      </c>
    </row>
    <row r="698" spans="1:9" x14ac:dyDescent="0.3">
      <c r="A698" t="str">
        <f>""</f>
        <v/>
      </c>
      <c r="F698" t="str">
        <f>"201704201489"</f>
        <v>201704201489</v>
      </c>
      <c r="G698" t="str">
        <f>"423-2403"</f>
        <v>423-2403</v>
      </c>
      <c r="H698" s="2">
        <v>82.5</v>
      </c>
      <c r="I698" t="str">
        <f>"423-2403"</f>
        <v>423-2403</v>
      </c>
    </row>
    <row r="699" spans="1:9" x14ac:dyDescent="0.3">
      <c r="A699" t="str">
        <f>"T9279"</f>
        <v>T9279</v>
      </c>
      <c r="B699" t="s">
        <v>227</v>
      </c>
      <c r="C699">
        <v>69515</v>
      </c>
      <c r="D699" s="2">
        <v>140.63999999999999</v>
      </c>
      <c r="E699" s="1">
        <v>42830</v>
      </c>
      <c r="F699" t="str">
        <f>"201704050670"</f>
        <v>201704050670</v>
      </c>
      <c r="G699" t="str">
        <f>"ACCT#1-09-00072-02"</f>
        <v>ACCT#1-09-00072-02</v>
      </c>
      <c r="H699" s="2">
        <v>90.39</v>
      </c>
      <c r="I699" t="str">
        <f>"ACCT#1-09-00072-02"</f>
        <v>ACCT#1-09-00072-02</v>
      </c>
    </row>
    <row r="700" spans="1:9" x14ac:dyDescent="0.3">
      <c r="A700" t="str">
        <f>""</f>
        <v/>
      </c>
      <c r="F700" t="str">
        <f>"201704050672"</f>
        <v>201704050672</v>
      </c>
      <c r="G700" t="str">
        <f>"ACCT#3-09-00175-03/PCT#2"</f>
        <v>ACCT#3-09-00175-03/PCT#2</v>
      </c>
      <c r="H700" s="2">
        <v>50.25</v>
      </c>
      <c r="I700" t="str">
        <f>"ACCT#3-09-00175-03/PCT#2"</f>
        <v>ACCT#3-09-00175-03/PCT#2</v>
      </c>
    </row>
    <row r="701" spans="1:9" x14ac:dyDescent="0.3">
      <c r="A701" t="str">
        <f>"004538"</f>
        <v>004538</v>
      </c>
      <c r="B701" t="s">
        <v>228</v>
      </c>
      <c r="C701">
        <v>69653</v>
      </c>
      <c r="D701" s="2">
        <v>70.12</v>
      </c>
      <c r="E701" s="1">
        <v>42835</v>
      </c>
      <c r="F701" t="str">
        <f>"201704050630"</f>
        <v>201704050630</v>
      </c>
      <c r="G701" t="str">
        <f>"REIMBURSEMENT"</f>
        <v>REIMBURSEMENT</v>
      </c>
      <c r="H701" s="2">
        <v>70.12</v>
      </c>
      <c r="I701" t="str">
        <f>"REIMBURSEMENT"</f>
        <v>REIMBURSEMENT</v>
      </c>
    </row>
    <row r="702" spans="1:9" x14ac:dyDescent="0.3">
      <c r="A702" t="str">
        <f>"002900"</f>
        <v>002900</v>
      </c>
      <c r="B702" t="s">
        <v>229</v>
      </c>
      <c r="C702">
        <v>69654</v>
      </c>
      <c r="D702" s="2">
        <v>210.73</v>
      </c>
      <c r="E702" s="1">
        <v>42835</v>
      </c>
      <c r="F702" t="str">
        <f>"551461047"</f>
        <v>551461047</v>
      </c>
      <c r="G702" t="str">
        <f>"RTU 8 PARTS INV551461047"</f>
        <v>RTU 8 PARTS INV551461047</v>
      </c>
      <c r="H702" s="2">
        <v>210.73</v>
      </c>
      <c r="I702" t="str">
        <f>"RTU 8 PARTS INV551461047"</f>
        <v>RTU 8 PARTS INV551461047</v>
      </c>
    </row>
    <row r="703" spans="1:9" x14ac:dyDescent="0.3">
      <c r="A703" t="str">
        <f>"001530"</f>
        <v>001530</v>
      </c>
      <c r="B703" t="s">
        <v>230</v>
      </c>
      <c r="C703">
        <v>69655</v>
      </c>
      <c r="D703" s="2">
        <v>50</v>
      </c>
      <c r="E703" s="1">
        <v>42835</v>
      </c>
      <c r="F703" t="str">
        <f>"1394645-20170331"</f>
        <v>1394645-20170331</v>
      </c>
      <c r="G703" t="str">
        <f>"ID#1394645/CNTY CLERK"</f>
        <v>ID#1394645/CNTY CLERK</v>
      </c>
      <c r="H703" s="2">
        <v>50</v>
      </c>
      <c r="I703" t="str">
        <f>"ID#1394645/CNTY CLERK"</f>
        <v>ID#1394645/CNTY CLERK</v>
      </c>
    </row>
    <row r="704" spans="1:9" x14ac:dyDescent="0.3">
      <c r="A704" t="str">
        <f>"001530"</f>
        <v>001530</v>
      </c>
      <c r="B704" t="s">
        <v>230</v>
      </c>
      <c r="C704">
        <v>69820</v>
      </c>
      <c r="D704" s="2">
        <v>158.30000000000001</v>
      </c>
      <c r="E704" s="1">
        <v>42849</v>
      </c>
      <c r="F704" t="str">
        <f>"1361725-20170331"</f>
        <v>1361725-20170331</v>
      </c>
      <c r="G704" t="str">
        <f>"ACCT#1361725/INDIGENT HEALTH"</f>
        <v>ACCT#1361725/INDIGENT HEALTH</v>
      </c>
      <c r="H704" s="2">
        <v>108.3</v>
      </c>
      <c r="I704" t="str">
        <f>"ACCT#1361725/INDIGENT HEALTH"</f>
        <v>ACCT#1361725/INDIGENT HEALTH</v>
      </c>
    </row>
    <row r="705" spans="1:9" x14ac:dyDescent="0.3">
      <c r="A705" t="str">
        <f>""</f>
        <v/>
      </c>
      <c r="F705" t="str">
        <f>"1489870-20170331"</f>
        <v>1489870-20170331</v>
      </c>
      <c r="G705" t="str">
        <f>"ID#1489870/DISTRICT CLERK"</f>
        <v>ID#1489870/DISTRICT CLERK</v>
      </c>
      <c r="H705" s="2">
        <v>50</v>
      </c>
      <c r="I705" t="str">
        <f>"ID#1489870/DISTRICT CLERK"</f>
        <v>ID#1489870/DISTRICT CLERK</v>
      </c>
    </row>
    <row r="706" spans="1:9" x14ac:dyDescent="0.3">
      <c r="A706" t="str">
        <f>"001803"</f>
        <v>001803</v>
      </c>
      <c r="B706" t="s">
        <v>231</v>
      </c>
      <c r="C706">
        <v>69826</v>
      </c>
      <c r="D706" s="2">
        <v>250.95</v>
      </c>
      <c r="E706" s="1">
        <v>42849</v>
      </c>
      <c r="F706" t="str">
        <f>"201704201409"</f>
        <v>201704201409</v>
      </c>
      <c r="G706" t="str">
        <f>"3x5 Flags"</f>
        <v>3x5 Flags</v>
      </c>
      <c r="H706" s="2">
        <v>250.95</v>
      </c>
      <c r="I706" t="str">
        <f>"3x5 Flags Texas"</f>
        <v>3x5 Flags Texas</v>
      </c>
    </row>
    <row r="707" spans="1:9" x14ac:dyDescent="0.3">
      <c r="A707" t="str">
        <f>""</f>
        <v/>
      </c>
      <c r="F707" t="str">
        <f>""</f>
        <v/>
      </c>
      <c r="G707" t="str">
        <f>""</f>
        <v/>
      </c>
      <c r="I707" t="str">
        <f>"3x5 Flags US"</f>
        <v>3x5 Flags US</v>
      </c>
    </row>
    <row r="708" spans="1:9" x14ac:dyDescent="0.3">
      <c r="A708" t="str">
        <f>"000684"</f>
        <v>000684</v>
      </c>
      <c r="B708" t="s">
        <v>232</v>
      </c>
      <c r="C708">
        <v>69656</v>
      </c>
      <c r="D708" s="2">
        <v>754.82</v>
      </c>
      <c r="E708" s="1">
        <v>42835</v>
      </c>
      <c r="F708" t="str">
        <f>"1089722"</f>
        <v>1089722</v>
      </c>
      <c r="G708" t="str">
        <f>"ACCT#15717/TIRES"</f>
        <v>ACCT#15717/TIRES</v>
      </c>
      <c r="H708" s="2">
        <v>754.82</v>
      </c>
      <c r="I708" t="str">
        <f>"ACCT#15717/TIRES"</f>
        <v>ACCT#15717/TIRES</v>
      </c>
    </row>
    <row r="709" spans="1:9" x14ac:dyDescent="0.3">
      <c r="A709" t="str">
        <f>"000684"</f>
        <v>000684</v>
      </c>
      <c r="B709" t="s">
        <v>232</v>
      </c>
      <c r="C709">
        <v>69809</v>
      </c>
      <c r="D709" s="2">
        <v>686.96</v>
      </c>
      <c r="E709" s="1">
        <v>42849</v>
      </c>
      <c r="F709" t="str">
        <f>"15717 - 04/07/17"</f>
        <v>15717 - 04/07/17</v>
      </c>
      <c r="G709" t="str">
        <f>"1089722"</f>
        <v>1089722</v>
      </c>
      <c r="H709" s="2">
        <v>686.96</v>
      </c>
      <c r="I709" t="str">
        <f>"1089722"</f>
        <v>1089722</v>
      </c>
    </row>
    <row r="710" spans="1:9" x14ac:dyDescent="0.3">
      <c r="A710" t="str">
        <f>"T11113"</f>
        <v>T11113</v>
      </c>
      <c r="B710" t="s">
        <v>233</v>
      </c>
      <c r="C710">
        <v>0</v>
      </c>
      <c r="D710" s="2">
        <v>45</v>
      </c>
      <c r="E710" s="1">
        <v>42838</v>
      </c>
      <c r="F710" t="str">
        <f>"201704131200"</f>
        <v>201704131200</v>
      </c>
      <c r="G710" t="str">
        <f>"VEHICLE REGISTRAIONS"</f>
        <v>VEHICLE REGISTRAIONS</v>
      </c>
      <c r="H710" s="2">
        <v>45</v>
      </c>
      <c r="I710" t="str">
        <f>"VEHICLE REGISTRAIONS"</f>
        <v>VEHICLE REGISTRAIONS</v>
      </c>
    </row>
    <row r="711" spans="1:9" x14ac:dyDescent="0.3">
      <c r="A711" t="str">
        <f>""</f>
        <v/>
      </c>
      <c r="F711" t="str">
        <f>""</f>
        <v/>
      </c>
      <c r="G711" t="str">
        <f>""</f>
        <v/>
      </c>
      <c r="I711" t="str">
        <f>"VEHICLE REGISTRAIONS"</f>
        <v>VEHICLE REGISTRAIONS</v>
      </c>
    </row>
    <row r="712" spans="1:9" x14ac:dyDescent="0.3">
      <c r="A712" t="str">
        <f>""</f>
        <v/>
      </c>
      <c r="F712" t="str">
        <f>""</f>
        <v/>
      </c>
      <c r="G712" t="str">
        <f>""</f>
        <v/>
      </c>
      <c r="I712" t="str">
        <f>"VEHICLE REGISTRAIONS"</f>
        <v>VEHICLE REGISTRAIONS</v>
      </c>
    </row>
    <row r="713" spans="1:9" x14ac:dyDescent="0.3">
      <c r="A713" t="str">
        <f>"T11113"</f>
        <v>T11113</v>
      </c>
      <c r="B713" t="s">
        <v>233</v>
      </c>
      <c r="C713">
        <v>0</v>
      </c>
      <c r="D713" s="2">
        <v>81.5</v>
      </c>
      <c r="E713" s="1">
        <v>42851</v>
      </c>
      <c r="F713" t="str">
        <f>"201704261566"</f>
        <v>201704261566</v>
      </c>
      <c r="G713" t="str">
        <f>"VEHICLE REGISTRATIONS"</f>
        <v>VEHICLE REGISTRATIONS</v>
      </c>
      <c r="H713" s="2">
        <v>81.5</v>
      </c>
      <c r="I713" t="str">
        <f>"VEHICLE REGISTRATIONS"</f>
        <v>VEHICLE REGISTRATIONS</v>
      </c>
    </row>
    <row r="714" spans="1:9" x14ac:dyDescent="0.3">
      <c r="A714" t="str">
        <f>""</f>
        <v/>
      </c>
      <c r="F714" t="str">
        <f>""</f>
        <v/>
      </c>
      <c r="G714" t="str">
        <f>""</f>
        <v/>
      </c>
      <c r="I714" t="str">
        <f>"VEHICLE REGISTRATIONS"</f>
        <v>VEHICLE REGISTRATIONS</v>
      </c>
    </row>
    <row r="715" spans="1:9" x14ac:dyDescent="0.3">
      <c r="A715" t="str">
        <f>""</f>
        <v/>
      </c>
      <c r="F715" t="str">
        <f>""</f>
        <v/>
      </c>
      <c r="G715" t="str">
        <f>""</f>
        <v/>
      </c>
      <c r="I715" t="str">
        <f>"VEHICLE REGISTRATIONS"</f>
        <v>VEHICLE REGISTRATIONS</v>
      </c>
    </row>
    <row r="716" spans="1:9" x14ac:dyDescent="0.3">
      <c r="A716" t="str">
        <f>""</f>
        <v/>
      </c>
      <c r="F716" t="str">
        <f>""</f>
        <v/>
      </c>
      <c r="G716" t="str">
        <f>""</f>
        <v/>
      </c>
      <c r="I716" t="str">
        <f>"VEHICLE REGISTRATIONS"</f>
        <v>VEHICLE REGISTRATIONS</v>
      </c>
    </row>
    <row r="717" spans="1:9" x14ac:dyDescent="0.3">
      <c r="A717" t="str">
        <f>"T1082"</f>
        <v>T1082</v>
      </c>
      <c r="B717" t="s">
        <v>234</v>
      </c>
      <c r="C717">
        <v>69989</v>
      </c>
      <c r="D717" s="2">
        <v>130</v>
      </c>
      <c r="E717" s="1">
        <v>42849</v>
      </c>
      <c r="F717" t="str">
        <f>"201704191356"</f>
        <v>201704191356</v>
      </c>
      <c r="G717" t="str">
        <f>"PER DIEM"</f>
        <v>PER DIEM</v>
      </c>
      <c r="H717" s="2">
        <v>130</v>
      </c>
      <c r="I717" t="str">
        <f>"PER DIEM"</f>
        <v>PER DIEM</v>
      </c>
    </row>
    <row r="718" spans="1:9" x14ac:dyDescent="0.3">
      <c r="A718" t="str">
        <f>"T12652"</f>
        <v>T12652</v>
      </c>
      <c r="B718" t="s">
        <v>235</v>
      </c>
      <c r="C718">
        <v>69657</v>
      </c>
      <c r="D718" s="2">
        <v>1037.5</v>
      </c>
      <c r="E718" s="1">
        <v>42835</v>
      </c>
      <c r="F718" t="str">
        <f>"201704061155"</f>
        <v>201704061155</v>
      </c>
      <c r="G718" t="str">
        <f>"J-3072"</f>
        <v>J-3072</v>
      </c>
      <c r="H718" s="2">
        <v>250</v>
      </c>
      <c r="I718" t="str">
        <f>"J-3072"</f>
        <v>J-3072</v>
      </c>
    </row>
    <row r="719" spans="1:9" x14ac:dyDescent="0.3">
      <c r="A719" t="str">
        <f>""</f>
        <v/>
      </c>
      <c r="F719" t="str">
        <f>"201704061156"</f>
        <v>201704061156</v>
      </c>
      <c r="G719" t="str">
        <f>"13-16188"</f>
        <v>13-16188</v>
      </c>
      <c r="H719" s="2">
        <v>287.5</v>
      </c>
      <c r="I719" t="str">
        <f>"13-16188"</f>
        <v>13-16188</v>
      </c>
    </row>
    <row r="720" spans="1:9" x14ac:dyDescent="0.3">
      <c r="A720" t="str">
        <f>""</f>
        <v/>
      </c>
      <c r="F720" t="str">
        <f>"201704061157"</f>
        <v>201704061157</v>
      </c>
      <c r="G720" t="str">
        <f>"54907"</f>
        <v>54907</v>
      </c>
      <c r="H720" s="2">
        <v>250</v>
      </c>
      <c r="I720" t="str">
        <f>"54907"</f>
        <v>54907</v>
      </c>
    </row>
    <row r="721" spans="1:9" x14ac:dyDescent="0.3">
      <c r="A721" t="str">
        <f>""</f>
        <v/>
      </c>
      <c r="F721" t="str">
        <f>"201704061158"</f>
        <v>201704061158</v>
      </c>
      <c r="G721" t="str">
        <f>"54334"</f>
        <v>54334</v>
      </c>
      <c r="H721" s="2">
        <v>250</v>
      </c>
      <c r="I721" t="str">
        <f>"54334"</f>
        <v>54334</v>
      </c>
    </row>
    <row r="722" spans="1:9" x14ac:dyDescent="0.3">
      <c r="A722" t="str">
        <f>"T12652"</f>
        <v>T12652</v>
      </c>
      <c r="B722" t="s">
        <v>235</v>
      </c>
      <c r="C722">
        <v>70000</v>
      </c>
      <c r="D722" s="2">
        <v>450</v>
      </c>
      <c r="E722" s="1">
        <v>42849</v>
      </c>
      <c r="F722" t="str">
        <f>"201704201512"</f>
        <v>201704201512</v>
      </c>
      <c r="G722" t="str">
        <f>"423-3068"</f>
        <v>423-3068</v>
      </c>
      <c r="H722" s="2">
        <v>200</v>
      </c>
      <c r="I722" t="str">
        <f>"423-3068"</f>
        <v>423-3068</v>
      </c>
    </row>
    <row r="723" spans="1:9" x14ac:dyDescent="0.3">
      <c r="A723" t="str">
        <f>""</f>
        <v/>
      </c>
      <c r="F723" t="str">
        <f>"201704201513"</f>
        <v>201704201513</v>
      </c>
      <c r="G723" t="str">
        <f>"54.073"</f>
        <v>54.073</v>
      </c>
      <c r="H723" s="2">
        <v>250</v>
      </c>
      <c r="I723" t="str">
        <f>"54.073"</f>
        <v>54.073</v>
      </c>
    </row>
    <row r="724" spans="1:9" x14ac:dyDescent="0.3">
      <c r="A724" t="str">
        <f>"003434"</f>
        <v>003434</v>
      </c>
      <c r="B724" t="s">
        <v>236</v>
      </c>
      <c r="C724">
        <v>69658</v>
      </c>
      <c r="D724" s="2">
        <v>80</v>
      </c>
      <c r="E724" s="1">
        <v>42835</v>
      </c>
      <c r="F724" t="str">
        <f>"201704060767"</f>
        <v>201704060767</v>
      </c>
      <c r="G724" t="str">
        <f>"FERAL HOGS"</f>
        <v>FERAL HOGS</v>
      </c>
      <c r="H724" s="2">
        <v>80</v>
      </c>
      <c r="I724" t="str">
        <f>"FERAL HOGS"</f>
        <v>FERAL HOGS</v>
      </c>
    </row>
    <row r="725" spans="1:9" x14ac:dyDescent="0.3">
      <c r="A725" t="str">
        <f>"004851"</f>
        <v>004851</v>
      </c>
      <c r="B725" t="s">
        <v>237</v>
      </c>
      <c r="C725">
        <v>69659</v>
      </c>
      <c r="D725" s="2">
        <v>690.18</v>
      </c>
      <c r="E725" s="1">
        <v>42835</v>
      </c>
      <c r="F725" t="str">
        <f>"201704060724"</f>
        <v>201704060724</v>
      </c>
      <c r="G725" t="str">
        <f>"INDIGENT HEALTH"</f>
        <v>INDIGENT HEALTH</v>
      </c>
      <c r="H725" s="2">
        <v>690.18</v>
      </c>
      <c r="I725" t="str">
        <f>"INDIGENT HEALTH"</f>
        <v>INDIGENT HEALTH</v>
      </c>
    </row>
    <row r="726" spans="1:9" x14ac:dyDescent="0.3">
      <c r="A726" t="str">
        <f>""</f>
        <v/>
      </c>
      <c r="F726" t="str">
        <f>""</f>
        <v/>
      </c>
      <c r="G726" t="str">
        <f>""</f>
        <v/>
      </c>
      <c r="I726" t="str">
        <f>"INDIGENT HEALTH"</f>
        <v>INDIGENT HEALTH</v>
      </c>
    </row>
    <row r="727" spans="1:9" x14ac:dyDescent="0.3">
      <c r="A727" t="str">
        <f>"004563"</f>
        <v>004563</v>
      </c>
      <c r="B727" t="s">
        <v>238</v>
      </c>
      <c r="C727">
        <v>69660</v>
      </c>
      <c r="D727" s="2">
        <v>175.49</v>
      </c>
      <c r="E727" s="1">
        <v>42835</v>
      </c>
      <c r="F727" t="str">
        <f>"201704060725"</f>
        <v>201704060725</v>
      </c>
      <c r="G727" t="str">
        <f>"INDIGENT HEALTH"</f>
        <v>INDIGENT HEALTH</v>
      </c>
      <c r="H727" s="2">
        <v>175.49</v>
      </c>
      <c r="I727" t="str">
        <f>"ININDIGENT HEALTH"</f>
        <v>ININDIGENT HEALTH</v>
      </c>
    </row>
    <row r="728" spans="1:9" x14ac:dyDescent="0.3">
      <c r="A728" t="str">
        <f>"004563"</f>
        <v>004563</v>
      </c>
      <c r="B728" t="s">
        <v>238</v>
      </c>
      <c r="C728">
        <v>69898</v>
      </c>
      <c r="D728" s="2">
        <v>881.55</v>
      </c>
      <c r="E728" s="1">
        <v>42849</v>
      </c>
      <c r="F728" t="str">
        <f>"201704201373"</f>
        <v>201704201373</v>
      </c>
      <c r="G728" t="str">
        <f>"INDIGENT HEALTH"</f>
        <v>INDIGENT HEALTH</v>
      </c>
      <c r="H728" s="2">
        <v>881.55</v>
      </c>
      <c r="I728" t="str">
        <f>"INDIGENT HEALTH"</f>
        <v>INDIGENT HEALTH</v>
      </c>
    </row>
    <row r="729" spans="1:9" x14ac:dyDescent="0.3">
      <c r="A729" t="str">
        <f>"004109"</f>
        <v>004109</v>
      </c>
      <c r="B729" t="s">
        <v>239</v>
      </c>
      <c r="C729">
        <v>69661</v>
      </c>
      <c r="D729" s="2">
        <v>420.95</v>
      </c>
      <c r="E729" s="1">
        <v>42835</v>
      </c>
      <c r="F729" t="str">
        <f>"201704060727"</f>
        <v>201704060727</v>
      </c>
      <c r="G729" t="str">
        <f>"INDIGENT HEALTH"</f>
        <v>INDIGENT HEALTH</v>
      </c>
      <c r="H729" s="2">
        <v>204.38</v>
      </c>
      <c r="I729" t="str">
        <f>"INDIGENT HEALTH"</f>
        <v>INDIGENT HEALTH</v>
      </c>
    </row>
    <row r="730" spans="1:9" x14ac:dyDescent="0.3">
      <c r="A730" t="str">
        <f>""</f>
        <v/>
      </c>
      <c r="F730" t="str">
        <f>"4180/4182"</f>
        <v>4180/4182</v>
      </c>
      <c r="G730" t="str">
        <f>"PAT-C M BECKER R A OLIVER"</f>
        <v>PAT-C M BECKER R A OLIVER</v>
      </c>
      <c r="H730" s="2">
        <v>216.57</v>
      </c>
      <c r="I730" t="str">
        <f>"PAT-C M BECKER R A OLIVER"</f>
        <v>PAT-C M BECKER R A OLIVER</v>
      </c>
    </row>
    <row r="731" spans="1:9" x14ac:dyDescent="0.3">
      <c r="A731" t="str">
        <f>"004109"</f>
        <v>004109</v>
      </c>
      <c r="B731" t="s">
        <v>239</v>
      </c>
      <c r="C731">
        <v>69888</v>
      </c>
      <c r="D731" s="2">
        <v>401.59</v>
      </c>
      <c r="E731" s="1">
        <v>42849</v>
      </c>
      <c r="F731" t="str">
        <f>"201704171218"</f>
        <v>201704171218</v>
      </c>
      <c r="G731" t="str">
        <f>"SOURCE#101/JAIL PHYS.SERVICES"</f>
        <v>SOURCE#101/JAIL PHYS.SERVICES</v>
      </c>
      <c r="H731" s="2">
        <v>216.57</v>
      </c>
      <c r="I731" t="str">
        <f>"SOURCE#101/JAIL PHYS.SERVICES"</f>
        <v>SOURCE#101/JAIL PHYS.SERVICES</v>
      </c>
    </row>
    <row r="732" spans="1:9" x14ac:dyDescent="0.3">
      <c r="A732" t="str">
        <f>""</f>
        <v/>
      </c>
      <c r="F732" t="str">
        <f>"201704201374"</f>
        <v>201704201374</v>
      </c>
      <c r="G732" t="str">
        <f>"INDIGENT HEALTH"</f>
        <v>INDIGENT HEALTH</v>
      </c>
      <c r="H732" s="2">
        <v>185.02</v>
      </c>
      <c r="I732" t="str">
        <f>"INDIGENT HEALTH"</f>
        <v>INDIGENT HEALTH</v>
      </c>
    </row>
    <row r="733" spans="1:9" x14ac:dyDescent="0.3">
      <c r="A733" t="str">
        <f>"LIE"</f>
        <v>LIE</v>
      </c>
      <c r="B733" t="s">
        <v>240</v>
      </c>
      <c r="C733">
        <v>69961</v>
      </c>
      <c r="D733" s="2">
        <v>736.17</v>
      </c>
      <c r="E733" s="1">
        <v>42849</v>
      </c>
      <c r="F733" t="str">
        <f>"1003705"</f>
        <v>1003705</v>
      </c>
      <c r="G733" t="str">
        <f>"ACCT#4360/PCT#2"</f>
        <v>ACCT#4360/PCT#2</v>
      </c>
      <c r="H733" s="2">
        <v>736.17</v>
      </c>
      <c r="I733" t="str">
        <f>"ACCT#4360/PCT#2"</f>
        <v>ACCT#4360/PCT#2</v>
      </c>
    </row>
    <row r="734" spans="1:9" x14ac:dyDescent="0.3">
      <c r="A734" t="str">
        <f>"T7598"</f>
        <v>T7598</v>
      </c>
      <c r="B734" t="s">
        <v>241</v>
      </c>
      <c r="C734">
        <v>70035</v>
      </c>
      <c r="D734" s="2">
        <v>560</v>
      </c>
      <c r="E734" s="1">
        <v>42849</v>
      </c>
      <c r="F734" t="str">
        <f>"090143"</f>
        <v>090143</v>
      </c>
      <c r="G734" t="str">
        <f>"WORK ORDER#090143/PCT#2"</f>
        <v>WORK ORDER#090143/PCT#2</v>
      </c>
      <c r="H734" s="2">
        <v>420</v>
      </c>
      <c r="I734" t="str">
        <f>"WORK ORDER#090143/PCT#2"</f>
        <v>WORK ORDER#090143/PCT#2</v>
      </c>
    </row>
    <row r="735" spans="1:9" x14ac:dyDescent="0.3">
      <c r="A735" t="str">
        <f>""</f>
        <v/>
      </c>
      <c r="F735" t="str">
        <f>"090144"</f>
        <v>090144</v>
      </c>
      <c r="G735" t="str">
        <f>"WORK ORDER#090144/PCT#2"</f>
        <v>WORK ORDER#090144/PCT#2</v>
      </c>
      <c r="H735" s="2">
        <v>140</v>
      </c>
      <c r="I735" t="str">
        <f>"WORK ORDER#090144/PCT#2"</f>
        <v>WORK ORDER#090144/PCT#2</v>
      </c>
    </row>
    <row r="736" spans="1:9" x14ac:dyDescent="0.3">
      <c r="A736" t="str">
        <f>"T13085"</f>
        <v>T13085</v>
      </c>
      <c r="B736" t="s">
        <v>242</v>
      </c>
      <c r="C736">
        <v>69662</v>
      </c>
      <c r="D736" s="2">
        <v>461.9</v>
      </c>
      <c r="E736" s="1">
        <v>42835</v>
      </c>
      <c r="F736" t="str">
        <f>"201704050708"</f>
        <v>201704050708</v>
      </c>
      <c r="G736" t="str">
        <f>"MARCH STATEMENT"</f>
        <v>MARCH STATEMENT</v>
      </c>
      <c r="H736" s="2">
        <v>401</v>
      </c>
      <c r="I736" t="str">
        <f>"MARCH STATEMENT"</f>
        <v>MARCH STATEMENT</v>
      </c>
    </row>
    <row r="737" spans="1:9" x14ac:dyDescent="0.3">
      <c r="A737" t="str">
        <f>""</f>
        <v/>
      </c>
      <c r="F737" t="str">
        <f>"278287/278397"</f>
        <v>278287/278397</v>
      </c>
      <c r="G737" t="str">
        <f>"SCOTT BRYANT"</f>
        <v>SCOTT BRYANT</v>
      </c>
      <c r="H737" s="2">
        <v>60.9</v>
      </c>
      <c r="I737" t="str">
        <f>"Receipt#: 278287"</f>
        <v>Receipt#: 278287</v>
      </c>
    </row>
    <row r="738" spans="1:9" x14ac:dyDescent="0.3">
      <c r="A738" t="str">
        <f>""</f>
        <v/>
      </c>
      <c r="F738" t="str">
        <f>""</f>
        <v/>
      </c>
      <c r="G738" t="str">
        <f>""</f>
        <v/>
      </c>
      <c r="I738" t="str">
        <f>"Receipt#: 278397"</f>
        <v>Receipt#: 278397</v>
      </c>
    </row>
    <row r="739" spans="1:9" x14ac:dyDescent="0.3">
      <c r="A739" t="str">
        <f>"000888"</f>
        <v>000888</v>
      </c>
      <c r="B739" t="s">
        <v>243</v>
      </c>
      <c r="C739">
        <v>69768</v>
      </c>
      <c r="D739" s="2">
        <v>752.8</v>
      </c>
      <c r="E739" s="1">
        <v>42842</v>
      </c>
      <c r="F739" t="str">
        <f>"9900 693869 2"</f>
        <v>9900 693869 2</v>
      </c>
      <c r="G739" t="str">
        <f>"Acct# 9900 693869 2 - December"</f>
        <v>Acct# 9900 693869 2 - December</v>
      </c>
      <c r="H739" s="2">
        <v>752.8</v>
      </c>
      <c r="I739" t="str">
        <f>"Invoice #910047"</f>
        <v>Invoice #910047</v>
      </c>
    </row>
    <row r="740" spans="1:9" x14ac:dyDescent="0.3">
      <c r="A740" t="str">
        <f>""</f>
        <v/>
      </c>
      <c r="F740" t="str">
        <f>""</f>
        <v/>
      </c>
      <c r="G740" t="str">
        <f>""</f>
        <v/>
      </c>
      <c r="I740" t="str">
        <f>"Invoice #901453"</f>
        <v>Invoice #901453</v>
      </c>
    </row>
    <row r="741" spans="1:9" x14ac:dyDescent="0.3">
      <c r="A741" t="str">
        <f>""</f>
        <v/>
      </c>
      <c r="F741" t="str">
        <f>""</f>
        <v/>
      </c>
      <c r="G741" t="str">
        <f>""</f>
        <v/>
      </c>
      <c r="I741" t="str">
        <f>"Invoice #914618"</f>
        <v>Invoice #914618</v>
      </c>
    </row>
    <row r="742" spans="1:9" x14ac:dyDescent="0.3">
      <c r="A742" t="str">
        <f>""</f>
        <v/>
      </c>
      <c r="F742" t="str">
        <f>""</f>
        <v/>
      </c>
      <c r="G742" t="str">
        <f>""</f>
        <v/>
      </c>
      <c r="I742" t="str">
        <f>"Invoice #910183"</f>
        <v>Invoice #910183</v>
      </c>
    </row>
    <row r="743" spans="1:9" x14ac:dyDescent="0.3">
      <c r="A743" t="str">
        <f>""</f>
        <v/>
      </c>
      <c r="F743" t="str">
        <f>""</f>
        <v/>
      </c>
      <c r="G743" t="str">
        <f>""</f>
        <v/>
      </c>
      <c r="I743" t="str">
        <f>"Invoice #902614"</f>
        <v>Invoice #902614</v>
      </c>
    </row>
    <row r="744" spans="1:9" x14ac:dyDescent="0.3">
      <c r="A744" t="str">
        <f>""</f>
        <v/>
      </c>
      <c r="F744" t="str">
        <f>""</f>
        <v/>
      </c>
      <c r="G744" t="str">
        <f>""</f>
        <v/>
      </c>
      <c r="I744" t="str">
        <f>"Invoice #914082"</f>
        <v>Invoice #914082</v>
      </c>
    </row>
    <row r="745" spans="1:9" x14ac:dyDescent="0.3">
      <c r="A745" t="str">
        <f>""</f>
        <v/>
      </c>
      <c r="F745" t="str">
        <f>""</f>
        <v/>
      </c>
      <c r="G745" t="str">
        <f>""</f>
        <v/>
      </c>
      <c r="I745" t="str">
        <f>"Invoice #913965"</f>
        <v>Invoice #913965</v>
      </c>
    </row>
    <row r="746" spans="1:9" x14ac:dyDescent="0.3">
      <c r="A746" t="str">
        <f>""</f>
        <v/>
      </c>
      <c r="F746" t="str">
        <f>""</f>
        <v/>
      </c>
      <c r="G746" t="str">
        <f>""</f>
        <v/>
      </c>
      <c r="I746" t="str">
        <f>"Invoice #902949"</f>
        <v>Invoice #902949</v>
      </c>
    </row>
    <row r="747" spans="1:9" x14ac:dyDescent="0.3">
      <c r="A747" t="str">
        <f>""</f>
        <v/>
      </c>
      <c r="F747" t="str">
        <f>""</f>
        <v/>
      </c>
      <c r="G747" t="str">
        <f>""</f>
        <v/>
      </c>
      <c r="I747" t="str">
        <f>"Invoice #913432"</f>
        <v>Invoice #913432</v>
      </c>
    </row>
    <row r="748" spans="1:9" x14ac:dyDescent="0.3">
      <c r="A748" t="str">
        <f>""</f>
        <v/>
      </c>
      <c r="F748" t="str">
        <f>""</f>
        <v/>
      </c>
      <c r="G748" t="str">
        <f>""</f>
        <v/>
      </c>
      <c r="I748" t="str">
        <f>"Invoice #917425"</f>
        <v>Invoice #917425</v>
      </c>
    </row>
    <row r="749" spans="1:9" x14ac:dyDescent="0.3">
      <c r="A749" t="str">
        <f>""</f>
        <v/>
      </c>
      <c r="F749" t="str">
        <f>""</f>
        <v/>
      </c>
      <c r="G749" t="str">
        <f>""</f>
        <v/>
      </c>
      <c r="I749" t="str">
        <f>"Invoice #915851"</f>
        <v>Invoice #915851</v>
      </c>
    </row>
    <row r="750" spans="1:9" x14ac:dyDescent="0.3">
      <c r="A750" t="str">
        <f>""</f>
        <v/>
      </c>
      <c r="F750" t="str">
        <f>""</f>
        <v/>
      </c>
      <c r="G750" t="str">
        <f>""</f>
        <v/>
      </c>
      <c r="I750" t="str">
        <f>"Invoice #9104510"</f>
        <v>Invoice #9104510</v>
      </c>
    </row>
    <row r="751" spans="1:9" x14ac:dyDescent="0.3">
      <c r="A751" t="str">
        <f>"000888"</f>
        <v>000888</v>
      </c>
      <c r="B751" t="s">
        <v>243</v>
      </c>
      <c r="C751">
        <v>69811</v>
      </c>
      <c r="D751" s="2">
        <v>888.05</v>
      </c>
      <c r="E751" s="1">
        <v>42849</v>
      </c>
      <c r="F751" t="str">
        <f>"201704201403"</f>
        <v>201704201403</v>
      </c>
      <c r="G751" t="str">
        <f>"STMT Date: 4/2/17"</f>
        <v>STMT Date: 4/2/17</v>
      </c>
      <c r="H751" s="2">
        <v>888.05</v>
      </c>
      <c r="I751" t="str">
        <f>"INV# 984276"</f>
        <v>INV# 984276</v>
      </c>
    </row>
    <row r="752" spans="1:9" x14ac:dyDescent="0.3">
      <c r="A752" t="str">
        <f>""</f>
        <v/>
      </c>
      <c r="F752" t="str">
        <f>""</f>
        <v/>
      </c>
      <c r="G752" t="str">
        <f>""</f>
        <v/>
      </c>
      <c r="I752" t="str">
        <f>"INV# 901058"</f>
        <v>INV# 901058</v>
      </c>
    </row>
    <row r="753" spans="1:9" x14ac:dyDescent="0.3">
      <c r="A753" t="str">
        <f>""</f>
        <v/>
      </c>
      <c r="F753" t="str">
        <f>""</f>
        <v/>
      </c>
      <c r="G753" t="str">
        <f>""</f>
        <v/>
      </c>
      <c r="I753" t="str">
        <f>"INV# 909387"</f>
        <v>INV# 909387</v>
      </c>
    </row>
    <row r="754" spans="1:9" x14ac:dyDescent="0.3">
      <c r="A754" t="str">
        <f>""</f>
        <v/>
      </c>
      <c r="F754" t="str">
        <f>""</f>
        <v/>
      </c>
      <c r="G754" t="str">
        <f>""</f>
        <v/>
      </c>
      <c r="I754" t="str">
        <f>"INV# 909854"</f>
        <v>INV# 909854</v>
      </c>
    </row>
    <row r="755" spans="1:9" x14ac:dyDescent="0.3">
      <c r="A755" t="str">
        <f>""</f>
        <v/>
      </c>
      <c r="F755" t="str">
        <f>""</f>
        <v/>
      </c>
      <c r="G755" t="str">
        <f>""</f>
        <v/>
      </c>
      <c r="I755" t="str">
        <f>"INV# 913820"</f>
        <v>INV# 913820</v>
      </c>
    </row>
    <row r="756" spans="1:9" x14ac:dyDescent="0.3">
      <c r="A756" t="str">
        <f>""</f>
        <v/>
      </c>
      <c r="F756" t="str">
        <f>""</f>
        <v/>
      </c>
      <c r="G756" t="str">
        <f>""</f>
        <v/>
      </c>
      <c r="I756" t="str">
        <f>"INV# 901384"</f>
        <v>INV# 901384</v>
      </c>
    </row>
    <row r="757" spans="1:9" x14ac:dyDescent="0.3">
      <c r="A757" t="str">
        <f>"LYNN"</f>
        <v>LYNN</v>
      </c>
      <c r="B757" t="s">
        <v>244</v>
      </c>
      <c r="C757">
        <v>69663</v>
      </c>
      <c r="D757" s="2">
        <v>124.95</v>
      </c>
      <c r="E757" s="1">
        <v>42835</v>
      </c>
      <c r="F757" t="str">
        <f>"329261"</f>
        <v>329261</v>
      </c>
      <c r="G757" t="str">
        <f>"INV 329261"</f>
        <v>INV 329261</v>
      </c>
      <c r="H757" s="2">
        <v>124.95</v>
      </c>
      <c r="I757" t="str">
        <f>"INV 329261"</f>
        <v>INV 329261</v>
      </c>
    </row>
    <row r="758" spans="1:9" x14ac:dyDescent="0.3">
      <c r="A758" t="str">
        <f>"LYNN"</f>
        <v>LYNN</v>
      </c>
      <c r="B758" t="s">
        <v>244</v>
      </c>
      <c r="C758">
        <v>69963</v>
      </c>
      <c r="D758" s="2">
        <v>1465.45</v>
      </c>
      <c r="E758" s="1">
        <v>42849</v>
      </c>
      <c r="F758" t="str">
        <f>"201704201433"</f>
        <v>201704201433</v>
      </c>
      <c r="G758" t="str">
        <f>"EVIDENCE SUPPLIES"</f>
        <v>EVIDENCE SUPPLIES</v>
      </c>
      <c r="H758" s="2">
        <v>1465.45</v>
      </c>
      <c r="I758" t="str">
        <f>"EVIDENCE SUPPLIES"</f>
        <v>EVIDENCE SUPPLIES</v>
      </c>
    </row>
    <row r="759" spans="1:9" x14ac:dyDescent="0.3">
      <c r="A759" t="str">
        <f>"T6669"</f>
        <v>T6669</v>
      </c>
      <c r="B759" t="s">
        <v>245</v>
      </c>
      <c r="C759">
        <v>69664</v>
      </c>
      <c r="D759" s="2">
        <v>594</v>
      </c>
      <c r="E759" s="1">
        <v>42835</v>
      </c>
      <c r="F759" t="str">
        <f>"1794"</f>
        <v>1794</v>
      </c>
      <c r="G759" t="str">
        <f>"DOOR NUMBERS INV1794"</f>
        <v>DOOR NUMBERS INV1794</v>
      </c>
      <c r="H759" s="2">
        <v>594</v>
      </c>
      <c r="I759" t="str">
        <f>"DOOR NUMBERS INV1794"</f>
        <v>DOOR NUMBERS INV1794</v>
      </c>
    </row>
    <row r="760" spans="1:9" x14ac:dyDescent="0.3">
      <c r="A760" t="str">
        <f>"003981"</f>
        <v>003981</v>
      </c>
      <c r="B760" t="s">
        <v>246</v>
      </c>
      <c r="C760">
        <v>69665</v>
      </c>
      <c r="D760" s="2">
        <v>193.85</v>
      </c>
      <c r="E760" s="1">
        <v>42835</v>
      </c>
      <c r="F760" t="str">
        <f>"201704050653"</f>
        <v>201704050653</v>
      </c>
      <c r="G760" t="str">
        <f>"CRIMINAL"</f>
        <v>CRIMINAL</v>
      </c>
      <c r="H760" s="2">
        <v>118.85</v>
      </c>
      <c r="I760" t="str">
        <f>"CRIMINAL"</f>
        <v>CRIMINAL</v>
      </c>
    </row>
    <row r="761" spans="1:9" x14ac:dyDescent="0.3">
      <c r="A761" t="str">
        <f>""</f>
        <v/>
      </c>
      <c r="F761" t="str">
        <f>"201704061159"</f>
        <v>201704061159</v>
      </c>
      <c r="G761" t="str">
        <f>"17-18167"</f>
        <v>17-18167</v>
      </c>
      <c r="H761" s="2">
        <v>75</v>
      </c>
      <c r="I761" t="str">
        <f>"17-18167"</f>
        <v>17-18167</v>
      </c>
    </row>
    <row r="762" spans="1:9" x14ac:dyDescent="0.3">
      <c r="A762" t="str">
        <f>"003981"</f>
        <v>003981</v>
      </c>
      <c r="B762" t="s">
        <v>246</v>
      </c>
      <c r="C762">
        <v>69884</v>
      </c>
      <c r="D762" s="2">
        <v>193.87</v>
      </c>
      <c r="E762" s="1">
        <v>42849</v>
      </c>
      <c r="F762" t="str">
        <f>"201704201514"</f>
        <v>201704201514</v>
      </c>
      <c r="G762" t="str">
        <f>"423-4662"</f>
        <v>423-4662</v>
      </c>
      <c r="H762" s="2">
        <v>193.87</v>
      </c>
      <c r="I762" t="str">
        <f>"423-4662"</f>
        <v>423-4662</v>
      </c>
    </row>
    <row r="763" spans="1:9" x14ac:dyDescent="0.3">
      <c r="A763" t="str">
        <f>"MARIA"</f>
        <v>MARIA</v>
      </c>
      <c r="B763" t="s">
        <v>247</v>
      </c>
      <c r="C763">
        <v>69666</v>
      </c>
      <c r="D763" s="2">
        <v>807.68</v>
      </c>
      <c r="E763" s="1">
        <v>42835</v>
      </c>
      <c r="F763" t="str">
        <f>"201704050647"</f>
        <v>201704050647</v>
      </c>
      <c r="G763" t="str">
        <f>"CRIMINAL"</f>
        <v>CRIMINAL</v>
      </c>
      <c r="H763" s="2">
        <v>258.17</v>
      </c>
      <c r="I763" t="str">
        <f>"CRIMINAL"</f>
        <v>CRIMINAL</v>
      </c>
    </row>
    <row r="764" spans="1:9" x14ac:dyDescent="0.3">
      <c r="A764" t="str">
        <f>""</f>
        <v/>
      </c>
      <c r="F764" t="str">
        <f>"201704061160"</f>
        <v>201704061160</v>
      </c>
      <c r="G764" t="str">
        <f>"CRIMINAL"</f>
        <v>CRIMINAL</v>
      </c>
      <c r="H764" s="2">
        <v>183.17</v>
      </c>
      <c r="I764" t="str">
        <f>"CRIMINAL"</f>
        <v>CRIMINAL</v>
      </c>
    </row>
    <row r="765" spans="1:9" x14ac:dyDescent="0.3">
      <c r="A765" t="str">
        <f>""</f>
        <v/>
      </c>
      <c r="F765" t="str">
        <f>"201704061161"</f>
        <v>201704061161</v>
      </c>
      <c r="G765" t="str">
        <f>"17-18258"</f>
        <v>17-18258</v>
      </c>
      <c r="H765" s="2">
        <v>183.17</v>
      </c>
      <c r="I765" t="str">
        <f>"17-18258"</f>
        <v>17-18258</v>
      </c>
    </row>
    <row r="766" spans="1:9" x14ac:dyDescent="0.3">
      <c r="A766" t="str">
        <f>""</f>
        <v/>
      </c>
      <c r="F766" t="str">
        <f>"201704061185"</f>
        <v>201704061185</v>
      </c>
      <c r="G766" t="str">
        <f>"CRIMINAL"</f>
        <v>CRIMINAL</v>
      </c>
      <c r="H766" s="2">
        <v>183.17</v>
      </c>
      <c r="I766" t="str">
        <f>"CRIMINAL"</f>
        <v>CRIMINAL</v>
      </c>
    </row>
    <row r="767" spans="1:9" x14ac:dyDescent="0.3">
      <c r="A767" t="str">
        <f>"MARIA"</f>
        <v>MARIA</v>
      </c>
      <c r="B767" t="s">
        <v>247</v>
      </c>
      <c r="C767">
        <v>69965</v>
      </c>
      <c r="D767" s="2">
        <v>732.68</v>
      </c>
      <c r="E767" s="1">
        <v>42849</v>
      </c>
      <c r="F767" t="str">
        <f>"201704201515"</f>
        <v>201704201515</v>
      </c>
      <c r="G767" t="str">
        <f>"12-15232"</f>
        <v>12-15232</v>
      </c>
      <c r="H767" s="2">
        <v>183.17</v>
      </c>
      <c r="I767" t="str">
        <f>"12-15232"</f>
        <v>12-15232</v>
      </c>
    </row>
    <row r="768" spans="1:9" x14ac:dyDescent="0.3">
      <c r="A768" t="str">
        <f>""</f>
        <v/>
      </c>
      <c r="F768" t="str">
        <f>"201704201516"</f>
        <v>201704201516</v>
      </c>
      <c r="G768" t="str">
        <f>"14-16922"</f>
        <v>14-16922</v>
      </c>
      <c r="H768" s="2">
        <v>75</v>
      </c>
      <c r="I768" t="str">
        <f>"14-16922"</f>
        <v>14-16922</v>
      </c>
    </row>
    <row r="769" spans="1:9" x14ac:dyDescent="0.3">
      <c r="A769" t="str">
        <f>""</f>
        <v/>
      </c>
      <c r="F769" t="str">
        <f>"201704201517"</f>
        <v>201704201517</v>
      </c>
      <c r="G769" t="str">
        <f>"CRIMINAL"</f>
        <v>CRIMINAL</v>
      </c>
      <c r="H769" s="2">
        <v>183.17</v>
      </c>
      <c r="I769" t="str">
        <f>"CRIMINAL"</f>
        <v>CRIMINAL</v>
      </c>
    </row>
    <row r="770" spans="1:9" x14ac:dyDescent="0.3">
      <c r="A770" t="str">
        <f>""</f>
        <v/>
      </c>
      <c r="F770" t="str">
        <f>"201704201518"</f>
        <v>201704201518</v>
      </c>
      <c r="G770" t="str">
        <f>"16138"</f>
        <v>16138</v>
      </c>
      <c r="H770" s="2">
        <v>183.17</v>
      </c>
      <c r="I770" t="str">
        <f>"16138"</f>
        <v>16138</v>
      </c>
    </row>
    <row r="771" spans="1:9" x14ac:dyDescent="0.3">
      <c r="A771" t="str">
        <f>""</f>
        <v/>
      </c>
      <c r="F771" t="str">
        <f>"201704201519"</f>
        <v>201704201519</v>
      </c>
      <c r="G771" t="str">
        <f>"423-4720"</f>
        <v>423-4720</v>
      </c>
      <c r="H771" s="2">
        <v>108.17</v>
      </c>
      <c r="I771" t="str">
        <f>"423-4720"</f>
        <v>423-4720</v>
      </c>
    </row>
    <row r="772" spans="1:9" x14ac:dyDescent="0.3">
      <c r="A772" t="str">
        <f>"002325"</f>
        <v>002325</v>
      </c>
      <c r="B772" t="s">
        <v>248</v>
      </c>
      <c r="C772">
        <v>69837</v>
      </c>
      <c r="D772" s="2">
        <v>278.2</v>
      </c>
      <c r="E772" s="1">
        <v>42849</v>
      </c>
      <c r="F772" t="str">
        <f>"201704131204"</f>
        <v>201704131204</v>
      </c>
      <c r="G772" t="str">
        <f>"PER DIEM/GCAT CONF.TRAINING"</f>
        <v>PER DIEM/GCAT CONF.TRAINING</v>
      </c>
      <c r="H772" s="2">
        <v>278.2</v>
      </c>
      <c r="I772" t="str">
        <f>"PER DIEM/GCAT CONF.TRAINING"</f>
        <v>PER DIEM/GCAT CONF.TRAINING</v>
      </c>
    </row>
    <row r="773" spans="1:9" x14ac:dyDescent="0.3">
      <c r="A773" t="str">
        <f>"T13936"</f>
        <v>T13936</v>
      </c>
      <c r="B773" t="s">
        <v>249</v>
      </c>
      <c r="C773">
        <v>69667</v>
      </c>
      <c r="D773" s="2">
        <v>3533.29</v>
      </c>
      <c r="E773" s="1">
        <v>42835</v>
      </c>
      <c r="F773" t="str">
        <f>"201704060728"</f>
        <v>201704060728</v>
      </c>
      <c r="G773" t="str">
        <f>"INDIGENT HEALTH"</f>
        <v>INDIGENT HEALTH</v>
      </c>
      <c r="H773" s="2">
        <v>3533.29</v>
      </c>
      <c r="I773" t="str">
        <f>"INDIGENT HEALTH"</f>
        <v>INDIGENT HEALTH</v>
      </c>
    </row>
    <row r="774" spans="1:9" x14ac:dyDescent="0.3">
      <c r="A774" t="str">
        <f>""</f>
        <v/>
      </c>
      <c r="F774" t="str">
        <f>""</f>
        <v/>
      </c>
      <c r="G774" t="str">
        <f>""</f>
        <v/>
      </c>
      <c r="I774" t="str">
        <f>"INDIGENT HEALTH"</f>
        <v>INDIGENT HEALTH</v>
      </c>
    </row>
    <row r="775" spans="1:9" x14ac:dyDescent="0.3">
      <c r="A775" t="str">
        <f>"T13936"</f>
        <v>T13936</v>
      </c>
      <c r="B775" t="s">
        <v>249</v>
      </c>
      <c r="C775">
        <v>70006</v>
      </c>
      <c r="D775" s="2">
        <v>8787.9599999999991</v>
      </c>
      <c r="E775" s="1">
        <v>42849</v>
      </c>
      <c r="F775" t="str">
        <f>"201704201375"</f>
        <v>201704201375</v>
      </c>
      <c r="G775" t="str">
        <f>"INDIGENT HEALTH"</f>
        <v>INDIGENT HEALTH</v>
      </c>
      <c r="H775" s="2">
        <v>8787.9599999999991</v>
      </c>
      <c r="I775" t="str">
        <f>"INDIGENT HEALTH"</f>
        <v>INDIGENT HEALTH</v>
      </c>
    </row>
    <row r="776" spans="1:9" x14ac:dyDescent="0.3">
      <c r="A776" t="str">
        <f>""</f>
        <v/>
      </c>
      <c r="F776" t="str">
        <f>""</f>
        <v/>
      </c>
      <c r="G776" t="str">
        <f>""</f>
        <v/>
      </c>
      <c r="I776" t="str">
        <f>"INDIGENT HEALTH"</f>
        <v>INDIGENT HEALTH</v>
      </c>
    </row>
    <row r="777" spans="1:9" x14ac:dyDescent="0.3">
      <c r="A777" t="str">
        <f>"T12624"</f>
        <v>T12624</v>
      </c>
      <c r="B777" t="s">
        <v>250</v>
      </c>
      <c r="C777">
        <v>69668</v>
      </c>
      <c r="D777" s="2">
        <v>1774.57</v>
      </c>
      <c r="E777" s="1">
        <v>42835</v>
      </c>
      <c r="F777" t="str">
        <f>"001603003"</f>
        <v>001603003</v>
      </c>
      <c r="G777" t="str">
        <f>"MAINTENANCE"</f>
        <v>MAINTENANCE</v>
      </c>
      <c r="H777" s="2">
        <v>836.99</v>
      </c>
      <c r="I777" t="str">
        <f>"MAINTENANCE"</f>
        <v>MAINTENANCE</v>
      </c>
    </row>
    <row r="778" spans="1:9" x14ac:dyDescent="0.3">
      <c r="A778" t="str">
        <f>""</f>
        <v/>
      </c>
      <c r="F778" t="str">
        <f>"201704030613"</f>
        <v>201704030613</v>
      </c>
      <c r="G778" t="str">
        <f>"PLUMBING PARTS"</f>
        <v>PLUMBING PARTS</v>
      </c>
      <c r="H778" s="2">
        <v>937.58</v>
      </c>
      <c r="I778" t="str">
        <f>"PLUMBINGINV001595658"</f>
        <v>PLUMBINGINV001595658</v>
      </c>
    </row>
    <row r="779" spans="1:9" x14ac:dyDescent="0.3">
      <c r="A779" t="str">
        <f>""</f>
        <v/>
      </c>
      <c r="F779" t="str">
        <f>""</f>
        <v/>
      </c>
      <c r="G779" t="str">
        <f>""</f>
        <v/>
      </c>
      <c r="I779" t="str">
        <f>"PLUMBINGINV001600647"</f>
        <v>PLUMBINGINV001600647</v>
      </c>
    </row>
    <row r="780" spans="1:9" x14ac:dyDescent="0.3">
      <c r="A780" t="str">
        <f>"T12624"</f>
        <v>T12624</v>
      </c>
      <c r="B780" t="s">
        <v>250</v>
      </c>
      <c r="C780">
        <v>69999</v>
      </c>
      <c r="D780" s="2">
        <v>169.79</v>
      </c>
      <c r="E780" s="1">
        <v>42849</v>
      </c>
      <c r="F780" t="str">
        <f>"201704201396"</f>
        <v>201704201396</v>
      </c>
      <c r="G780" t="str">
        <f>"PLUMBING INV001606803"</f>
        <v>PLUMBING INV001606803</v>
      </c>
      <c r="H780" s="2">
        <v>169.79</v>
      </c>
      <c r="I780" t="str">
        <f>"PLUMBING INV001606803"</f>
        <v>PLUMBING INV001606803</v>
      </c>
    </row>
    <row r="781" spans="1:9" x14ac:dyDescent="0.3">
      <c r="A781" t="str">
        <f>"005004"</f>
        <v>005004</v>
      </c>
      <c r="B781" t="s">
        <v>251</v>
      </c>
      <c r="C781">
        <v>69669</v>
      </c>
      <c r="D781" s="2">
        <v>10</v>
      </c>
      <c r="E781" s="1">
        <v>42835</v>
      </c>
      <c r="F781" t="str">
        <f>"12614"</f>
        <v>12614</v>
      </c>
      <c r="G781" t="str">
        <f>"OVERPAYMENT-02-28-11"</f>
        <v>OVERPAYMENT-02-28-11</v>
      </c>
      <c r="H781" s="2">
        <v>10</v>
      </c>
      <c r="I781" t="str">
        <f>"OVERPAYMENT-02-28-11"</f>
        <v>OVERPAYMENT-02-28-11</v>
      </c>
    </row>
    <row r="782" spans="1:9" x14ac:dyDescent="0.3">
      <c r="A782" t="str">
        <f>"005033"</f>
        <v>005033</v>
      </c>
      <c r="B782" t="s">
        <v>252</v>
      </c>
      <c r="C782">
        <v>69923</v>
      </c>
      <c r="D782" s="2">
        <v>77.900000000000006</v>
      </c>
      <c r="E782" s="1">
        <v>42849</v>
      </c>
      <c r="F782" t="str">
        <f>"ICO-0727-15"</f>
        <v>ICO-0727-15</v>
      </c>
      <c r="G782" t="str">
        <f>"TKT OVERPAYMENT REFUND"</f>
        <v>TKT OVERPAYMENT REFUND</v>
      </c>
      <c r="H782" s="2">
        <v>77.900000000000006</v>
      </c>
      <c r="I782" t="str">
        <f>"TKT OVERPAYMENT REFUND"</f>
        <v>TKT OVERPAYMENT REFUND</v>
      </c>
    </row>
    <row r="783" spans="1:9" x14ac:dyDescent="0.3">
      <c r="A783" t="str">
        <f>"004144"</f>
        <v>004144</v>
      </c>
      <c r="B783" t="s">
        <v>253</v>
      </c>
      <c r="C783">
        <v>69889</v>
      </c>
      <c r="D783" s="2">
        <v>500</v>
      </c>
      <c r="E783" s="1">
        <v>42849</v>
      </c>
      <c r="F783" t="str">
        <f>"201704201520"</f>
        <v>201704201520</v>
      </c>
      <c r="G783" t="str">
        <f>"54.730"</f>
        <v>54.730</v>
      </c>
      <c r="H783" s="2">
        <v>250</v>
      </c>
      <c r="I783" t="str">
        <f>"54.730"</f>
        <v>54.730</v>
      </c>
    </row>
    <row r="784" spans="1:9" x14ac:dyDescent="0.3">
      <c r="A784" t="str">
        <f>""</f>
        <v/>
      </c>
      <c r="F784" t="str">
        <f>"201704201522"</f>
        <v>201704201522</v>
      </c>
      <c r="G784" t="str">
        <f>"54.963"</f>
        <v>54.963</v>
      </c>
      <c r="H784" s="2">
        <v>250</v>
      </c>
      <c r="I784" t="str">
        <f>"54.963"</f>
        <v>54.963</v>
      </c>
    </row>
    <row r="785" spans="1:10" x14ac:dyDescent="0.3">
      <c r="A785" t="str">
        <f>"004385"</f>
        <v>004385</v>
      </c>
      <c r="B785" t="s">
        <v>254</v>
      </c>
      <c r="C785">
        <v>69670</v>
      </c>
      <c r="D785" s="2">
        <v>15</v>
      </c>
      <c r="E785" s="1">
        <v>42835</v>
      </c>
      <c r="F785" t="str">
        <f>"201704060744"</f>
        <v>201704060744</v>
      </c>
      <c r="G785" t="str">
        <f>"FERAL HOGS"</f>
        <v>FERAL HOGS</v>
      </c>
      <c r="H785" s="2">
        <v>15</v>
      </c>
      <c r="I785" t="str">
        <f>"FERAL HOGS"</f>
        <v>FERAL HOGS</v>
      </c>
    </row>
    <row r="786" spans="1:10" x14ac:dyDescent="0.3">
      <c r="A786" t="str">
        <f>"TRIGA"</f>
        <v>TRIGA</v>
      </c>
      <c r="B786" t="s">
        <v>255</v>
      </c>
      <c r="C786">
        <v>70048</v>
      </c>
      <c r="D786" s="2">
        <v>246.13</v>
      </c>
      <c r="E786" s="1">
        <v>42849</v>
      </c>
      <c r="F786" t="str">
        <f>"15104506"</f>
        <v>15104506</v>
      </c>
      <c r="G786" t="str">
        <f>"CUST#S9547/PCT#1"</f>
        <v>CUST#S9547/PCT#1</v>
      </c>
      <c r="H786" s="2">
        <v>139.55000000000001</v>
      </c>
      <c r="I786" t="str">
        <f>"CUST#S9547/PCT#1"</f>
        <v>CUST#S9547/PCT#1</v>
      </c>
    </row>
    <row r="787" spans="1:10" x14ac:dyDescent="0.3">
      <c r="A787" t="str">
        <f>""</f>
        <v/>
      </c>
      <c r="F787" t="str">
        <f>"1518714"</f>
        <v>1518714</v>
      </c>
      <c r="G787" t="str">
        <f>"CUST#45057/PCT#4"</f>
        <v>CUST#45057/PCT#4</v>
      </c>
      <c r="H787" s="2">
        <v>36.729999999999997</v>
      </c>
      <c r="I787" t="str">
        <f>"CUST#45057/PCT#4"</f>
        <v>CUST#45057/PCT#4</v>
      </c>
    </row>
    <row r="788" spans="1:10" x14ac:dyDescent="0.3">
      <c r="A788" t="str">
        <f>""</f>
        <v/>
      </c>
      <c r="F788" t="str">
        <f>"15187799"</f>
        <v>15187799</v>
      </c>
      <c r="G788" t="str">
        <f>"CUST#41472/PCT#1"</f>
        <v>CUST#41472/PCT#1</v>
      </c>
      <c r="H788" s="2">
        <v>20.73</v>
      </c>
      <c r="I788" t="str">
        <f>"CUST#41472/PCT#1"</f>
        <v>CUST#41472/PCT#1</v>
      </c>
    </row>
    <row r="789" spans="1:10" x14ac:dyDescent="0.3">
      <c r="A789" t="str">
        <f>""</f>
        <v/>
      </c>
      <c r="F789" t="str">
        <f>"201704201387"</f>
        <v>201704201387</v>
      </c>
      <c r="G789" t="str">
        <f>"RENTAL 15187986"</f>
        <v>RENTAL 15187986</v>
      </c>
      <c r="H789" s="2">
        <v>49.12</v>
      </c>
      <c r="I789" t="str">
        <f>"RENTAL"</f>
        <v>RENTAL</v>
      </c>
    </row>
    <row r="790" spans="1:10" x14ac:dyDescent="0.3">
      <c r="A790" t="str">
        <f>"MC COY"</f>
        <v>MC COY</v>
      </c>
      <c r="B790" t="s">
        <v>256</v>
      </c>
      <c r="C790">
        <v>69671</v>
      </c>
      <c r="D790" s="2">
        <v>9.99</v>
      </c>
      <c r="E790" s="1">
        <v>42835</v>
      </c>
      <c r="F790" t="str">
        <f>"637416"</f>
        <v>637416</v>
      </c>
      <c r="G790" t="str">
        <f>"RUST TREATMENT/INV637416"</f>
        <v>RUST TREATMENT/INV637416</v>
      </c>
      <c r="H790" s="2">
        <v>9.99</v>
      </c>
      <c r="I790" t="str">
        <f>"RUST TREATMENT/INV637416"</f>
        <v>RUST TREATMENT/INV637416</v>
      </c>
    </row>
    <row r="791" spans="1:10" x14ac:dyDescent="0.3">
      <c r="A791" t="str">
        <f>"MC CRE"</f>
        <v>MC CRE</v>
      </c>
      <c r="B791" t="s">
        <v>257</v>
      </c>
      <c r="C791">
        <v>69672</v>
      </c>
      <c r="D791" s="2">
        <v>14409.14</v>
      </c>
      <c r="E791" s="1">
        <v>42835</v>
      </c>
      <c r="F791" t="str">
        <f>"12624"</f>
        <v>12624</v>
      </c>
      <c r="G791" t="str">
        <f>"ABST FEE/2-13-2017"</f>
        <v>ABST FEE/2-13-2017</v>
      </c>
      <c r="H791" s="2">
        <v>225</v>
      </c>
      <c r="I791" t="str">
        <f>"ABST FEE/2-13-2017"</f>
        <v>ABST FEE/2-13-2017</v>
      </c>
    </row>
    <row r="792" spans="1:10" x14ac:dyDescent="0.3">
      <c r="A792" t="str">
        <f>""</f>
        <v/>
      </c>
      <c r="F792" t="str">
        <f>"201704060748"</f>
        <v>201704060748</v>
      </c>
      <c r="G792" t="str">
        <f>"DELINQUENT TAXES/MAR'17"</f>
        <v>DELINQUENT TAXES/MAR'17</v>
      </c>
      <c r="H792" s="2">
        <v>14184.14</v>
      </c>
      <c r="I792" t="str">
        <f>"DELINQUENT TAXES/MAR'17"</f>
        <v>DELINQUENT TAXES/MAR'17</v>
      </c>
    </row>
    <row r="793" spans="1:10" x14ac:dyDescent="0.3">
      <c r="A793" t="str">
        <f>"MC CRE"</f>
        <v>MC CRE</v>
      </c>
      <c r="B793" t="s">
        <v>257</v>
      </c>
      <c r="C793">
        <v>69966</v>
      </c>
      <c r="D793" s="2">
        <v>1892</v>
      </c>
      <c r="E793" s="1">
        <v>42849</v>
      </c>
      <c r="F793" t="s">
        <v>58</v>
      </c>
      <c r="G793" t="s">
        <v>59</v>
      </c>
      <c r="H793" s="2" t="str">
        <f>"ABST FEE SERVICE 1/27/17"</f>
        <v>ABST FEE SERVICE 1/27/17</v>
      </c>
      <c r="I793" t="str">
        <f>"995-4110"</f>
        <v>995-4110</v>
      </c>
      <c r="J793">
        <v>360</v>
      </c>
    </row>
    <row r="794" spans="1:10" x14ac:dyDescent="0.3">
      <c r="A794" t="str">
        <f>""</f>
        <v/>
      </c>
      <c r="F794" t="s">
        <v>50</v>
      </c>
      <c r="G794" t="s">
        <v>51</v>
      </c>
      <c r="H794" s="2" t="str">
        <f>"SERVICE 2/22/17"</f>
        <v>SERVICE 2/22/17</v>
      </c>
      <c r="I794" t="str">
        <f>"995-4110"</f>
        <v>995-4110</v>
      </c>
      <c r="J794">
        <v>130</v>
      </c>
    </row>
    <row r="795" spans="1:10" x14ac:dyDescent="0.3">
      <c r="A795" t="str">
        <f>""</f>
        <v/>
      </c>
      <c r="F795" t="str">
        <f>"12139"</f>
        <v>12139</v>
      </c>
      <c r="G795" t="str">
        <f>"ABST FEE 1/27/17"</f>
        <v>ABST FEE 1/27/17</v>
      </c>
      <c r="H795" s="2">
        <v>175</v>
      </c>
      <c r="I795" t="str">
        <f>"ABST FEE 1/27/17"</f>
        <v>ABST FEE 1/27/17</v>
      </c>
    </row>
    <row r="796" spans="1:10" x14ac:dyDescent="0.3">
      <c r="A796" t="str">
        <f>""</f>
        <v/>
      </c>
      <c r="F796" t="str">
        <f>"12295"</f>
        <v>12295</v>
      </c>
      <c r="G796" t="str">
        <f>"ABST FEE 1/27/17"</f>
        <v>ABST FEE 1/27/17</v>
      </c>
      <c r="H796" s="2">
        <v>175</v>
      </c>
      <c r="I796" t="str">
        <f>"ABST FEE 1/27/17"</f>
        <v>ABST FEE 1/27/17</v>
      </c>
    </row>
    <row r="797" spans="1:10" x14ac:dyDescent="0.3">
      <c r="A797" t="str">
        <f>""</f>
        <v/>
      </c>
      <c r="F797" t="str">
        <f>"12423"</f>
        <v>12423</v>
      </c>
      <c r="G797" t="str">
        <f>"ABST FEE 1/27/17"</f>
        <v>ABST FEE 1/27/17</v>
      </c>
      <c r="H797" s="2">
        <v>175</v>
      </c>
      <c r="I797" t="str">
        <f>"ABST FEE 1/27/17"</f>
        <v>ABST FEE 1/27/17</v>
      </c>
    </row>
    <row r="798" spans="1:10" x14ac:dyDescent="0.3">
      <c r="A798" t="str">
        <f>""</f>
        <v/>
      </c>
      <c r="F798" t="str">
        <f>"12429"</f>
        <v>12429</v>
      </c>
      <c r="G798" t="str">
        <f>"ABST FEE/1-27-2017"</f>
        <v>ABST FEE/1-27-2017</v>
      </c>
      <c r="H798" s="2">
        <v>175</v>
      </c>
      <c r="I798" t="str">
        <f>"ABST FEE/1-27-2017"</f>
        <v>ABST FEE/1-27-2017</v>
      </c>
    </row>
    <row r="799" spans="1:10" x14ac:dyDescent="0.3">
      <c r="A799" t="str">
        <f>""</f>
        <v/>
      </c>
      <c r="F799" t="str">
        <f>"12457"</f>
        <v>12457</v>
      </c>
      <c r="G799" t="str">
        <f>"ABST FEE/1-27-2017"</f>
        <v>ABST FEE/1-27-2017</v>
      </c>
      <c r="H799" s="2">
        <v>175</v>
      </c>
      <c r="I799" t="str">
        <f>"ABST FEE/1-27-2017"</f>
        <v>ABST FEE/1-27-2017</v>
      </c>
    </row>
    <row r="800" spans="1:10" x14ac:dyDescent="0.3">
      <c r="A800" t="str">
        <f>""</f>
        <v/>
      </c>
      <c r="F800" t="str">
        <f>"12557"</f>
        <v>12557</v>
      </c>
      <c r="G800" t="str">
        <f>"ABST FEE/02-21-2017"</f>
        <v>ABST FEE/02-21-2017</v>
      </c>
      <c r="H800" s="2">
        <v>27</v>
      </c>
      <c r="I800" t="str">
        <f>"ABST FEE/02-21-2017"</f>
        <v>ABST FEE/02-21-2017</v>
      </c>
    </row>
    <row r="801" spans="1:10" x14ac:dyDescent="0.3">
      <c r="A801" t="str">
        <f>""</f>
        <v/>
      </c>
      <c r="F801" t="str">
        <f>"12592"</f>
        <v>12592</v>
      </c>
      <c r="G801" t="str">
        <f>"ABST FEE 1/27/17"</f>
        <v>ABST FEE 1/27/17</v>
      </c>
      <c r="H801" s="2">
        <v>175</v>
      </c>
      <c r="I801" t="str">
        <f>"ABST FEE 1/27/17"</f>
        <v>ABST FEE 1/27/17</v>
      </c>
    </row>
    <row r="802" spans="1:10" x14ac:dyDescent="0.3">
      <c r="A802" t="str">
        <f>""</f>
        <v/>
      </c>
      <c r="F802" t="str">
        <f>"12639"</f>
        <v>12639</v>
      </c>
      <c r="G802" t="str">
        <f>"ABST FEE/2-21-2017"</f>
        <v>ABST FEE/2-21-2017</v>
      </c>
      <c r="H802" s="2">
        <v>225</v>
      </c>
      <c r="I802" t="str">
        <f>"ABST FEE/2-21-2017"</f>
        <v>ABST FEE/2-21-2017</v>
      </c>
    </row>
    <row r="803" spans="1:10" x14ac:dyDescent="0.3">
      <c r="A803" t="str">
        <f>""</f>
        <v/>
      </c>
      <c r="F803" t="str">
        <f>"8793"</f>
        <v>8793</v>
      </c>
      <c r="G803" t="str">
        <f>"ABST FEE 2/23/17"</f>
        <v>ABST FEE 2/23/17</v>
      </c>
      <c r="H803" s="2">
        <v>100</v>
      </c>
      <c r="I803" t="str">
        <f>"ABST FEE 2/23/17"</f>
        <v>ABST FEE 2/23/17</v>
      </c>
    </row>
    <row r="804" spans="1:10" x14ac:dyDescent="0.3">
      <c r="A804" t="str">
        <f>"002271"</f>
        <v>002271</v>
      </c>
      <c r="B804" t="s">
        <v>258</v>
      </c>
      <c r="C804">
        <v>69673</v>
      </c>
      <c r="D804" s="2">
        <v>1580.65</v>
      </c>
      <c r="E804" s="1">
        <v>42835</v>
      </c>
      <c r="F804" t="str">
        <f>"201704060729"</f>
        <v>201704060729</v>
      </c>
      <c r="G804" t="str">
        <f>"INDIGENT HEALTH"</f>
        <v>INDIGENT HEALTH</v>
      </c>
      <c r="H804" s="2">
        <v>1580.65</v>
      </c>
      <c r="I804" t="str">
        <f>"INDIGENT HEALTH"</f>
        <v>INDIGENT HEALTH</v>
      </c>
    </row>
    <row r="805" spans="1:10" x14ac:dyDescent="0.3">
      <c r="A805" t="str">
        <f>"002271"</f>
        <v>002271</v>
      </c>
      <c r="B805" t="s">
        <v>258</v>
      </c>
      <c r="C805">
        <v>69835</v>
      </c>
      <c r="D805" s="2">
        <v>1517.16</v>
      </c>
      <c r="E805" s="1">
        <v>42849</v>
      </c>
      <c r="F805" t="str">
        <f>"201704201376"</f>
        <v>201704201376</v>
      </c>
      <c r="G805" t="str">
        <f>"INDIGENT HEALTH"</f>
        <v>INDIGENT HEALTH</v>
      </c>
      <c r="H805" s="2">
        <v>1517.16</v>
      </c>
      <c r="I805" t="str">
        <f>"INDIGENT HEALTH"</f>
        <v>INDIGENT HEALTH</v>
      </c>
    </row>
    <row r="806" spans="1:10" x14ac:dyDescent="0.3">
      <c r="A806" t="str">
        <f>"003745"</f>
        <v>003745</v>
      </c>
      <c r="B806" t="s">
        <v>259</v>
      </c>
      <c r="C806">
        <v>69879</v>
      </c>
      <c r="D806" s="2">
        <v>25</v>
      </c>
      <c r="E806" s="1">
        <v>42849</v>
      </c>
      <c r="F806" t="str">
        <f>"       10393"</f>
        <v xml:space="preserve">       10393</v>
      </c>
      <c r="G806" t="str">
        <f>"RESTITUTION-D SPURK"</f>
        <v>RESTITUTION-D SPURK</v>
      </c>
      <c r="H806" s="2">
        <v>25</v>
      </c>
      <c r="I806" t="str">
        <f>"RESTITUTION-D SPURK"</f>
        <v>RESTITUTION-D SPURK</v>
      </c>
    </row>
    <row r="807" spans="1:10" x14ac:dyDescent="0.3">
      <c r="A807" t="str">
        <f>"005014"</f>
        <v>005014</v>
      </c>
      <c r="B807" t="s">
        <v>260</v>
      </c>
      <c r="C807">
        <v>69674</v>
      </c>
      <c r="D807" s="2">
        <v>85</v>
      </c>
      <c r="E807" s="1">
        <v>42835</v>
      </c>
      <c r="F807" t="str">
        <f>"201704060772"</f>
        <v>201704060772</v>
      </c>
      <c r="G807" t="str">
        <f>"FERAL HOGS"</f>
        <v>FERAL HOGS</v>
      </c>
      <c r="H807" s="2">
        <v>85</v>
      </c>
      <c r="I807" t="str">
        <f>"FERAL HOGS"</f>
        <v>FERAL HOGS</v>
      </c>
    </row>
    <row r="808" spans="1:10" x14ac:dyDescent="0.3">
      <c r="A808" t="str">
        <f>"000754"</f>
        <v>000754</v>
      </c>
      <c r="B808" t="s">
        <v>261</v>
      </c>
      <c r="C808">
        <v>69675</v>
      </c>
      <c r="D808" s="2">
        <v>4200</v>
      </c>
      <c r="E808" s="1">
        <v>42835</v>
      </c>
      <c r="F808" t="str">
        <f>"201704060726"</f>
        <v>201704060726</v>
      </c>
      <c r="G808" t="str">
        <f>"HCP TOAD SURVEY/MAR'17"</f>
        <v>HCP TOAD SURVEY/MAR'17</v>
      </c>
      <c r="H808" s="2">
        <v>4200</v>
      </c>
      <c r="I808" t="str">
        <f>"HCP TOAD SURVEY/MAR'17"</f>
        <v>HCP TOAD SURVEY/MAR'17</v>
      </c>
    </row>
    <row r="809" spans="1:10" x14ac:dyDescent="0.3">
      <c r="A809" t="str">
        <f>"002350"</f>
        <v>002350</v>
      </c>
      <c r="B809" t="s">
        <v>262</v>
      </c>
      <c r="C809">
        <v>69840</v>
      </c>
      <c r="D809" s="2">
        <v>90</v>
      </c>
      <c r="E809" s="1">
        <v>42849</v>
      </c>
      <c r="F809" t="s">
        <v>58</v>
      </c>
      <c r="G809" t="s">
        <v>59</v>
      </c>
      <c r="H809" s="2" t="str">
        <f>"SERVICE 1/27/17"</f>
        <v>SERVICE 1/27/17</v>
      </c>
      <c r="I809" t="str">
        <f>"995-4110"</f>
        <v>995-4110</v>
      </c>
      <c r="J809">
        <v>90</v>
      </c>
    </row>
    <row r="810" spans="1:10" x14ac:dyDescent="0.3">
      <c r="A810" t="str">
        <f>"MU&amp;E"</f>
        <v>MU&amp;E</v>
      </c>
      <c r="B810" t="s">
        <v>263</v>
      </c>
      <c r="C810">
        <v>69676</v>
      </c>
      <c r="D810" s="2">
        <v>969.75</v>
      </c>
      <c r="E810" s="1">
        <v>42835</v>
      </c>
      <c r="F810" t="str">
        <f>"64189"</f>
        <v>64189</v>
      </c>
      <c r="G810" t="str">
        <f>"ACCT#1157/CONSTABLE# 1"</f>
        <v>ACCT#1157/CONSTABLE# 1</v>
      </c>
      <c r="H810" s="2">
        <v>72.5</v>
      </c>
      <c r="I810" t="str">
        <f>"ACCT#1157/CONSTABLE# 1"</f>
        <v>ACCT#1157/CONSTABLE# 1</v>
      </c>
    </row>
    <row r="811" spans="1:10" x14ac:dyDescent="0.3">
      <c r="A811" t="str">
        <f>""</f>
        <v/>
      </c>
      <c r="F811" t="str">
        <f>"66729"</f>
        <v>66729</v>
      </c>
      <c r="G811" t="str">
        <f>"UNIFORMS"</f>
        <v>UNIFORMS</v>
      </c>
      <c r="H811" s="2">
        <v>897.25</v>
      </c>
      <c r="I811" t="str">
        <f>"UNIFORMS/RUETHER"</f>
        <v>UNIFORMS/RUETHER</v>
      </c>
    </row>
    <row r="812" spans="1:10" x14ac:dyDescent="0.3">
      <c r="A812" t="str">
        <f>""</f>
        <v/>
      </c>
      <c r="F812" t="str">
        <f>""</f>
        <v/>
      </c>
      <c r="G812" t="str">
        <f>""</f>
        <v/>
      </c>
      <c r="I812" t="str">
        <f>"UNIFORMS/MILLER"</f>
        <v>UNIFORMS/MILLER</v>
      </c>
    </row>
    <row r="813" spans="1:10" x14ac:dyDescent="0.3">
      <c r="A813" t="str">
        <f>""</f>
        <v/>
      </c>
      <c r="F813" t="str">
        <f>""</f>
        <v/>
      </c>
      <c r="G813" t="str">
        <f>""</f>
        <v/>
      </c>
      <c r="I813" t="str">
        <f>"UNIFORMS/GOMEZ"</f>
        <v>UNIFORMS/GOMEZ</v>
      </c>
    </row>
    <row r="814" spans="1:10" x14ac:dyDescent="0.3">
      <c r="A814" t="str">
        <f>""</f>
        <v/>
      </c>
      <c r="F814" t="str">
        <f>""</f>
        <v/>
      </c>
      <c r="G814" t="str">
        <f>""</f>
        <v/>
      </c>
      <c r="I814" t="str">
        <f>"COLLAR INSIGNIA"</f>
        <v>COLLAR INSIGNIA</v>
      </c>
    </row>
    <row r="815" spans="1:10" x14ac:dyDescent="0.3">
      <c r="A815" t="str">
        <f>""</f>
        <v/>
      </c>
      <c r="F815" t="str">
        <f>""</f>
        <v/>
      </c>
      <c r="G815" t="str">
        <f>""</f>
        <v/>
      </c>
      <c r="I815" t="str">
        <f>"GOLD CAPT BARS"</f>
        <v>GOLD CAPT BARS</v>
      </c>
    </row>
    <row r="816" spans="1:10" x14ac:dyDescent="0.3">
      <c r="A816" t="str">
        <f>"MU&amp;E"</f>
        <v>MU&amp;E</v>
      </c>
      <c r="B816" t="s">
        <v>263</v>
      </c>
      <c r="C816">
        <v>69968</v>
      </c>
      <c r="D816" s="2">
        <v>2280.96</v>
      </c>
      <c r="E816" s="1">
        <v>42849</v>
      </c>
      <c r="F816" t="str">
        <f>"201704121195"</f>
        <v>201704121195</v>
      </c>
      <c r="G816" t="str">
        <f>"UNIFORM"</f>
        <v>UNIFORM</v>
      </c>
      <c r="H816" s="2">
        <v>259.5</v>
      </c>
      <c r="I816" t="str">
        <f>"PANTS"</f>
        <v>PANTS</v>
      </c>
    </row>
    <row r="817" spans="1:9" x14ac:dyDescent="0.3">
      <c r="A817" t="str">
        <f>""</f>
        <v/>
      </c>
      <c r="F817" t="str">
        <f>"201704121196"</f>
        <v>201704121196</v>
      </c>
      <c r="G817" t="str">
        <f>"UNIFORM"</f>
        <v>UNIFORM</v>
      </c>
      <c r="H817" s="2">
        <v>208.5</v>
      </c>
      <c r="I817" t="str">
        <f>"UNIFORM"</f>
        <v>UNIFORM</v>
      </c>
    </row>
    <row r="818" spans="1:9" x14ac:dyDescent="0.3">
      <c r="A818" t="str">
        <f>""</f>
        <v/>
      </c>
      <c r="F818" t="str">
        <f>"201704121197"</f>
        <v>201704121197</v>
      </c>
      <c r="G818" t="str">
        <f>"UNIFORM"</f>
        <v>UNIFORM</v>
      </c>
      <c r="H818" s="2">
        <v>139.96</v>
      </c>
      <c r="I818" t="str">
        <f>"LONG SLEEVE SHIRT"</f>
        <v>LONG SLEEVE SHIRT</v>
      </c>
    </row>
    <row r="819" spans="1:9" x14ac:dyDescent="0.3">
      <c r="A819" t="str">
        <f>""</f>
        <v/>
      </c>
      <c r="F819" t="str">
        <f>""</f>
        <v/>
      </c>
      <c r="G819" t="str">
        <f>""</f>
        <v/>
      </c>
      <c r="I819" t="str">
        <f>"BDU"</f>
        <v>BDU</v>
      </c>
    </row>
    <row r="820" spans="1:9" x14ac:dyDescent="0.3">
      <c r="A820" t="str">
        <f>""</f>
        <v/>
      </c>
      <c r="F820" t="str">
        <f>"201704121198"</f>
        <v>201704121198</v>
      </c>
      <c r="G820" t="str">
        <f>"SHOULDER PATCHES"</f>
        <v>SHOULDER PATCHES</v>
      </c>
      <c r="H820" s="2">
        <v>366</v>
      </c>
      <c r="I820" t="str">
        <f>"SHOULDER PATCHES"</f>
        <v>SHOULDER PATCHES</v>
      </c>
    </row>
    <row r="821" spans="1:9" x14ac:dyDescent="0.3">
      <c r="A821" t="str">
        <f>""</f>
        <v/>
      </c>
      <c r="F821" t="str">
        <f>"201704201435"</f>
        <v>201704201435</v>
      </c>
      <c r="G821" t="str">
        <f>"UNIFORM"</f>
        <v>UNIFORM</v>
      </c>
      <c r="H821" s="2">
        <v>221.25</v>
      </c>
      <c r="I821" t="str">
        <f>"UNIFORM"</f>
        <v>UNIFORM</v>
      </c>
    </row>
    <row r="822" spans="1:9" x14ac:dyDescent="0.3">
      <c r="A822" t="str">
        <f>""</f>
        <v/>
      </c>
      <c r="F822" t="str">
        <f>""</f>
        <v/>
      </c>
      <c r="G822" t="str">
        <f>""</f>
        <v/>
      </c>
      <c r="I822" t="str">
        <f>"CHEVRON"</f>
        <v>CHEVRON</v>
      </c>
    </row>
    <row r="823" spans="1:9" x14ac:dyDescent="0.3">
      <c r="A823" t="str">
        <f>""</f>
        <v/>
      </c>
      <c r="F823" t="str">
        <f>"201704201438"</f>
        <v>201704201438</v>
      </c>
      <c r="G823" t="str">
        <f>"UNIFORM"</f>
        <v>UNIFORM</v>
      </c>
      <c r="H823" s="2">
        <v>20</v>
      </c>
      <c r="I823" t="str">
        <f>"UNIFORM"</f>
        <v>UNIFORM</v>
      </c>
    </row>
    <row r="824" spans="1:9" x14ac:dyDescent="0.3">
      <c r="A824" t="str">
        <f>""</f>
        <v/>
      </c>
      <c r="F824" t="str">
        <f>"201704201442"</f>
        <v>201704201442</v>
      </c>
      <c r="G824" t="str">
        <f>"UNIFORM"</f>
        <v>UNIFORM</v>
      </c>
      <c r="H824" s="2">
        <v>307</v>
      </c>
      <c r="I824" t="str">
        <f>"WINTER JACKET"</f>
        <v>WINTER JACKET</v>
      </c>
    </row>
    <row r="825" spans="1:9" x14ac:dyDescent="0.3">
      <c r="A825" t="str">
        <f>""</f>
        <v/>
      </c>
      <c r="F825" t="str">
        <f>"69800"</f>
        <v>69800</v>
      </c>
      <c r="G825" t="str">
        <f>"UNIFORMS"</f>
        <v>UNIFORMS</v>
      </c>
      <c r="H825" s="2">
        <v>499.25</v>
      </c>
      <c r="I825" t="str">
        <f>"PANTS"</f>
        <v>PANTS</v>
      </c>
    </row>
    <row r="826" spans="1:9" x14ac:dyDescent="0.3">
      <c r="A826" t="str">
        <f>""</f>
        <v/>
      </c>
      <c r="F826" t="str">
        <f>""</f>
        <v/>
      </c>
      <c r="G826" t="str">
        <f>""</f>
        <v/>
      </c>
      <c r="I826" t="str">
        <f>"SHIRTS"</f>
        <v>SHIRTS</v>
      </c>
    </row>
    <row r="827" spans="1:9" x14ac:dyDescent="0.3">
      <c r="A827" t="str">
        <f>""</f>
        <v/>
      </c>
      <c r="F827" t="str">
        <f>""</f>
        <v/>
      </c>
      <c r="G827" t="str">
        <f>""</f>
        <v/>
      </c>
      <c r="I827" t="str">
        <f>"SEW CHEVRONS ON ss"</f>
        <v>SEW CHEVRONS ON ss</v>
      </c>
    </row>
    <row r="828" spans="1:9" x14ac:dyDescent="0.3">
      <c r="A828" t="str">
        <f>""</f>
        <v/>
      </c>
      <c r="F828" t="str">
        <f>""</f>
        <v/>
      </c>
      <c r="G828" t="str">
        <f>""</f>
        <v/>
      </c>
      <c r="I828" t="str">
        <f>"SEW CHEVRONS ls"</f>
        <v>SEW CHEVRONS ls</v>
      </c>
    </row>
    <row r="829" spans="1:9" x14ac:dyDescent="0.3">
      <c r="A829" t="str">
        <f>""</f>
        <v/>
      </c>
      <c r="F829" t="str">
        <f>"8567-04"</f>
        <v>8567-04</v>
      </c>
      <c r="G829" t="str">
        <f>"UNIFORM"</f>
        <v>UNIFORM</v>
      </c>
      <c r="H829" s="2">
        <v>259.5</v>
      </c>
      <c r="I829" t="str">
        <f>"PANTS"</f>
        <v>PANTS</v>
      </c>
    </row>
    <row r="830" spans="1:9" x14ac:dyDescent="0.3">
      <c r="A830" t="str">
        <f t="shared" ref="A830:A840" si="9">"1"</f>
        <v>1</v>
      </c>
      <c r="B830" t="s">
        <v>264</v>
      </c>
      <c r="C830">
        <v>69769</v>
      </c>
      <c r="D830" s="2">
        <v>40</v>
      </c>
      <c r="E830" s="1">
        <v>42842</v>
      </c>
      <c r="F830" t="str">
        <f>"201704171301"</f>
        <v>201704171301</v>
      </c>
      <c r="G830" t="str">
        <f>"Miscellaneous"</f>
        <v>Miscellaneous</v>
      </c>
      <c r="H830" s="2">
        <v>40</v>
      </c>
      <c r="I830" t="str">
        <f>"ROY JOSE PINA"</f>
        <v>ROY JOSE PINA</v>
      </c>
    </row>
    <row r="831" spans="1:9" x14ac:dyDescent="0.3">
      <c r="A831" t="str">
        <f t="shared" si="9"/>
        <v>1</v>
      </c>
      <c r="B831" t="s">
        <v>265</v>
      </c>
      <c r="C831">
        <v>69770</v>
      </c>
      <c r="D831" s="2">
        <v>40</v>
      </c>
      <c r="E831" s="1">
        <v>42842</v>
      </c>
      <c r="F831" t="str">
        <f>"201704171302"</f>
        <v>201704171302</v>
      </c>
      <c r="G831" t="str">
        <f>"Miscel"</f>
        <v>Miscel</v>
      </c>
      <c r="H831" s="2">
        <v>40</v>
      </c>
      <c r="I831" t="str">
        <f>"SUSAN STERLING NALLEY"</f>
        <v>SUSAN STERLING NALLEY</v>
      </c>
    </row>
    <row r="832" spans="1:9" x14ac:dyDescent="0.3">
      <c r="A832" t="str">
        <f t="shared" si="9"/>
        <v>1</v>
      </c>
      <c r="B832" t="s">
        <v>266</v>
      </c>
      <c r="C832">
        <v>69771</v>
      </c>
      <c r="D832" s="2">
        <v>40</v>
      </c>
      <c r="E832" s="1">
        <v>42842</v>
      </c>
      <c r="F832" t="str">
        <f>"201704171303"</f>
        <v>201704171303</v>
      </c>
      <c r="G832" t="str">
        <f>"Miscel"</f>
        <v>Miscel</v>
      </c>
      <c r="H832" s="2">
        <v>40</v>
      </c>
      <c r="I832" t="str">
        <f>"DONALD DEWAYNE SNOOTS"</f>
        <v>DONALD DEWAYNE SNOOTS</v>
      </c>
    </row>
    <row r="833" spans="1:10" x14ac:dyDescent="0.3">
      <c r="A833" t="str">
        <f t="shared" si="9"/>
        <v>1</v>
      </c>
      <c r="B833" t="s">
        <v>267</v>
      </c>
      <c r="C833">
        <v>69772</v>
      </c>
      <c r="D833" s="2">
        <v>40</v>
      </c>
      <c r="E833" s="1">
        <v>42842</v>
      </c>
      <c r="F833" t="str">
        <f>"201704171304"</f>
        <v>201704171304</v>
      </c>
      <c r="G833" t="str">
        <f>"Mis"</f>
        <v>Mis</v>
      </c>
      <c r="H833" s="2">
        <v>40</v>
      </c>
      <c r="I833" t="str">
        <f>"NICHOLAS RYAN WADLINGTON"</f>
        <v>NICHOLAS RYAN WADLINGTON</v>
      </c>
    </row>
    <row r="834" spans="1:10" x14ac:dyDescent="0.3">
      <c r="A834" t="str">
        <f t="shared" si="9"/>
        <v>1</v>
      </c>
      <c r="B834" t="s">
        <v>268</v>
      </c>
      <c r="C834">
        <v>69773</v>
      </c>
      <c r="D834" s="2">
        <v>40</v>
      </c>
      <c r="E834" s="1">
        <v>42842</v>
      </c>
      <c r="F834" t="str">
        <f>"201704171305"</f>
        <v>201704171305</v>
      </c>
      <c r="G834" t="str">
        <f>"Miscella"</f>
        <v>Miscella</v>
      </c>
      <c r="H834" s="2">
        <v>40</v>
      </c>
      <c r="I834" t="str">
        <f>"GINA THERESE SWEENY"</f>
        <v>GINA THERESE SWEENY</v>
      </c>
    </row>
    <row r="835" spans="1:10" x14ac:dyDescent="0.3">
      <c r="A835" t="str">
        <f t="shared" si="9"/>
        <v>1</v>
      </c>
      <c r="B835" t="s">
        <v>269</v>
      </c>
      <c r="C835">
        <v>69774</v>
      </c>
      <c r="D835" s="2">
        <v>40</v>
      </c>
      <c r="E835" s="1">
        <v>42842</v>
      </c>
      <c r="F835" t="str">
        <f>"201704171306"</f>
        <v>201704171306</v>
      </c>
      <c r="G835" t="str">
        <f>"Miscellan"</f>
        <v>Miscellan</v>
      </c>
      <c r="H835" s="2">
        <v>40</v>
      </c>
      <c r="I835" t="str">
        <f>"REBEKAH JEAN HIBBS"</f>
        <v>REBEKAH JEAN HIBBS</v>
      </c>
    </row>
    <row r="836" spans="1:10" x14ac:dyDescent="0.3">
      <c r="A836" t="str">
        <f t="shared" si="9"/>
        <v>1</v>
      </c>
      <c r="B836" t="s">
        <v>270</v>
      </c>
      <c r="C836">
        <v>69775</v>
      </c>
      <c r="D836" s="2">
        <v>40</v>
      </c>
      <c r="E836" s="1">
        <v>42842</v>
      </c>
      <c r="F836" t="str">
        <f>"201704171307"</f>
        <v>201704171307</v>
      </c>
      <c r="G836" t="str">
        <f>""</f>
        <v/>
      </c>
      <c r="H836" s="2">
        <v>40</v>
      </c>
      <c r="I836" t="str">
        <f>"THOMAS ANTHONY BRISTOLL III"</f>
        <v>THOMAS ANTHONY BRISTOLL III</v>
      </c>
    </row>
    <row r="837" spans="1:10" x14ac:dyDescent="0.3">
      <c r="A837" t="str">
        <f t="shared" si="9"/>
        <v>1</v>
      </c>
      <c r="B837" t="s">
        <v>271</v>
      </c>
      <c r="C837">
        <v>69776</v>
      </c>
      <c r="D837" s="2">
        <v>40</v>
      </c>
      <c r="E837" s="1">
        <v>42842</v>
      </c>
      <c r="F837" t="str">
        <f>"201704171308"</f>
        <v>201704171308</v>
      </c>
      <c r="G837" t="str">
        <f>"Miscel"</f>
        <v>Miscel</v>
      </c>
      <c r="H837" s="2">
        <v>40</v>
      </c>
      <c r="I837" t="str">
        <f>"APRIL RENEA ALEXANDER"</f>
        <v>APRIL RENEA ALEXANDER</v>
      </c>
    </row>
    <row r="838" spans="1:10" x14ac:dyDescent="0.3">
      <c r="A838" t="str">
        <f t="shared" si="9"/>
        <v>1</v>
      </c>
      <c r="B838" t="s">
        <v>272</v>
      </c>
      <c r="C838">
        <v>69777</v>
      </c>
      <c r="D838" s="2">
        <v>40</v>
      </c>
      <c r="E838" s="1">
        <v>42842</v>
      </c>
      <c r="F838" t="str">
        <f>"201704171309"</f>
        <v>201704171309</v>
      </c>
      <c r="G838" t="str">
        <f>"Misce"</f>
        <v>Misce</v>
      </c>
      <c r="H838" s="2">
        <v>40</v>
      </c>
      <c r="I838" t="str">
        <f>"NICK ALBERT BUHLER III"</f>
        <v>NICK ALBERT BUHLER III</v>
      </c>
    </row>
    <row r="839" spans="1:10" x14ac:dyDescent="0.3">
      <c r="A839" t="str">
        <f t="shared" si="9"/>
        <v>1</v>
      </c>
      <c r="B839" t="s">
        <v>273</v>
      </c>
      <c r="C839">
        <v>69778</v>
      </c>
      <c r="D839" s="2">
        <v>40</v>
      </c>
      <c r="E839" s="1">
        <v>42842</v>
      </c>
      <c r="F839" t="str">
        <f>"201704171310"</f>
        <v>201704171310</v>
      </c>
      <c r="G839" t="str">
        <f>"Miscellan"</f>
        <v>Miscellan</v>
      </c>
      <c r="H839" s="2">
        <v>40</v>
      </c>
      <c r="I839" t="str">
        <f>"JERRY LEE HENRICHS"</f>
        <v>JERRY LEE HENRICHS</v>
      </c>
    </row>
    <row r="840" spans="1:10" x14ac:dyDescent="0.3">
      <c r="A840" t="str">
        <f t="shared" si="9"/>
        <v>1</v>
      </c>
      <c r="B840" t="s">
        <v>274</v>
      </c>
      <c r="C840">
        <v>69779</v>
      </c>
      <c r="D840" s="2">
        <v>40</v>
      </c>
      <c r="E840" s="1">
        <v>42842</v>
      </c>
      <c r="F840" t="str">
        <f>"201704171311"</f>
        <v>201704171311</v>
      </c>
      <c r="G840" t="str">
        <f>"Miscella"</f>
        <v>Miscella</v>
      </c>
      <c r="H840" s="2">
        <v>40</v>
      </c>
      <c r="I840" t="str">
        <f>"JON CRAIG ETHEREDGE"</f>
        <v>JON CRAIG ETHEREDGE</v>
      </c>
    </row>
    <row r="841" spans="1:10" x14ac:dyDescent="0.3">
      <c r="A841" t="str">
        <f>"004984"</f>
        <v>004984</v>
      </c>
      <c r="B841" t="s">
        <v>275</v>
      </c>
      <c r="C841">
        <v>69677</v>
      </c>
      <c r="D841" s="2">
        <v>85</v>
      </c>
      <c r="E841" s="1">
        <v>42835</v>
      </c>
      <c r="F841" t="str">
        <f>"201704050704"</f>
        <v>201704050704</v>
      </c>
      <c r="G841" t="str">
        <f>"PER DIEM"</f>
        <v>PER DIEM</v>
      </c>
      <c r="H841" s="2">
        <v>85</v>
      </c>
      <c r="I841" t="str">
        <f>"PER DIEM"</f>
        <v>PER DIEM</v>
      </c>
    </row>
    <row r="842" spans="1:10" x14ac:dyDescent="0.3">
      <c r="A842" t="str">
        <f>"004568"</f>
        <v>004568</v>
      </c>
      <c r="B842" t="s">
        <v>276</v>
      </c>
      <c r="C842">
        <v>69899</v>
      </c>
      <c r="D842" s="2">
        <v>65</v>
      </c>
      <c r="E842" s="1">
        <v>42849</v>
      </c>
      <c r="F842" t="s">
        <v>50</v>
      </c>
      <c r="G842" t="s">
        <v>51</v>
      </c>
      <c r="H842" s="2" t="str">
        <f>"SERVICE 2/22/17"</f>
        <v>SERVICE 2/22/17</v>
      </c>
      <c r="I842" t="str">
        <f>"995-4110"</f>
        <v>995-4110</v>
      </c>
      <c r="J842">
        <v>65</v>
      </c>
    </row>
    <row r="843" spans="1:10" x14ac:dyDescent="0.3">
      <c r="A843" t="str">
        <f>"MOORE"</f>
        <v>MOORE</v>
      </c>
      <c r="B843" t="s">
        <v>277</v>
      </c>
      <c r="C843">
        <v>69678</v>
      </c>
      <c r="D843" s="2">
        <v>676.88</v>
      </c>
      <c r="E843" s="1">
        <v>42835</v>
      </c>
      <c r="F843" t="str">
        <f>"994024371"</f>
        <v>994024371</v>
      </c>
      <c r="G843" t="str">
        <f>"INV994024371/994212171"</f>
        <v>INV994024371/994212171</v>
      </c>
      <c r="H843" s="2">
        <v>676.88</v>
      </c>
      <c r="I843" t="str">
        <f>"INV994024371"</f>
        <v>INV994024371</v>
      </c>
    </row>
    <row r="844" spans="1:10" x14ac:dyDescent="0.3">
      <c r="A844" t="str">
        <f>""</f>
        <v/>
      </c>
      <c r="F844" t="str">
        <f>""</f>
        <v/>
      </c>
      <c r="G844" t="str">
        <f>""</f>
        <v/>
      </c>
      <c r="I844" t="str">
        <f>"INVOICE884212171"</f>
        <v>INVOICE884212171</v>
      </c>
    </row>
    <row r="845" spans="1:10" x14ac:dyDescent="0.3">
      <c r="A845" t="str">
        <f>"MOORE"</f>
        <v>MOORE</v>
      </c>
      <c r="B845" t="s">
        <v>277</v>
      </c>
      <c r="C845">
        <v>69967</v>
      </c>
      <c r="D845" s="2">
        <v>562.98</v>
      </c>
      <c r="E845" s="1">
        <v>42849</v>
      </c>
      <c r="F845" t="str">
        <f>"201704201427"</f>
        <v>201704201427</v>
      </c>
      <c r="G845" t="str">
        <f>"MEDICAL"</f>
        <v>MEDICAL</v>
      </c>
      <c r="H845" s="2">
        <v>562.98</v>
      </c>
      <c r="I845" t="str">
        <f>"MEDICAL"</f>
        <v>MEDICAL</v>
      </c>
    </row>
    <row r="846" spans="1:10" x14ac:dyDescent="0.3">
      <c r="A846" t="str">
        <f>"000969"</f>
        <v>000969</v>
      </c>
      <c r="B846" t="s">
        <v>278</v>
      </c>
      <c r="C846">
        <v>69679</v>
      </c>
      <c r="D846" s="2">
        <v>57.65</v>
      </c>
      <c r="E846" s="1">
        <v>42835</v>
      </c>
      <c r="F846" t="str">
        <f>"S149780372-001"</f>
        <v>S149780372-001</v>
      </c>
      <c r="G846" t="str">
        <f>"PLUMBING INVS149780372"</f>
        <v>PLUMBING INVS149780372</v>
      </c>
      <c r="H846" s="2">
        <v>57.65</v>
      </c>
      <c r="I846" t="str">
        <f>"PLUMBING INVS149780372"</f>
        <v>PLUMBING INVS149780372</v>
      </c>
    </row>
    <row r="847" spans="1:10" x14ac:dyDescent="0.3">
      <c r="A847" t="str">
        <f>"189"</f>
        <v>189</v>
      </c>
      <c r="B847" t="s">
        <v>279</v>
      </c>
      <c r="C847">
        <v>69928</v>
      </c>
      <c r="D847" s="2">
        <v>32591.46</v>
      </c>
      <c r="E847" s="1">
        <v>42849</v>
      </c>
      <c r="F847" t="str">
        <f>"201704191343"</f>
        <v>201704191343</v>
      </c>
      <c r="G847" t="str">
        <f>"RADIO SERVICE AGGREEMENT"</f>
        <v>RADIO SERVICE AGGREEMENT</v>
      </c>
      <c r="H847" s="2">
        <v>16295.73</v>
      </c>
      <c r="I847" t="str">
        <f>"RADIO SERVICE AGGREEMENT"</f>
        <v>RADIO SERVICE AGGREEMENT</v>
      </c>
    </row>
    <row r="848" spans="1:10" x14ac:dyDescent="0.3">
      <c r="A848" t="str">
        <f>""</f>
        <v/>
      </c>
      <c r="F848" t="str">
        <f>"78383072"</f>
        <v>78383072</v>
      </c>
      <c r="G848" t="str">
        <f>"SERVICE AGREEMENT MAY 2017"</f>
        <v>SERVICE AGREEMENT MAY 2017</v>
      </c>
      <c r="H848" s="2">
        <v>16295.73</v>
      </c>
      <c r="I848" t="str">
        <f>"SERVICE AGREEMENT MAY 2017"</f>
        <v>SERVICE AGREEMENT MAY 2017</v>
      </c>
    </row>
    <row r="849" spans="1:9" x14ac:dyDescent="0.3">
      <c r="A849" t="str">
        <f>"004694"</f>
        <v>004694</v>
      </c>
      <c r="B849" t="s">
        <v>280</v>
      </c>
      <c r="C849">
        <v>69680</v>
      </c>
      <c r="D849" s="2">
        <v>4295</v>
      </c>
      <c r="E849" s="1">
        <v>42835</v>
      </c>
      <c r="F849" t="str">
        <f>"86192537"</f>
        <v>86192537</v>
      </c>
      <c r="G849" t="str">
        <f>"PAYER#150344157/GS"</f>
        <v>PAYER#150344157/GS</v>
      </c>
      <c r="H849" s="2">
        <v>795</v>
      </c>
      <c r="I849" t="str">
        <f>"PAYER#150344157/GS"</f>
        <v>PAYER#150344157/GS</v>
      </c>
    </row>
    <row r="850" spans="1:9" x14ac:dyDescent="0.3">
      <c r="A850" t="str">
        <f>""</f>
        <v/>
      </c>
      <c r="F850" t="str">
        <f>"86210097"</f>
        <v>86210097</v>
      </c>
      <c r="G850" t="str">
        <f>"PAYOR-150344157/GS"</f>
        <v>PAYOR-150344157/GS</v>
      </c>
      <c r="H850" s="2">
        <v>3500</v>
      </c>
      <c r="I850" t="str">
        <f>"PAYOR#150344157/GS"</f>
        <v>PAYOR#150344157/GS</v>
      </c>
    </row>
    <row r="851" spans="1:9" x14ac:dyDescent="0.3">
      <c r="A851" t="str">
        <f>"004694"</f>
        <v>004694</v>
      </c>
      <c r="B851" t="s">
        <v>280</v>
      </c>
      <c r="C851">
        <v>69908</v>
      </c>
      <c r="D851" s="2">
        <v>795</v>
      </c>
      <c r="E851" s="1">
        <v>42849</v>
      </c>
      <c r="F851" t="str">
        <f>"86288596"</f>
        <v>86288596</v>
      </c>
      <c r="G851" t="str">
        <f>"SOLD TO#500095240/GS"</f>
        <v>SOLD TO#500095240/GS</v>
      </c>
      <c r="H851" s="2">
        <v>795</v>
      </c>
      <c r="I851" t="str">
        <f>"SOLD TO#500095240/GS"</f>
        <v>SOLD TO#500095240/GS</v>
      </c>
    </row>
    <row r="852" spans="1:9" x14ac:dyDescent="0.3">
      <c r="A852" t="str">
        <f>"000562"</f>
        <v>000562</v>
      </c>
      <c r="B852" t="s">
        <v>281</v>
      </c>
      <c r="C852">
        <v>69591</v>
      </c>
      <c r="D852" s="2">
        <v>4543.7700000000004</v>
      </c>
      <c r="E852" s="1">
        <v>42835</v>
      </c>
      <c r="F852" t="str">
        <f>"0778626"</f>
        <v>0778626</v>
      </c>
      <c r="G852" t="str">
        <f>"FOOD IN0778626"</f>
        <v>FOOD IN0778626</v>
      </c>
      <c r="H852" s="2">
        <v>1440</v>
      </c>
      <c r="I852" t="str">
        <f>"FOOD IN0778626"</f>
        <v>FOOD IN0778626</v>
      </c>
    </row>
    <row r="853" spans="1:9" x14ac:dyDescent="0.3">
      <c r="A853" t="str">
        <f>""</f>
        <v/>
      </c>
      <c r="F853" t="str">
        <f>"0778647"</f>
        <v>0778647</v>
      </c>
      <c r="G853" t="str">
        <f>"FOODIN0778647"</f>
        <v>FOODIN0778647</v>
      </c>
      <c r="H853" s="2">
        <v>3103.77</v>
      </c>
      <c r="I853" t="str">
        <f>"FOODIN0778647"</f>
        <v>FOODIN0778647</v>
      </c>
    </row>
    <row r="854" spans="1:9" x14ac:dyDescent="0.3">
      <c r="A854" t="str">
        <f>"000562"</f>
        <v>000562</v>
      </c>
      <c r="B854" t="s">
        <v>281</v>
      </c>
      <c r="C854">
        <v>69805</v>
      </c>
      <c r="D854" s="2">
        <v>6829.52</v>
      </c>
      <c r="E854" s="1">
        <v>42849</v>
      </c>
      <c r="F854" t="str">
        <f>"201704201422"</f>
        <v>201704201422</v>
      </c>
      <c r="G854" t="str">
        <f>"FOOD INV0776438"</f>
        <v>FOOD INV0776438</v>
      </c>
      <c r="H854" s="2">
        <v>1471</v>
      </c>
      <c r="I854" t="str">
        <f>"FOOD INV0776438"</f>
        <v>FOOD INV0776438</v>
      </c>
    </row>
    <row r="855" spans="1:9" x14ac:dyDescent="0.3">
      <c r="A855" t="str">
        <f>""</f>
        <v/>
      </c>
      <c r="F855" t="str">
        <f>""</f>
        <v/>
      </c>
      <c r="G855" t="str">
        <f>""</f>
        <v/>
      </c>
      <c r="I855" t="str">
        <f>"CREDIT CM0905401"</f>
        <v>CREDIT CM0905401</v>
      </c>
    </row>
    <row r="856" spans="1:9" x14ac:dyDescent="0.3">
      <c r="A856" t="str">
        <f>""</f>
        <v/>
      </c>
      <c r="F856" t="str">
        <f>"201704201423"</f>
        <v>201704201423</v>
      </c>
      <c r="G856" t="str">
        <f>"FOOD INV0777676"</f>
        <v>FOOD INV0777676</v>
      </c>
      <c r="H856" s="2">
        <v>2719.02</v>
      </c>
      <c r="I856" t="str">
        <f>"FOOD INV0777676"</f>
        <v>FOOD INV0777676</v>
      </c>
    </row>
    <row r="857" spans="1:9" x14ac:dyDescent="0.3">
      <c r="A857" t="str">
        <f>""</f>
        <v/>
      </c>
      <c r="F857" t="str">
        <f>""</f>
        <v/>
      </c>
      <c r="G857" t="str">
        <f>""</f>
        <v/>
      </c>
      <c r="I857" t="str">
        <f>"CREDIT MEMO0905579"</f>
        <v>CREDIT MEMO0905579</v>
      </c>
    </row>
    <row r="858" spans="1:9" x14ac:dyDescent="0.3">
      <c r="A858" t="str">
        <f>""</f>
        <v/>
      </c>
      <c r="F858" t="str">
        <f>"201704201424"</f>
        <v>201704201424</v>
      </c>
      <c r="G858" t="str">
        <f>"FOOD IN0777769"</f>
        <v>FOOD IN0777769</v>
      </c>
      <c r="H858" s="2">
        <v>2639.5</v>
      </c>
      <c r="I858" t="str">
        <f>"FOOD IN0777769"</f>
        <v>FOOD IN0777769</v>
      </c>
    </row>
    <row r="859" spans="1:9" x14ac:dyDescent="0.3">
      <c r="A859" t="str">
        <f>"000668"</f>
        <v>000668</v>
      </c>
      <c r="B859" t="s">
        <v>282</v>
      </c>
      <c r="C859">
        <v>69808</v>
      </c>
      <c r="D859" s="2">
        <v>270</v>
      </c>
      <c r="E859" s="1">
        <v>42849</v>
      </c>
      <c r="F859" t="str">
        <f>"201704201443"</f>
        <v>201704201443</v>
      </c>
      <c r="G859" t="str">
        <f>"HAY"</f>
        <v>HAY</v>
      </c>
      <c r="H859" s="2">
        <v>270</v>
      </c>
      <c r="I859" t="str">
        <f>"BALES OF HAY"</f>
        <v>BALES OF HAY</v>
      </c>
    </row>
    <row r="860" spans="1:9" x14ac:dyDescent="0.3">
      <c r="A860" t="str">
        <f>"T6614"</f>
        <v>T6614</v>
      </c>
      <c r="B860" t="s">
        <v>283</v>
      </c>
      <c r="C860">
        <v>69681</v>
      </c>
      <c r="D860" s="2">
        <v>44.16</v>
      </c>
      <c r="E860" s="1">
        <v>42835</v>
      </c>
      <c r="F860" t="str">
        <f>"0581251292/259596"</f>
        <v>0581251292/259596</v>
      </c>
      <c r="G860" t="str">
        <f>"INV 0581-251292"</f>
        <v>INV 0581-251292</v>
      </c>
      <c r="H860" s="2">
        <v>44.16</v>
      </c>
      <c r="I860" t="str">
        <f>"INV 0581-251292"</f>
        <v>INV 0581-251292</v>
      </c>
    </row>
    <row r="861" spans="1:9" x14ac:dyDescent="0.3">
      <c r="A861" t="str">
        <f>""</f>
        <v/>
      </c>
      <c r="F861" t="str">
        <f>""</f>
        <v/>
      </c>
      <c r="G861" t="str">
        <f>""</f>
        <v/>
      </c>
      <c r="I861" t="str">
        <f>"INV 0581-259596"</f>
        <v>INV 0581-259596</v>
      </c>
    </row>
    <row r="862" spans="1:9" x14ac:dyDescent="0.3">
      <c r="A862" t="str">
        <f>"001015"</f>
        <v>001015</v>
      </c>
      <c r="B862" t="s">
        <v>284</v>
      </c>
      <c r="C862">
        <v>69682</v>
      </c>
      <c r="D862" s="2">
        <v>858</v>
      </c>
      <c r="E862" s="1">
        <v>42835</v>
      </c>
      <c r="F862" t="str">
        <f>"12200327"</f>
        <v>12200327</v>
      </c>
      <c r="G862" t="str">
        <f>"MILK PRODUCTS"</f>
        <v>MILK PRODUCTS</v>
      </c>
      <c r="H862" s="2">
        <v>495</v>
      </c>
      <c r="I862" t="str">
        <f>"MILK PRODUCTS"</f>
        <v>MILK PRODUCTS</v>
      </c>
    </row>
    <row r="863" spans="1:9" x14ac:dyDescent="0.3">
      <c r="A863" t="str">
        <f>""</f>
        <v/>
      </c>
      <c r="F863" t="str">
        <f>""</f>
        <v/>
      </c>
      <c r="G863" t="str">
        <f>""</f>
        <v/>
      </c>
      <c r="I863" t="str">
        <f>"MILK PRODUCTS"</f>
        <v>MILK PRODUCTS</v>
      </c>
    </row>
    <row r="864" spans="1:9" x14ac:dyDescent="0.3">
      <c r="A864" t="str">
        <f>""</f>
        <v/>
      </c>
      <c r="F864" t="str">
        <f>"inv122003425"</f>
        <v>inv122003425</v>
      </c>
      <c r="G864" t="str">
        <f>"MILK INV122003425"</f>
        <v>MILK INV122003425</v>
      </c>
      <c r="H864" s="2">
        <v>363</v>
      </c>
      <c r="I864" t="str">
        <f>"MILK INV122003425"</f>
        <v>MILK INV122003425</v>
      </c>
    </row>
    <row r="865" spans="1:9" x14ac:dyDescent="0.3">
      <c r="A865" t="str">
        <f>"001015"</f>
        <v>001015</v>
      </c>
      <c r="B865" t="s">
        <v>284</v>
      </c>
      <c r="C865">
        <v>69814</v>
      </c>
      <c r="D865" s="2">
        <v>957</v>
      </c>
      <c r="E865" s="1">
        <v>42849</v>
      </c>
      <c r="F865" t="str">
        <f>"13070608"</f>
        <v>13070608</v>
      </c>
      <c r="G865" t="str">
        <f>"MILK INV13070608"</f>
        <v>MILK INV13070608</v>
      </c>
      <c r="H865" s="2">
        <v>247.5</v>
      </c>
      <c r="I865" t="str">
        <f>"MILK INV13070608"</f>
        <v>MILK INV13070608</v>
      </c>
    </row>
    <row r="866" spans="1:9" x14ac:dyDescent="0.3">
      <c r="A866" t="str">
        <f>""</f>
        <v/>
      </c>
      <c r="F866" t="str">
        <f>"201704201393"</f>
        <v>201704201393</v>
      </c>
      <c r="G866" t="str">
        <f>"INV122003758 MILK"</f>
        <v>INV122003758 MILK</v>
      </c>
      <c r="H866" s="2">
        <v>247.5</v>
      </c>
      <c r="I866" t="str">
        <f>"INV122003758 MILK"</f>
        <v>INV122003758 MILK</v>
      </c>
    </row>
    <row r="867" spans="1:9" x14ac:dyDescent="0.3">
      <c r="A867" t="str">
        <f>""</f>
        <v/>
      </c>
      <c r="F867" t="str">
        <f>"201704201428"</f>
        <v>201704201428</v>
      </c>
      <c r="G867" t="str">
        <f>"MILK"</f>
        <v>MILK</v>
      </c>
      <c r="H867" s="2">
        <v>462</v>
      </c>
      <c r="I867" t="str">
        <f>"MILK"</f>
        <v>MILK</v>
      </c>
    </row>
    <row r="868" spans="1:9" x14ac:dyDescent="0.3">
      <c r="A868" t="str">
        <f>""</f>
        <v/>
      </c>
      <c r="F868" t="str">
        <f>""</f>
        <v/>
      </c>
      <c r="G868" t="str">
        <f>""</f>
        <v/>
      </c>
      <c r="I868" t="str">
        <f>"MILK"</f>
        <v>MILK</v>
      </c>
    </row>
    <row r="869" spans="1:9" x14ac:dyDescent="0.3">
      <c r="A869" t="str">
        <f>"T5769"</f>
        <v>T5769</v>
      </c>
      <c r="B869" t="s">
        <v>285</v>
      </c>
      <c r="C869">
        <v>69683</v>
      </c>
      <c r="D869" s="2">
        <v>2991.25</v>
      </c>
      <c r="E869" s="1">
        <v>42835</v>
      </c>
      <c r="F869" t="str">
        <f>"201704050696"</f>
        <v>201704050696</v>
      </c>
      <c r="G869" t="str">
        <f>"Acct#28941874Bill#7886497"</f>
        <v>Acct#28941874Bill#7886497</v>
      </c>
      <c r="H869" s="2">
        <v>2991.25</v>
      </c>
      <c r="I869" t="str">
        <f>"Inv# 913591596001"</f>
        <v>Inv# 913591596001</v>
      </c>
    </row>
    <row r="870" spans="1:9" x14ac:dyDescent="0.3">
      <c r="A870" t="str">
        <f>""</f>
        <v/>
      </c>
      <c r="F870" t="str">
        <f>""</f>
        <v/>
      </c>
      <c r="G870" t="str">
        <f>""</f>
        <v/>
      </c>
      <c r="I870" t="str">
        <f>"Inv# 916029018001"</f>
        <v>Inv# 916029018001</v>
      </c>
    </row>
    <row r="871" spans="1:9" x14ac:dyDescent="0.3">
      <c r="A871" t="str">
        <f>""</f>
        <v/>
      </c>
      <c r="F871" t="str">
        <f>""</f>
        <v/>
      </c>
      <c r="G871" t="str">
        <f>""</f>
        <v/>
      </c>
      <c r="I871" t="str">
        <f>"Inv# 916029554001"</f>
        <v>Inv# 916029554001</v>
      </c>
    </row>
    <row r="872" spans="1:9" x14ac:dyDescent="0.3">
      <c r="A872" t="str">
        <f>""</f>
        <v/>
      </c>
      <c r="F872" t="str">
        <f>""</f>
        <v/>
      </c>
      <c r="G872" t="str">
        <f>""</f>
        <v/>
      </c>
      <c r="I872" t="str">
        <f>"Inv# 917058353001"</f>
        <v>Inv# 917058353001</v>
      </c>
    </row>
    <row r="873" spans="1:9" x14ac:dyDescent="0.3">
      <c r="A873" t="str">
        <f>""</f>
        <v/>
      </c>
      <c r="F873" t="str">
        <f>""</f>
        <v/>
      </c>
      <c r="G873" t="str">
        <f>""</f>
        <v/>
      </c>
      <c r="I873" t="str">
        <f>"Inv# 917059253001"</f>
        <v>Inv# 917059253001</v>
      </c>
    </row>
    <row r="874" spans="1:9" x14ac:dyDescent="0.3">
      <c r="A874" t="str">
        <f>""</f>
        <v/>
      </c>
      <c r="F874" t="str">
        <f>""</f>
        <v/>
      </c>
      <c r="G874" t="str">
        <f>""</f>
        <v/>
      </c>
      <c r="I874" t="str">
        <f>"Delivery Charge"</f>
        <v>Delivery Charge</v>
      </c>
    </row>
    <row r="875" spans="1:9" x14ac:dyDescent="0.3">
      <c r="A875" t="str">
        <f>""</f>
        <v/>
      </c>
      <c r="F875" t="str">
        <f>""</f>
        <v/>
      </c>
      <c r="G875" t="str">
        <f>""</f>
        <v/>
      </c>
      <c r="I875" t="str">
        <f>"Inv# 914673450001"</f>
        <v>Inv# 914673450001</v>
      </c>
    </row>
    <row r="876" spans="1:9" x14ac:dyDescent="0.3">
      <c r="A876" t="str">
        <f>""</f>
        <v/>
      </c>
      <c r="F876" t="str">
        <f>""</f>
        <v/>
      </c>
      <c r="G876" t="str">
        <f>""</f>
        <v/>
      </c>
      <c r="I876" t="str">
        <f>"Inv# 914673696001"</f>
        <v>Inv# 914673696001</v>
      </c>
    </row>
    <row r="877" spans="1:9" x14ac:dyDescent="0.3">
      <c r="A877" t="str">
        <f>""</f>
        <v/>
      </c>
      <c r="F877" t="str">
        <f>""</f>
        <v/>
      </c>
      <c r="G877" t="str">
        <f>""</f>
        <v/>
      </c>
      <c r="I877" t="str">
        <f>"Inv# 916677179001"</f>
        <v>Inv# 916677179001</v>
      </c>
    </row>
    <row r="878" spans="1:9" x14ac:dyDescent="0.3">
      <c r="A878" t="str">
        <f>""</f>
        <v/>
      </c>
      <c r="F878" t="str">
        <f>""</f>
        <v/>
      </c>
      <c r="G878" t="str">
        <f>""</f>
        <v/>
      </c>
      <c r="I878" t="str">
        <f>"Inv# 916677619001"</f>
        <v>Inv# 916677619001</v>
      </c>
    </row>
    <row r="879" spans="1:9" x14ac:dyDescent="0.3">
      <c r="A879" t="str">
        <f>""</f>
        <v/>
      </c>
      <c r="F879" t="str">
        <f>""</f>
        <v/>
      </c>
      <c r="G879" t="str">
        <f>""</f>
        <v/>
      </c>
      <c r="I879" t="str">
        <f>"Inv# 916482516001"</f>
        <v>Inv# 916482516001</v>
      </c>
    </row>
    <row r="880" spans="1:9" x14ac:dyDescent="0.3">
      <c r="A880" t="str">
        <f>""</f>
        <v/>
      </c>
      <c r="F880" t="str">
        <f>""</f>
        <v/>
      </c>
      <c r="G880" t="str">
        <f>""</f>
        <v/>
      </c>
      <c r="I880" t="str">
        <f>"Inv# 918046498001"</f>
        <v>Inv# 918046498001</v>
      </c>
    </row>
    <row r="881" spans="1:9" x14ac:dyDescent="0.3">
      <c r="A881" t="str">
        <f>"004879"</f>
        <v>004879</v>
      </c>
      <c r="B881" t="s">
        <v>286</v>
      </c>
      <c r="C881">
        <v>69913</v>
      </c>
      <c r="D881" s="2">
        <v>1331.33</v>
      </c>
      <c r="E881" s="1">
        <v>42849</v>
      </c>
      <c r="F881" t="str">
        <f>"200569480"</f>
        <v>200569480</v>
      </c>
      <c r="G881" t="str">
        <f>"CUST#241269/ASPHALT/PCT#4"</f>
        <v>CUST#241269/ASPHALT/PCT#4</v>
      </c>
      <c r="H881" s="2">
        <v>1331.33</v>
      </c>
      <c r="I881" t="str">
        <f>"CUST#241269/ASPHALT/PCT#4"</f>
        <v>CUST#241269/ASPHALT/PCT#4</v>
      </c>
    </row>
    <row r="882" spans="1:9" x14ac:dyDescent="0.3">
      <c r="A882" t="str">
        <f>"OMNIBA"</f>
        <v>OMNIBA</v>
      </c>
      <c r="B882" t="s">
        <v>287</v>
      </c>
      <c r="C882">
        <v>69970</v>
      </c>
      <c r="D882" s="2">
        <v>4680</v>
      </c>
      <c r="E882" s="1">
        <v>42849</v>
      </c>
      <c r="F882" t="str">
        <f>"201704191338"</f>
        <v>201704191338</v>
      </c>
      <c r="G882" t="str">
        <f>"FAILURE TO APPEAR/JAN-MAR'17"</f>
        <v>FAILURE TO APPEAR/JAN-MAR'17</v>
      </c>
      <c r="H882" s="2">
        <v>4680</v>
      </c>
      <c r="I882" t="str">
        <f>"FAILURE TO APPEAR/JAN-MAR'17"</f>
        <v>FAILURE TO APPEAR/JAN-MAR'17</v>
      </c>
    </row>
    <row r="883" spans="1:9" x14ac:dyDescent="0.3">
      <c r="A883" t="str">
        <f>"OP"</f>
        <v>OP</v>
      </c>
      <c r="B883" t="s">
        <v>288</v>
      </c>
      <c r="C883">
        <v>69971</v>
      </c>
      <c r="D883" s="2">
        <v>245</v>
      </c>
      <c r="E883" s="1">
        <v>42849</v>
      </c>
      <c r="F883" t="str">
        <f>"201704201410"</f>
        <v>201704201410</v>
      </c>
      <c r="G883" t="str">
        <f>"Invoice#15833-ResetToliet"</f>
        <v>Invoice#15833-ResetToliet</v>
      </c>
      <c r="H883" s="2">
        <v>245</v>
      </c>
      <c r="I883" t="str">
        <f>"Invoice# 15833"</f>
        <v>Invoice# 15833</v>
      </c>
    </row>
    <row r="884" spans="1:9" x14ac:dyDescent="0.3">
      <c r="A884" t="str">
        <f>"004003"</f>
        <v>004003</v>
      </c>
      <c r="B884" t="s">
        <v>289</v>
      </c>
      <c r="C884">
        <v>69684</v>
      </c>
      <c r="D884" s="2">
        <v>50</v>
      </c>
      <c r="E884" s="1">
        <v>42835</v>
      </c>
      <c r="F884" t="str">
        <f>"201704060747"</f>
        <v>201704060747</v>
      </c>
      <c r="G884" t="str">
        <f>"FERAL HOGS"</f>
        <v>FERAL HOGS</v>
      </c>
      <c r="H884" s="2">
        <v>50</v>
      </c>
      <c r="I884" t="str">
        <f>"FERAL HOGS"</f>
        <v>FERAL HOGS</v>
      </c>
    </row>
    <row r="885" spans="1:9" x14ac:dyDescent="0.3">
      <c r="A885" t="str">
        <f>"004982"</f>
        <v>004982</v>
      </c>
      <c r="B885" t="s">
        <v>290</v>
      </c>
      <c r="C885">
        <v>69917</v>
      </c>
      <c r="D885" s="2">
        <v>2575</v>
      </c>
      <c r="E885" s="1">
        <v>42849</v>
      </c>
      <c r="F885" t="str">
        <f>"201704201413"</f>
        <v>201704201413</v>
      </c>
      <c r="G885" t="str">
        <f>"BALLOT BOXES"</f>
        <v>BALLOT BOXES</v>
      </c>
      <c r="H885" s="2">
        <v>2575</v>
      </c>
      <c r="I885" t="str">
        <f>"BALLOT BOXES"</f>
        <v>BALLOT BOXES</v>
      </c>
    </row>
    <row r="886" spans="1:9" x14ac:dyDescent="0.3">
      <c r="A886" t="str">
        <f>"PAIGE"</f>
        <v>PAIGE</v>
      </c>
      <c r="B886" t="s">
        <v>291</v>
      </c>
      <c r="C886">
        <v>69972</v>
      </c>
      <c r="D886" s="2">
        <v>197.92</v>
      </c>
      <c r="E886" s="1">
        <v>42849</v>
      </c>
      <c r="F886" t="str">
        <f>"53854"</f>
        <v>53854</v>
      </c>
      <c r="G886" t="str">
        <f>"SAW CHAINS/PCT#4"</f>
        <v>SAW CHAINS/PCT#4</v>
      </c>
      <c r="H886" s="2">
        <v>197.92</v>
      </c>
      <c r="I886" t="str">
        <f>"SAW CHAINS/PCT#4"</f>
        <v>SAW CHAINS/PCT#4</v>
      </c>
    </row>
    <row r="887" spans="1:9" x14ac:dyDescent="0.3">
      <c r="A887" t="str">
        <f>"003566"</f>
        <v>003566</v>
      </c>
      <c r="B887" t="s">
        <v>292</v>
      </c>
      <c r="C887">
        <v>69871</v>
      </c>
      <c r="D887" s="2">
        <v>207.71</v>
      </c>
      <c r="E887" s="1">
        <v>42849</v>
      </c>
      <c r="F887" t="str">
        <f>"20442/20794"</f>
        <v>20442/20794</v>
      </c>
      <c r="G887" t="str">
        <f>"ACCT#1137/PCT#4"</f>
        <v>ACCT#1137/PCT#4</v>
      </c>
      <c r="H887" s="2">
        <v>207.71</v>
      </c>
      <c r="I887" t="str">
        <f>"ACCT#1137/PCT#4"</f>
        <v>ACCT#1137/PCT#4</v>
      </c>
    </row>
    <row r="888" spans="1:9" x14ac:dyDescent="0.3">
      <c r="A888" t="str">
        <f>"003321"</f>
        <v>003321</v>
      </c>
      <c r="B888" t="s">
        <v>293</v>
      </c>
      <c r="C888">
        <v>69685</v>
      </c>
      <c r="D888" s="2">
        <v>90</v>
      </c>
      <c r="E888" s="1">
        <v>42835</v>
      </c>
      <c r="F888" t="str">
        <f>"201704060788"</f>
        <v>201704060788</v>
      </c>
      <c r="G888" t="str">
        <f>"FERAL HOGS"</f>
        <v>FERAL HOGS</v>
      </c>
      <c r="H888" s="2">
        <v>90</v>
      </c>
      <c r="I888" t="str">
        <f>"FERAL HOGS"</f>
        <v>FERAL HOGS</v>
      </c>
    </row>
    <row r="889" spans="1:9" x14ac:dyDescent="0.3">
      <c r="A889" t="str">
        <f>"WEBSTE"</f>
        <v>WEBSTE</v>
      </c>
      <c r="B889" t="s">
        <v>294</v>
      </c>
      <c r="C889">
        <v>70052</v>
      </c>
      <c r="D889" s="2">
        <v>313.66000000000003</v>
      </c>
      <c r="E889" s="1">
        <v>42849</v>
      </c>
      <c r="F889" t="str">
        <f>"020014073 03/25/17"</f>
        <v>020014073 03/25/17</v>
      </c>
      <c r="G889" t="str">
        <f>"VETERINARY SUPPLIES"</f>
        <v>VETERINARY SUPPLIES</v>
      </c>
      <c r="H889" s="2">
        <v>313.66000000000003</v>
      </c>
      <c r="I889" t="str">
        <f>"VETERINARY SUPPLIES"</f>
        <v>VETERINARY SUPPLIES</v>
      </c>
    </row>
    <row r="890" spans="1:9" x14ac:dyDescent="0.3">
      <c r="A890" t="str">
        <f>"002471"</f>
        <v>002471</v>
      </c>
      <c r="B890" t="s">
        <v>295</v>
      </c>
      <c r="C890">
        <v>69846</v>
      </c>
      <c r="D890" s="2">
        <v>1500</v>
      </c>
      <c r="E890" s="1">
        <v>42849</v>
      </c>
      <c r="F890" t="str">
        <f>"371355"</f>
        <v>371355</v>
      </c>
      <c r="G890" t="str">
        <f>"FINANCIAL STATEMENTS"</f>
        <v>FINANCIAL STATEMENTS</v>
      </c>
      <c r="H890" s="2">
        <v>1500</v>
      </c>
      <c r="I890" t="str">
        <f>"FINANCIAL STATEMENTS"</f>
        <v>FINANCIAL STATEMENTS</v>
      </c>
    </row>
    <row r="891" spans="1:9" x14ac:dyDescent="0.3">
      <c r="A891" t="str">
        <f>"003382"</f>
        <v>003382</v>
      </c>
      <c r="B891" t="s">
        <v>296</v>
      </c>
      <c r="C891">
        <v>69686</v>
      </c>
      <c r="D891" s="2">
        <v>30</v>
      </c>
      <c r="E891" s="1">
        <v>42835</v>
      </c>
      <c r="F891" t="str">
        <f>"201704060746"</f>
        <v>201704060746</v>
      </c>
      <c r="G891" t="str">
        <f>"FERAL HOGS"</f>
        <v>FERAL HOGS</v>
      </c>
      <c r="H891" s="2">
        <v>30</v>
      </c>
      <c r="I891" t="str">
        <f>"FERAL HOGS"</f>
        <v>FERAL HOGS</v>
      </c>
    </row>
    <row r="892" spans="1:9" x14ac:dyDescent="0.3">
      <c r="A892" t="str">
        <f>"001854"</f>
        <v>001854</v>
      </c>
      <c r="B892" t="s">
        <v>297</v>
      </c>
      <c r="C892">
        <v>69687</v>
      </c>
      <c r="D892" s="2">
        <v>409.5</v>
      </c>
      <c r="E892" s="1">
        <v>42835</v>
      </c>
      <c r="F892" t="str">
        <f>"201704050635"</f>
        <v>201704050635</v>
      </c>
      <c r="G892" t="str">
        <f>"CONTRACT LABOR/3-27/3-30-17"</f>
        <v>CONTRACT LABOR/3-27/3-30-17</v>
      </c>
      <c r="H892" s="2">
        <v>195</v>
      </c>
      <c r="I892" t="str">
        <f>"CONTRACT LABOR/3-27/3-30-17"</f>
        <v>CONTRACT LABOR/3-27/3-30-17</v>
      </c>
    </row>
    <row r="893" spans="1:9" x14ac:dyDescent="0.3">
      <c r="A893" t="str">
        <f>""</f>
        <v/>
      </c>
      <c r="F893" t="str">
        <f>"201704050636"</f>
        <v>201704050636</v>
      </c>
      <c r="G893" t="str">
        <f>"CONTRACT LABOR/4-3/4-6-17-PCT4"</f>
        <v>CONTRACT LABOR/4-3/4-6-17-PCT4</v>
      </c>
      <c r="H893" s="2">
        <v>214.5</v>
      </c>
      <c r="I893" t="str">
        <f>"CONTRACT LABOR/4-3/4-6-17-PCT4"</f>
        <v>CONTRACT LABOR/4-3/4-6-17-PCT4</v>
      </c>
    </row>
    <row r="894" spans="1:9" x14ac:dyDescent="0.3">
      <c r="A894" t="str">
        <f>"001854"</f>
        <v>001854</v>
      </c>
      <c r="B894" t="s">
        <v>297</v>
      </c>
      <c r="C894">
        <v>69827</v>
      </c>
      <c r="D894" s="2">
        <v>357.5</v>
      </c>
      <c r="E894" s="1">
        <v>42849</v>
      </c>
      <c r="F894" t="str">
        <f>"201704191330"</f>
        <v>201704191330</v>
      </c>
      <c r="G894" t="str">
        <f>"CONTRACT LABOR//4-16/4-20-17"</f>
        <v>CONTRACT LABOR//4-16/4-20-17</v>
      </c>
      <c r="H894" s="2">
        <v>357.5</v>
      </c>
      <c r="I894" t="str">
        <f>"CONTRACT LABOR//4-16/4-20-17"</f>
        <v>CONTRACT LABOR//4-16/4-20-17</v>
      </c>
    </row>
    <row r="895" spans="1:9" x14ac:dyDescent="0.3">
      <c r="A895" t="str">
        <f>"003795"</f>
        <v>003795</v>
      </c>
      <c r="B895" t="s">
        <v>298</v>
      </c>
      <c r="C895">
        <v>69881</v>
      </c>
      <c r="D895" s="2">
        <v>31651.63</v>
      </c>
      <c r="E895" s="1">
        <v>42849</v>
      </c>
      <c r="F895" t="str">
        <f>"IVC00034993"</f>
        <v>IVC00034993</v>
      </c>
      <c r="G895" t="str">
        <f>"ATTORNEYS FEES 01/01-03/31 JP1"</f>
        <v>ATTORNEYS FEES 01/01-03/31 JP1</v>
      </c>
      <c r="H895" s="2">
        <v>8993.9699999999993</v>
      </c>
      <c r="I895" t="str">
        <f>"ATTORNEYS FEES 01/01-03/31"</f>
        <v>ATTORNEYS FEES 01/01-03/31</v>
      </c>
    </row>
    <row r="896" spans="1:9" x14ac:dyDescent="0.3">
      <c r="A896" t="str">
        <f>""</f>
        <v/>
      </c>
      <c r="F896" t="str">
        <f>"IVC00034994"</f>
        <v>IVC00034994</v>
      </c>
      <c r="G896" t="str">
        <f>"ATTORNEYS FEES 01/01-03/31 JP3"</f>
        <v>ATTORNEYS FEES 01/01-03/31 JP3</v>
      </c>
      <c r="H896" s="2">
        <v>22657.66</v>
      </c>
      <c r="I896" t="str">
        <f>"ATTORNEYS FEES 01/01-03/31"</f>
        <v>ATTORNEYS FEES 01/01-03/31</v>
      </c>
    </row>
    <row r="897" spans="1:9" x14ac:dyDescent="0.3">
      <c r="A897" t="str">
        <f>"PET"</f>
        <v>PET</v>
      </c>
      <c r="B897" t="s">
        <v>299</v>
      </c>
      <c r="C897">
        <v>69974</v>
      </c>
      <c r="D897" s="2">
        <v>6383.95</v>
      </c>
      <c r="E897" s="1">
        <v>42849</v>
      </c>
      <c r="F897" t="str">
        <f>"SIUN9886200"</f>
        <v>SIUN9886200</v>
      </c>
      <c r="G897" t="str">
        <f>"ACCT#CUN000000233/ADOPTION"</f>
        <v>ACCT#CUN000000233/ADOPTION</v>
      </c>
      <c r="H897" s="2">
        <v>33.950000000000003</v>
      </c>
      <c r="I897" t="str">
        <f>"ACCT#CUN000000233/ADOPTION"</f>
        <v>ACCT#CUN000000233/ADOPTION</v>
      </c>
    </row>
    <row r="898" spans="1:9" x14ac:dyDescent="0.3">
      <c r="A898" t="str">
        <f>""</f>
        <v/>
      </c>
      <c r="F898" t="str">
        <f>"SIUN9906690"</f>
        <v>SIUN9906690</v>
      </c>
      <c r="G898" t="str">
        <f>"ACCT#CUN000000233/AC"</f>
        <v>ACCT#CUN000000233/AC</v>
      </c>
      <c r="H898" s="2">
        <v>6350</v>
      </c>
      <c r="I898" t="str">
        <f>"ACCT#CUN000000233/AC"</f>
        <v>ACCT#CUN000000233/AC</v>
      </c>
    </row>
    <row r="899" spans="1:9" x14ac:dyDescent="0.3">
      <c r="A899" t="str">
        <f>"000192"</f>
        <v>000192</v>
      </c>
      <c r="B899" t="s">
        <v>300</v>
      </c>
      <c r="C899">
        <v>69688</v>
      </c>
      <c r="D899" s="2">
        <v>125</v>
      </c>
      <c r="E899" s="1">
        <v>42835</v>
      </c>
      <c r="F899" t="str">
        <f>"201704040621"</f>
        <v>201704040621</v>
      </c>
      <c r="G899" t="str">
        <f>"REIMB-DUES"</f>
        <v>REIMB-DUES</v>
      </c>
      <c r="H899" s="2">
        <v>125</v>
      </c>
      <c r="I899" t="str">
        <f>"REIMB-DUES"</f>
        <v>REIMB-DUES</v>
      </c>
    </row>
    <row r="900" spans="1:9" x14ac:dyDescent="0.3">
      <c r="A900" t="str">
        <f>"PRD"</f>
        <v>PRD</v>
      </c>
      <c r="B900" t="s">
        <v>301</v>
      </c>
      <c r="C900">
        <v>69689</v>
      </c>
      <c r="D900" s="2">
        <v>1093</v>
      </c>
      <c r="E900" s="1">
        <v>42835</v>
      </c>
      <c r="F900" t="str">
        <f>"201704061163"</f>
        <v>201704061163</v>
      </c>
      <c r="G900" t="str">
        <f>"UNFILED-JUVENILE DETENTION"</f>
        <v>UNFILED-JUVENILE DETENTION</v>
      </c>
      <c r="H900" s="2">
        <v>100</v>
      </c>
      <c r="I900" t="str">
        <f>"UNFILED-JUVENILE DETENTION"</f>
        <v>UNFILED-JUVENILE DETENTION</v>
      </c>
    </row>
    <row r="901" spans="1:9" x14ac:dyDescent="0.3">
      <c r="A901" t="str">
        <f>""</f>
        <v/>
      </c>
      <c r="F901" t="str">
        <f>"201704061164"</f>
        <v>201704061164</v>
      </c>
      <c r="G901" t="str">
        <f>"UNFILED JUVENILE DETENTION"</f>
        <v>UNFILED JUVENILE DETENTION</v>
      </c>
      <c r="H901" s="2">
        <v>100</v>
      </c>
      <c r="I901" t="str">
        <f>"UNFILED JUVENILE DETENTION"</f>
        <v>UNFILED JUVENILE DETENTION</v>
      </c>
    </row>
    <row r="902" spans="1:9" x14ac:dyDescent="0.3">
      <c r="A902" t="str">
        <f>""</f>
        <v/>
      </c>
      <c r="F902" t="str">
        <f>"201704061165"</f>
        <v>201704061165</v>
      </c>
      <c r="G902" t="str">
        <f>"16-17708"</f>
        <v>16-17708</v>
      </c>
      <c r="H902" s="2">
        <v>393</v>
      </c>
      <c r="I902" t="str">
        <f>"16-17708"</f>
        <v>16-17708</v>
      </c>
    </row>
    <row r="903" spans="1:9" x14ac:dyDescent="0.3">
      <c r="A903" t="str">
        <f>""</f>
        <v/>
      </c>
      <c r="F903" t="str">
        <f>"201704061166"</f>
        <v>201704061166</v>
      </c>
      <c r="G903" t="str">
        <f>"54895"</f>
        <v>54895</v>
      </c>
      <c r="H903" s="2">
        <v>250</v>
      </c>
      <c r="I903" t="str">
        <f>"54895"</f>
        <v>54895</v>
      </c>
    </row>
    <row r="904" spans="1:9" x14ac:dyDescent="0.3">
      <c r="A904" t="str">
        <f>""</f>
        <v/>
      </c>
      <c r="F904" t="str">
        <f>"201704061167"</f>
        <v>201704061167</v>
      </c>
      <c r="G904" t="str">
        <f>"54975"</f>
        <v>54975</v>
      </c>
      <c r="H904" s="2">
        <v>250</v>
      </c>
      <c r="I904" t="str">
        <f>"54975"</f>
        <v>54975</v>
      </c>
    </row>
    <row r="905" spans="1:9" x14ac:dyDescent="0.3">
      <c r="A905" t="str">
        <f>"PRD"</f>
        <v>PRD</v>
      </c>
      <c r="B905" t="s">
        <v>301</v>
      </c>
      <c r="C905">
        <v>69977</v>
      </c>
      <c r="D905" s="2">
        <v>1096</v>
      </c>
      <c r="E905" s="1">
        <v>42849</v>
      </c>
      <c r="F905" t="str">
        <f>"201704201529"</f>
        <v>201704201529</v>
      </c>
      <c r="G905" t="str">
        <f>"54649  54648"</f>
        <v>54649  54648</v>
      </c>
      <c r="H905" s="2">
        <v>375</v>
      </c>
      <c r="I905" t="str">
        <f>"54649  54648"</f>
        <v>54649  54648</v>
      </c>
    </row>
    <row r="906" spans="1:9" x14ac:dyDescent="0.3">
      <c r="A906" t="str">
        <f>""</f>
        <v/>
      </c>
      <c r="F906" t="str">
        <f>"201704201530"</f>
        <v>201704201530</v>
      </c>
      <c r="G906" t="str">
        <f>"JUVENILE - NOT FILED"</f>
        <v>JUVENILE - NOT FILED</v>
      </c>
      <c r="H906" s="2">
        <v>100</v>
      </c>
      <c r="I906" t="str">
        <f>"JUVENILE - NOT FILED"</f>
        <v>JUVENILE - NOT FILED</v>
      </c>
    </row>
    <row r="907" spans="1:9" x14ac:dyDescent="0.3">
      <c r="A907" t="str">
        <f>""</f>
        <v/>
      </c>
      <c r="F907" t="str">
        <f>"201704201531"</f>
        <v>201704201531</v>
      </c>
      <c r="G907" t="str">
        <f>"16-18018"</f>
        <v>16-18018</v>
      </c>
      <c r="H907" s="2">
        <v>318</v>
      </c>
      <c r="I907" t="str">
        <f>"16-18018"</f>
        <v>16-18018</v>
      </c>
    </row>
    <row r="908" spans="1:9" x14ac:dyDescent="0.3">
      <c r="A908" t="str">
        <f>""</f>
        <v/>
      </c>
      <c r="F908" t="str">
        <f>"201704201532"</f>
        <v>201704201532</v>
      </c>
      <c r="G908" t="str">
        <f>"16-17819"</f>
        <v>16-17819</v>
      </c>
      <c r="H908" s="2">
        <v>303</v>
      </c>
      <c r="I908" t="str">
        <f>"16-17819"</f>
        <v>16-17819</v>
      </c>
    </row>
    <row r="909" spans="1:9" x14ac:dyDescent="0.3">
      <c r="A909" t="str">
        <f>"T9047"</f>
        <v>T9047</v>
      </c>
      <c r="B909" t="s">
        <v>302</v>
      </c>
      <c r="C909">
        <v>69690</v>
      </c>
      <c r="D909" s="2">
        <v>832.21</v>
      </c>
      <c r="E909" s="1">
        <v>42835</v>
      </c>
      <c r="F909" t="str">
        <f>"1003545400"</f>
        <v>1003545400</v>
      </c>
      <c r="G909" t="str">
        <f>"ACCT#0011198047/TAX OFFICE"</f>
        <v>ACCT#0011198047/TAX OFFICE</v>
      </c>
      <c r="H909" s="2">
        <v>799.96</v>
      </c>
      <c r="I909" t="str">
        <f>"ACCT#0011198047/TAX OFFICE"</f>
        <v>ACCT#0011198047/TAX OFFICE</v>
      </c>
    </row>
    <row r="910" spans="1:9" x14ac:dyDescent="0.3">
      <c r="A910" t="str">
        <f>""</f>
        <v/>
      </c>
      <c r="F910" t="str">
        <f>"1003704469"</f>
        <v>1003704469</v>
      </c>
      <c r="G910" t="str">
        <f>"INV 1003704469"</f>
        <v>INV 1003704469</v>
      </c>
      <c r="H910" s="2">
        <v>32.25</v>
      </c>
      <c r="I910" t="str">
        <f>"INV 1003704469"</f>
        <v>INV 1003704469</v>
      </c>
    </row>
    <row r="911" spans="1:9" x14ac:dyDescent="0.3">
      <c r="A911" t="str">
        <f>"PB"</f>
        <v>PB</v>
      </c>
      <c r="B911" t="s">
        <v>303</v>
      </c>
      <c r="C911">
        <v>69973</v>
      </c>
      <c r="D911" s="2">
        <v>1653</v>
      </c>
      <c r="E911" s="1">
        <v>42849</v>
      </c>
      <c r="F911" t="str">
        <f>"3303294698"</f>
        <v>3303294698</v>
      </c>
      <c r="G911" t="str">
        <f>"ACCT#0011198047/TAX OFFICE"</f>
        <v>ACCT#0011198047/TAX OFFICE</v>
      </c>
      <c r="H911" s="2">
        <v>1653</v>
      </c>
      <c r="I911" t="str">
        <f>"ACCT#0011198047/TAX OFFICE"</f>
        <v>ACCT#0011198047/TAX OFFICE</v>
      </c>
    </row>
    <row r="912" spans="1:9" x14ac:dyDescent="0.3">
      <c r="A912" t="str">
        <f>"003293"</f>
        <v>003293</v>
      </c>
      <c r="B912" t="s">
        <v>304</v>
      </c>
      <c r="C912">
        <v>69691</v>
      </c>
      <c r="D912" s="2">
        <v>500</v>
      </c>
      <c r="E912" s="1">
        <v>42835</v>
      </c>
      <c r="F912" t="str">
        <f>"201704061168"</f>
        <v>201704061168</v>
      </c>
      <c r="G912" t="str">
        <f>"55011"</f>
        <v>55011</v>
      </c>
      <c r="H912" s="2">
        <v>250</v>
      </c>
      <c r="I912" t="str">
        <f>"55011"</f>
        <v>55011</v>
      </c>
    </row>
    <row r="913" spans="1:9" x14ac:dyDescent="0.3">
      <c r="A913" t="str">
        <f>""</f>
        <v/>
      </c>
      <c r="F913" t="str">
        <f>"201704061169"</f>
        <v>201704061169</v>
      </c>
      <c r="G913" t="str">
        <f>"54777"</f>
        <v>54777</v>
      </c>
      <c r="H913" s="2">
        <v>250</v>
      </c>
      <c r="I913" t="str">
        <f>"54777"</f>
        <v>54777</v>
      </c>
    </row>
    <row r="914" spans="1:9" x14ac:dyDescent="0.3">
      <c r="A914" t="str">
        <f>"002785"</f>
        <v>002785</v>
      </c>
      <c r="B914" t="s">
        <v>305</v>
      </c>
      <c r="C914">
        <v>69692</v>
      </c>
      <c r="D914" s="2">
        <v>750</v>
      </c>
      <c r="E914" s="1">
        <v>42835</v>
      </c>
      <c r="F914" t="str">
        <f>"201704050624"</f>
        <v>201704050624</v>
      </c>
      <c r="G914" t="str">
        <f>"TRAINING"</f>
        <v>TRAINING</v>
      </c>
      <c r="H914" s="2">
        <v>750</v>
      </c>
      <c r="I914" t="str">
        <f>"TRAINING"</f>
        <v>TRAINING</v>
      </c>
    </row>
    <row r="915" spans="1:9" x14ac:dyDescent="0.3">
      <c r="A915" t="str">
        <f>"005009"</f>
        <v>005009</v>
      </c>
      <c r="B915" t="s">
        <v>306</v>
      </c>
      <c r="C915">
        <v>69693</v>
      </c>
      <c r="D915" s="2">
        <v>435</v>
      </c>
      <c r="E915" s="1">
        <v>42835</v>
      </c>
      <c r="F915" t="str">
        <f>"201704050706"</f>
        <v>201704050706</v>
      </c>
      <c r="G915" t="str">
        <f>"INV 5562-1"</f>
        <v>INV 5562-1</v>
      </c>
      <c r="H915" s="2">
        <v>435</v>
      </c>
      <c r="I915" t="str">
        <f>"TRAINING"</f>
        <v>TRAINING</v>
      </c>
    </row>
    <row r="916" spans="1:9" x14ac:dyDescent="0.3">
      <c r="A916" t="str">
        <f>"PM"</f>
        <v>PM</v>
      </c>
      <c r="B916" t="s">
        <v>307</v>
      </c>
      <c r="C916">
        <v>69975</v>
      </c>
      <c r="D916" s="2">
        <v>1636</v>
      </c>
      <c r="E916" s="1">
        <v>42849</v>
      </c>
      <c r="F916" t="str">
        <f>"201704131205"</f>
        <v>201704131205</v>
      </c>
      <c r="G916" t="str">
        <f>"BOX RENT #770/DIST CLERK"</f>
        <v>BOX RENT #770/DIST CLERK</v>
      </c>
      <c r="H916" s="2">
        <v>166</v>
      </c>
      <c r="I916" t="str">
        <f>"BOX RENT #770/DIST CLERK"</f>
        <v>BOX RENT #770/DIST CLERK</v>
      </c>
    </row>
    <row r="917" spans="1:9" x14ac:dyDescent="0.3">
      <c r="A917" t="str">
        <f>""</f>
        <v/>
      </c>
      <c r="F917" t="str">
        <f>"201704201558"</f>
        <v>201704201558</v>
      </c>
      <c r="G917" t="str">
        <f>"STAMPS"</f>
        <v>STAMPS</v>
      </c>
      <c r="H917" s="2">
        <v>1470</v>
      </c>
      <c r="I917" t="str">
        <f>"STAMPS"</f>
        <v>STAMPS</v>
      </c>
    </row>
    <row r="918" spans="1:9" x14ac:dyDescent="0.3">
      <c r="A918" t="str">
        <f>"WOSC"</f>
        <v>WOSC</v>
      </c>
      <c r="B918" t="s">
        <v>308</v>
      </c>
      <c r="C918">
        <v>70053</v>
      </c>
      <c r="D918" s="2">
        <v>189.63</v>
      </c>
      <c r="E918" s="1">
        <v>42849</v>
      </c>
      <c r="F918" t="str">
        <f>"76844207"</f>
        <v>76844207</v>
      </c>
      <c r="G918" t="str">
        <f>"CUST#768442507/MEDICAL"</f>
        <v>CUST#768442507/MEDICAL</v>
      </c>
      <c r="H918" s="2">
        <v>189.63</v>
      </c>
      <c r="I918" t="str">
        <f>"CUST#768442507/MEDICAL"</f>
        <v>CUST#768442507/MEDICAL</v>
      </c>
    </row>
    <row r="919" spans="1:9" x14ac:dyDescent="0.3">
      <c r="A919" t="str">
        <f>"002297"</f>
        <v>002297</v>
      </c>
      <c r="B919" t="s">
        <v>309</v>
      </c>
      <c r="C919">
        <v>69694</v>
      </c>
      <c r="D919" s="2">
        <v>535</v>
      </c>
      <c r="E919" s="1">
        <v>42835</v>
      </c>
      <c r="F919" t="str">
        <f>"201624"</f>
        <v>201624</v>
      </c>
      <c r="G919" t="str">
        <f>"TRANSPORT/J DOE"</f>
        <v>TRANSPORT/J DOE</v>
      </c>
      <c r="H919" s="2">
        <v>535</v>
      </c>
    </row>
    <row r="920" spans="1:9" x14ac:dyDescent="0.3">
      <c r="A920" t="str">
        <f>"002297"</f>
        <v>002297</v>
      </c>
      <c r="B920" t="s">
        <v>309</v>
      </c>
      <c r="C920">
        <v>69694</v>
      </c>
      <c r="D920" s="2">
        <v>535</v>
      </c>
      <c r="E920" s="1">
        <v>42835</v>
      </c>
      <c r="F920" t="str">
        <f>"CHECK"</f>
        <v>CHECK</v>
      </c>
      <c r="G920" t="str">
        <f>""</f>
        <v/>
      </c>
      <c r="H920" s="2">
        <v>535</v>
      </c>
    </row>
    <row r="921" spans="1:9" x14ac:dyDescent="0.3">
      <c r="A921" t="str">
        <f>"T12780"</f>
        <v>T12780</v>
      </c>
      <c r="B921" t="s">
        <v>310</v>
      </c>
      <c r="C921">
        <v>69695</v>
      </c>
      <c r="D921" s="2">
        <v>656.1</v>
      </c>
      <c r="E921" s="1">
        <v>42835</v>
      </c>
      <c r="F921" t="str">
        <f>"128886"</f>
        <v>128886</v>
      </c>
      <c r="G921" t="str">
        <f>"EXTRADITION"</f>
        <v>EXTRADITION</v>
      </c>
      <c r="H921" s="2">
        <v>656.1</v>
      </c>
      <c r="I921" t="str">
        <f>"EXTRADITIONINV128886"</f>
        <v>EXTRADITIONINV128886</v>
      </c>
    </row>
    <row r="922" spans="1:9" x14ac:dyDescent="0.3">
      <c r="A922" t="str">
        <f>"004709"</f>
        <v>004709</v>
      </c>
      <c r="B922" t="s">
        <v>311</v>
      </c>
      <c r="C922">
        <v>69696</v>
      </c>
      <c r="D922" s="2">
        <v>770</v>
      </c>
      <c r="E922" s="1">
        <v>42835</v>
      </c>
      <c r="F922" t="str">
        <f>"201704050625"</f>
        <v>201704050625</v>
      </c>
      <c r="G922" t="str">
        <f>"TRAINING"</f>
        <v>TRAINING</v>
      </c>
      <c r="H922" s="2">
        <v>475</v>
      </c>
      <c r="I922" t="str">
        <f>"TRAINING"</f>
        <v>TRAINING</v>
      </c>
    </row>
    <row r="923" spans="1:9" x14ac:dyDescent="0.3">
      <c r="A923" t="str">
        <f>""</f>
        <v/>
      </c>
      <c r="F923" t="str">
        <f>"201704050627"</f>
        <v>201704050627</v>
      </c>
      <c r="G923" t="str">
        <f>"TRAINING"</f>
        <v>TRAINING</v>
      </c>
      <c r="H923" s="2">
        <v>295</v>
      </c>
      <c r="I923" t="str">
        <f>"TRAINING"</f>
        <v>TRAINING</v>
      </c>
    </row>
    <row r="924" spans="1:9" x14ac:dyDescent="0.3">
      <c r="A924" t="str">
        <f>"004709"</f>
        <v>004709</v>
      </c>
      <c r="B924" t="s">
        <v>311</v>
      </c>
      <c r="C924">
        <v>69909</v>
      </c>
      <c r="D924" s="2">
        <v>450</v>
      </c>
      <c r="E924" s="1">
        <v>42849</v>
      </c>
      <c r="F924" t="str">
        <f>"201704191353"</f>
        <v>201704191353</v>
      </c>
      <c r="G924" t="str">
        <f>"TRAINING"</f>
        <v>TRAINING</v>
      </c>
      <c r="H924" s="2">
        <v>450</v>
      </c>
      <c r="I924" t="str">
        <f>"TRAINING"</f>
        <v>TRAINING</v>
      </c>
    </row>
    <row r="925" spans="1:9" x14ac:dyDescent="0.3">
      <c r="A925" t="str">
        <f>"005039"</f>
        <v>005039</v>
      </c>
      <c r="B925" t="s">
        <v>312</v>
      </c>
      <c r="C925">
        <v>69926</v>
      </c>
      <c r="D925" s="2">
        <v>4675</v>
      </c>
      <c r="E925" s="1">
        <v>42849</v>
      </c>
      <c r="F925" t="str">
        <f>"201704201400"</f>
        <v>201704201400</v>
      </c>
      <c r="G925" t="str">
        <f>"INV# 8504"</f>
        <v>INV# 8504</v>
      </c>
      <c r="H925" s="2">
        <v>4675</v>
      </c>
      <c r="I925" t="str">
        <f>"Payment"</f>
        <v>Payment</v>
      </c>
    </row>
    <row r="926" spans="1:9" x14ac:dyDescent="0.3">
      <c r="A926" t="str">
        <f>"T3233"</f>
        <v>T3233</v>
      </c>
      <c r="B926" t="s">
        <v>313</v>
      </c>
      <c r="C926">
        <v>69697</v>
      </c>
      <c r="D926" s="2">
        <v>599.65</v>
      </c>
      <c r="E926" s="1">
        <v>42835</v>
      </c>
      <c r="F926" t="str">
        <f>"5366486"</f>
        <v>5366486</v>
      </c>
      <c r="G926" t="str">
        <f>"OFFICE SUPPLIES"</f>
        <v>OFFICE SUPPLIES</v>
      </c>
      <c r="H926" s="2">
        <v>563.66</v>
      </c>
      <c r="I926" t="str">
        <f>"OFFICE 5366486"</f>
        <v>OFFICE 5366486</v>
      </c>
    </row>
    <row r="927" spans="1:9" x14ac:dyDescent="0.3">
      <c r="A927" t="str">
        <f>""</f>
        <v/>
      </c>
      <c r="F927" t="str">
        <f>""</f>
        <v/>
      </c>
      <c r="G927" t="str">
        <f>""</f>
        <v/>
      </c>
      <c r="I927" t="str">
        <f>"OFFICE 5430063"</f>
        <v>OFFICE 5430063</v>
      </c>
    </row>
    <row r="928" spans="1:9" x14ac:dyDescent="0.3">
      <c r="A928" t="str">
        <f>""</f>
        <v/>
      </c>
      <c r="F928" t="str">
        <f>""</f>
        <v/>
      </c>
      <c r="G928" t="str">
        <f>""</f>
        <v/>
      </c>
      <c r="I928" t="str">
        <f>"OFFICE 5364113"</f>
        <v>OFFICE 5364113</v>
      </c>
    </row>
    <row r="929" spans="1:9" x14ac:dyDescent="0.3">
      <c r="A929" t="str">
        <f>""</f>
        <v/>
      </c>
      <c r="F929" t="str">
        <f>"5574698"</f>
        <v>5574698</v>
      </c>
      <c r="G929" t="str">
        <f>"CHAIR MAT"</f>
        <v>CHAIR MAT</v>
      </c>
      <c r="H929" s="2">
        <v>35.99</v>
      </c>
      <c r="I929" t="str">
        <f>"CHAIR MAT"</f>
        <v>CHAIR MAT</v>
      </c>
    </row>
    <row r="930" spans="1:9" x14ac:dyDescent="0.3">
      <c r="A930" t="str">
        <f>"T3233"</f>
        <v>T3233</v>
      </c>
      <c r="B930" t="s">
        <v>313</v>
      </c>
      <c r="C930">
        <v>70016</v>
      </c>
      <c r="D930" s="2">
        <v>295.32</v>
      </c>
      <c r="E930" s="1">
        <v>42849</v>
      </c>
      <c r="F930" t="str">
        <f>"5533245"</f>
        <v>5533245</v>
      </c>
      <c r="G930" t="str">
        <f>"ACCT#C7780430/JP#1"</f>
        <v>ACCT#C7780430/JP#1</v>
      </c>
      <c r="H930" s="2">
        <v>190.35</v>
      </c>
      <c r="I930" t="str">
        <f>"ACCT#C7780430/JP#1"</f>
        <v>ACCT#C7780430/JP#1</v>
      </c>
    </row>
    <row r="931" spans="1:9" x14ac:dyDescent="0.3">
      <c r="A931" t="str">
        <f>""</f>
        <v/>
      </c>
      <c r="F931" t="str">
        <f>"5701278"</f>
        <v>5701278</v>
      </c>
      <c r="G931" t="str">
        <f>"ACCT#C7780430/JP#1"</f>
        <v>ACCT#C7780430/JP#1</v>
      </c>
      <c r="H931" s="2">
        <v>104.97</v>
      </c>
      <c r="I931" t="str">
        <f>"ACCT#C7780430/JP#1"</f>
        <v>ACCT#C7780430/JP#1</v>
      </c>
    </row>
    <row r="932" spans="1:9" x14ac:dyDescent="0.3">
      <c r="A932" t="str">
        <f>"T14429"</f>
        <v>T14429</v>
      </c>
      <c r="B932" t="s">
        <v>314</v>
      </c>
      <c r="C932">
        <v>70008</v>
      </c>
      <c r="D932" s="2">
        <v>117</v>
      </c>
      <c r="E932" s="1">
        <v>42849</v>
      </c>
      <c r="F932" t="str">
        <f>"PARKING 04/2017"</f>
        <v>PARKING 04/2017</v>
      </c>
      <c r="G932" t="str">
        <f>"PARKING REIMBURSE 04/11-04/13"</f>
        <v>PARKING REIMBURSE 04/11-04/13</v>
      </c>
      <c r="H932" s="2">
        <v>117</v>
      </c>
      <c r="I932" t="str">
        <f>"PARKING REIMBURSE 04/11-04/13"</f>
        <v>PARKING REIMBURSE 04/11-04/13</v>
      </c>
    </row>
    <row r="933" spans="1:9" x14ac:dyDescent="0.3">
      <c r="A933" t="str">
        <f>"005024"</f>
        <v>005024</v>
      </c>
      <c r="B933" t="s">
        <v>315</v>
      </c>
      <c r="C933">
        <v>69698</v>
      </c>
      <c r="D933" s="2">
        <v>430</v>
      </c>
      <c r="E933" s="1">
        <v>42835</v>
      </c>
      <c r="F933" t="str">
        <f>"201704060783"</f>
        <v>201704060783</v>
      </c>
      <c r="G933" t="str">
        <f>"FERAL HOGS"</f>
        <v>FERAL HOGS</v>
      </c>
      <c r="H933" s="2">
        <v>430</v>
      </c>
      <c r="I933" t="str">
        <f>"FERAL HOGS"</f>
        <v>FERAL HOGS</v>
      </c>
    </row>
    <row r="934" spans="1:9" x14ac:dyDescent="0.3">
      <c r="A934" t="str">
        <f>"000591"</f>
        <v>000591</v>
      </c>
      <c r="B934" t="s">
        <v>316</v>
      </c>
      <c r="C934">
        <v>69699</v>
      </c>
      <c r="D934" s="2">
        <v>13.25</v>
      </c>
      <c r="E934" s="1">
        <v>42835</v>
      </c>
      <c r="F934" t="str">
        <f>"07C0121587851"</f>
        <v>07C0121587851</v>
      </c>
      <c r="G934" t="str">
        <f>"ACCT#0121587851/PCT#4"</f>
        <v>ACCT#0121587851/PCT#4</v>
      </c>
      <c r="H934" s="2">
        <v>13.25</v>
      </c>
      <c r="I934" t="str">
        <f>"ACCT#0121587851/PCT#4"</f>
        <v>ACCT#0121587851/PCT#4</v>
      </c>
    </row>
    <row r="935" spans="1:9" x14ac:dyDescent="0.3">
      <c r="A935" t="str">
        <f>"003737"</f>
        <v>003737</v>
      </c>
      <c r="B935" t="s">
        <v>317</v>
      </c>
      <c r="C935">
        <v>69700</v>
      </c>
      <c r="D935" s="2">
        <v>285.42</v>
      </c>
      <c r="E935" s="1">
        <v>42835</v>
      </c>
      <c r="F935" t="str">
        <f>"0843-001314147"</f>
        <v>0843-001314147</v>
      </c>
      <c r="G935" t="str">
        <f>"ACCT#3-0843-1269216/589 COOL W"</f>
        <v>ACCT#3-0843-1269216/589 COOL W</v>
      </c>
      <c r="H935" s="2">
        <v>285.42</v>
      </c>
      <c r="I935" t="str">
        <f>"ACCT#3-0843-1269216/589 COOL W"</f>
        <v>ACCT#3-0843-1269216/589 COOL W</v>
      </c>
    </row>
    <row r="936" spans="1:9" x14ac:dyDescent="0.3">
      <c r="A936" t="str">
        <f>"003737"</f>
        <v>003737</v>
      </c>
      <c r="B936" t="s">
        <v>317</v>
      </c>
      <c r="C936">
        <v>69781</v>
      </c>
      <c r="D936" s="2">
        <v>1961.28</v>
      </c>
      <c r="E936" s="1">
        <v>42843</v>
      </c>
      <c r="F936" t="str">
        <f>"201704181318"</f>
        <v>201704181318</v>
      </c>
      <c r="G936" t="str">
        <f>"3-0843-0017094 - 03/2017"</f>
        <v>3-0843-0017094 - 03/2017</v>
      </c>
      <c r="H936" s="2">
        <v>1961.28</v>
      </c>
      <c r="I936" t="str">
        <f>"3-0843-0017094 - 03/2017"</f>
        <v>3-0843-0017094 - 03/2017</v>
      </c>
    </row>
    <row r="937" spans="1:9" x14ac:dyDescent="0.3">
      <c r="A937" t="str">
        <f>"003737"</f>
        <v>003737</v>
      </c>
      <c r="B937" t="s">
        <v>317</v>
      </c>
      <c r="C937">
        <v>69877</v>
      </c>
      <c r="D937" s="2">
        <v>145.80000000000001</v>
      </c>
      <c r="E937" s="1">
        <v>42849</v>
      </c>
      <c r="F937" t="str">
        <f>"0843-001316182"</f>
        <v>0843-001316182</v>
      </c>
      <c r="G937" t="str">
        <f>"ACCT#3-0843-0041813/PCT#4"</f>
        <v>ACCT#3-0843-0041813/PCT#4</v>
      </c>
      <c r="H937" s="2">
        <v>145.80000000000001</v>
      </c>
      <c r="I937" t="str">
        <f>"ACCT#3-0843-0041813/PCT#4"</f>
        <v>ACCT#3-0843-0041813/PCT#4</v>
      </c>
    </row>
    <row r="938" spans="1:9" x14ac:dyDescent="0.3">
      <c r="A938" t="str">
        <f>"004822"</f>
        <v>004822</v>
      </c>
      <c r="B938" t="s">
        <v>318</v>
      </c>
      <c r="C938">
        <v>69701</v>
      </c>
      <c r="D938" s="2">
        <v>2732.99</v>
      </c>
      <c r="E938" s="1">
        <v>42835</v>
      </c>
      <c r="F938" t="str">
        <f>"0000007095"</f>
        <v>0000007095</v>
      </c>
      <c r="G938" t="str">
        <f>"WO#0000007855/PCT#4"</f>
        <v>WO#0000007855/PCT#4</v>
      </c>
      <c r="H938" s="2">
        <v>448.54</v>
      </c>
      <c r="I938" t="str">
        <f>"WO#0000007855/PCT#4"</f>
        <v>WO#0000007855/PCT#4</v>
      </c>
    </row>
    <row r="939" spans="1:9" x14ac:dyDescent="0.3">
      <c r="A939" t="str">
        <f>""</f>
        <v/>
      </c>
      <c r="F939" t="str">
        <f>"0000007096"</f>
        <v>0000007096</v>
      </c>
      <c r="G939" t="str">
        <f>"WO#000007489/REPAIRS/PCT4"</f>
        <v>WO#000007489/REPAIRS/PCT4</v>
      </c>
      <c r="H939" s="2">
        <v>149.5</v>
      </c>
      <c r="I939" t="str">
        <f>"WO#000007489/REPAIRS/PCT4"</f>
        <v>WO#000007489/REPAIRS/PCT4</v>
      </c>
    </row>
    <row r="940" spans="1:9" x14ac:dyDescent="0.3">
      <c r="A940" t="str">
        <f>""</f>
        <v/>
      </c>
      <c r="F940" t="str">
        <f>"0000007097"</f>
        <v>0000007097</v>
      </c>
      <c r="G940" t="str">
        <f>"WO#000007854/PCT#4"</f>
        <v>WO#000007854/PCT#4</v>
      </c>
      <c r="H940" s="2">
        <v>1003.41</v>
      </c>
      <c r="I940" t="str">
        <f>"WO#000007854/PCT#4"</f>
        <v>WO#000007854/PCT#4</v>
      </c>
    </row>
    <row r="941" spans="1:9" x14ac:dyDescent="0.3">
      <c r="A941" t="str">
        <f>""</f>
        <v/>
      </c>
      <c r="F941" t="str">
        <f>"0000007103"</f>
        <v>0000007103</v>
      </c>
      <c r="G941" t="str">
        <f>"WO#0000007856/PCT#4"</f>
        <v>WO#0000007856/PCT#4</v>
      </c>
      <c r="H941" s="2">
        <v>1131.54</v>
      </c>
      <c r="I941" t="str">
        <f>"WO#0000007856/PCT#4"</f>
        <v>WO#0000007856/PCT#4</v>
      </c>
    </row>
    <row r="942" spans="1:9" x14ac:dyDescent="0.3">
      <c r="A942" t="str">
        <f>"004822"</f>
        <v>004822</v>
      </c>
      <c r="B942" t="s">
        <v>318</v>
      </c>
      <c r="C942">
        <v>69911</v>
      </c>
      <c r="D942" s="2">
        <v>2250.37</v>
      </c>
      <c r="E942" s="1">
        <v>42849</v>
      </c>
      <c r="F942" t="str">
        <f>"0000007126"</f>
        <v>0000007126</v>
      </c>
      <c r="G942" t="str">
        <f>"WORK ORDE#0000007873/PCT#4"</f>
        <v>WORK ORDE#0000007873/PCT#4</v>
      </c>
      <c r="H942" s="2">
        <v>804.54</v>
      </c>
      <c r="I942" t="str">
        <f>"WORK ORDE#0000007873/PCT#4"</f>
        <v>WORK ORDE#0000007873/PCT#4</v>
      </c>
    </row>
    <row r="943" spans="1:9" x14ac:dyDescent="0.3">
      <c r="A943" t="str">
        <f>""</f>
        <v/>
      </c>
      <c r="F943" t="str">
        <f>"0000007127"</f>
        <v>0000007127</v>
      </c>
      <c r="G943" t="str">
        <f>"WORK ORDER#0000007874/PCT#4"</f>
        <v>WORK ORDER#0000007874/PCT#4</v>
      </c>
      <c r="H943" s="2">
        <v>264.5</v>
      </c>
      <c r="I943" t="str">
        <f>"WORK ORDER#0000007874/PCT#4"</f>
        <v>WORK ORDER#0000007874/PCT#4</v>
      </c>
    </row>
    <row r="944" spans="1:9" x14ac:dyDescent="0.3">
      <c r="A944" t="str">
        <f>""</f>
        <v/>
      </c>
      <c r="F944" t="str">
        <f>"0000007149"</f>
        <v>0000007149</v>
      </c>
      <c r="G944" t="str">
        <f>"WORK ORDER#0000007867/PCT#2"</f>
        <v>WORK ORDER#0000007867/PCT#2</v>
      </c>
      <c r="H944" s="2">
        <v>1181.33</v>
      </c>
      <c r="I944" t="str">
        <f>"WORK ORDER#0000007867/PCT#2"</f>
        <v>WORK ORDER#0000007867/PCT#2</v>
      </c>
    </row>
    <row r="945" spans="1:9" x14ac:dyDescent="0.3">
      <c r="A945" t="str">
        <f>"RESERV"</f>
        <v>RESERV</v>
      </c>
      <c r="B945" t="s">
        <v>319</v>
      </c>
      <c r="C945">
        <v>69978</v>
      </c>
      <c r="D945" s="2">
        <v>9000</v>
      </c>
      <c r="E945" s="1">
        <v>42849</v>
      </c>
      <c r="F945" t="str">
        <f>"201704131201"</f>
        <v>201704131201</v>
      </c>
      <c r="G945" t="str">
        <f>"REPLENISH POSTAGE MACHINE"</f>
        <v>REPLENISH POSTAGE MACHINE</v>
      </c>
      <c r="H945" s="2">
        <v>9000</v>
      </c>
      <c r="I945" t="str">
        <f>"REPLENISH POSTAGE MACHINE"</f>
        <v>REPLENISH POSTAGE MACHINE</v>
      </c>
    </row>
    <row r="946" spans="1:9" x14ac:dyDescent="0.3">
      <c r="A946" t="str">
        <f>"T11385"</f>
        <v>T11385</v>
      </c>
      <c r="B946" t="s">
        <v>320</v>
      </c>
      <c r="C946">
        <v>69702</v>
      </c>
      <c r="D946" s="2">
        <v>500</v>
      </c>
      <c r="E946" s="1">
        <v>42835</v>
      </c>
      <c r="F946" t="str">
        <f>"201704061092"</f>
        <v>201704061092</v>
      </c>
      <c r="G946" t="str">
        <f>"54433"</f>
        <v>54433</v>
      </c>
      <c r="H946" s="2">
        <v>250</v>
      </c>
      <c r="I946" t="str">
        <f>"54433"</f>
        <v>54433</v>
      </c>
    </row>
    <row r="947" spans="1:9" x14ac:dyDescent="0.3">
      <c r="A947" t="str">
        <f>""</f>
        <v/>
      </c>
      <c r="F947" t="str">
        <f>"201704061093"</f>
        <v>201704061093</v>
      </c>
      <c r="G947" t="str">
        <f>"16-5-04558"</f>
        <v>16-5-04558</v>
      </c>
      <c r="H947" s="2">
        <v>250</v>
      </c>
      <c r="I947" t="str">
        <f>"16-5-04558"</f>
        <v>16-5-04558</v>
      </c>
    </row>
    <row r="948" spans="1:9" x14ac:dyDescent="0.3">
      <c r="A948" t="str">
        <f>"T10310"</f>
        <v>T10310</v>
      </c>
      <c r="B948" t="s">
        <v>321</v>
      </c>
      <c r="C948">
        <v>69703</v>
      </c>
      <c r="D948" s="2">
        <v>749.95</v>
      </c>
      <c r="E948" s="1">
        <v>42835</v>
      </c>
      <c r="F948" t="str">
        <f>"73139/73278"</f>
        <v>73139/73278</v>
      </c>
      <c r="G948" t="str">
        <f>"ACCT#3510/PCT#4"</f>
        <v>ACCT#3510/PCT#4</v>
      </c>
      <c r="H948" s="2">
        <v>749.95</v>
      </c>
      <c r="I948" t="str">
        <f>"ACCT#3510/PCT#4"</f>
        <v>ACCT#3510/PCT#4</v>
      </c>
    </row>
    <row r="949" spans="1:9" x14ac:dyDescent="0.3">
      <c r="A949" t="str">
        <f>"002590"</f>
        <v>002590</v>
      </c>
      <c r="B949" t="s">
        <v>322</v>
      </c>
      <c r="C949">
        <v>69704</v>
      </c>
      <c r="D949" s="2">
        <v>115.24</v>
      </c>
      <c r="E949" s="1">
        <v>42835</v>
      </c>
      <c r="F949" t="str">
        <f>"98446827"</f>
        <v>98446827</v>
      </c>
      <c r="G949" t="str">
        <f>"ACCT#1437799378856/JP#2"</f>
        <v>ACCT#1437799378856/JP#2</v>
      </c>
      <c r="H949" s="2">
        <v>115.24</v>
      </c>
      <c r="I949" t="str">
        <f>"ACCT#1437799378856/JP#2"</f>
        <v>ACCT#1437799378856/JP#2</v>
      </c>
    </row>
    <row r="950" spans="1:9" x14ac:dyDescent="0.3">
      <c r="A950" t="str">
        <f>"001322"</f>
        <v>001322</v>
      </c>
      <c r="B950" t="s">
        <v>323</v>
      </c>
      <c r="C950">
        <v>69705</v>
      </c>
      <c r="D950" s="2">
        <v>441.09</v>
      </c>
      <c r="E950" s="1">
        <v>42835</v>
      </c>
      <c r="F950" t="str">
        <f>"5047708635"</f>
        <v>5047708635</v>
      </c>
      <c r="G950" t="str">
        <f>"CUST#12847097/COPIER"</f>
        <v>CUST#12847097/COPIER</v>
      </c>
      <c r="H950" s="2">
        <v>441.09</v>
      </c>
      <c r="I950" t="str">
        <f>"CUST#12847097/COPIER"</f>
        <v>CUST#12847097/COPIER</v>
      </c>
    </row>
    <row r="951" spans="1:9" x14ac:dyDescent="0.3">
      <c r="A951" t="str">
        <f>""</f>
        <v/>
      </c>
      <c r="F951" t="str">
        <f>""</f>
        <v/>
      </c>
      <c r="G951" t="str">
        <f>""</f>
        <v/>
      </c>
      <c r="I951" t="str">
        <f>"CUST#12847097/COPIER"</f>
        <v>CUST#12847097/COPIER</v>
      </c>
    </row>
    <row r="952" spans="1:9" x14ac:dyDescent="0.3">
      <c r="A952" t="str">
        <f>"004549"</f>
        <v>004549</v>
      </c>
      <c r="B952" t="s">
        <v>324</v>
      </c>
      <c r="C952">
        <v>69706</v>
      </c>
      <c r="D952" s="2">
        <v>275</v>
      </c>
      <c r="E952" s="1">
        <v>42835</v>
      </c>
      <c r="F952" t="str">
        <f>"159394"</f>
        <v>159394</v>
      </c>
      <c r="G952" t="str">
        <f>"PST#4/BULL RUN/PCT#4"</f>
        <v>PST#4/BULL RUN/PCT#4</v>
      </c>
      <c r="H952" s="2">
        <v>125</v>
      </c>
      <c r="I952" t="str">
        <f>"PST#4/BULL RUN/PCT#4"</f>
        <v>PST#4/BULL RUN/PCT#4</v>
      </c>
    </row>
    <row r="953" spans="1:9" x14ac:dyDescent="0.3">
      <c r="A953" t="str">
        <f>""</f>
        <v/>
      </c>
      <c r="F953" t="str">
        <f>"159395"</f>
        <v>159395</v>
      </c>
      <c r="G953" t="str">
        <f>"1133 OKDY DR/PCT#4"</f>
        <v>1133 OKDY DR/PCT#4</v>
      </c>
      <c r="H953" s="2">
        <v>150</v>
      </c>
      <c r="I953" t="str">
        <f>"1133 OKDY DR/PCT#4"</f>
        <v>1133 OKDY DR/PCT#4</v>
      </c>
    </row>
    <row r="954" spans="1:9" x14ac:dyDescent="0.3">
      <c r="A954" t="str">
        <f>"004549"</f>
        <v>004549</v>
      </c>
      <c r="B954" t="s">
        <v>324</v>
      </c>
      <c r="C954">
        <v>69897</v>
      </c>
      <c r="D954" s="2">
        <v>275</v>
      </c>
      <c r="E954" s="1">
        <v>42849</v>
      </c>
      <c r="F954" t="str">
        <f>"159399"</f>
        <v>159399</v>
      </c>
      <c r="G954" t="str">
        <f>"1133 OKDY DR/PCT#4"</f>
        <v>1133 OKDY DR/PCT#4</v>
      </c>
      <c r="H954" s="2">
        <v>150</v>
      </c>
      <c r="I954" t="str">
        <f>"1133 OKDY DR/PCT#4"</f>
        <v>1133 OKDY DR/PCT#4</v>
      </c>
    </row>
    <row r="955" spans="1:9" x14ac:dyDescent="0.3">
      <c r="A955" t="str">
        <f>""</f>
        <v/>
      </c>
      <c r="F955" t="str">
        <f>"159400"</f>
        <v>159400</v>
      </c>
      <c r="G955" t="str">
        <f>"708 BULL RUN/PCT#4"</f>
        <v>708 BULL RUN/PCT#4</v>
      </c>
      <c r="H955" s="2">
        <v>125</v>
      </c>
      <c r="I955" t="str">
        <f>"708 BULL RUN/PCT#4"</f>
        <v>708 BULL RUN/PCT#4</v>
      </c>
    </row>
    <row r="956" spans="1:9" x14ac:dyDescent="0.3">
      <c r="A956" t="str">
        <f>"003609"</f>
        <v>003609</v>
      </c>
      <c r="B956" t="s">
        <v>325</v>
      </c>
      <c r="C956">
        <v>69707</v>
      </c>
      <c r="D956" s="2">
        <v>15</v>
      </c>
      <c r="E956" s="1">
        <v>42835</v>
      </c>
      <c r="F956" t="str">
        <f>"201704060751"</f>
        <v>201704060751</v>
      </c>
      <c r="G956" t="str">
        <f>"FERAL HOGS"</f>
        <v>FERAL HOGS</v>
      </c>
      <c r="H956" s="2">
        <v>15</v>
      </c>
      <c r="I956" t="str">
        <f>"FERAL HOGS"</f>
        <v>FERAL HOGS</v>
      </c>
    </row>
    <row r="957" spans="1:9" x14ac:dyDescent="0.3">
      <c r="A957" t="str">
        <f>"MADDEN"</f>
        <v>MADDEN</v>
      </c>
      <c r="B957" t="s">
        <v>326</v>
      </c>
      <c r="C957">
        <v>69708</v>
      </c>
      <c r="D957" s="2">
        <v>725.63</v>
      </c>
      <c r="E957" s="1">
        <v>42835</v>
      </c>
      <c r="F957" t="str">
        <f>"3892718"</f>
        <v>3892718</v>
      </c>
      <c r="G957" t="str">
        <f>"CUST#90564/GS"</f>
        <v>CUST#90564/GS</v>
      </c>
      <c r="H957" s="2">
        <v>725.63</v>
      </c>
      <c r="I957" t="str">
        <f>"CUST#90564/GS"</f>
        <v>CUST#90564/GS</v>
      </c>
    </row>
    <row r="958" spans="1:9" x14ac:dyDescent="0.3">
      <c r="A958" t="str">
        <f>"MADDEN"</f>
        <v>MADDEN</v>
      </c>
      <c r="B958" t="s">
        <v>326</v>
      </c>
      <c r="C958">
        <v>69964</v>
      </c>
      <c r="D958" s="2">
        <v>2.69</v>
      </c>
      <c r="E958" s="1">
        <v>42849</v>
      </c>
      <c r="F958" t="str">
        <f>"3906933"</f>
        <v>3906933</v>
      </c>
      <c r="G958" t="str">
        <f>"CUST#90564/MAC LINE TAP/GS"</f>
        <v>CUST#90564/MAC LINE TAP/GS</v>
      </c>
      <c r="H958" s="2">
        <v>2.69</v>
      </c>
      <c r="I958" t="str">
        <f>"CUST#90564/MAC LINE TAP/GS"</f>
        <v>CUST#90564/MAC LINE TAP/GS</v>
      </c>
    </row>
    <row r="959" spans="1:9" x14ac:dyDescent="0.3">
      <c r="A959" t="str">
        <f>"003593"</f>
        <v>003593</v>
      </c>
      <c r="B959" t="s">
        <v>327</v>
      </c>
      <c r="C959">
        <v>69709</v>
      </c>
      <c r="D959" s="2">
        <v>15</v>
      </c>
      <c r="E959" s="1">
        <v>42835</v>
      </c>
      <c r="F959" t="str">
        <f>"201704060789"</f>
        <v>201704060789</v>
      </c>
      <c r="G959" t="str">
        <f>"FERAL HOGS"</f>
        <v>FERAL HOGS</v>
      </c>
      <c r="H959" s="2">
        <v>15</v>
      </c>
      <c r="I959" t="str">
        <f>"FERAL HOGS"</f>
        <v>FERAL HOGS</v>
      </c>
    </row>
    <row r="960" spans="1:9" x14ac:dyDescent="0.3">
      <c r="A960" t="str">
        <f>"004991"</f>
        <v>004991</v>
      </c>
      <c r="B960" t="s">
        <v>328</v>
      </c>
      <c r="C960">
        <v>69710</v>
      </c>
      <c r="D960" s="2">
        <v>198</v>
      </c>
      <c r="E960" s="1">
        <v>42835</v>
      </c>
      <c r="F960" t="str">
        <f>"201704060742"</f>
        <v>201704060742</v>
      </c>
      <c r="G960" t="str">
        <f>"LPHCP/RECORDING FEES"</f>
        <v>LPHCP/RECORDING FEES</v>
      </c>
      <c r="H960" s="2">
        <v>198</v>
      </c>
      <c r="I960" t="str">
        <f>"LPHCP/RECORDING FEES"</f>
        <v>LPHCP/RECORDING FEES</v>
      </c>
    </row>
    <row r="961" spans="1:9" x14ac:dyDescent="0.3">
      <c r="A961" t="str">
        <f>"RP-CC"</f>
        <v>RP-CC</v>
      </c>
      <c r="B961" t="s">
        <v>328</v>
      </c>
      <c r="C961">
        <v>69711</v>
      </c>
      <c r="D961" s="2">
        <v>172</v>
      </c>
      <c r="E961" s="1">
        <v>42835</v>
      </c>
      <c r="F961" t="str">
        <f>"201704060743"</f>
        <v>201704060743</v>
      </c>
      <c r="G961" t="str">
        <f>"DEVELOPMENT RECORDING FEE"</f>
        <v>DEVELOPMENT RECORDING FEE</v>
      </c>
      <c r="H961" s="2">
        <v>172</v>
      </c>
      <c r="I961" t="str">
        <f>"DEVELOPMENT RECORDING FEE"</f>
        <v>DEVELOPMENT RECORDING FEE</v>
      </c>
    </row>
    <row r="962" spans="1:9" x14ac:dyDescent="0.3">
      <c r="A962" t="str">
        <f>"004991"</f>
        <v>004991</v>
      </c>
      <c r="B962" t="s">
        <v>328</v>
      </c>
      <c r="C962">
        <v>69918</v>
      </c>
      <c r="D962" s="2">
        <v>524</v>
      </c>
      <c r="E962" s="1">
        <v>42849</v>
      </c>
      <c r="F962" t="str">
        <f>"201704201561"</f>
        <v>201704201561</v>
      </c>
      <c r="G962" t="str">
        <f>"LPHCP RECORDING FEES"</f>
        <v>LPHCP RECORDING FEES</v>
      </c>
      <c r="H962" s="2">
        <v>524</v>
      </c>
      <c r="I962" t="str">
        <f>"LPHCP RECORDING FEES"</f>
        <v>LPHCP RECORDING FEES</v>
      </c>
    </row>
    <row r="963" spans="1:9" x14ac:dyDescent="0.3">
      <c r="A963" t="str">
        <f>"RP-CC"</f>
        <v>RP-CC</v>
      </c>
      <c r="B963" t="s">
        <v>328</v>
      </c>
      <c r="C963">
        <v>69979</v>
      </c>
      <c r="D963" s="2">
        <v>183</v>
      </c>
      <c r="E963" s="1">
        <v>42849</v>
      </c>
      <c r="F963" t="str">
        <f>"201704201560"</f>
        <v>201704201560</v>
      </c>
      <c r="G963" t="str">
        <f>"RECORDING FEE"</f>
        <v>RECORDING FEE</v>
      </c>
      <c r="H963" s="2">
        <v>183</v>
      </c>
      <c r="I963" t="str">
        <f>"RECORDING FEE"</f>
        <v>RECORDING FEE</v>
      </c>
    </row>
    <row r="964" spans="1:9" x14ac:dyDescent="0.3">
      <c r="A964" t="str">
        <f>"T11094"</f>
        <v>T11094</v>
      </c>
      <c r="B964" t="s">
        <v>329</v>
      </c>
      <c r="C964">
        <v>69712</v>
      </c>
      <c r="D964" s="2">
        <v>275</v>
      </c>
      <c r="E964" s="1">
        <v>42835</v>
      </c>
      <c r="F964" t="str">
        <f>"46715"</f>
        <v>46715</v>
      </c>
      <c r="G964" t="str">
        <f>"RADIO REPAIR  INV46715"</f>
        <v>RADIO REPAIR  INV46715</v>
      </c>
      <c r="H964" s="2">
        <v>80</v>
      </c>
      <c r="I964" t="str">
        <f>"RADIO REPAIR  INV46715"</f>
        <v>RADIO REPAIR  INV46715</v>
      </c>
    </row>
    <row r="965" spans="1:9" x14ac:dyDescent="0.3">
      <c r="A965" t="str">
        <f>""</f>
        <v/>
      </c>
      <c r="F965" t="str">
        <f>"46716"</f>
        <v>46716</v>
      </c>
      <c r="G965" t="str">
        <f>"S/O#7115/BUILD CABLES/PCT2"</f>
        <v>S/O#7115/BUILD CABLES/PCT2</v>
      </c>
      <c r="H965" s="2">
        <v>195</v>
      </c>
      <c r="I965" t="str">
        <f>"S/O#7115/BUILD CABLES/PCT2"</f>
        <v>S/O#7115/BUILD CABLES/PCT2</v>
      </c>
    </row>
    <row r="966" spans="1:9" x14ac:dyDescent="0.3">
      <c r="A966" t="str">
        <f>"002923"</f>
        <v>002923</v>
      </c>
      <c r="B966" t="s">
        <v>330</v>
      </c>
      <c r="C966">
        <v>69713</v>
      </c>
      <c r="D966" s="2">
        <v>315</v>
      </c>
      <c r="E966" s="1">
        <v>42835</v>
      </c>
      <c r="F966" t="str">
        <f>"30762"</f>
        <v>30762</v>
      </c>
      <c r="G966" t="str">
        <f>"MAINTENANCE RADIATOR"</f>
        <v>MAINTENANCE RADIATOR</v>
      </c>
      <c r="H966" s="2">
        <v>315</v>
      </c>
      <c r="I966" t="str">
        <f>"MAINTENANCE/INV30762"</f>
        <v>MAINTENANCE/INV30762</v>
      </c>
    </row>
    <row r="967" spans="1:9" x14ac:dyDescent="0.3">
      <c r="A967" t="str">
        <f>"002923"</f>
        <v>002923</v>
      </c>
      <c r="B967" t="s">
        <v>330</v>
      </c>
      <c r="C967">
        <v>69855</v>
      </c>
      <c r="D967" s="2">
        <v>220</v>
      </c>
      <c r="E967" s="1">
        <v>42849</v>
      </c>
      <c r="F967" t="str">
        <f>"201704201456"</f>
        <v>201704201456</v>
      </c>
      <c r="G967" t="str">
        <f>"TOILET/SINK  INV30801"</f>
        <v>TOILET/SINK  INV30801</v>
      </c>
      <c r="H967" s="2">
        <v>220</v>
      </c>
      <c r="I967" t="str">
        <f>"TOILET/SINK  INV30801"</f>
        <v>TOILET/SINK  INV30801</v>
      </c>
    </row>
    <row r="968" spans="1:9" x14ac:dyDescent="0.3">
      <c r="A968" t="str">
        <f>"T11973"</f>
        <v>T11973</v>
      </c>
      <c r="B968" t="s">
        <v>331</v>
      </c>
      <c r="C968">
        <v>69714</v>
      </c>
      <c r="D968" s="2">
        <v>126.73</v>
      </c>
      <c r="E968" s="1">
        <v>42835</v>
      </c>
      <c r="F968" t="str">
        <f>"201704060723"</f>
        <v>201704060723</v>
      </c>
      <c r="G968" t="str">
        <f>"INDIGENT HEALTH"</f>
        <v>INDIGENT HEALTH</v>
      </c>
      <c r="H968" s="2">
        <v>126.73</v>
      </c>
      <c r="I968" t="str">
        <f>"INDIGENT HEALTH"</f>
        <v>INDIGENT HEALTH</v>
      </c>
    </row>
    <row r="969" spans="1:9" x14ac:dyDescent="0.3">
      <c r="A969" t="str">
        <f>"T11973"</f>
        <v>T11973</v>
      </c>
      <c r="B969" t="s">
        <v>331</v>
      </c>
      <c r="C969">
        <v>69995</v>
      </c>
      <c r="D969" s="2">
        <v>159.65</v>
      </c>
      <c r="E969" s="1">
        <v>42849</v>
      </c>
      <c r="F969" t="str">
        <f>"201704201372"</f>
        <v>201704201372</v>
      </c>
      <c r="G969" t="str">
        <f>"INDIGENT HEALTH"</f>
        <v>INDIGENT HEALTH</v>
      </c>
      <c r="H969" s="2">
        <v>159.65</v>
      </c>
      <c r="I969" t="str">
        <f>"INDIGENT HEALTH"</f>
        <v>INDIGENT HEALTH</v>
      </c>
    </row>
    <row r="970" spans="1:9" x14ac:dyDescent="0.3">
      <c r="A970" t="str">
        <f>"T6180"</f>
        <v>T6180</v>
      </c>
      <c r="B970" t="s">
        <v>332</v>
      </c>
      <c r="C970">
        <v>69715</v>
      </c>
      <c r="D970" s="2">
        <v>86.65</v>
      </c>
      <c r="E970" s="1">
        <v>42835</v>
      </c>
      <c r="F970" t="str">
        <f>"201704060731"</f>
        <v>201704060731</v>
      </c>
      <c r="G970" t="str">
        <f>"INDIGENT HEALTH"</f>
        <v>INDIGENT HEALTH</v>
      </c>
      <c r="H970" s="2">
        <v>86.65</v>
      </c>
      <c r="I970" t="str">
        <f>"INDIGENT HEALTH"</f>
        <v>INDIGENT HEALTH</v>
      </c>
    </row>
    <row r="971" spans="1:9" x14ac:dyDescent="0.3">
      <c r="A971" t="str">
        <f>"003194"</f>
        <v>003194</v>
      </c>
      <c r="B971" t="s">
        <v>333</v>
      </c>
      <c r="C971">
        <v>69716</v>
      </c>
      <c r="D971" s="2">
        <v>6303.42</v>
      </c>
      <c r="E971" s="1">
        <v>42835</v>
      </c>
      <c r="F971" t="str">
        <f>"201704050629"</f>
        <v>201704050629</v>
      </c>
      <c r="G971" t="str">
        <f>"PREPAID PHONE CARDS"</f>
        <v>PREPAID PHONE CARDS</v>
      </c>
      <c r="H971" s="2">
        <v>6303.42</v>
      </c>
      <c r="I971" t="str">
        <f>"PREPAID PHONE CARDS"</f>
        <v>PREPAID PHONE CARDS</v>
      </c>
    </row>
    <row r="972" spans="1:9" x14ac:dyDescent="0.3">
      <c r="A972" t="str">
        <f>""</f>
        <v/>
      </c>
      <c r="F972" t="str">
        <f>""</f>
        <v/>
      </c>
      <c r="G972" t="str">
        <f>""</f>
        <v/>
      </c>
      <c r="I972" t="str">
        <f>"PREPAID PHONE CARDS"</f>
        <v>PREPAID PHONE CARDS</v>
      </c>
    </row>
    <row r="973" spans="1:9" x14ac:dyDescent="0.3">
      <c r="A973" t="str">
        <f>"003086"</f>
        <v>003086</v>
      </c>
      <c r="B973" t="s">
        <v>334</v>
      </c>
      <c r="C973">
        <v>69863</v>
      </c>
      <c r="D973" s="2">
        <v>5112.37</v>
      </c>
      <c r="E973" s="1">
        <v>42849</v>
      </c>
      <c r="F973" t="str">
        <f>"201704201377"</f>
        <v>201704201377</v>
      </c>
      <c r="G973" t="str">
        <f>"INDIGENT HEALTH"</f>
        <v>INDIGENT HEALTH</v>
      </c>
      <c r="H973" s="2">
        <v>917.37</v>
      </c>
      <c r="I973" t="str">
        <f>"INDIGENT HEALTH"</f>
        <v>INDIGENT HEALTH</v>
      </c>
    </row>
    <row r="974" spans="1:9" x14ac:dyDescent="0.3">
      <c r="A974" t="str">
        <f>""</f>
        <v/>
      </c>
      <c r="F974" t="str">
        <f>"320171"</f>
        <v>320171</v>
      </c>
      <c r="G974" t="str">
        <f>"INDIGENT HEALTHCARE"</f>
        <v>INDIGENT HEALTHCARE</v>
      </c>
      <c r="H974" s="2">
        <v>4195</v>
      </c>
      <c r="I974" t="str">
        <f>"INDIGENT HEALTHCARE"</f>
        <v>INDIGENT HEALTHCARE</v>
      </c>
    </row>
    <row r="975" spans="1:9" x14ac:dyDescent="0.3">
      <c r="A975" t="str">
        <f>"000384"</f>
        <v>000384</v>
      </c>
      <c r="B975" t="s">
        <v>335</v>
      </c>
      <c r="C975">
        <v>69804</v>
      </c>
      <c r="D975" s="2">
        <v>153.75</v>
      </c>
      <c r="E975" s="1">
        <v>42849</v>
      </c>
      <c r="F975" t="str">
        <f>"00066795"</f>
        <v>00066795</v>
      </c>
      <c r="G975" t="str">
        <f>"NOTARY REIMBURSEMENT"</f>
        <v>NOTARY REIMBURSEMENT</v>
      </c>
      <c r="H975" s="2">
        <v>153.75</v>
      </c>
      <c r="I975" t="str">
        <f>"NOTARY REIMBURSEMENT"</f>
        <v>NOTARY REIMBURSEMENT</v>
      </c>
    </row>
    <row r="976" spans="1:9" x14ac:dyDescent="0.3">
      <c r="A976" t="str">
        <f>"SBC"</f>
        <v>SBC</v>
      </c>
      <c r="B976" t="s">
        <v>336</v>
      </c>
      <c r="C976">
        <v>69981</v>
      </c>
      <c r="D976" s="2">
        <v>1.17</v>
      </c>
      <c r="E976" s="1">
        <v>42849</v>
      </c>
      <c r="F976" t="str">
        <f>"20147 03/16/17"</f>
        <v>20147 03/16/17</v>
      </c>
      <c r="G976" t="str">
        <f>"SHARP PROPANE"</f>
        <v>SHARP PROPANE</v>
      </c>
      <c r="H976" s="2">
        <v>1.17</v>
      </c>
      <c r="I976" t="str">
        <f>"SHARP PROPANE"</f>
        <v>SHARP PROPANE</v>
      </c>
    </row>
    <row r="977" spans="1:9" x14ac:dyDescent="0.3">
      <c r="A977" t="str">
        <f>"LINDER"</f>
        <v>LINDER</v>
      </c>
      <c r="B977" t="s">
        <v>337</v>
      </c>
      <c r="C977">
        <v>69962</v>
      </c>
      <c r="D977" s="2">
        <v>200</v>
      </c>
      <c r="E977" s="1">
        <v>42849</v>
      </c>
      <c r="F977" t="str">
        <f>"17-042"</f>
        <v>17-042</v>
      </c>
      <c r="G977" t="str">
        <f>"03/28/2017"</f>
        <v>03/28/2017</v>
      </c>
      <c r="H977" s="2">
        <v>200</v>
      </c>
      <c r="I977" t="str">
        <f>"03/28/2017"</f>
        <v>03/28/2017</v>
      </c>
    </row>
    <row r="978" spans="1:9" x14ac:dyDescent="0.3">
      <c r="A978" t="str">
        <f>"000291"</f>
        <v>000291</v>
      </c>
      <c r="B978" t="s">
        <v>338</v>
      </c>
      <c r="C978">
        <v>69802</v>
      </c>
      <c r="D978" s="2">
        <v>2.62</v>
      </c>
      <c r="E978" s="1">
        <v>42849</v>
      </c>
      <c r="F978" t="str">
        <f>"4343-5"</f>
        <v>4343-5</v>
      </c>
      <c r="G978" t="str">
        <f>"PAINT"</f>
        <v>PAINT</v>
      </c>
      <c r="H978" s="2">
        <v>2.62</v>
      </c>
      <c r="I978" t="str">
        <f>"PAINT"</f>
        <v>PAINT</v>
      </c>
    </row>
    <row r="979" spans="1:9" x14ac:dyDescent="0.3">
      <c r="A979" t="str">
        <f>"004997"</f>
        <v>004997</v>
      </c>
      <c r="B979" t="s">
        <v>339</v>
      </c>
      <c r="C979">
        <v>69717</v>
      </c>
      <c r="D979" s="2">
        <v>68</v>
      </c>
      <c r="E979" s="1">
        <v>42835</v>
      </c>
      <c r="F979" t="str">
        <f>"ICO-0110-17"</f>
        <v>ICO-0110-17</v>
      </c>
      <c r="G979" t="str">
        <f>"REIMB-TICKET OVERPAYMENT"</f>
        <v>REIMB-TICKET OVERPAYMENT</v>
      </c>
      <c r="H979" s="2">
        <v>68</v>
      </c>
      <c r="I979" t="str">
        <f>"REIMB-TICKET OVERPAYMENT"</f>
        <v>REIMB-TICKET OVERPAYMENT</v>
      </c>
    </row>
    <row r="980" spans="1:9" x14ac:dyDescent="0.3">
      <c r="A980" t="str">
        <f>"001260"</f>
        <v>001260</v>
      </c>
      <c r="B980" t="s">
        <v>340</v>
      </c>
      <c r="C980">
        <v>69718</v>
      </c>
      <c r="D980" s="2">
        <v>1232.48</v>
      </c>
      <c r="E980" s="1">
        <v>42835</v>
      </c>
      <c r="F980" t="str">
        <f>"201704060733"</f>
        <v>201704060733</v>
      </c>
      <c r="G980" t="str">
        <f>"INDIGENT HEALTH"</f>
        <v>INDIGENT HEALTH</v>
      </c>
      <c r="H980" s="2">
        <v>1232.48</v>
      </c>
      <c r="I980" t="str">
        <f>"INDIGENT HEALTH"</f>
        <v>INDIGENT HEALTH</v>
      </c>
    </row>
    <row r="981" spans="1:9" x14ac:dyDescent="0.3">
      <c r="A981" t="str">
        <f>"003483"</f>
        <v>003483</v>
      </c>
      <c r="B981" t="s">
        <v>341</v>
      </c>
      <c r="C981">
        <v>69869</v>
      </c>
      <c r="D981" s="2">
        <v>11719.95</v>
      </c>
      <c r="E981" s="1">
        <v>42849</v>
      </c>
      <c r="F981" t="str">
        <f>"201704201406"</f>
        <v>201704201406</v>
      </c>
      <c r="G981" t="str">
        <f>"2016 Ford"</f>
        <v>2016 Ford</v>
      </c>
      <c r="H981" s="2">
        <v>11719.95</v>
      </c>
      <c r="I981" t="str">
        <f>"2016 Ford"</f>
        <v>2016 Ford</v>
      </c>
    </row>
    <row r="982" spans="1:9" x14ac:dyDescent="0.3">
      <c r="A982" t="str">
        <f>""</f>
        <v/>
      </c>
      <c r="F982" t="str">
        <f>""</f>
        <v/>
      </c>
      <c r="G982" t="str">
        <f>""</f>
        <v/>
      </c>
      <c r="I982" t="str">
        <f>"Crew Cab Upgrade"</f>
        <v>Crew Cab Upgrade</v>
      </c>
    </row>
    <row r="983" spans="1:9" x14ac:dyDescent="0.3">
      <c r="A983" t="str">
        <f>""</f>
        <v/>
      </c>
      <c r="F983" t="str">
        <f>""</f>
        <v/>
      </c>
      <c r="G983" t="str">
        <f>""</f>
        <v/>
      </c>
      <c r="I983" t="str">
        <f>"Trailer Tow PKG"</f>
        <v>Trailer Tow PKG</v>
      </c>
    </row>
    <row r="984" spans="1:9" x14ac:dyDescent="0.3">
      <c r="A984" t="str">
        <f>""</f>
        <v/>
      </c>
      <c r="F984" t="str">
        <f>""</f>
        <v/>
      </c>
      <c r="G984" t="str">
        <f>""</f>
        <v/>
      </c>
      <c r="I984" t="str">
        <f>"Radio Supression PKG"</f>
        <v>Radio Supression PKG</v>
      </c>
    </row>
    <row r="985" spans="1:9" x14ac:dyDescent="0.3">
      <c r="A985" t="str">
        <f>""</f>
        <v/>
      </c>
      <c r="F985" t="str">
        <f>""</f>
        <v/>
      </c>
      <c r="G985" t="str">
        <f>""</f>
        <v/>
      </c>
      <c r="I985" t="str">
        <f>"Destination &amp; Inspec"</f>
        <v>Destination &amp; Inspec</v>
      </c>
    </row>
    <row r="986" spans="1:9" x14ac:dyDescent="0.3">
      <c r="A986" t="str">
        <f>""</f>
        <v/>
      </c>
      <c r="F986" t="str">
        <f>""</f>
        <v/>
      </c>
      <c r="G986" t="str">
        <f>""</f>
        <v/>
      </c>
      <c r="I986" t="str">
        <f>"Floor Plan"</f>
        <v>Floor Plan</v>
      </c>
    </row>
    <row r="987" spans="1:9" x14ac:dyDescent="0.3">
      <c r="A987" t="str">
        <f>""</f>
        <v/>
      </c>
      <c r="F987" t="str">
        <f>""</f>
        <v/>
      </c>
      <c r="G987" t="str">
        <f>""</f>
        <v/>
      </c>
      <c r="I987" t="str">
        <f>"Lot INsurance"</f>
        <v>Lot INsurance</v>
      </c>
    </row>
    <row r="988" spans="1:9" x14ac:dyDescent="0.3">
      <c r="A988" t="str">
        <f>""</f>
        <v/>
      </c>
      <c r="F988" t="str">
        <f>""</f>
        <v/>
      </c>
      <c r="G988" t="str">
        <f>""</f>
        <v/>
      </c>
      <c r="I988" t="str">
        <f>"Contract Discount"</f>
        <v>Contract Discount</v>
      </c>
    </row>
    <row r="989" spans="1:9" x14ac:dyDescent="0.3">
      <c r="A989" t="str">
        <f>""</f>
        <v/>
      </c>
      <c r="F989" t="str">
        <f>""</f>
        <v/>
      </c>
      <c r="G989" t="str">
        <f>""</f>
        <v/>
      </c>
      <c r="I989" t="str">
        <f>"Delivery Charge"</f>
        <v>Delivery Charge</v>
      </c>
    </row>
    <row r="990" spans="1:9" x14ac:dyDescent="0.3">
      <c r="A990" t="str">
        <f>""</f>
        <v/>
      </c>
      <c r="F990" t="str">
        <f>""</f>
        <v/>
      </c>
      <c r="G990" t="str">
        <f>""</f>
        <v/>
      </c>
      <c r="I990" t="str">
        <f>"Trade-In"</f>
        <v>Trade-In</v>
      </c>
    </row>
    <row r="991" spans="1:9" x14ac:dyDescent="0.3">
      <c r="A991" t="str">
        <f>""</f>
        <v/>
      </c>
      <c r="F991" t="str">
        <f>""</f>
        <v/>
      </c>
      <c r="G991" t="str">
        <f>""</f>
        <v/>
      </c>
      <c r="I991" t="str">
        <f>"BuyBoard Fee"</f>
        <v>BuyBoard Fee</v>
      </c>
    </row>
    <row r="992" spans="1:9" x14ac:dyDescent="0.3">
      <c r="A992" t="str">
        <f>"SIRCHI"</f>
        <v>SIRCHI</v>
      </c>
      <c r="B992" t="s">
        <v>342</v>
      </c>
      <c r="C992">
        <v>69985</v>
      </c>
      <c r="D992" s="2">
        <v>276.5</v>
      </c>
      <c r="E992" s="1">
        <v>42849</v>
      </c>
      <c r="F992" t="str">
        <f>"201704201449"</f>
        <v>201704201449</v>
      </c>
      <c r="G992" t="str">
        <f>"ORDER 0830917IN"</f>
        <v>ORDER 0830917IN</v>
      </c>
      <c r="H992" s="2">
        <v>276.5</v>
      </c>
      <c r="I992" t="str">
        <f>"ORDER 0830917IN"</f>
        <v>ORDER 0830917IN</v>
      </c>
    </row>
    <row r="993" spans="1:9" x14ac:dyDescent="0.3">
      <c r="A993" t="str">
        <f>""</f>
        <v/>
      </c>
      <c r="F993" t="str">
        <f>""</f>
        <v/>
      </c>
      <c r="G993" t="str">
        <f>""</f>
        <v/>
      </c>
      <c r="I993" t="str">
        <f>"SHIPPING"</f>
        <v>SHIPPING</v>
      </c>
    </row>
    <row r="994" spans="1:9" x14ac:dyDescent="0.3">
      <c r="A994" t="str">
        <f>"SEI"</f>
        <v>SEI</v>
      </c>
      <c r="B994" t="s">
        <v>343</v>
      </c>
      <c r="C994">
        <v>69719</v>
      </c>
      <c r="D994" s="2">
        <v>45.43</v>
      </c>
      <c r="E994" s="1">
        <v>42835</v>
      </c>
      <c r="F994" t="str">
        <f>"67806"</f>
        <v>67806</v>
      </c>
      <c r="G994" t="str">
        <f>"LINT DOOR SWITCH"</f>
        <v>LINT DOOR SWITCH</v>
      </c>
      <c r="H994" s="2">
        <v>45.43</v>
      </c>
      <c r="I994" t="str">
        <f>"LINT DOOR SWITCH"</f>
        <v>LINT DOOR SWITCH</v>
      </c>
    </row>
    <row r="995" spans="1:9" x14ac:dyDescent="0.3">
      <c r="A995" t="str">
        <f>"SEI"</f>
        <v>SEI</v>
      </c>
      <c r="B995" t="s">
        <v>343</v>
      </c>
      <c r="C995">
        <v>69984</v>
      </c>
      <c r="D995" s="2">
        <v>146.41</v>
      </c>
      <c r="E995" s="1">
        <v>42849</v>
      </c>
      <c r="F995" t="str">
        <f>"201704201417"</f>
        <v>201704201417</v>
      </c>
      <c r="G995" t="str">
        <f>"DRYER #5"</f>
        <v>DRYER #5</v>
      </c>
      <c r="H995" s="2">
        <v>146.41</v>
      </c>
      <c r="I995" t="str">
        <f>"DRYER #5"</f>
        <v>DRYER #5</v>
      </c>
    </row>
    <row r="996" spans="1:9" x14ac:dyDescent="0.3">
      <c r="A996" t="str">
        <f>"005038"</f>
        <v>005038</v>
      </c>
      <c r="B996" t="s">
        <v>344</v>
      </c>
      <c r="C996">
        <v>69925</v>
      </c>
      <c r="D996" s="2">
        <v>887</v>
      </c>
      <c r="E996" s="1">
        <v>42849</v>
      </c>
      <c r="F996" t="str">
        <f>"201704201521"</f>
        <v>201704201521</v>
      </c>
      <c r="G996" t="str">
        <f>"INV# PI052351"</f>
        <v>INV# PI052351</v>
      </c>
      <c r="H996" s="2">
        <v>887</v>
      </c>
      <c r="I996" t="str">
        <f>"Payment"</f>
        <v>Payment</v>
      </c>
    </row>
    <row r="997" spans="1:9" x14ac:dyDescent="0.3">
      <c r="A997" t="str">
        <f>"SSCI"</f>
        <v>SSCI</v>
      </c>
      <c r="B997" t="s">
        <v>345</v>
      </c>
      <c r="C997">
        <v>69986</v>
      </c>
      <c r="D997" s="2">
        <v>484.95</v>
      </c>
      <c r="E997" s="1">
        <v>42849</v>
      </c>
      <c r="F997" t="str">
        <f>"328419"</f>
        <v>328419</v>
      </c>
      <c r="G997" t="str">
        <f>"STATEMENT#23913/PCT#1"</f>
        <v>STATEMENT#23913/PCT#1</v>
      </c>
      <c r="H997" s="2">
        <v>484.95</v>
      </c>
    </row>
    <row r="998" spans="1:9" x14ac:dyDescent="0.3">
      <c r="A998" t="str">
        <f>"SSCI"</f>
        <v>SSCI</v>
      </c>
      <c r="B998" t="s">
        <v>345</v>
      </c>
      <c r="C998">
        <v>69986</v>
      </c>
      <c r="D998" s="2">
        <v>484.95</v>
      </c>
      <c r="E998" s="1">
        <v>42849</v>
      </c>
      <c r="F998" t="str">
        <f>"CHECK"</f>
        <v>CHECK</v>
      </c>
      <c r="G998" t="str">
        <f>""</f>
        <v/>
      </c>
      <c r="H998" s="2">
        <v>484.95</v>
      </c>
    </row>
    <row r="999" spans="1:9" x14ac:dyDescent="0.3">
      <c r="A999" t="str">
        <f>"SAP"</f>
        <v>SAP</v>
      </c>
      <c r="B999" t="s">
        <v>346</v>
      </c>
      <c r="C999">
        <v>69980</v>
      </c>
      <c r="D999" s="2">
        <v>1225.3699999999999</v>
      </c>
      <c r="E999" s="1">
        <v>42849</v>
      </c>
      <c r="F999" t="str">
        <f>"452873/457148"</f>
        <v>452873/457148</v>
      </c>
      <c r="G999" t="str">
        <f>"ACCT#260/PCT#2"</f>
        <v>ACCT#260/PCT#2</v>
      </c>
      <c r="H999" s="2">
        <v>1225.3699999999999</v>
      </c>
      <c r="I999" t="str">
        <f>"ACCT#260/PCT#2"</f>
        <v>ACCT#260/PCT#2</v>
      </c>
    </row>
    <row r="1000" spans="1:9" x14ac:dyDescent="0.3">
      <c r="A1000" t="str">
        <f>"STM"</f>
        <v>STM</v>
      </c>
      <c r="B1000" t="s">
        <v>347</v>
      </c>
      <c r="C1000">
        <v>69987</v>
      </c>
      <c r="D1000" s="2">
        <v>2613.86</v>
      </c>
      <c r="E1000" s="1">
        <v>42849</v>
      </c>
      <c r="F1000" t="str">
        <f>"63209517"</f>
        <v>63209517</v>
      </c>
      <c r="G1000" t="str">
        <f>"CUST#52157/PCT#3"</f>
        <v>CUST#52157/PCT#3</v>
      </c>
      <c r="H1000" s="2">
        <v>2613.86</v>
      </c>
      <c r="I1000" t="str">
        <f>"CUST#52157/PCT#3"</f>
        <v>CUST#52157/PCT#3</v>
      </c>
    </row>
    <row r="1001" spans="1:9" x14ac:dyDescent="0.3">
      <c r="A1001" t="str">
        <f>"T2987"</f>
        <v>T2987</v>
      </c>
      <c r="B1001" t="s">
        <v>348</v>
      </c>
      <c r="C1001">
        <v>70014</v>
      </c>
      <c r="D1001" s="2">
        <v>54</v>
      </c>
      <c r="E1001" s="1">
        <v>42849</v>
      </c>
      <c r="F1001" t="str">
        <f>"8441"</f>
        <v>8441</v>
      </c>
      <c r="G1001" t="str">
        <f>"REMOTE FLASH TUBE/PCT#2"</f>
        <v>REMOTE FLASH TUBE/PCT#2</v>
      </c>
      <c r="H1001" s="2">
        <v>54</v>
      </c>
      <c r="I1001" t="str">
        <f>"REMOTE FLASH TUBE/PCT#2"</f>
        <v>REMOTE FLASH TUBE/PCT#2</v>
      </c>
    </row>
    <row r="1002" spans="1:9" x14ac:dyDescent="0.3">
      <c r="A1002" t="str">
        <f>"003747"</f>
        <v>003747</v>
      </c>
      <c r="B1002" t="s">
        <v>349</v>
      </c>
      <c r="C1002">
        <v>69880</v>
      </c>
      <c r="D1002" s="2">
        <v>18.440000000000001</v>
      </c>
      <c r="E1002" s="1">
        <v>42849</v>
      </c>
      <c r="F1002" t="str">
        <f>"A0698356P"</f>
        <v>A0698356P</v>
      </c>
      <c r="G1002" t="str">
        <f>"ACCT#0698356/OEM"</f>
        <v>ACCT#0698356/OEM</v>
      </c>
      <c r="H1002" s="2">
        <v>18.440000000000001</v>
      </c>
      <c r="I1002" t="str">
        <f>"ACCT#0698356/OEM"</f>
        <v>ACCT#0698356/OEM</v>
      </c>
    </row>
    <row r="1003" spans="1:9" x14ac:dyDescent="0.3">
      <c r="A1003" t="str">
        <f>"REDDY"</f>
        <v>REDDY</v>
      </c>
      <c r="B1003" t="s">
        <v>350</v>
      </c>
      <c r="C1003">
        <v>69720</v>
      </c>
      <c r="D1003" s="2">
        <v>165.46</v>
      </c>
      <c r="E1003" s="1">
        <v>42835</v>
      </c>
      <c r="F1003" t="str">
        <f>"201704060730"</f>
        <v>201704060730</v>
      </c>
      <c r="G1003" t="str">
        <f>"INDIGENT HEALTH"</f>
        <v>INDIGENT HEALTH</v>
      </c>
      <c r="H1003" s="2">
        <v>165.46</v>
      </c>
      <c r="I1003" t="str">
        <f>"INDIGENT HEALTH"</f>
        <v>INDIGENT HEALTH</v>
      </c>
    </row>
    <row r="1004" spans="1:9" x14ac:dyDescent="0.3">
      <c r="A1004" t="str">
        <f>"003083"</f>
        <v>003083</v>
      </c>
      <c r="B1004" t="s">
        <v>351</v>
      </c>
      <c r="C1004">
        <v>69862</v>
      </c>
      <c r="D1004" s="2">
        <v>345.51</v>
      </c>
      <c r="E1004" s="1">
        <v>42849</v>
      </c>
      <c r="F1004" t="str">
        <f>"201704191358"</f>
        <v>201704191358</v>
      </c>
      <c r="G1004" t="str">
        <f>"LODGING"</f>
        <v>LODGING</v>
      </c>
      <c r="H1004" s="2">
        <v>345.51</v>
      </c>
      <c r="I1004" t="str">
        <f>"LODGING"</f>
        <v>LODGING</v>
      </c>
    </row>
    <row r="1005" spans="1:9" x14ac:dyDescent="0.3">
      <c r="A1005" t="str">
        <f>"003067"</f>
        <v>003067</v>
      </c>
      <c r="B1005" t="s">
        <v>352</v>
      </c>
      <c r="C1005">
        <v>69860</v>
      </c>
      <c r="D1005" s="2">
        <v>47.85</v>
      </c>
      <c r="E1005" s="1">
        <v>42849</v>
      </c>
      <c r="F1005" t="str">
        <f>"201704201378"</f>
        <v>201704201378</v>
      </c>
      <c r="G1005" t="str">
        <f>"INDIGENT HEALTH"</f>
        <v>INDIGENT HEALTH</v>
      </c>
      <c r="H1005" s="2">
        <v>47.85</v>
      </c>
      <c r="I1005" t="str">
        <f>"INDIGENT HEALTH"</f>
        <v>INDIGENT HEALTH</v>
      </c>
    </row>
    <row r="1006" spans="1:9" x14ac:dyDescent="0.3">
      <c r="A1006" t="str">
        <f>"SDHCS"</f>
        <v>SDHCS</v>
      </c>
      <c r="B1006" t="s">
        <v>353</v>
      </c>
      <c r="C1006">
        <v>69721</v>
      </c>
      <c r="D1006" s="2">
        <v>1742.4</v>
      </c>
      <c r="E1006" s="1">
        <v>42835</v>
      </c>
      <c r="F1006" t="str">
        <f>"4180"</f>
        <v>4180</v>
      </c>
      <c r="G1006" t="str">
        <f>"PATIENT-C M BECKER"</f>
        <v>PATIENT-C M BECKER</v>
      </c>
      <c r="H1006" s="2">
        <v>1742.4</v>
      </c>
      <c r="I1006" t="str">
        <f>"PATIENT-C M BECKER"</f>
        <v>PATIENT-C M BECKER</v>
      </c>
    </row>
    <row r="1007" spans="1:9" x14ac:dyDescent="0.3">
      <c r="A1007" t="str">
        <f>"SDHCS"</f>
        <v>SDHCS</v>
      </c>
      <c r="B1007" t="s">
        <v>353</v>
      </c>
      <c r="C1007">
        <v>69983</v>
      </c>
      <c r="D1007" s="2">
        <v>21117.85</v>
      </c>
      <c r="E1007" s="1">
        <v>42849</v>
      </c>
      <c r="F1007" t="str">
        <f>"201704171217"</f>
        <v>201704171217</v>
      </c>
      <c r="G1007" t="str">
        <f>"SOURCE#104/JAIL OUTPATIENTS"</f>
        <v>SOURCE#104/JAIL OUTPATIENTS</v>
      </c>
      <c r="H1007" s="2">
        <v>1742.4</v>
      </c>
      <c r="I1007" t="str">
        <f>"SOURCE#104/JAIL OUTPATIENTS"</f>
        <v>SOURCE#104/JAIL OUTPATIENTS</v>
      </c>
    </row>
    <row r="1008" spans="1:9" x14ac:dyDescent="0.3">
      <c r="A1008" t="str">
        <f>""</f>
        <v/>
      </c>
      <c r="F1008" t="str">
        <f>"201704201379"</f>
        <v>201704201379</v>
      </c>
      <c r="G1008" t="str">
        <f>"INDIGENT HEALTH"</f>
        <v>INDIGENT HEALTH</v>
      </c>
      <c r="H1008" s="2">
        <v>3253.75</v>
      </c>
      <c r="I1008" t="str">
        <f>"INDIGENT HEALTH"</f>
        <v>INDIGENT HEALTH</v>
      </c>
    </row>
    <row r="1009" spans="1:9" x14ac:dyDescent="0.3">
      <c r="A1009" t="str">
        <f>""</f>
        <v/>
      </c>
      <c r="F1009" t="str">
        <f>"201704201380"</f>
        <v>201704201380</v>
      </c>
      <c r="G1009" t="str">
        <f>"INDIGENT HEALTH"</f>
        <v>INDIGENT HEALTH</v>
      </c>
      <c r="H1009" s="2">
        <v>16121.7</v>
      </c>
      <c r="I1009" t="str">
        <f>"INDIGENT HEALTH"</f>
        <v>INDIGENT HEALTH</v>
      </c>
    </row>
    <row r="1010" spans="1:9" x14ac:dyDescent="0.3">
      <c r="A1010" t="str">
        <f>""</f>
        <v/>
      </c>
      <c r="F1010" t="str">
        <f>""</f>
        <v/>
      </c>
      <c r="G1010" t="str">
        <f>""</f>
        <v/>
      </c>
      <c r="I1010" t="str">
        <f>"INDIGENT HEALTH"</f>
        <v>INDIGENT HEALTH</v>
      </c>
    </row>
    <row r="1011" spans="1:9" x14ac:dyDescent="0.3">
      <c r="A1011" t="str">
        <f>"003508"</f>
        <v>003508</v>
      </c>
      <c r="B1011" t="s">
        <v>354</v>
      </c>
      <c r="C1011">
        <v>69722</v>
      </c>
      <c r="D1011" s="2">
        <v>5154.1499999999996</v>
      </c>
      <c r="E1011" s="1">
        <v>42835</v>
      </c>
      <c r="F1011" t="str">
        <f>"3332361242"</f>
        <v>3332361242</v>
      </c>
      <c r="G1011" t="str">
        <f>"Summary Inv# 8043378536"</f>
        <v>Summary Inv# 8043378536</v>
      </c>
      <c r="H1011" s="2">
        <v>2994.32</v>
      </c>
      <c r="I1011" t="str">
        <f>"Inv# 3332361267"</f>
        <v>Inv# 3332361267</v>
      </c>
    </row>
    <row r="1012" spans="1:9" x14ac:dyDescent="0.3">
      <c r="A1012" t="str">
        <f>""</f>
        <v/>
      </c>
      <c r="F1012" t="str">
        <f>""</f>
        <v/>
      </c>
      <c r="G1012" t="str">
        <f>""</f>
        <v/>
      </c>
      <c r="I1012" t="str">
        <f>"Inv# 3332361290"</f>
        <v>Inv# 3332361290</v>
      </c>
    </row>
    <row r="1013" spans="1:9" x14ac:dyDescent="0.3">
      <c r="A1013" t="str">
        <f>""</f>
        <v/>
      </c>
      <c r="F1013" t="str">
        <f>""</f>
        <v/>
      </c>
      <c r="G1013" t="str">
        <f>""</f>
        <v/>
      </c>
      <c r="I1013" t="str">
        <f>"Inv# 3332361274"</f>
        <v>Inv# 3332361274</v>
      </c>
    </row>
    <row r="1014" spans="1:9" x14ac:dyDescent="0.3">
      <c r="A1014" t="str">
        <f>""</f>
        <v/>
      </c>
      <c r="F1014" t="str">
        <f>""</f>
        <v/>
      </c>
      <c r="G1014" t="str">
        <f>""</f>
        <v/>
      </c>
      <c r="I1014" t="str">
        <f>"Inv# 3332361278"</f>
        <v>Inv# 3332361278</v>
      </c>
    </row>
    <row r="1015" spans="1:9" x14ac:dyDescent="0.3">
      <c r="A1015" t="str">
        <f>""</f>
        <v/>
      </c>
      <c r="F1015" t="str">
        <f>""</f>
        <v/>
      </c>
      <c r="G1015" t="str">
        <f>""</f>
        <v/>
      </c>
      <c r="I1015" t="str">
        <f>"Inv# 3332361288"</f>
        <v>Inv# 3332361288</v>
      </c>
    </row>
    <row r="1016" spans="1:9" x14ac:dyDescent="0.3">
      <c r="A1016" t="str">
        <f>""</f>
        <v/>
      </c>
      <c r="F1016" t="str">
        <f>""</f>
        <v/>
      </c>
      <c r="G1016" t="str">
        <f>""</f>
        <v/>
      </c>
      <c r="I1016" t="str">
        <f>"Inv# 3332361282"</f>
        <v>Inv# 3332361282</v>
      </c>
    </row>
    <row r="1017" spans="1:9" x14ac:dyDescent="0.3">
      <c r="A1017" t="str">
        <f>""</f>
        <v/>
      </c>
      <c r="F1017" t="str">
        <f>""</f>
        <v/>
      </c>
      <c r="G1017" t="str">
        <f>""</f>
        <v/>
      </c>
      <c r="I1017" t="str">
        <f>"Inv# 3332361285"</f>
        <v>Inv# 3332361285</v>
      </c>
    </row>
    <row r="1018" spans="1:9" x14ac:dyDescent="0.3">
      <c r="A1018" t="str">
        <f>""</f>
        <v/>
      </c>
      <c r="F1018" t="str">
        <f>""</f>
        <v/>
      </c>
      <c r="G1018" t="str">
        <f>""</f>
        <v/>
      </c>
      <c r="I1018" t="str">
        <f>"Inv# 3332361242"</f>
        <v>Inv# 3332361242</v>
      </c>
    </row>
    <row r="1019" spans="1:9" x14ac:dyDescent="0.3">
      <c r="A1019" t="str">
        <f>""</f>
        <v/>
      </c>
      <c r="F1019" t="str">
        <f>""</f>
        <v/>
      </c>
      <c r="G1019" t="str">
        <f>""</f>
        <v/>
      </c>
      <c r="I1019" t="str">
        <f>"Inv# 3332361245"</f>
        <v>Inv# 3332361245</v>
      </c>
    </row>
    <row r="1020" spans="1:9" x14ac:dyDescent="0.3">
      <c r="A1020" t="str">
        <f>""</f>
        <v/>
      </c>
      <c r="F1020" t="str">
        <f>""</f>
        <v/>
      </c>
      <c r="G1020" t="str">
        <f>""</f>
        <v/>
      </c>
      <c r="I1020" t="str">
        <f>"Inv# 3332361249"</f>
        <v>Inv# 3332361249</v>
      </c>
    </row>
    <row r="1021" spans="1:9" x14ac:dyDescent="0.3">
      <c r="A1021" t="str">
        <f>""</f>
        <v/>
      </c>
      <c r="F1021" t="str">
        <f>""</f>
        <v/>
      </c>
      <c r="G1021" t="str">
        <f>""</f>
        <v/>
      </c>
      <c r="I1021" t="str">
        <f>"Inv# 3332361252"</f>
        <v>Inv# 3332361252</v>
      </c>
    </row>
    <row r="1022" spans="1:9" x14ac:dyDescent="0.3">
      <c r="A1022" t="str">
        <f>""</f>
        <v/>
      </c>
      <c r="F1022" t="str">
        <f>""</f>
        <v/>
      </c>
      <c r="G1022" t="str">
        <f>""</f>
        <v/>
      </c>
      <c r="I1022" t="str">
        <f>"Inv# 3332361254"</f>
        <v>Inv# 3332361254</v>
      </c>
    </row>
    <row r="1023" spans="1:9" x14ac:dyDescent="0.3">
      <c r="A1023" t="str">
        <f>""</f>
        <v/>
      </c>
      <c r="F1023" t="str">
        <f>""</f>
        <v/>
      </c>
      <c r="G1023" t="str">
        <f>""</f>
        <v/>
      </c>
      <c r="I1023" t="str">
        <f>"Inv# 3332361263"</f>
        <v>Inv# 3332361263</v>
      </c>
    </row>
    <row r="1024" spans="1:9" x14ac:dyDescent="0.3">
      <c r="A1024" t="str">
        <f>""</f>
        <v/>
      </c>
      <c r="F1024" t="str">
        <f>""</f>
        <v/>
      </c>
      <c r="G1024" t="str">
        <f>""</f>
        <v/>
      </c>
      <c r="I1024" t="str">
        <f>"Inv# 3332361264"</f>
        <v>Inv# 3332361264</v>
      </c>
    </row>
    <row r="1025" spans="1:9" x14ac:dyDescent="0.3">
      <c r="A1025" t="str">
        <f>""</f>
        <v/>
      </c>
      <c r="F1025" t="str">
        <f>""</f>
        <v/>
      </c>
      <c r="G1025" t="str">
        <f>""</f>
        <v/>
      </c>
      <c r="I1025" t="str">
        <f>"Inv# 3332361270"</f>
        <v>Inv# 3332361270</v>
      </c>
    </row>
    <row r="1026" spans="1:9" x14ac:dyDescent="0.3">
      <c r="A1026" t="str">
        <f>""</f>
        <v/>
      </c>
      <c r="F1026" t="str">
        <f>"8043586405"</f>
        <v>8043586405</v>
      </c>
      <c r="G1026" t="str">
        <f>"Summary Inv# 8043586405"</f>
        <v>Summary Inv# 8043586405</v>
      </c>
      <c r="H1026" s="2">
        <v>2159.83</v>
      </c>
      <c r="I1026" t="str">
        <f>"Inv# 3333552911"</f>
        <v>Inv# 3333552911</v>
      </c>
    </row>
    <row r="1027" spans="1:9" x14ac:dyDescent="0.3">
      <c r="A1027" t="str">
        <f>""</f>
        <v/>
      </c>
      <c r="F1027" t="str">
        <f>""</f>
        <v/>
      </c>
      <c r="G1027" t="str">
        <f>""</f>
        <v/>
      </c>
      <c r="I1027" t="str">
        <f>"Inv# 3333552913"</f>
        <v>Inv# 3333552913</v>
      </c>
    </row>
    <row r="1028" spans="1:9" x14ac:dyDescent="0.3">
      <c r="A1028" t="str">
        <f>""</f>
        <v/>
      </c>
      <c r="F1028" t="str">
        <f>""</f>
        <v/>
      </c>
      <c r="G1028" t="str">
        <f>""</f>
        <v/>
      </c>
      <c r="I1028" t="str">
        <f>"Inv# 3333552933"</f>
        <v>Inv# 3333552933</v>
      </c>
    </row>
    <row r="1029" spans="1:9" x14ac:dyDescent="0.3">
      <c r="A1029" t="str">
        <f>""</f>
        <v/>
      </c>
      <c r="F1029" t="str">
        <f>""</f>
        <v/>
      </c>
      <c r="G1029" t="str">
        <f>""</f>
        <v/>
      </c>
      <c r="I1029" t="str">
        <f>"Inv# 3333552922"</f>
        <v>Inv# 3333552922</v>
      </c>
    </row>
    <row r="1030" spans="1:9" x14ac:dyDescent="0.3">
      <c r="A1030" t="str">
        <f>""</f>
        <v/>
      </c>
      <c r="F1030" t="str">
        <f>""</f>
        <v/>
      </c>
      <c r="G1030" t="str">
        <f>""</f>
        <v/>
      </c>
      <c r="I1030" t="str">
        <f>"Inv# 3333552923"</f>
        <v>Inv# 3333552923</v>
      </c>
    </row>
    <row r="1031" spans="1:9" x14ac:dyDescent="0.3">
      <c r="A1031" t="str">
        <f>""</f>
        <v/>
      </c>
      <c r="F1031" t="str">
        <f>""</f>
        <v/>
      </c>
      <c r="G1031" t="str">
        <f>""</f>
        <v/>
      </c>
      <c r="I1031" t="str">
        <f>"Inv# 3333552924"</f>
        <v>Inv# 3333552924</v>
      </c>
    </row>
    <row r="1032" spans="1:9" x14ac:dyDescent="0.3">
      <c r="A1032" t="str">
        <f>""</f>
        <v/>
      </c>
      <c r="F1032" t="str">
        <f>""</f>
        <v/>
      </c>
      <c r="G1032" t="str">
        <f>""</f>
        <v/>
      </c>
      <c r="I1032" t="str">
        <f>"Inv# 3333552921"</f>
        <v>Inv# 3333552921</v>
      </c>
    </row>
    <row r="1033" spans="1:9" x14ac:dyDescent="0.3">
      <c r="A1033" t="str">
        <f>""</f>
        <v/>
      </c>
      <c r="F1033" t="str">
        <f>""</f>
        <v/>
      </c>
      <c r="G1033" t="str">
        <f>""</f>
        <v/>
      </c>
      <c r="I1033" t="str">
        <f>"Inv# 3333552932"</f>
        <v>Inv# 3333552932</v>
      </c>
    </row>
    <row r="1034" spans="1:9" x14ac:dyDescent="0.3">
      <c r="A1034" t="str">
        <f>""</f>
        <v/>
      </c>
      <c r="F1034" t="str">
        <f>""</f>
        <v/>
      </c>
      <c r="G1034" t="str">
        <f>""</f>
        <v/>
      </c>
      <c r="I1034" t="str">
        <f>"Inv# 3333552926"</f>
        <v>Inv# 3333552926</v>
      </c>
    </row>
    <row r="1035" spans="1:9" x14ac:dyDescent="0.3">
      <c r="A1035" t="str">
        <f>""</f>
        <v/>
      </c>
      <c r="F1035" t="str">
        <f>""</f>
        <v/>
      </c>
      <c r="G1035" t="str">
        <f>""</f>
        <v/>
      </c>
      <c r="I1035" t="str">
        <f>"Inv# 3333552931"</f>
        <v>Inv# 3333552931</v>
      </c>
    </row>
    <row r="1036" spans="1:9" x14ac:dyDescent="0.3">
      <c r="A1036" t="str">
        <f>""</f>
        <v/>
      </c>
      <c r="F1036" t="str">
        <f>""</f>
        <v/>
      </c>
      <c r="G1036" t="str">
        <f>""</f>
        <v/>
      </c>
      <c r="I1036" t="str">
        <f>"Inv# 3333552929"</f>
        <v>Inv# 3333552929</v>
      </c>
    </row>
    <row r="1037" spans="1:9" x14ac:dyDescent="0.3">
      <c r="A1037" t="str">
        <f>""</f>
        <v/>
      </c>
      <c r="F1037" t="str">
        <f>""</f>
        <v/>
      </c>
      <c r="G1037" t="str">
        <f>""</f>
        <v/>
      </c>
      <c r="I1037" t="str">
        <f>"Inv# 3333552930"</f>
        <v>Inv# 3333552930</v>
      </c>
    </row>
    <row r="1038" spans="1:9" x14ac:dyDescent="0.3">
      <c r="A1038" t="str">
        <f>""</f>
        <v/>
      </c>
      <c r="F1038" t="str">
        <f>""</f>
        <v/>
      </c>
      <c r="G1038" t="str">
        <f>""</f>
        <v/>
      </c>
      <c r="I1038" t="str">
        <f>"Inv# 3333552927"</f>
        <v>Inv# 3333552927</v>
      </c>
    </row>
    <row r="1039" spans="1:9" x14ac:dyDescent="0.3">
      <c r="A1039" t="str">
        <f>""</f>
        <v/>
      </c>
      <c r="F1039" t="str">
        <f>""</f>
        <v/>
      </c>
      <c r="G1039" t="str">
        <f>""</f>
        <v/>
      </c>
      <c r="I1039" t="str">
        <f>"Inv# 3333552917"</f>
        <v>Inv# 3333552917</v>
      </c>
    </row>
    <row r="1040" spans="1:9" x14ac:dyDescent="0.3">
      <c r="A1040" t="str">
        <f>""</f>
        <v/>
      </c>
      <c r="F1040" t="str">
        <f>""</f>
        <v/>
      </c>
      <c r="G1040" t="str">
        <f>""</f>
        <v/>
      </c>
      <c r="I1040" t="str">
        <f>"Inv# 3333552918"</f>
        <v>Inv# 3333552918</v>
      </c>
    </row>
    <row r="1041" spans="1:9" x14ac:dyDescent="0.3">
      <c r="A1041" t="str">
        <f>""</f>
        <v/>
      </c>
      <c r="F1041" t="str">
        <f>""</f>
        <v/>
      </c>
      <c r="G1041" t="str">
        <f>""</f>
        <v/>
      </c>
      <c r="I1041" t="str">
        <f>"Inv# 3333552919"</f>
        <v>Inv# 3333552919</v>
      </c>
    </row>
    <row r="1042" spans="1:9" x14ac:dyDescent="0.3">
      <c r="A1042" t="str">
        <f>""</f>
        <v/>
      </c>
      <c r="F1042" t="str">
        <f>""</f>
        <v/>
      </c>
      <c r="G1042" t="str">
        <f>""</f>
        <v/>
      </c>
      <c r="I1042" t="str">
        <f>"Inv# 3333552920"</f>
        <v>Inv# 3333552920</v>
      </c>
    </row>
    <row r="1043" spans="1:9" x14ac:dyDescent="0.3">
      <c r="A1043" t="str">
        <f>""</f>
        <v/>
      </c>
      <c r="F1043" t="str">
        <f>""</f>
        <v/>
      </c>
      <c r="G1043" t="str">
        <f>""</f>
        <v/>
      </c>
      <c r="I1043" t="str">
        <f>"Inv# 3333552915"</f>
        <v>Inv# 3333552915</v>
      </c>
    </row>
    <row r="1044" spans="1:9" x14ac:dyDescent="0.3">
      <c r="A1044" t="str">
        <f>""</f>
        <v/>
      </c>
      <c r="F1044" t="str">
        <f>""</f>
        <v/>
      </c>
      <c r="G1044" t="str">
        <f>""</f>
        <v/>
      </c>
      <c r="I1044" t="str">
        <f>"Inv# 3333552916"</f>
        <v>Inv# 3333552916</v>
      </c>
    </row>
    <row r="1045" spans="1:9" x14ac:dyDescent="0.3">
      <c r="A1045" t="str">
        <f>"003508"</f>
        <v>003508</v>
      </c>
      <c r="B1045" t="s">
        <v>354</v>
      </c>
      <c r="C1045">
        <v>69870</v>
      </c>
      <c r="D1045" s="2">
        <v>2540.54</v>
      </c>
      <c r="E1045" s="1">
        <v>42849</v>
      </c>
      <c r="F1045" t="str">
        <f>"201704201399"</f>
        <v>201704201399</v>
      </c>
      <c r="G1045" t="str">
        <f>"Sum Inv# 8043838275"</f>
        <v>Sum Inv# 8043838275</v>
      </c>
      <c r="H1045" s="2">
        <v>2540.54</v>
      </c>
      <c r="I1045" t="str">
        <f>"INV# 3335431956"</f>
        <v>INV# 3335431956</v>
      </c>
    </row>
    <row r="1046" spans="1:9" x14ac:dyDescent="0.3">
      <c r="A1046" t="str">
        <f>""</f>
        <v/>
      </c>
      <c r="F1046" t="str">
        <f>""</f>
        <v/>
      </c>
      <c r="G1046" t="str">
        <f>""</f>
        <v/>
      </c>
      <c r="I1046" t="str">
        <f>"INV# 3335431968"</f>
        <v>INV# 3335431968</v>
      </c>
    </row>
    <row r="1047" spans="1:9" x14ac:dyDescent="0.3">
      <c r="A1047" t="str">
        <f>""</f>
        <v/>
      </c>
      <c r="F1047" t="str">
        <f>""</f>
        <v/>
      </c>
      <c r="G1047" t="str">
        <f>""</f>
        <v/>
      </c>
      <c r="I1047" t="str">
        <f>"INV# 3335431993"</f>
        <v>INV# 3335431993</v>
      </c>
    </row>
    <row r="1048" spans="1:9" x14ac:dyDescent="0.3">
      <c r="A1048" t="str">
        <f>""</f>
        <v/>
      </c>
      <c r="F1048" t="str">
        <f>""</f>
        <v/>
      </c>
      <c r="G1048" t="str">
        <f>""</f>
        <v/>
      </c>
      <c r="I1048" t="str">
        <f>"INV# 3335431962"</f>
        <v>INV# 3335431962</v>
      </c>
    </row>
    <row r="1049" spans="1:9" x14ac:dyDescent="0.3">
      <c r="A1049" t="str">
        <f>""</f>
        <v/>
      </c>
      <c r="F1049" t="str">
        <f>""</f>
        <v/>
      </c>
      <c r="G1049" t="str">
        <f>""</f>
        <v/>
      </c>
      <c r="I1049" t="str">
        <f>"INV# 3335431964"</f>
        <v>INV# 3335431964</v>
      </c>
    </row>
    <row r="1050" spans="1:9" x14ac:dyDescent="0.3">
      <c r="A1050" t="str">
        <f>""</f>
        <v/>
      </c>
      <c r="F1050" t="str">
        <f>""</f>
        <v/>
      </c>
      <c r="G1050" t="str">
        <f>""</f>
        <v/>
      </c>
      <c r="I1050" t="str">
        <f>"INV# 3335431966"</f>
        <v>INV# 3335431966</v>
      </c>
    </row>
    <row r="1051" spans="1:9" x14ac:dyDescent="0.3">
      <c r="A1051" t="str">
        <f>""</f>
        <v/>
      </c>
      <c r="F1051" t="str">
        <f>""</f>
        <v/>
      </c>
      <c r="G1051" t="str">
        <f>""</f>
        <v/>
      </c>
      <c r="I1051" t="str">
        <f>"INV# 3335431982"</f>
        <v>INV# 3335431982</v>
      </c>
    </row>
    <row r="1052" spans="1:9" x14ac:dyDescent="0.3">
      <c r="A1052" t="str">
        <f>""</f>
        <v/>
      </c>
      <c r="F1052" t="str">
        <f>""</f>
        <v/>
      </c>
      <c r="G1052" t="str">
        <f>""</f>
        <v/>
      </c>
      <c r="I1052" t="str">
        <f>"INV# 3335431985"</f>
        <v>INV# 3335431985</v>
      </c>
    </row>
    <row r="1053" spans="1:9" x14ac:dyDescent="0.3">
      <c r="A1053" t="str">
        <f>""</f>
        <v/>
      </c>
      <c r="F1053" t="str">
        <f>""</f>
        <v/>
      </c>
      <c r="G1053" t="str">
        <f>""</f>
        <v/>
      </c>
      <c r="I1053" t="str">
        <f>"INV# 3335431988"</f>
        <v>INV# 3335431988</v>
      </c>
    </row>
    <row r="1054" spans="1:9" x14ac:dyDescent="0.3">
      <c r="A1054" t="str">
        <f>""</f>
        <v/>
      </c>
      <c r="F1054" t="str">
        <f>""</f>
        <v/>
      </c>
      <c r="G1054" t="str">
        <f>""</f>
        <v/>
      </c>
      <c r="I1054" t="str">
        <f>"INV# 3335431974"</f>
        <v>INV# 3335431974</v>
      </c>
    </row>
    <row r="1055" spans="1:9" x14ac:dyDescent="0.3">
      <c r="A1055" t="str">
        <f>""</f>
        <v/>
      </c>
      <c r="F1055" t="str">
        <f>""</f>
        <v/>
      </c>
      <c r="G1055" t="str">
        <f>""</f>
        <v/>
      </c>
      <c r="I1055" t="str">
        <f>"INV# 3335431977"</f>
        <v>INV# 3335431977</v>
      </c>
    </row>
    <row r="1056" spans="1:9" x14ac:dyDescent="0.3">
      <c r="A1056" t="str">
        <f>""</f>
        <v/>
      </c>
      <c r="F1056" t="str">
        <f>""</f>
        <v/>
      </c>
      <c r="G1056" t="str">
        <f>""</f>
        <v/>
      </c>
      <c r="I1056" t="str">
        <f>"INV# 3335431971"</f>
        <v>INV# 3335431971</v>
      </c>
    </row>
    <row r="1057" spans="1:9" x14ac:dyDescent="0.3">
      <c r="A1057" t="str">
        <f>""</f>
        <v/>
      </c>
      <c r="F1057" t="str">
        <f>""</f>
        <v/>
      </c>
      <c r="G1057" t="str">
        <f>""</f>
        <v/>
      </c>
      <c r="I1057" t="str">
        <f>"INV# 3335431960"</f>
        <v>INV# 3335431960</v>
      </c>
    </row>
    <row r="1058" spans="1:9" x14ac:dyDescent="0.3">
      <c r="A1058" t="str">
        <f>""</f>
        <v/>
      </c>
      <c r="F1058" t="str">
        <f>""</f>
        <v/>
      </c>
      <c r="G1058" t="str">
        <f>""</f>
        <v/>
      </c>
      <c r="I1058" t="str">
        <f>"INV# 3335431944"</f>
        <v>INV# 3335431944</v>
      </c>
    </row>
    <row r="1059" spans="1:9" x14ac:dyDescent="0.3">
      <c r="A1059" t="str">
        <f>""</f>
        <v/>
      </c>
      <c r="F1059" t="str">
        <f>""</f>
        <v/>
      </c>
      <c r="G1059" t="str">
        <f>""</f>
        <v/>
      </c>
      <c r="I1059" t="str">
        <f>"INV# 3335431948"</f>
        <v>INV# 3335431948</v>
      </c>
    </row>
    <row r="1060" spans="1:9" x14ac:dyDescent="0.3">
      <c r="A1060" t="str">
        <f>""</f>
        <v/>
      </c>
      <c r="F1060" t="str">
        <f>""</f>
        <v/>
      </c>
      <c r="G1060" t="str">
        <f>""</f>
        <v/>
      </c>
      <c r="I1060" t="str">
        <f>"INV# 3335431951"</f>
        <v>INV# 3335431951</v>
      </c>
    </row>
    <row r="1061" spans="1:9" x14ac:dyDescent="0.3">
      <c r="A1061" t="str">
        <f>""</f>
        <v/>
      </c>
      <c r="F1061" t="str">
        <f>""</f>
        <v/>
      </c>
      <c r="G1061" t="str">
        <f>""</f>
        <v/>
      </c>
      <c r="I1061" t="str">
        <f>"INV# 3335431953"</f>
        <v>INV# 3335431953</v>
      </c>
    </row>
    <row r="1062" spans="1:9" x14ac:dyDescent="0.3">
      <c r="A1062" t="str">
        <f>""</f>
        <v/>
      </c>
      <c r="F1062" t="str">
        <f>""</f>
        <v/>
      </c>
      <c r="G1062" t="str">
        <f>""</f>
        <v/>
      </c>
      <c r="I1062" t="str">
        <f>"INV# 3335431954"</f>
        <v>INV# 3335431954</v>
      </c>
    </row>
    <row r="1063" spans="1:9" x14ac:dyDescent="0.3">
      <c r="A1063" t="str">
        <f>""</f>
        <v/>
      </c>
      <c r="F1063" t="str">
        <f>""</f>
        <v/>
      </c>
      <c r="G1063" t="str">
        <f>""</f>
        <v/>
      </c>
      <c r="I1063" t="str">
        <f>"INV# 3335431958"</f>
        <v>INV# 3335431958</v>
      </c>
    </row>
    <row r="1064" spans="1:9" x14ac:dyDescent="0.3">
      <c r="A1064" t="str">
        <f>""</f>
        <v/>
      </c>
      <c r="F1064" t="str">
        <f>""</f>
        <v/>
      </c>
      <c r="G1064" t="str">
        <f>""</f>
        <v/>
      </c>
      <c r="I1064" t="str">
        <f>"INV# 3335431937"</f>
        <v>INV# 3335431937</v>
      </c>
    </row>
    <row r="1065" spans="1:9" x14ac:dyDescent="0.3">
      <c r="A1065" t="str">
        <f>""</f>
        <v/>
      </c>
      <c r="F1065" t="str">
        <f>""</f>
        <v/>
      </c>
      <c r="G1065" t="str">
        <f>""</f>
        <v/>
      </c>
      <c r="I1065" t="str">
        <f>"INV# 3335431934"</f>
        <v>INV# 3335431934</v>
      </c>
    </row>
    <row r="1066" spans="1:9" x14ac:dyDescent="0.3">
      <c r="A1066" t="str">
        <f>"ST"</f>
        <v>ST</v>
      </c>
      <c r="B1066" t="s">
        <v>355</v>
      </c>
      <c r="C1066">
        <v>70060</v>
      </c>
      <c r="D1066" s="2">
        <v>2981.37</v>
      </c>
      <c r="E1066" s="1">
        <v>42853</v>
      </c>
      <c r="F1066" t="str">
        <f>"201704281569"</f>
        <v>201704281569</v>
      </c>
      <c r="G1066" t="str">
        <f>"Drug Court Q1 Jan to Mar 2017"</f>
        <v>Drug Court Q1 Jan to Mar 2017</v>
      </c>
      <c r="H1066" s="2">
        <v>2074.37</v>
      </c>
      <c r="I1066" t="str">
        <f>"TX COMPTROLLER OF PUBLIC ACCOU"</f>
        <v>TX COMPTROLLER OF PUBLIC ACCOU</v>
      </c>
    </row>
    <row r="1067" spans="1:9" x14ac:dyDescent="0.3">
      <c r="A1067" t="str">
        <f>""</f>
        <v/>
      </c>
      <c r="F1067" t="str">
        <f>"201704281570"</f>
        <v>201704281570</v>
      </c>
      <c r="G1067" t="str">
        <f>"Sexual Assault Jan to Mar 2017"</f>
        <v>Sexual Assault Jan to Mar 2017</v>
      </c>
      <c r="H1067" s="2">
        <v>907</v>
      </c>
      <c r="I1067" t="str">
        <f>"Sexual Assault Jan to Mar 2017"</f>
        <v>Sexual Assault Jan to Mar 2017</v>
      </c>
    </row>
    <row r="1068" spans="1:9" x14ac:dyDescent="0.3">
      <c r="A1068" t="str">
        <f>"T459"</f>
        <v>T459</v>
      </c>
      <c r="B1068" t="s">
        <v>356</v>
      </c>
      <c r="C1068">
        <v>70021</v>
      </c>
      <c r="D1068" s="2">
        <v>689.12</v>
      </c>
      <c r="E1068" s="1">
        <v>42849</v>
      </c>
      <c r="F1068" t="str">
        <f>"201704191346"</f>
        <v>201704191346</v>
      </c>
      <c r="G1068" t="str">
        <f>"EIN#74-6000226/MAR'17"</f>
        <v>EIN#74-6000226/MAR'17</v>
      </c>
      <c r="H1068" s="2">
        <v>689.12</v>
      </c>
      <c r="I1068" t="str">
        <f>"EIN#74-6000226/MAR'17"</f>
        <v>EIN#74-6000226/MAR'17</v>
      </c>
    </row>
    <row r="1069" spans="1:9" x14ac:dyDescent="0.3">
      <c r="A1069" t="str">
        <f>"003219"</f>
        <v>003219</v>
      </c>
      <c r="B1069" t="s">
        <v>357</v>
      </c>
      <c r="C1069">
        <v>69723</v>
      </c>
      <c r="D1069" s="2">
        <v>3000</v>
      </c>
      <c r="E1069" s="1">
        <v>42835</v>
      </c>
      <c r="F1069" t="str">
        <f>"1001601"</f>
        <v>1001601</v>
      </c>
      <c r="G1069" t="str">
        <f>"PROJECT#20800-P6/STONEY POINT"</f>
        <v>PROJECT#20800-P6/STONEY POINT</v>
      </c>
      <c r="H1069" s="2">
        <v>3000</v>
      </c>
    </row>
    <row r="1070" spans="1:9" x14ac:dyDescent="0.3">
      <c r="A1070" t="str">
        <f>"003219"</f>
        <v>003219</v>
      </c>
      <c r="B1070" t="s">
        <v>357</v>
      </c>
      <c r="C1070">
        <v>69723</v>
      </c>
      <c r="D1070" s="2">
        <v>3000</v>
      </c>
      <c r="E1070" s="1">
        <v>42835</v>
      </c>
      <c r="F1070" t="str">
        <f>"CHECK"</f>
        <v>CHECK</v>
      </c>
      <c r="G1070" t="str">
        <f>""</f>
        <v/>
      </c>
      <c r="H1070" s="2">
        <v>3000</v>
      </c>
    </row>
    <row r="1071" spans="1:9" x14ac:dyDescent="0.3">
      <c r="A1071" t="str">
        <f>"003219"</f>
        <v>003219</v>
      </c>
      <c r="B1071" t="s">
        <v>357</v>
      </c>
      <c r="C1071">
        <v>69764</v>
      </c>
      <c r="D1071" s="2">
        <v>1500</v>
      </c>
      <c r="E1071" s="1">
        <v>42837</v>
      </c>
      <c r="F1071" t="str">
        <f>"1001601 - CORRECT"</f>
        <v>1001601 - CORRECT</v>
      </c>
      <c r="G1071" t="str">
        <f>"PROJECT # 20800-P6"</f>
        <v>PROJECT # 20800-P6</v>
      </c>
      <c r="H1071" s="2">
        <v>1500</v>
      </c>
      <c r="I1071" t="str">
        <f>"PROJECT # 20800-P6"</f>
        <v>PROJECT # 20800-P6</v>
      </c>
    </row>
    <row r="1072" spans="1:9" x14ac:dyDescent="0.3">
      <c r="A1072" t="str">
        <f>"004808"</f>
        <v>004808</v>
      </c>
      <c r="B1072" t="s">
        <v>358</v>
      </c>
      <c r="C1072">
        <v>69724</v>
      </c>
      <c r="D1072" s="2">
        <v>210</v>
      </c>
      <c r="E1072" s="1">
        <v>42835</v>
      </c>
      <c r="F1072" t="str">
        <f>"201704060760"</f>
        <v>201704060760</v>
      </c>
      <c r="G1072" t="str">
        <f>"FERAL HOGS"</f>
        <v>FERAL HOGS</v>
      </c>
      <c r="H1072" s="2">
        <v>5</v>
      </c>
      <c r="I1072" t="str">
        <f>"FERAL HOGS"</f>
        <v>FERAL HOGS</v>
      </c>
    </row>
    <row r="1073" spans="1:9" x14ac:dyDescent="0.3">
      <c r="A1073" t="str">
        <f>""</f>
        <v/>
      </c>
      <c r="F1073" t="str">
        <f>"201704060765"</f>
        <v>201704060765</v>
      </c>
      <c r="G1073" t="str">
        <f>"FERAL HOGS"</f>
        <v>FERAL HOGS</v>
      </c>
      <c r="H1073" s="2">
        <v>200</v>
      </c>
      <c r="I1073" t="str">
        <f>"FERAL HOGS"</f>
        <v>FERAL HOGS</v>
      </c>
    </row>
    <row r="1074" spans="1:9" x14ac:dyDescent="0.3">
      <c r="A1074" t="str">
        <f>""</f>
        <v/>
      </c>
      <c r="F1074" t="str">
        <f>"201704060769"</f>
        <v>201704060769</v>
      </c>
      <c r="G1074" t="str">
        <f>"FERAL HOGS"</f>
        <v>FERAL HOGS</v>
      </c>
      <c r="H1074" s="2">
        <v>5</v>
      </c>
      <c r="I1074" t="str">
        <f>"FERAL HOGS"</f>
        <v>FERAL HOGS</v>
      </c>
    </row>
    <row r="1075" spans="1:9" x14ac:dyDescent="0.3">
      <c r="A1075" t="str">
        <f>"T8648"</f>
        <v>T8648</v>
      </c>
      <c r="B1075" t="s">
        <v>359</v>
      </c>
      <c r="C1075">
        <v>70039</v>
      </c>
      <c r="D1075" s="2">
        <v>651.02</v>
      </c>
      <c r="E1075" s="1">
        <v>42849</v>
      </c>
      <c r="F1075" t="str">
        <f>"201704201425"</f>
        <v>201704201425</v>
      </c>
      <c r="G1075" t="str">
        <f>"MONTHLY WASTE REMOVAL"</f>
        <v>MONTHLY WASTE REMOVAL</v>
      </c>
      <c r="H1075" s="2">
        <v>651.02</v>
      </c>
      <c r="I1075" t="str">
        <f>"MONTHLY WASTE REMOVAL"</f>
        <v>MONTHLY WASTE REMOVAL</v>
      </c>
    </row>
    <row r="1076" spans="1:9" x14ac:dyDescent="0.3">
      <c r="A1076" t="str">
        <f>"002260"</f>
        <v>002260</v>
      </c>
      <c r="B1076" t="s">
        <v>360</v>
      </c>
      <c r="C1076">
        <v>69725</v>
      </c>
      <c r="D1076" s="2">
        <v>370.5</v>
      </c>
      <c r="E1076" s="1">
        <v>42835</v>
      </c>
      <c r="F1076" t="str">
        <f>"201704050637"</f>
        <v>201704050637</v>
      </c>
      <c r="G1076" t="str">
        <f>"CONTRACT LABOR/3-27/3-31-17/P4"</f>
        <v>CONTRACT LABOR/3-27/3-31-17/P4</v>
      </c>
      <c r="H1076" s="2">
        <v>156</v>
      </c>
      <c r="I1076" t="str">
        <f>"CONTRACT LABOR/3-27/3-31-17/P4"</f>
        <v>CONTRACT LABOR/3-27/3-31-17/P4</v>
      </c>
    </row>
    <row r="1077" spans="1:9" x14ac:dyDescent="0.3">
      <c r="A1077" t="str">
        <f>""</f>
        <v/>
      </c>
      <c r="F1077" t="str">
        <f>"201704050638"</f>
        <v>201704050638</v>
      </c>
      <c r="G1077" t="str">
        <f>"CONTRACT LABOR 4-3/4-7-17/PCT4"</f>
        <v>CONTRACT LABOR 4-3/4-7-17/PCT4</v>
      </c>
      <c r="H1077" s="2">
        <v>214.5</v>
      </c>
      <c r="I1077" t="str">
        <f>"CONTRACT LABOR 4-3/4-7-17/PCT4"</f>
        <v>CONTRACT LABOR 4-3/4-7-17/PCT4</v>
      </c>
    </row>
    <row r="1078" spans="1:9" x14ac:dyDescent="0.3">
      <c r="A1078" t="str">
        <f>"002260"</f>
        <v>002260</v>
      </c>
      <c r="B1078" t="s">
        <v>360</v>
      </c>
      <c r="C1078">
        <v>69834</v>
      </c>
      <c r="D1078" s="2">
        <v>357.5</v>
      </c>
      <c r="E1078" s="1">
        <v>42849</v>
      </c>
      <c r="F1078" t="str">
        <f>"201704191331"</f>
        <v>201704191331</v>
      </c>
      <c r="G1078" t="str">
        <f>"CONTRACT LABOR/4-10/4-21-17"</f>
        <v>CONTRACT LABOR/4-10/4-21-17</v>
      </c>
      <c r="H1078" s="2">
        <v>357.5</v>
      </c>
      <c r="I1078" t="str">
        <f>"CONTRACT LABOR/4-10/4-21-17"</f>
        <v>CONTRACT LABOR/4-10/4-21-17</v>
      </c>
    </row>
    <row r="1079" spans="1:9" x14ac:dyDescent="0.3">
      <c r="A1079" t="str">
        <f>"005021"</f>
        <v>005021</v>
      </c>
      <c r="B1079" t="s">
        <v>361</v>
      </c>
      <c r="C1079">
        <v>69726</v>
      </c>
      <c r="D1079" s="2">
        <v>225</v>
      </c>
      <c r="E1079" s="1">
        <v>42835</v>
      </c>
      <c r="F1079" t="str">
        <f>"201704060780"</f>
        <v>201704060780</v>
      </c>
      <c r="G1079" t="str">
        <f>"FERAL HOGS"</f>
        <v>FERAL HOGS</v>
      </c>
      <c r="H1079" s="2">
        <v>225</v>
      </c>
      <c r="I1079" t="str">
        <f>"FERAL HOGS"</f>
        <v>FERAL HOGS</v>
      </c>
    </row>
    <row r="1080" spans="1:9" x14ac:dyDescent="0.3">
      <c r="A1080" t="str">
        <f>"T9925"</f>
        <v>T9925</v>
      </c>
      <c r="B1080" t="s">
        <v>362</v>
      </c>
      <c r="C1080">
        <v>69727</v>
      </c>
      <c r="D1080" s="2">
        <v>20</v>
      </c>
      <c r="E1080" s="1">
        <v>42835</v>
      </c>
      <c r="F1080" t="str">
        <f>"201704040617"</f>
        <v>201704040617</v>
      </c>
      <c r="G1080" t="str">
        <f>"DUES/L HARMON"</f>
        <v>DUES/L HARMON</v>
      </c>
      <c r="H1080" s="2">
        <v>20</v>
      </c>
      <c r="I1080" t="str">
        <f>"DUES/L HARMON"</f>
        <v>DUES/L HARMON</v>
      </c>
    </row>
    <row r="1081" spans="1:9" x14ac:dyDescent="0.3">
      <c r="A1081" t="str">
        <f>"004087"</f>
        <v>004087</v>
      </c>
      <c r="B1081" t="s">
        <v>363</v>
      </c>
      <c r="C1081">
        <v>69728</v>
      </c>
      <c r="D1081" s="2">
        <v>71.44</v>
      </c>
      <c r="E1081" s="1">
        <v>42835</v>
      </c>
      <c r="F1081" t="str">
        <f>"17040313"</f>
        <v>17040313</v>
      </c>
      <c r="G1081" t="str">
        <f>"SERVICE-3-1-17/4-03-17"</f>
        <v>SERVICE-3-1-17/4-03-17</v>
      </c>
      <c r="H1081" s="2">
        <v>71.44</v>
      </c>
      <c r="I1081" t="str">
        <f>"SERVICE-3-1-17/4-03-17"</f>
        <v>SERVICE-3-1-17/4-03-17</v>
      </c>
    </row>
    <row r="1082" spans="1:9" x14ac:dyDescent="0.3">
      <c r="A1082" t="str">
        <f>"TAE"</f>
        <v>TAE</v>
      </c>
      <c r="B1082" t="s">
        <v>364</v>
      </c>
      <c r="C1082">
        <v>69729</v>
      </c>
      <c r="D1082" s="2">
        <v>71.02</v>
      </c>
      <c r="E1082" s="1">
        <v>42835</v>
      </c>
      <c r="F1082" t="str">
        <f>"54082"</f>
        <v>54082</v>
      </c>
      <c r="G1082" t="str">
        <f>"PARTS/PCT#3"</f>
        <v>PARTS/PCT#3</v>
      </c>
      <c r="H1082" s="2">
        <v>71.02</v>
      </c>
      <c r="I1082" t="str">
        <f>"PARTS/PCT#3"</f>
        <v>PARTS/PCT#3</v>
      </c>
    </row>
    <row r="1083" spans="1:9" x14ac:dyDescent="0.3">
      <c r="A1083" t="str">
        <f>"T2897"</f>
        <v>T2897</v>
      </c>
      <c r="B1083" t="s">
        <v>365</v>
      </c>
      <c r="C1083">
        <v>70013</v>
      </c>
      <c r="D1083" s="2">
        <v>500</v>
      </c>
      <c r="E1083" s="1">
        <v>42849</v>
      </c>
      <c r="F1083" t="str">
        <f>"201704191354"</f>
        <v>201704191354</v>
      </c>
      <c r="G1083" t="str">
        <f>"TRAINING"</f>
        <v>TRAINING</v>
      </c>
      <c r="H1083" s="2">
        <v>500</v>
      </c>
      <c r="I1083" t="str">
        <f>"TRAINING"</f>
        <v>TRAINING</v>
      </c>
    </row>
    <row r="1084" spans="1:9" x14ac:dyDescent="0.3">
      <c r="A1084" t="str">
        <f>"T8100"</f>
        <v>T8100</v>
      </c>
      <c r="B1084" t="s">
        <v>366</v>
      </c>
      <c r="C1084">
        <v>70038</v>
      </c>
      <c r="D1084" s="2">
        <v>380</v>
      </c>
      <c r="E1084" s="1">
        <v>42849</v>
      </c>
      <c r="F1084" t="str">
        <f>"CTEHA 37TH CONF"</f>
        <v>CTEHA 37TH CONF</v>
      </c>
      <c r="G1084" t="str">
        <f>"REGISTRATION FEES"</f>
        <v>REGISTRATION FEES</v>
      </c>
      <c r="H1084" s="2">
        <v>380</v>
      </c>
      <c r="I1084" t="str">
        <f>"REGISTRATION FEES"</f>
        <v>REGISTRATION FEES</v>
      </c>
    </row>
    <row r="1085" spans="1:9" x14ac:dyDescent="0.3">
      <c r="A1085" t="str">
        <f>"T8745"</f>
        <v>T8745</v>
      </c>
      <c r="B1085" t="s">
        <v>367</v>
      </c>
      <c r="C1085">
        <v>70041</v>
      </c>
      <c r="D1085" s="2">
        <v>193</v>
      </c>
      <c r="E1085" s="1">
        <v>42849</v>
      </c>
      <c r="F1085" t="str">
        <f>"1705059"</f>
        <v>1705059</v>
      </c>
      <c r="G1085" t="str">
        <f>"MONTHLY MAINT AGREEMENT"</f>
        <v>MONTHLY MAINT AGREEMENT</v>
      </c>
      <c r="H1085" s="2">
        <v>193</v>
      </c>
      <c r="I1085" t="str">
        <f>"MONTHLY MAINT AGREEMENT"</f>
        <v>MONTHLY MAINT AGREEMENT</v>
      </c>
    </row>
    <row r="1086" spans="1:9" x14ac:dyDescent="0.3">
      <c r="A1086" t="str">
        <f>"000409"</f>
        <v>000409</v>
      </c>
      <c r="B1086" t="s">
        <v>368</v>
      </c>
      <c r="C1086">
        <v>69730</v>
      </c>
      <c r="D1086" s="2">
        <v>12</v>
      </c>
      <c r="E1086" s="1">
        <v>42835</v>
      </c>
      <c r="F1086" t="str">
        <f>"14662"</f>
        <v>14662</v>
      </c>
      <c r="G1086" t="str">
        <f>"OVERPAYMENT/7-10-15"</f>
        <v>OVERPAYMENT/7-10-15</v>
      </c>
      <c r="H1086" s="2">
        <v>12</v>
      </c>
      <c r="I1086" t="str">
        <f>"OVERPAYMENT/7-10-15"</f>
        <v>OVERPAYMENT/7-10-15</v>
      </c>
    </row>
    <row r="1087" spans="1:9" x14ac:dyDescent="0.3">
      <c r="A1087" t="str">
        <f>"004677"</f>
        <v>004677</v>
      </c>
      <c r="B1087" t="s">
        <v>369</v>
      </c>
      <c r="C1087">
        <v>69731</v>
      </c>
      <c r="D1087" s="2">
        <v>56.71</v>
      </c>
      <c r="E1087" s="1">
        <v>42835</v>
      </c>
      <c r="F1087" t="str">
        <f>"201704030607"</f>
        <v>201704030607</v>
      </c>
      <c r="G1087" t="str">
        <f>"REIMB-MILEAGE"</f>
        <v>REIMB-MILEAGE</v>
      </c>
      <c r="H1087" s="2">
        <v>56.71</v>
      </c>
      <c r="I1087" t="str">
        <f>"REIMB-MILEAGE"</f>
        <v>REIMB-MILEAGE</v>
      </c>
    </row>
    <row r="1088" spans="1:9" x14ac:dyDescent="0.3">
      <c r="A1088" t="str">
        <f>"T11830"</f>
        <v>T11830</v>
      </c>
      <c r="B1088" t="s">
        <v>370</v>
      </c>
      <c r="C1088">
        <v>69993</v>
      </c>
      <c r="D1088" s="2">
        <v>1929.6</v>
      </c>
      <c r="E1088" s="1">
        <v>42849</v>
      </c>
      <c r="F1088" t="str">
        <f>"201704201543"</f>
        <v>201704201543</v>
      </c>
      <c r="G1088" t="str">
        <f>"VISITING JUDGE 02/13 - 02/16"</f>
        <v>VISITING JUDGE 02/13 - 02/16</v>
      </c>
      <c r="H1088" s="2">
        <v>129.6</v>
      </c>
      <c r="I1088" t="str">
        <f>"VISITING JUDGE 02/13 - 02/16"</f>
        <v>VISITING JUDGE 02/13 - 02/16</v>
      </c>
    </row>
    <row r="1089" spans="1:9" x14ac:dyDescent="0.3">
      <c r="A1089" t="str">
        <f>""</f>
        <v/>
      </c>
      <c r="F1089" t="str">
        <f>"423-4323"</f>
        <v>423-4323</v>
      </c>
      <c r="G1089" t="str">
        <f>"MEDIATION"</f>
        <v>MEDIATION</v>
      </c>
      <c r="H1089" s="2">
        <v>1800</v>
      </c>
      <c r="I1089" t="str">
        <f>"MEDIATION"</f>
        <v>MEDIATION</v>
      </c>
    </row>
    <row r="1090" spans="1:9" x14ac:dyDescent="0.3">
      <c r="A1090" t="str">
        <f>"T14371"</f>
        <v>T14371</v>
      </c>
      <c r="B1090" t="s">
        <v>371</v>
      </c>
      <c r="C1090">
        <v>69732</v>
      </c>
      <c r="D1090" s="2">
        <v>213.56</v>
      </c>
      <c r="E1090" s="1">
        <v>42835</v>
      </c>
      <c r="F1090" t="str">
        <f>"201704060734"</f>
        <v>201704060734</v>
      </c>
      <c r="G1090" t="str">
        <f>"INDIGENT HEALTH"</f>
        <v>INDIGENT HEALTH</v>
      </c>
      <c r="H1090" s="2">
        <v>213.56</v>
      </c>
      <c r="I1090" t="str">
        <f>"INDIGENT HEALTH"</f>
        <v>INDIGENT HEALTH</v>
      </c>
    </row>
    <row r="1091" spans="1:9" x14ac:dyDescent="0.3">
      <c r="A1091" t="str">
        <f>"T5495"</f>
        <v>T5495</v>
      </c>
      <c r="B1091" t="s">
        <v>372</v>
      </c>
      <c r="C1091">
        <v>69733</v>
      </c>
      <c r="D1091" s="2">
        <v>40</v>
      </c>
      <c r="E1091" s="1">
        <v>42835</v>
      </c>
      <c r="F1091" t="str">
        <f>"201704040623"</f>
        <v>201704040623</v>
      </c>
      <c r="G1091" t="str">
        <f>"REGISTRATION -A KUCK"</f>
        <v>REGISTRATION -A KUCK</v>
      </c>
      <c r="H1091" s="2">
        <v>40</v>
      </c>
      <c r="I1091" t="str">
        <f>"REGISTRATION -A KUCK"</f>
        <v>REGISTRATION -A KUCK</v>
      </c>
    </row>
    <row r="1092" spans="1:9" x14ac:dyDescent="0.3">
      <c r="A1092" t="str">
        <f>"TXAGG"</f>
        <v>TXAGG</v>
      </c>
      <c r="B1092" t="s">
        <v>373</v>
      </c>
      <c r="C1092">
        <v>70051</v>
      </c>
      <c r="D1092" s="2">
        <v>25693.85</v>
      </c>
      <c r="E1092" s="1">
        <v>42849</v>
      </c>
      <c r="F1092" t="str">
        <f>"87925/87996"</f>
        <v>87925/87996</v>
      </c>
      <c r="G1092" t="str">
        <f>"ACCT#BASTROP PCT #4/PCT#4"</f>
        <v>ACCT#BASTROP PCT #4/PCT#4</v>
      </c>
      <c r="H1092" s="2">
        <v>19452.650000000001</v>
      </c>
      <c r="I1092" t="str">
        <f>"ACCT#BASTROP PCT #4/PCT#4"</f>
        <v>ACCT#BASTROP PCT #4/PCT#4</v>
      </c>
    </row>
    <row r="1093" spans="1:9" x14ac:dyDescent="0.3">
      <c r="A1093" t="str">
        <f>""</f>
        <v/>
      </c>
      <c r="F1093" t="str">
        <f>"88043"</f>
        <v>88043</v>
      </c>
      <c r="G1093" t="str">
        <f>"RIP RAP/PCT#4"</f>
        <v>RIP RAP/PCT#4</v>
      </c>
      <c r="H1093" s="2">
        <v>2037.7</v>
      </c>
      <c r="I1093" t="str">
        <f>"RIP RAP/PCT#4"</f>
        <v>RIP RAP/PCT#4</v>
      </c>
    </row>
    <row r="1094" spans="1:9" x14ac:dyDescent="0.3">
      <c r="A1094" t="str">
        <f>""</f>
        <v/>
      </c>
      <c r="F1094" t="str">
        <f>"88062"</f>
        <v>88062</v>
      </c>
      <c r="G1094" t="str">
        <f>"RIP RAP/PCT#4"</f>
        <v>RIP RAP/PCT#4</v>
      </c>
      <c r="H1094" s="2">
        <v>2059.4</v>
      </c>
      <c r="I1094" t="str">
        <f>"RIP RAP/PCT#4"</f>
        <v>RIP RAP/PCT#4</v>
      </c>
    </row>
    <row r="1095" spans="1:9" x14ac:dyDescent="0.3">
      <c r="A1095" t="str">
        <f>""</f>
        <v/>
      </c>
      <c r="F1095" t="str">
        <f>"88084"</f>
        <v>88084</v>
      </c>
      <c r="G1095" t="str">
        <f>"RIP RAP/PCT#4"</f>
        <v>RIP RAP/PCT#4</v>
      </c>
      <c r="H1095" s="2">
        <v>2144.1</v>
      </c>
      <c r="I1095" t="str">
        <f>"RIP RAP/PCT#4"</f>
        <v>RIP RAP/PCT#4</v>
      </c>
    </row>
    <row r="1096" spans="1:9" x14ac:dyDescent="0.3">
      <c r="A1096" t="str">
        <f>"004134"</f>
        <v>004134</v>
      </c>
      <c r="B1096" t="s">
        <v>374</v>
      </c>
      <c r="C1096">
        <v>69510</v>
      </c>
      <c r="D1096" s="2">
        <v>5500</v>
      </c>
      <c r="E1096" s="1">
        <v>42829</v>
      </c>
      <c r="F1096" t="str">
        <f>"201704040622"</f>
        <v>201704040622</v>
      </c>
      <c r="G1096" t="str">
        <f>"Total Escrow $20 500 (pd 15K)"</f>
        <v>Total Escrow $20 500 (pd 15K)</v>
      </c>
      <c r="H1096" s="2">
        <v>5500</v>
      </c>
      <c r="I1096" t="str">
        <f>"Total Escrow $20 500 (pd 15K)"</f>
        <v>Total Escrow $20 500 (pd 15K)</v>
      </c>
    </row>
    <row r="1097" spans="1:9" x14ac:dyDescent="0.3">
      <c r="A1097" t="str">
        <f>"001468"</f>
        <v>001468</v>
      </c>
      <c r="B1097" t="s">
        <v>375</v>
      </c>
      <c r="C1097">
        <v>69735</v>
      </c>
      <c r="D1097" s="2">
        <v>142</v>
      </c>
      <c r="E1097" s="1">
        <v>42835</v>
      </c>
      <c r="F1097" t="str">
        <f>"201704050632"</f>
        <v>201704050632</v>
      </c>
      <c r="G1097" t="str">
        <f>"NOTARY FEE"</f>
        <v>NOTARY FEE</v>
      </c>
      <c r="H1097" s="2">
        <v>71</v>
      </c>
      <c r="I1097" t="str">
        <f>"NOTARY FEE"</f>
        <v>NOTARY FEE</v>
      </c>
    </row>
    <row r="1098" spans="1:9" x14ac:dyDescent="0.3">
      <c r="A1098" t="str">
        <f>""</f>
        <v/>
      </c>
      <c r="F1098" t="str">
        <f>"42960"</f>
        <v>42960</v>
      </c>
      <c r="G1098" t="str">
        <f>"INV 42960"</f>
        <v>INV 42960</v>
      </c>
      <c r="H1098" s="2">
        <v>71</v>
      </c>
      <c r="I1098" t="str">
        <f>"INV 42960"</f>
        <v>INV 42960</v>
      </c>
    </row>
    <row r="1099" spans="1:9" x14ac:dyDescent="0.3">
      <c r="A1099" t="str">
        <f>"001468"</f>
        <v>001468</v>
      </c>
      <c r="B1099" t="s">
        <v>375</v>
      </c>
      <c r="C1099">
        <v>69819</v>
      </c>
      <c r="D1099" s="2">
        <v>200</v>
      </c>
      <c r="E1099" s="1">
        <v>42849</v>
      </c>
      <c r="F1099" t="str">
        <f>"201704191366"</f>
        <v>201704191366</v>
      </c>
      <c r="G1099" t="str">
        <f>"APRIL INVOICE"</f>
        <v>APRIL INVOICE</v>
      </c>
      <c r="H1099" s="2">
        <v>200</v>
      </c>
      <c r="I1099" t="str">
        <f>"APRIL INVOICE"</f>
        <v>APRIL INVOICE</v>
      </c>
    </row>
    <row r="1100" spans="1:9" x14ac:dyDescent="0.3">
      <c r="A1100" t="str">
        <f>"TACUE"</f>
        <v>TACUE</v>
      </c>
      <c r="B1100" t="s">
        <v>376</v>
      </c>
      <c r="C1100">
        <v>69734</v>
      </c>
      <c r="D1100" s="2">
        <v>6017.49</v>
      </c>
      <c r="E1100" s="1">
        <v>42835</v>
      </c>
      <c r="F1100" t="str">
        <f>"201704050685"</f>
        <v>201704050685</v>
      </c>
      <c r="G1100" t="str">
        <f>"UNEMPLOYMENT 16/17"</f>
        <v>UNEMPLOYMENT 16/17</v>
      </c>
      <c r="H1100" s="2">
        <v>28.18</v>
      </c>
      <c r="I1100" t="str">
        <f>"UNEMPLOYMENT 16/17"</f>
        <v>UNEMPLOYMENT 16/17</v>
      </c>
    </row>
    <row r="1101" spans="1:9" x14ac:dyDescent="0.3">
      <c r="A1101" t="str">
        <f>""</f>
        <v/>
      </c>
      <c r="F1101" t="str">
        <f>"201704050686"</f>
        <v>201704050686</v>
      </c>
      <c r="G1101" t="str">
        <f>"UNEMPLOYMENT 16/17"</f>
        <v>UNEMPLOYMENT 16/17</v>
      </c>
      <c r="H1101" s="2">
        <v>172.61</v>
      </c>
      <c r="I1101" t="str">
        <f>"UNEMPLOYMENT 16/17"</f>
        <v>UNEMPLOYMENT 16/17</v>
      </c>
    </row>
    <row r="1102" spans="1:9" x14ac:dyDescent="0.3">
      <c r="A1102" t="str">
        <f>""</f>
        <v/>
      </c>
      <c r="F1102" t="str">
        <f>"201704050687"</f>
        <v>201704050687</v>
      </c>
      <c r="G1102" t="str">
        <f>"UNEMPLOYMENT 16/17"</f>
        <v>UNEMPLOYMENT 16/17</v>
      </c>
      <c r="H1102" s="2">
        <v>189.89</v>
      </c>
      <c r="I1102" t="str">
        <f>"UNEMPLOYMENT 16/17"</f>
        <v>UNEMPLOYMENT 16/17</v>
      </c>
    </row>
    <row r="1103" spans="1:9" x14ac:dyDescent="0.3">
      <c r="A1103" t="str">
        <f>""</f>
        <v/>
      </c>
      <c r="F1103" t="str">
        <f>"201704050688"</f>
        <v>201704050688</v>
      </c>
      <c r="G1103" t="str">
        <f>"UNEMPLOYMENT -16/17"</f>
        <v>UNEMPLOYMENT -16/17</v>
      </c>
      <c r="H1103" s="2">
        <v>100.99</v>
      </c>
      <c r="I1103" t="str">
        <f>"UNEMPLOYMENT -16/17"</f>
        <v>UNEMPLOYMENT -16/17</v>
      </c>
    </row>
    <row r="1104" spans="1:9" x14ac:dyDescent="0.3">
      <c r="A1104" t="str">
        <f>""</f>
        <v/>
      </c>
      <c r="F1104" t="str">
        <f>"201704050689"</f>
        <v>201704050689</v>
      </c>
      <c r="G1104" t="str">
        <f>"UNEPLOYMENT 16/17"</f>
        <v>UNEPLOYMENT 16/17</v>
      </c>
      <c r="H1104" s="2">
        <v>196.15</v>
      </c>
      <c r="I1104" t="str">
        <f>"UNEPLOYMENT 16/17"</f>
        <v>UNEPLOYMENT 16/17</v>
      </c>
    </row>
    <row r="1105" spans="1:9" x14ac:dyDescent="0.3">
      <c r="A1105" t="str">
        <f>""</f>
        <v/>
      </c>
      <c r="F1105" t="str">
        <f>"201704050693"</f>
        <v>201704050693</v>
      </c>
      <c r="G1105" t="str">
        <f>"UNEMPLOYMENT 16/17"</f>
        <v>UNEMPLOYMENT 16/17</v>
      </c>
      <c r="H1105" s="2">
        <v>5329.67</v>
      </c>
      <c r="I1105" t="str">
        <f t="shared" ref="I1105:I1123" si="10">"UNEMPLOYMENT 16/17"</f>
        <v>UNEMPLOYMENT 16/17</v>
      </c>
    </row>
    <row r="1106" spans="1:9" x14ac:dyDescent="0.3">
      <c r="A1106" t="str">
        <f>""</f>
        <v/>
      </c>
      <c r="F1106" t="str">
        <f>""</f>
        <v/>
      </c>
      <c r="G1106" t="str">
        <f>""</f>
        <v/>
      </c>
      <c r="I1106" t="str">
        <f t="shared" si="10"/>
        <v>UNEMPLOYMENT 16/17</v>
      </c>
    </row>
    <row r="1107" spans="1:9" x14ac:dyDescent="0.3">
      <c r="A1107" t="str">
        <f>""</f>
        <v/>
      </c>
      <c r="F1107" t="str">
        <f>""</f>
        <v/>
      </c>
      <c r="G1107" t="str">
        <f>""</f>
        <v/>
      </c>
      <c r="I1107" t="str">
        <f t="shared" si="10"/>
        <v>UNEMPLOYMENT 16/17</v>
      </c>
    </row>
    <row r="1108" spans="1:9" x14ac:dyDescent="0.3">
      <c r="A1108" t="str">
        <f>""</f>
        <v/>
      </c>
      <c r="F1108" t="str">
        <f>""</f>
        <v/>
      </c>
      <c r="G1108" t="str">
        <f>""</f>
        <v/>
      </c>
      <c r="I1108" t="str">
        <f t="shared" si="10"/>
        <v>UNEMPLOYMENT 16/17</v>
      </c>
    </row>
    <row r="1109" spans="1:9" x14ac:dyDescent="0.3">
      <c r="A1109" t="str">
        <f>""</f>
        <v/>
      </c>
      <c r="F1109" t="str">
        <f>""</f>
        <v/>
      </c>
      <c r="G1109" t="str">
        <f>""</f>
        <v/>
      </c>
      <c r="I1109" t="str">
        <f t="shared" si="10"/>
        <v>UNEMPLOYMENT 16/17</v>
      </c>
    </row>
    <row r="1110" spans="1:9" x14ac:dyDescent="0.3">
      <c r="A1110" t="str">
        <f>""</f>
        <v/>
      </c>
      <c r="F1110" t="str">
        <f>""</f>
        <v/>
      </c>
      <c r="G1110" t="str">
        <f>""</f>
        <v/>
      </c>
      <c r="I1110" t="str">
        <f t="shared" si="10"/>
        <v>UNEMPLOYMENT 16/17</v>
      </c>
    </row>
    <row r="1111" spans="1:9" x14ac:dyDescent="0.3">
      <c r="A1111" t="str">
        <f>""</f>
        <v/>
      </c>
      <c r="F1111" t="str">
        <f>""</f>
        <v/>
      </c>
      <c r="G1111" t="str">
        <f>""</f>
        <v/>
      </c>
      <c r="I1111" t="str">
        <f t="shared" si="10"/>
        <v>UNEMPLOYMENT 16/17</v>
      </c>
    </row>
    <row r="1112" spans="1:9" x14ac:dyDescent="0.3">
      <c r="A1112" t="str">
        <f>""</f>
        <v/>
      </c>
      <c r="F1112" t="str">
        <f>""</f>
        <v/>
      </c>
      <c r="G1112" t="str">
        <f>""</f>
        <v/>
      </c>
      <c r="I1112" t="str">
        <f t="shared" si="10"/>
        <v>UNEMPLOYMENT 16/17</v>
      </c>
    </row>
    <row r="1113" spans="1:9" x14ac:dyDescent="0.3">
      <c r="A1113" t="str">
        <f>""</f>
        <v/>
      </c>
      <c r="F1113" t="str">
        <f>""</f>
        <v/>
      </c>
      <c r="G1113" t="str">
        <f>""</f>
        <v/>
      </c>
      <c r="I1113" t="str">
        <f t="shared" si="10"/>
        <v>UNEMPLOYMENT 16/17</v>
      </c>
    </row>
    <row r="1114" spans="1:9" x14ac:dyDescent="0.3">
      <c r="A1114" t="str">
        <f>""</f>
        <v/>
      </c>
      <c r="F1114" t="str">
        <f>""</f>
        <v/>
      </c>
      <c r="G1114" t="str">
        <f>""</f>
        <v/>
      </c>
      <c r="I1114" t="str">
        <f t="shared" si="10"/>
        <v>UNEMPLOYMENT 16/17</v>
      </c>
    </row>
    <row r="1115" spans="1:9" x14ac:dyDescent="0.3">
      <c r="A1115" t="str">
        <f>""</f>
        <v/>
      </c>
      <c r="F1115" t="str">
        <f>""</f>
        <v/>
      </c>
      <c r="G1115" t="str">
        <f>""</f>
        <v/>
      </c>
      <c r="I1115" t="str">
        <f t="shared" si="10"/>
        <v>UNEMPLOYMENT 16/17</v>
      </c>
    </row>
    <row r="1116" spans="1:9" x14ac:dyDescent="0.3">
      <c r="A1116" t="str">
        <f>""</f>
        <v/>
      </c>
      <c r="F1116" t="str">
        <f>""</f>
        <v/>
      </c>
      <c r="G1116" t="str">
        <f>""</f>
        <v/>
      </c>
      <c r="I1116" t="str">
        <f t="shared" si="10"/>
        <v>UNEMPLOYMENT 16/17</v>
      </c>
    </row>
    <row r="1117" spans="1:9" x14ac:dyDescent="0.3">
      <c r="A1117" t="str">
        <f>""</f>
        <v/>
      </c>
      <c r="F1117" t="str">
        <f>""</f>
        <v/>
      </c>
      <c r="G1117" t="str">
        <f>""</f>
        <v/>
      </c>
      <c r="I1117" t="str">
        <f t="shared" si="10"/>
        <v>UNEMPLOYMENT 16/17</v>
      </c>
    </row>
    <row r="1118" spans="1:9" x14ac:dyDescent="0.3">
      <c r="A1118" t="str">
        <f>""</f>
        <v/>
      </c>
      <c r="F1118" t="str">
        <f>""</f>
        <v/>
      </c>
      <c r="G1118" t="str">
        <f>""</f>
        <v/>
      </c>
      <c r="I1118" t="str">
        <f t="shared" si="10"/>
        <v>UNEMPLOYMENT 16/17</v>
      </c>
    </row>
    <row r="1119" spans="1:9" x14ac:dyDescent="0.3">
      <c r="A1119" t="str">
        <f>""</f>
        <v/>
      </c>
      <c r="F1119" t="str">
        <f>""</f>
        <v/>
      </c>
      <c r="G1119" t="str">
        <f>""</f>
        <v/>
      </c>
      <c r="I1119" t="str">
        <f t="shared" si="10"/>
        <v>UNEMPLOYMENT 16/17</v>
      </c>
    </row>
    <row r="1120" spans="1:9" x14ac:dyDescent="0.3">
      <c r="A1120" t="str">
        <f>""</f>
        <v/>
      </c>
      <c r="F1120" t="str">
        <f>""</f>
        <v/>
      </c>
      <c r="G1120" t="str">
        <f>""</f>
        <v/>
      </c>
      <c r="I1120" t="str">
        <f t="shared" si="10"/>
        <v>UNEMPLOYMENT 16/17</v>
      </c>
    </row>
    <row r="1121" spans="1:9" x14ac:dyDescent="0.3">
      <c r="A1121" t="str">
        <f>""</f>
        <v/>
      </c>
      <c r="F1121" t="str">
        <f>""</f>
        <v/>
      </c>
      <c r="G1121" t="str">
        <f>""</f>
        <v/>
      </c>
      <c r="I1121" t="str">
        <f t="shared" si="10"/>
        <v>UNEMPLOYMENT 16/17</v>
      </c>
    </row>
    <row r="1122" spans="1:9" x14ac:dyDescent="0.3">
      <c r="A1122" t="str">
        <f>""</f>
        <v/>
      </c>
      <c r="F1122" t="str">
        <f>""</f>
        <v/>
      </c>
      <c r="G1122" t="str">
        <f>""</f>
        <v/>
      </c>
      <c r="I1122" t="str">
        <f t="shared" si="10"/>
        <v>UNEMPLOYMENT 16/17</v>
      </c>
    </row>
    <row r="1123" spans="1:9" x14ac:dyDescent="0.3">
      <c r="A1123" t="str">
        <f>""</f>
        <v/>
      </c>
      <c r="F1123" t="str">
        <f>""</f>
        <v/>
      </c>
      <c r="G1123" t="str">
        <f>""</f>
        <v/>
      </c>
      <c r="I1123" t="str">
        <f t="shared" si="10"/>
        <v>UNEMPLOYMENT 16/17</v>
      </c>
    </row>
    <row r="1124" spans="1:9" x14ac:dyDescent="0.3">
      <c r="A1124" t="str">
        <f>""</f>
        <v/>
      </c>
      <c r="F1124" t="str">
        <f>""</f>
        <v/>
      </c>
      <c r="G1124" t="str">
        <f>""</f>
        <v/>
      </c>
      <c r="I1124" t="str">
        <f t="shared" ref="I1124:I1139" si="11">"UNEMPLOYMENT 11/17"</f>
        <v>UNEMPLOYMENT 11/17</v>
      </c>
    </row>
    <row r="1125" spans="1:9" x14ac:dyDescent="0.3">
      <c r="A1125" t="str">
        <f>""</f>
        <v/>
      </c>
      <c r="F1125" t="str">
        <f>""</f>
        <v/>
      </c>
      <c r="G1125" t="str">
        <f>""</f>
        <v/>
      </c>
      <c r="I1125" t="str">
        <f t="shared" si="11"/>
        <v>UNEMPLOYMENT 11/17</v>
      </c>
    </row>
    <row r="1126" spans="1:9" x14ac:dyDescent="0.3">
      <c r="A1126" t="str">
        <f>""</f>
        <v/>
      </c>
      <c r="F1126" t="str">
        <f>""</f>
        <v/>
      </c>
      <c r="G1126" t="str">
        <f>""</f>
        <v/>
      </c>
      <c r="I1126" t="str">
        <f t="shared" si="11"/>
        <v>UNEMPLOYMENT 11/17</v>
      </c>
    </row>
    <row r="1127" spans="1:9" x14ac:dyDescent="0.3">
      <c r="A1127" t="str">
        <f>""</f>
        <v/>
      </c>
      <c r="F1127" t="str">
        <f>""</f>
        <v/>
      </c>
      <c r="G1127" t="str">
        <f>""</f>
        <v/>
      </c>
      <c r="I1127" t="str">
        <f t="shared" si="11"/>
        <v>UNEMPLOYMENT 11/17</v>
      </c>
    </row>
    <row r="1128" spans="1:9" x14ac:dyDescent="0.3">
      <c r="A1128" t="str">
        <f>""</f>
        <v/>
      </c>
      <c r="F1128" t="str">
        <f>""</f>
        <v/>
      </c>
      <c r="G1128" t="str">
        <f>""</f>
        <v/>
      </c>
      <c r="I1128" t="str">
        <f t="shared" si="11"/>
        <v>UNEMPLOYMENT 11/17</v>
      </c>
    </row>
    <row r="1129" spans="1:9" x14ac:dyDescent="0.3">
      <c r="A1129" t="str">
        <f>""</f>
        <v/>
      </c>
      <c r="F1129" t="str">
        <f>""</f>
        <v/>
      </c>
      <c r="G1129" t="str">
        <f>""</f>
        <v/>
      </c>
      <c r="I1129" t="str">
        <f t="shared" si="11"/>
        <v>UNEMPLOYMENT 11/17</v>
      </c>
    </row>
    <row r="1130" spans="1:9" x14ac:dyDescent="0.3">
      <c r="A1130" t="str">
        <f>""</f>
        <v/>
      </c>
      <c r="F1130" t="str">
        <f>""</f>
        <v/>
      </c>
      <c r="G1130" t="str">
        <f>""</f>
        <v/>
      </c>
      <c r="I1130" t="str">
        <f t="shared" si="11"/>
        <v>UNEMPLOYMENT 11/17</v>
      </c>
    </row>
    <row r="1131" spans="1:9" x14ac:dyDescent="0.3">
      <c r="A1131" t="str">
        <f>""</f>
        <v/>
      </c>
      <c r="F1131" t="str">
        <f>""</f>
        <v/>
      </c>
      <c r="G1131" t="str">
        <f>""</f>
        <v/>
      </c>
      <c r="I1131" t="str">
        <f t="shared" si="11"/>
        <v>UNEMPLOYMENT 11/17</v>
      </c>
    </row>
    <row r="1132" spans="1:9" x14ac:dyDescent="0.3">
      <c r="A1132" t="str">
        <f>""</f>
        <v/>
      </c>
      <c r="F1132" t="str">
        <f>""</f>
        <v/>
      </c>
      <c r="G1132" t="str">
        <f>""</f>
        <v/>
      </c>
      <c r="I1132" t="str">
        <f t="shared" si="11"/>
        <v>UNEMPLOYMENT 11/17</v>
      </c>
    </row>
    <row r="1133" spans="1:9" x14ac:dyDescent="0.3">
      <c r="A1133" t="str">
        <f>""</f>
        <v/>
      </c>
      <c r="F1133" t="str">
        <f>""</f>
        <v/>
      </c>
      <c r="G1133" t="str">
        <f>""</f>
        <v/>
      </c>
      <c r="I1133" t="str">
        <f t="shared" si="11"/>
        <v>UNEMPLOYMENT 11/17</v>
      </c>
    </row>
    <row r="1134" spans="1:9" x14ac:dyDescent="0.3">
      <c r="A1134" t="str">
        <f>""</f>
        <v/>
      </c>
      <c r="F1134" t="str">
        <f>""</f>
        <v/>
      </c>
      <c r="G1134" t="str">
        <f>""</f>
        <v/>
      </c>
      <c r="I1134" t="str">
        <f t="shared" si="11"/>
        <v>UNEMPLOYMENT 11/17</v>
      </c>
    </row>
    <row r="1135" spans="1:9" x14ac:dyDescent="0.3">
      <c r="A1135" t="str">
        <f>""</f>
        <v/>
      </c>
      <c r="F1135" t="str">
        <f>""</f>
        <v/>
      </c>
      <c r="G1135" t="str">
        <f>""</f>
        <v/>
      </c>
      <c r="I1135" t="str">
        <f t="shared" si="11"/>
        <v>UNEMPLOYMENT 11/17</v>
      </c>
    </row>
    <row r="1136" spans="1:9" x14ac:dyDescent="0.3">
      <c r="A1136" t="str">
        <f>""</f>
        <v/>
      </c>
      <c r="F1136" t="str">
        <f>""</f>
        <v/>
      </c>
      <c r="G1136" t="str">
        <f>""</f>
        <v/>
      </c>
      <c r="I1136" t="str">
        <f t="shared" si="11"/>
        <v>UNEMPLOYMENT 11/17</v>
      </c>
    </row>
    <row r="1137" spans="1:9" x14ac:dyDescent="0.3">
      <c r="A1137" t="str">
        <f>""</f>
        <v/>
      </c>
      <c r="F1137" t="str">
        <f>""</f>
        <v/>
      </c>
      <c r="G1137" t="str">
        <f>""</f>
        <v/>
      </c>
      <c r="I1137" t="str">
        <f t="shared" si="11"/>
        <v>UNEMPLOYMENT 11/17</v>
      </c>
    </row>
    <row r="1138" spans="1:9" x14ac:dyDescent="0.3">
      <c r="A1138" t="str">
        <f>""</f>
        <v/>
      </c>
      <c r="F1138" t="str">
        <f>""</f>
        <v/>
      </c>
      <c r="G1138" t="str">
        <f>""</f>
        <v/>
      </c>
      <c r="I1138" t="str">
        <f t="shared" si="11"/>
        <v>UNEMPLOYMENT 11/17</v>
      </c>
    </row>
    <row r="1139" spans="1:9" x14ac:dyDescent="0.3">
      <c r="A1139" t="str">
        <f>""</f>
        <v/>
      </c>
      <c r="F1139" t="str">
        <f>""</f>
        <v/>
      </c>
      <c r="G1139" t="str">
        <f>""</f>
        <v/>
      </c>
      <c r="I1139" t="str">
        <f t="shared" si="11"/>
        <v>UNEMPLOYMENT 11/17</v>
      </c>
    </row>
    <row r="1140" spans="1:9" x14ac:dyDescent="0.3">
      <c r="A1140" t="str">
        <f>"TACRMP"</f>
        <v>TACRMP</v>
      </c>
      <c r="B1140" t="s">
        <v>376</v>
      </c>
      <c r="C1140">
        <v>70046</v>
      </c>
      <c r="D1140" s="2">
        <v>685.02</v>
      </c>
      <c r="E1140" s="1">
        <v>42849</v>
      </c>
      <c r="F1140" t="str">
        <f>"201704131207"</f>
        <v>201704131207</v>
      </c>
      <c r="G1140" t="str">
        <f>"ARTS SUBSCRIPTION FEE"</f>
        <v>ARTS SUBSCRIPTION FEE</v>
      </c>
      <c r="H1140" s="2">
        <v>685.02</v>
      </c>
      <c r="I1140" t="str">
        <f>"ARTS SUBSCRIPTION FEE"</f>
        <v>ARTS SUBSCRIPTION FEE</v>
      </c>
    </row>
    <row r="1141" spans="1:9" x14ac:dyDescent="0.3">
      <c r="A1141" t="str">
        <f>"002122"</f>
        <v>002122</v>
      </c>
      <c r="B1141" t="s">
        <v>377</v>
      </c>
      <c r="C1141">
        <v>69832</v>
      </c>
      <c r="D1141" s="2">
        <v>273.27999999999997</v>
      </c>
      <c r="E1141" s="1">
        <v>42849</v>
      </c>
      <c r="F1141" t="str">
        <f>"A209937/A212140"</f>
        <v>A209937/A212140</v>
      </c>
      <c r="G1141" t="str">
        <f>"ACCT#0005/PCT#4"</f>
        <v>ACCT#0005/PCT#4</v>
      </c>
      <c r="H1141" s="2">
        <v>273.27999999999997</v>
      </c>
      <c r="I1141" t="str">
        <f>"ACCT#0005/PCT#4"</f>
        <v>ACCT#0005/PCT#4</v>
      </c>
    </row>
    <row r="1142" spans="1:9" x14ac:dyDescent="0.3">
      <c r="A1142" t="str">
        <f>"T13642"</f>
        <v>T13642</v>
      </c>
      <c r="B1142" t="s">
        <v>378</v>
      </c>
      <c r="C1142">
        <v>70003</v>
      </c>
      <c r="D1142" s="2">
        <v>2000</v>
      </c>
      <c r="E1142" s="1">
        <v>42849</v>
      </c>
      <c r="F1142" t="str">
        <f>"201704191345"</f>
        <v>201704191345</v>
      </c>
      <c r="G1142" t="str">
        <f>"HMGP IN KIND/EXPENSE"</f>
        <v>HMGP IN KIND/EXPENSE</v>
      </c>
      <c r="H1142" s="2">
        <v>2000</v>
      </c>
      <c r="I1142" t="str">
        <f>"HMGP IN KIND/EXPENSE"</f>
        <v>HMGP IN KIND/EXPENSE</v>
      </c>
    </row>
    <row r="1143" spans="1:9" x14ac:dyDescent="0.3">
      <c r="A1143" t="str">
        <f>"T11148"</f>
        <v>T11148</v>
      </c>
      <c r="B1143" t="s">
        <v>379</v>
      </c>
      <c r="C1143">
        <v>69991</v>
      </c>
      <c r="D1143" s="2">
        <v>90</v>
      </c>
      <c r="E1143" s="1">
        <v>42849</v>
      </c>
      <c r="F1143" t="str">
        <f>"201704201404"</f>
        <v>201704201404</v>
      </c>
      <c r="G1143" t="str">
        <f>"BOND FEE RECEIPTS"</f>
        <v>BOND FEE RECEIPTS</v>
      </c>
      <c r="H1143" s="2">
        <v>90</v>
      </c>
      <c r="I1143" t="str">
        <f>"BOND FEE RECEIPTS"</f>
        <v>BOND FEE RECEIPTS</v>
      </c>
    </row>
    <row r="1144" spans="1:9" x14ac:dyDescent="0.3">
      <c r="A1144" t="str">
        <f>"TCSC"</f>
        <v>TCSC</v>
      </c>
      <c r="B1144" t="s">
        <v>380</v>
      </c>
      <c r="C1144">
        <v>69516</v>
      </c>
      <c r="D1144" s="2">
        <v>5128.22</v>
      </c>
      <c r="E1144" s="1">
        <v>42830</v>
      </c>
      <c r="F1144" t="str">
        <f>"11178"</f>
        <v>11178</v>
      </c>
      <c r="G1144" t="str">
        <f>"CUST#1574/BASE/PCT#4"</f>
        <v>CUST#1574/BASE/PCT#4</v>
      </c>
      <c r="H1144" s="2">
        <v>423.26</v>
      </c>
      <c r="I1144" t="str">
        <f>"CUST#1574/BASE/PCT#4"</f>
        <v>CUST#1574/BASE/PCT#4</v>
      </c>
    </row>
    <row r="1145" spans="1:9" x14ac:dyDescent="0.3">
      <c r="A1145" t="str">
        <f>""</f>
        <v/>
      </c>
      <c r="F1145" t="str">
        <f>"11671"</f>
        <v>11671</v>
      </c>
      <c r="G1145" t="str">
        <f>"CUST#1574/BASE/PCT#4"</f>
        <v>CUST#1574/BASE/PCT#4</v>
      </c>
      <c r="H1145" s="2">
        <v>427.13</v>
      </c>
      <c r="I1145" t="str">
        <f>"CUST#1574/BASE/PCT#4"</f>
        <v>CUST#1574/BASE/PCT#4</v>
      </c>
    </row>
    <row r="1146" spans="1:9" x14ac:dyDescent="0.3">
      <c r="A1146" t="str">
        <f>""</f>
        <v/>
      </c>
      <c r="F1146" t="str">
        <f>"11953"</f>
        <v>11953</v>
      </c>
      <c r="G1146" t="str">
        <f>"CUST#1574/PCT#4"</f>
        <v>CUST#1574/PCT#4</v>
      </c>
      <c r="H1146" s="2">
        <v>534.39</v>
      </c>
      <c r="I1146" t="str">
        <f>"CUST#1574/PCT#4"</f>
        <v>CUST#1574/PCT#4</v>
      </c>
    </row>
    <row r="1147" spans="1:9" x14ac:dyDescent="0.3">
      <c r="A1147" t="str">
        <f>""</f>
        <v/>
      </c>
      <c r="F1147" t="str">
        <f>"12399"</f>
        <v>12399</v>
      </c>
      <c r="G1147" t="str">
        <f t="shared" ref="G1147:G1152" si="12">"CUST#1574/BASE/PCT#4"</f>
        <v>CUST#1574/BASE/PCT#4</v>
      </c>
      <c r="H1147" s="2">
        <v>422.96</v>
      </c>
      <c r="I1147" t="str">
        <f t="shared" ref="I1147:I1152" si="13">"CUST#1574/BASE/PCT#4"</f>
        <v>CUST#1574/BASE/PCT#4</v>
      </c>
    </row>
    <row r="1148" spans="1:9" x14ac:dyDescent="0.3">
      <c r="A1148" t="str">
        <f>""</f>
        <v/>
      </c>
      <c r="F1148" t="str">
        <f>"12653"</f>
        <v>12653</v>
      </c>
      <c r="G1148" t="str">
        <f t="shared" si="12"/>
        <v>CUST#1574/BASE/PCT#4</v>
      </c>
      <c r="H1148" s="2">
        <v>559.02</v>
      </c>
      <c r="I1148" t="str">
        <f t="shared" si="13"/>
        <v>CUST#1574/BASE/PCT#4</v>
      </c>
    </row>
    <row r="1149" spans="1:9" x14ac:dyDescent="0.3">
      <c r="A1149" t="str">
        <f>""</f>
        <v/>
      </c>
      <c r="F1149" t="str">
        <f>"12875"</f>
        <v>12875</v>
      </c>
      <c r="G1149" t="str">
        <f t="shared" si="12"/>
        <v>CUST#1574/BASE/PCT#4</v>
      </c>
      <c r="H1149" s="2">
        <v>415.21</v>
      </c>
      <c r="I1149" t="str">
        <f t="shared" si="13"/>
        <v>CUST#1574/BASE/PCT#4</v>
      </c>
    </row>
    <row r="1150" spans="1:9" x14ac:dyDescent="0.3">
      <c r="A1150" t="str">
        <f>""</f>
        <v/>
      </c>
      <c r="F1150" t="str">
        <f>"13070"</f>
        <v>13070</v>
      </c>
      <c r="G1150" t="str">
        <f t="shared" si="12"/>
        <v>CUST#1574/BASE/PCT#4</v>
      </c>
      <c r="H1150" s="2">
        <v>841.73</v>
      </c>
      <c r="I1150" t="str">
        <f t="shared" si="13"/>
        <v>CUST#1574/BASE/PCT#4</v>
      </c>
    </row>
    <row r="1151" spans="1:9" x14ac:dyDescent="0.3">
      <c r="A1151" t="str">
        <f>""</f>
        <v/>
      </c>
      <c r="F1151" t="str">
        <f>"13295"</f>
        <v>13295</v>
      </c>
      <c r="G1151" t="str">
        <f t="shared" si="12"/>
        <v>CUST#1574/BASE/PCT#4</v>
      </c>
      <c r="H1151" s="2">
        <v>952.03</v>
      </c>
      <c r="I1151" t="str">
        <f t="shared" si="13"/>
        <v>CUST#1574/BASE/PCT#4</v>
      </c>
    </row>
    <row r="1152" spans="1:9" x14ac:dyDescent="0.3">
      <c r="A1152" t="str">
        <f>""</f>
        <v/>
      </c>
      <c r="F1152" t="str">
        <f>"13693"</f>
        <v>13693</v>
      </c>
      <c r="G1152" t="str">
        <f t="shared" si="12"/>
        <v>CUST#1574/BASE/PCT#4</v>
      </c>
      <c r="H1152" s="2">
        <v>552.49</v>
      </c>
      <c r="I1152" t="str">
        <f t="shared" si="13"/>
        <v>CUST#1574/BASE/PCT#4</v>
      </c>
    </row>
    <row r="1153" spans="1:9" x14ac:dyDescent="0.3">
      <c r="A1153" t="str">
        <f>"TCSC"</f>
        <v>TCSC</v>
      </c>
      <c r="B1153" t="s">
        <v>380</v>
      </c>
      <c r="C1153">
        <v>70047</v>
      </c>
      <c r="D1153" s="2">
        <v>1963.02</v>
      </c>
      <c r="E1153" s="1">
        <v>42849</v>
      </c>
      <c r="F1153" t="str">
        <f>"13923"</f>
        <v>13923</v>
      </c>
      <c r="G1153" t="str">
        <f>"CUST#1574/PCT#4"</f>
        <v>CUST#1574/PCT#4</v>
      </c>
      <c r="H1153" s="2">
        <v>993.38</v>
      </c>
      <c r="I1153" t="str">
        <f>"CUST#1574/PCT#4"</f>
        <v>CUST#1574/PCT#4</v>
      </c>
    </row>
    <row r="1154" spans="1:9" x14ac:dyDescent="0.3">
      <c r="A1154" t="str">
        <f>""</f>
        <v/>
      </c>
      <c r="F1154" t="str">
        <f>"14186"</f>
        <v>14186</v>
      </c>
      <c r="G1154" t="str">
        <f>"CUST#1574BASE/PCT#4"</f>
        <v>CUST#1574BASE/PCT#4</v>
      </c>
      <c r="H1154" s="2">
        <v>425.32</v>
      </c>
      <c r="I1154" t="str">
        <f>"CUST#1574BASE/PCT#4"</f>
        <v>CUST#1574BASE/PCT#4</v>
      </c>
    </row>
    <row r="1155" spans="1:9" x14ac:dyDescent="0.3">
      <c r="A1155" t="str">
        <f>""</f>
        <v/>
      </c>
      <c r="F1155" t="str">
        <f>"14351"</f>
        <v>14351</v>
      </c>
      <c r="G1155" t="str">
        <f>"CUST#1574/BASE/PCT#4"</f>
        <v>CUST#1574/BASE/PCT#4</v>
      </c>
      <c r="H1155" s="2">
        <v>411.22</v>
      </c>
      <c r="I1155" t="str">
        <f>"CUST#1574/BASE/PCT#4"</f>
        <v>CUST#1574/BASE/PCT#4</v>
      </c>
    </row>
    <row r="1156" spans="1:9" x14ac:dyDescent="0.3">
      <c r="A1156" t="str">
        <f>""</f>
        <v/>
      </c>
      <c r="F1156" t="str">
        <f>"14601"</f>
        <v>14601</v>
      </c>
      <c r="G1156" t="str">
        <f>"CUST#1574/BASE/PCT#4"</f>
        <v>CUST#1574/BASE/PCT#4</v>
      </c>
      <c r="H1156" s="2">
        <v>133.1</v>
      </c>
      <c r="I1156" t="str">
        <f>"CUST#1574/BASE/PCT#4"</f>
        <v>CUST#1574/BASE/PCT#4</v>
      </c>
    </row>
    <row r="1157" spans="1:9" x14ac:dyDescent="0.3">
      <c r="A1157" t="str">
        <f>"001721"</f>
        <v>001721</v>
      </c>
      <c r="B1157" t="s">
        <v>381</v>
      </c>
      <c r="C1157">
        <v>69736</v>
      </c>
      <c r="D1157" s="2">
        <v>9</v>
      </c>
      <c r="E1157" s="1">
        <v>42835</v>
      </c>
      <c r="F1157" t="str">
        <f>"CRS-201702-115236"</f>
        <v>CRS-201702-115236</v>
      </c>
      <c r="G1157" t="str">
        <f>"RTI#700010/SEARCHES"</f>
        <v>RTI#700010/SEARCHES</v>
      </c>
      <c r="H1157" s="2">
        <v>9</v>
      </c>
      <c r="I1157" t="str">
        <f>"RTI#700010/SEARCHES"</f>
        <v>RTI#700010/SEARCHES</v>
      </c>
    </row>
    <row r="1158" spans="1:9" x14ac:dyDescent="0.3">
      <c r="A1158" t="str">
        <f>"001721"</f>
        <v>001721</v>
      </c>
      <c r="B1158" t="s">
        <v>381</v>
      </c>
      <c r="C1158">
        <v>69822</v>
      </c>
      <c r="D1158" s="2">
        <v>16</v>
      </c>
      <c r="E1158" s="1">
        <v>42849</v>
      </c>
      <c r="F1158" t="str">
        <f>"CRS-201703-117244"</f>
        <v>CRS-201703-117244</v>
      </c>
      <c r="G1158" t="str">
        <f>"CCH NAME SEARCH"</f>
        <v>CCH NAME SEARCH</v>
      </c>
      <c r="H1158" s="2">
        <v>16</v>
      </c>
      <c r="I1158" t="str">
        <f>"CCH NAME SEARCH"</f>
        <v>CCH NAME SEARCH</v>
      </c>
    </row>
    <row r="1159" spans="1:9" x14ac:dyDescent="0.3">
      <c r="A1159" t="str">
        <f>"002354"</f>
        <v>002354</v>
      </c>
      <c r="B1159" t="s">
        <v>381</v>
      </c>
      <c r="C1159">
        <v>69842</v>
      </c>
      <c r="D1159" s="2">
        <v>180</v>
      </c>
      <c r="E1159" s="1">
        <v>42849</v>
      </c>
      <c r="F1159" t="str">
        <f>"15952"</f>
        <v>15952</v>
      </c>
      <c r="G1159" t="str">
        <f>"RESTITUTION-D YOUNG"</f>
        <v>RESTITUTION-D YOUNG</v>
      </c>
      <c r="H1159" s="2">
        <v>180</v>
      </c>
      <c r="I1159" t="str">
        <f>"RESTITUTION-D YOUNG"</f>
        <v>RESTITUTION-D YOUNG</v>
      </c>
    </row>
    <row r="1160" spans="1:9" x14ac:dyDescent="0.3">
      <c r="A1160" t="str">
        <f>"T3533"</f>
        <v>T3533</v>
      </c>
      <c r="B1160" t="s">
        <v>382</v>
      </c>
      <c r="C1160">
        <v>70017</v>
      </c>
      <c r="D1160" s="2">
        <v>40</v>
      </c>
      <c r="E1160" s="1">
        <v>42849</v>
      </c>
      <c r="F1160" t="str">
        <f>"201704171211"</f>
        <v>201704171211</v>
      </c>
      <c r="G1160" t="str">
        <f>"ELBI#18057/DECAL#57602/ER#1989"</f>
        <v>ELBI#18057/DECAL#57602/ER#1989</v>
      </c>
      <c r="H1160" s="2">
        <v>20</v>
      </c>
    </row>
    <row r="1161" spans="1:9" x14ac:dyDescent="0.3">
      <c r="A1161" t="str">
        <f>""</f>
        <v/>
      </c>
      <c r="F1161" t="str">
        <f>"201704171212"</f>
        <v>201704171212</v>
      </c>
      <c r="G1161" t="str">
        <f>"ELBI#18057/DECAL#57601/ER1988"</f>
        <v>ELBI#18057/DECAL#57601/ER1988</v>
      </c>
      <c r="H1161" s="2">
        <v>20</v>
      </c>
    </row>
    <row r="1162" spans="1:9" x14ac:dyDescent="0.3">
      <c r="A1162" t="str">
        <f>"T3533"</f>
        <v>T3533</v>
      </c>
      <c r="B1162" t="s">
        <v>382</v>
      </c>
      <c r="C1162">
        <v>70017</v>
      </c>
      <c r="D1162" s="2">
        <v>40</v>
      </c>
      <c r="E1162" s="1">
        <v>42849</v>
      </c>
      <c r="F1162" t="str">
        <f>"CHECK"</f>
        <v>CHECK</v>
      </c>
      <c r="G1162" t="str">
        <f>""</f>
        <v/>
      </c>
      <c r="H1162" s="2">
        <v>40</v>
      </c>
    </row>
    <row r="1163" spans="1:9" x14ac:dyDescent="0.3">
      <c r="A1163" t="str">
        <f>"T7170"</f>
        <v>T7170</v>
      </c>
      <c r="B1163" t="s">
        <v>383</v>
      </c>
      <c r="C1163">
        <v>69737</v>
      </c>
      <c r="D1163" s="2">
        <v>1220</v>
      </c>
      <c r="E1163" s="1">
        <v>42835</v>
      </c>
      <c r="F1163" t="str">
        <f>"3CO-0425-17"</f>
        <v>3CO-0425-17</v>
      </c>
      <c r="G1163" t="str">
        <f>"TKT#A8167401-R HERNANDEZ"</f>
        <v>TKT#A8167401-R HERNANDEZ</v>
      </c>
      <c r="H1163" s="2">
        <v>170</v>
      </c>
      <c r="I1163" t="str">
        <f>"TKT#A8167401-R HERNANDEZ"</f>
        <v>TKT#A8167401-R HERNANDEZ</v>
      </c>
    </row>
    <row r="1164" spans="1:9" x14ac:dyDescent="0.3">
      <c r="A1164" t="str">
        <f>""</f>
        <v/>
      </c>
      <c r="F1164" t="str">
        <f>"3CO-0426-17"</f>
        <v>3CO-0426-17</v>
      </c>
      <c r="G1164" t="str">
        <f>"TKT#A8167402/R HERNANDEZ"</f>
        <v>TKT#A8167402/R HERNANDEZ</v>
      </c>
      <c r="H1164" s="2">
        <v>382.5</v>
      </c>
      <c r="I1164" t="str">
        <f>"TKT#A8167402/R HERNANDEZ"</f>
        <v>TKT#A8167402/R HERNANDEZ</v>
      </c>
    </row>
    <row r="1165" spans="1:9" x14ac:dyDescent="0.3">
      <c r="A1165" t="str">
        <f>""</f>
        <v/>
      </c>
      <c r="F1165" t="str">
        <f>"J2-45221"</f>
        <v>J2-45221</v>
      </c>
      <c r="G1165" t="str">
        <f>"TKT#A8167412-JC GUMFORY"</f>
        <v>TKT#A8167412-JC GUMFORY</v>
      </c>
      <c r="H1165" s="2">
        <v>157.25</v>
      </c>
      <c r="I1165" t="str">
        <f>"TKT#A8167412-JC GUMFORY"</f>
        <v>TKT#A8167412-JC GUMFORY</v>
      </c>
    </row>
    <row r="1166" spans="1:9" x14ac:dyDescent="0.3">
      <c r="A1166" t="str">
        <f>""</f>
        <v/>
      </c>
      <c r="F1166" t="str">
        <f>"J2-45223"</f>
        <v>J2-45223</v>
      </c>
      <c r="G1166" t="str">
        <f>"TKT#A8193591/J W GUMFORY"</f>
        <v>TKT#A8193591/J W GUMFORY</v>
      </c>
      <c r="H1166" s="2">
        <v>157.25</v>
      </c>
      <c r="I1166" t="str">
        <f>"TKT#A8193591/J W GUMFORY"</f>
        <v>TKT#A8193591/J W GUMFORY</v>
      </c>
    </row>
    <row r="1167" spans="1:9" x14ac:dyDescent="0.3">
      <c r="A1167" t="str">
        <f>""</f>
        <v/>
      </c>
      <c r="F1167" t="str">
        <f>"J2-45328"</f>
        <v>J2-45328</v>
      </c>
      <c r="G1167" t="str">
        <f>"TKT#A10342/C L LANDRY"</f>
        <v>TKT#A10342/C L LANDRY</v>
      </c>
      <c r="H1167" s="2">
        <v>81</v>
      </c>
      <c r="I1167" t="str">
        <f>"TKT#A10342/C L LANDRY"</f>
        <v>TKT#A10342/C L LANDRY</v>
      </c>
    </row>
    <row r="1168" spans="1:9" x14ac:dyDescent="0.3">
      <c r="A1168" t="str">
        <f>""</f>
        <v/>
      </c>
      <c r="F1168" t="str">
        <f>"J2-45348"</f>
        <v>J2-45348</v>
      </c>
      <c r="G1168" t="str">
        <f>"TKT#A16566/B L FRIEDRICH"</f>
        <v>TKT#A16566/B L FRIEDRICH</v>
      </c>
      <c r="H1168" s="2">
        <v>157.25</v>
      </c>
      <c r="I1168" t="str">
        <f>"TKT#A16566/B L FRIEDRICH"</f>
        <v>TKT#A16566/B L FRIEDRICH</v>
      </c>
    </row>
    <row r="1169" spans="1:9" x14ac:dyDescent="0.3">
      <c r="A1169" t="str">
        <f>""</f>
        <v/>
      </c>
      <c r="F1169" t="str">
        <f>"J239784"</f>
        <v>J239784</v>
      </c>
      <c r="G1169" t="str">
        <f>"TKT#A8101707/A TUFTE JR"</f>
        <v>TKT#A8101707/A TUFTE JR</v>
      </c>
      <c r="H1169" s="2">
        <v>114.75</v>
      </c>
      <c r="I1169" t="str">
        <f>"TKT#A8101707/A TUFTE JR"</f>
        <v>TKT#A8101707/A TUFTE JR</v>
      </c>
    </row>
    <row r="1170" spans="1:9" x14ac:dyDescent="0.3">
      <c r="A1170" t="str">
        <f>"T7170"</f>
        <v>T7170</v>
      </c>
      <c r="B1170" t="s">
        <v>383</v>
      </c>
      <c r="C1170">
        <v>70031</v>
      </c>
      <c r="D1170" s="2">
        <v>111</v>
      </c>
      <c r="E1170" s="1">
        <v>42849</v>
      </c>
      <c r="F1170" t="str">
        <f>"J2-45312"</f>
        <v>J2-45312</v>
      </c>
      <c r="G1170" t="str">
        <f>"TKT#A11787- TB SMITH"</f>
        <v>TKT#A11787- TB SMITH</v>
      </c>
      <c r="H1170" s="2">
        <v>111</v>
      </c>
      <c r="I1170" t="str">
        <f>"TKT#A11787- TB SMITH"</f>
        <v>TKT#A11787- TB SMITH</v>
      </c>
    </row>
    <row r="1171" spans="1:9" x14ac:dyDescent="0.3">
      <c r="A1171" t="str">
        <f>"000565"</f>
        <v>000565</v>
      </c>
      <c r="B1171" t="s">
        <v>384</v>
      </c>
      <c r="C1171">
        <v>69806</v>
      </c>
      <c r="D1171" s="2">
        <v>100</v>
      </c>
      <c r="E1171" s="1">
        <v>42849</v>
      </c>
      <c r="F1171" t="str">
        <f>"201704191360"</f>
        <v>201704191360</v>
      </c>
      <c r="G1171" t="str">
        <f>"TRAINING"</f>
        <v>TRAINING</v>
      </c>
      <c r="H1171" s="2">
        <v>100</v>
      </c>
      <c r="I1171" t="str">
        <f>"TRAINING"</f>
        <v>TRAINING</v>
      </c>
    </row>
    <row r="1172" spans="1:9" x14ac:dyDescent="0.3">
      <c r="A1172" t="str">
        <f>"003077"</f>
        <v>003077</v>
      </c>
      <c r="B1172" t="s">
        <v>385</v>
      </c>
      <c r="C1172">
        <v>69861</v>
      </c>
      <c r="D1172" s="2">
        <v>605</v>
      </c>
      <c r="E1172" s="1">
        <v>42849</v>
      </c>
      <c r="F1172" t="str">
        <f>"201704201418"</f>
        <v>201704201418</v>
      </c>
      <c r="G1172" t="str">
        <f>"PRISONER TRANSPORT"</f>
        <v>PRISONER TRANSPORT</v>
      </c>
      <c r="H1172" s="2">
        <v>605</v>
      </c>
      <c r="I1172" t="str">
        <f>"PRISONER TRANSPORT"</f>
        <v>PRISONER TRANSPORT</v>
      </c>
    </row>
    <row r="1173" spans="1:9" x14ac:dyDescent="0.3">
      <c r="A1173" t="str">
        <f>"003946"</f>
        <v>003946</v>
      </c>
      <c r="B1173" t="s">
        <v>386</v>
      </c>
      <c r="C1173">
        <v>69738</v>
      </c>
      <c r="D1173" s="2">
        <v>254.7</v>
      </c>
      <c r="E1173" s="1">
        <v>42835</v>
      </c>
      <c r="F1173" t="str">
        <f>"201704061131"</f>
        <v>201704061131</v>
      </c>
      <c r="G1173" t="str">
        <f>"54566"</f>
        <v>54566</v>
      </c>
      <c r="H1173" s="2">
        <v>254.7</v>
      </c>
      <c r="I1173" t="str">
        <f>"54566"</f>
        <v>54566</v>
      </c>
    </row>
    <row r="1174" spans="1:9" x14ac:dyDescent="0.3">
      <c r="A1174" t="str">
        <f>"002317"</f>
        <v>002317</v>
      </c>
      <c r="B1174" t="s">
        <v>387</v>
      </c>
      <c r="C1174">
        <v>69739</v>
      </c>
      <c r="D1174" s="2">
        <v>2400</v>
      </c>
      <c r="E1174" s="1">
        <v>42835</v>
      </c>
      <c r="F1174" t="str">
        <f>"201704050644"</f>
        <v>201704050644</v>
      </c>
      <c r="G1174" t="str">
        <f>"16160"</f>
        <v>16160</v>
      </c>
      <c r="H1174" s="2">
        <v>400</v>
      </c>
      <c r="I1174" t="str">
        <f>"16160"</f>
        <v>16160</v>
      </c>
    </row>
    <row r="1175" spans="1:9" x14ac:dyDescent="0.3">
      <c r="A1175" t="str">
        <f>""</f>
        <v/>
      </c>
      <c r="F1175" t="str">
        <f>"201704050645"</f>
        <v>201704050645</v>
      </c>
      <c r="G1175" t="str">
        <f>"2016-224"</f>
        <v>2016-224</v>
      </c>
      <c r="H1175" s="2">
        <v>675</v>
      </c>
      <c r="I1175" t="str">
        <f>"2016-224"</f>
        <v>2016-224</v>
      </c>
    </row>
    <row r="1176" spans="1:9" x14ac:dyDescent="0.3">
      <c r="A1176" t="str">
        <f>""</f>
        <v/>
      </c>
      <c r="F1176" t="str">
        <f>"201704061170"</f>
        <v>201704061170</v>
      </c>
      <c r="G1176" t="str">
        <f>"16-17708"</f>
        <v>16-17708</v>
      </c>
      <c r="H1176" s="2">
        <v>325</v>
      </c>
      <c r="I1176" t="str">
        <f>"16-17708"</f>
        <v>16-17708</v>
      </c>
    </row>
    <row r="1177" spans="1:9" x14ac:dyDescent="0.3">
      <c r="A1177" t="str">
        <f>""</f>
        <v/>
      </c>
      <c r="F1177" t="str">
        <f>"201704061171"</f>
        <v>201704061171</v>
      </c>
      <c r="G1177" t="str">
        <f>"55060 02-0612-1"</f>
        <v>55060 02-0612-1</v>
      </c>
      <c r="H1177" s="2">
        <v>375</v>
      </c>
      <c r="I1177" t="str">
        <f>"55060 02-0612-1"</f>
        <v>55060 02-0612-1</v>
      </c>
    </row>
    <row r="1178" spans="1:9" x14ac:dyDescent="0.3">
      <c r="A1178" t="str">
        <f>""</f>
        <v/>
      </c>
      <c r="F1178" t="str">
        <f>"201704061172"</f>
        <v>201704061172</v>
      </c>
      <c r="G1178" t="str">
        <f>"54810 55064"</f>
        <v>54810 55064</v>
      </c>
      <c r="H1178" s="2">
        <v>375</v>
      </c>
      <c r="I1178" t="str">
        <f>"54810 55064"</f>
        <v>54810 55064</v>
      </c>
    </row>
    <row r="1179" spans="1:9" x14ac:dyDescent="0.3">
      <c r="A1179" t="str">
        <f>""</f>
        <v/>
      </c>
      <c r="F1179" t="str">
        <f>"201704061173"</f>
        <v>201704061173</v>
      </c>
      <c r="G1179" t="str">
        <f>"54957"</f>
        <v>54957</v>
      </c>
      <c r="H1179" s="2">
        <v>250</v>
      </c>
      <c r="I1179" t="str">
        <f>"54957"</f>
        <v>54957</v>
      </c>
    </row>
    <row r="1180" spans="1:9" x14ac:dyDescent="0.3">
      <c r="A1180" t="str">
        <f>"002317"</f>
        <v>002317</v>
      </c>
      <c r="B1180" t="s">
        <v>387</v>
      </c>
      <c r="C1180">
        <v>69836</v>
      </c>
      <c r="D1180" s="2">
        <v>4725</v>
      </c>
      <c r="E1180" s="1">
        <v>42849</v>
      </c>
      <c r="F1180" t="str">
        <f>"201704201533"</f>
        <v>201704201533</v>
      </c>
      <c r="G1180" t="str">
        <f>"20160351"</f>
        <v>20160351</v>
      </c>
      <c r="H1180" s="2">
        <v>250</v>
      </c>
      <c r="I1180" t="str">
        <f>"20160351"</f>
        <v>20160351</v>
      </c>
    </row>
    <row r="1181" spans="1:9" x14ac:dyDescent="0.3">
      <c r="A1181" t="str">
        <f>""</f>
        <v/>
      </c>
      <c r="F1181" t="str">
        <f>"201704201534"</f>
        <v>201704201534</v>
      </c>
      <c r="G1181" t="str">
        <f>"17-18269"</f>
        <v>17-18269</v>
      </c>
      <c r="H1181" s="2">
        <v>250</v>
      </c>
      <c r="I1181" t="str">
        <f>"17-18269"</f>
        <v>17-18269</v>
      </c>
    </row>
    <row r="1182" spans="1:9" x14ac:dyDescent="0.3">
      <c r="A1182" t="str">
        <f>""</f>
        <v/>
      </c>
      <c r="F1182" t="str">
        <f>"201704201535"</f>
        <v>201704201535</v>
      </c>
      <c r="G1182" t="str">
        <f>"17-18175"</f>
        <v>17-18175</v>
      </c>
      <c r="H1182" s="2">
        <v>175</v>
      </c>
      <c r="I1182" t="str">
        <f>"17-18175"</f>
        <v>17-18175</v>
      </c>
    </row>
    <row r="1183" spans="1:9" x14ac:dyDescent="0.3">
      <c r="A1183" t="str">
        <f>""</f>
        <v/>
      </c>
      <c r="F1183" t="str">
        <f>"201704201536"</f>
        <v>201704201536</v>
      </c>
      <c r="G1183" t="str">
        <f>"16-17758"</f>
        <v>16-17758</v>
      </c>
      <c r="H1183" s="2">
        <v>75</v>
      </c>
      <c r="I1183" t="str">
        <f>"16-17758"</f>
        <v>16-17758</v>
      </c>
    </row>
    <row r="1184" spans="1:9" x14ac:dyDescent="0.3">
      <c r="A1184" t="str">
        <f>""</f>
        <v/>
      </c>
      <c r="F1184" t="str">
        <f>"201704201537"</f>
        <v>201704201537</v>
      </c>
      <c r="G1184" t="str">
        <f>"16-18018"</f>
        <v>16-18018</v>
      </c>
      <c r="H1184" s="2">
        <v>175</v>
      </c>
      <c r="I1184" t="str">
        <f>"16-18018"</f>
        <v>16-18018</v>
      </c>
    </row>
    <row r="1185" spans="1:10" x14ac:dyDescent="0.3">
      <c r="A1185" t="str">
        <f>""</f>
        <v/>
      </c>
      <c r="F1185" t="str">
        <f>"201704201538"</f>
        <v>201704201538</v>
      </c>
      <c r="G1185" t="str">
        <f>"16-17904"</f>
        <v>16-17904</v>
      </c>
      <c r="H1185" s="2">
        <v>100</v>
      </c>
      <c r="I1185" t="str">
        <f>"16-17904"</f>
        <v>16-17904</v>
      </c>
    </row>
    <row r="1186" spans="1:10" x14ac:dyDescent="0.3">
      <c r="A1186" t="str">
        <f>""</f>
        <v/>
      </c>
      <c r="F1186" t="str">
        <f>"201704201539"</f>
        <v>201704201539</v>
      </c>
      <c r="G1186" t="str">
        <f>"1620 - 16138"</f>
        <v>1620 - 16138</v>
      </c>
      <c r="H1186" s="2">
        <v>2000</v>
      </c>
      <c r="I1186" t="str">
        <f>"1620 - 16138"</f>
        <v>1620 - 16138</v>
      </c>
    </row>
    <row r="1187" spans="1:10" x14ac:dyDescent="0.3">
      <c r="A1187" t="str">
        <f>""</f>
        <v/>
      </c>
      <c r="F1187" t="str">
        <f>"201704201540"</f>
        <v>201704201540</v>
      </c>
      <c r="G1187" t="str">
        <f>"20160351"</f>
        <v>20160351</v>
      </c>
      <c r="H1187" s="2">
        <v>400</v>
      </c>
      <c r="I1187" t="str">
        <f>"20160351"</f>
        <v>20160351</v>
      </c>
    </row>
    <row r="1188" spans="1:10" x14ac:dyDescent="0.3">
      <c r="A1188" t="str">
        <f>""</f>
        <v/>
      </c>
      <c r="F1188" t="str">
        <f>"201704201541"</f>
        <v>201704201541</v>
      </c>
      <c r="G1188" t="str">
        <f>"1JP3217F  1JP3217C"</f>
        <v>1JP3217F  1JP3217C</v>
      </c>
      <c r="H1188" s="2">
        <v>600</v>
      </c>
      <c r="I1188" t="str">
        <f>"1JP3217F  1JP3217C"</f>
        <v>1JP3217F  1JP3217C</v>
      </c>
    </row>
    <row r="1189" spans="1:10" x14ac:dyDescent="0.3">
      <c r="A1189" t="str">
        <f>""</f>
        <v/>
      </c>
      <c r="F1189" t="str">
        <f>"201704201542"</f>
        <v>201704201542</v>
      </c>
      <c r="G1189" t="str">
        <f>"16.222"</f>
        <v>16.222</v>
      </c>
      <c r="H1189" s="2">
        <v>700</v>
      </c>
      <c r="I1189" t="str">
        <f>"16.222"</f>
        <v>16.222</v>
      </c>
    </row>
    <row r="1190" spans="1:10" x14ac:dyDescent="0.3">
      <c r="A1190" t="str">
        <f>"T5753"</f>
        <v>T5753</v>
      </c>
      <c r="B1190" t="s">
        <v>388</v>
      </c>
      <c r="C1190">
        <v>70025</v>
      </c>
      <c r="D1190" s="2">
        <v>710</v>
      </c>
      <c r="E1190" s="1">
        <v>42849</v>
      </c>
      <c r="F1190" t="str">
        <f>"201704201453"</f>
        <v>201704201453</v>
      </c>
      <c r="G1190" t="str">
        <f>"FINGERPRINT INK"</f>
        <v>FINGERPRINT INK</v>
      </c>
      <c r="H1190" s="2">
        <v>710</v>
      </c>
      <c r="I1190" t="str">
        <f>"FINGERPRINT INK"</f>
        <v>FINGERPRINT INK</v>
      </c>
    </row>
    <row r="1191" spans="1:10" x14ac:dyDescent="0.3">
      <c r="A1191" t="str">
        <f>"003690"</f>
        <v>003690</v>
      </c>
      <c r="B1191" t="s">
        <v>389</v>
      </c>
      <c r="C1191">
        <v>69874</v>
      </c>
      <c r="D1191" s="2">
        <v>83</v>
      </c>
      <c r="E1191" s="1">
        <v>42849</v>
      </c>
      <c r="F1191" t="str">
        <f>"000518467"</f>
        <v>000518467</v>
      </c>
      <c r="G1191" t="str">
        <f>"INS CLAIM"</f>
        <v>INS CLAIM</v>
      </c>
      <c r="H1191" s="2">
        <v>83</v>
      </c>
      <c r="I1191" t="str">
        <f>"INS CLAIM"</f>
        <v>INS CLAIM</v>
      </c>
    </row>
    <row r="1192" spans="1:10" x14ac:dyDescent="0.3">
      <c r="A1192" t="str">
        <f>"T13860"</f>
        <v>T13860</v>
      </c>
      <c r="B1192" t="s">
        <v>390</v>
      </c>
      <c r="C1192">
        <v>69740</v>
      </c>
      <c r="D1192" s="2">
        <v>115</v>
      </c>
      <c r="E1192" s="1">
        <v>42835</v>
      </c>
      <c r="F1192" t="str">
        <f>"201704060716"</f>
        <v>201704060716</v>
      </c>
      <c r="G1192" t="str">
        <f>"PER DIEM/TRAINING"</f>
        <v>PER DIEM/TRAINING</v>
      </c>
      <c r="H1192" s="2">
        <v>115</v>
      </c>
      <c r="I1192" t="str">
        <f>"PER DIEM/TRAINING"</f>
        <v>PER DIEM/TRAINING</v>
      </c>
    </row>
    <row r="1193" spans="1:10" x14ac:dyDescent="0.3">
      <c r="A1193" t="str">
        <f>"TIME"</f>
        <v>TIME</v>
      </c>
      <c r="B1193" t="s">
        <v>391</v>
      </c>
      <c r="C1193">
        <v>69741</v>
      </c>
      <c r="D1193" s="2">
        <v>10247.879999999999</v>
      </c>
      <c r="E1193" s="1">
        <v>42835</v>
      </c>
      <c r="F1193" t="str">
        <f>"201704060741"</f>
        <v>201704060741</v>
      </c>
      <c r="G1193" t="str">
        <f>"ACCT#8260163000003669"</f>
        <v>ACCT#8260163000003669</v>
      </c>
      <c r="H1193" s="2">
        <v>10247.879999999999</v>
      </c>
      <c r="I1193" t="str">
        <f>"ACCT#8260163000003669"</f>
        <v>ACCT#8260163000003669</v>
      </c>
    </row>
    <row r="1194" spans="1:10" x14ac:dyDescent="0.3">
      <c r="A1194" t="str">
        <f>""</f>
        <v/>
      </c>
      <c r="F1194" t="str">
        <f>""</f>
        <v/>
      </c>
      <c r="G1194" t="str">
        <f>""</f>
        <v/>
      </c>
      <c r="I1194" t="str">
        <f>"ACCT#8260163000003669"</f>
        <v>ACCT#8260163000003669</v>
      </c>
    </row>
    <row r="1195" spans="1:10" x14ac:dyDescent="0.3">
      <c r="A1195" t="str">
        <f>""</f>
        <v/>
      </c>
      <c r="F1195" t="str">
        <f>""</f>
        <v/>
      </c>
      <c r="G1195" t="str">
        <f>""</f>
        <v/>
      </c>
      <c r="I1195" t="str">
        <f>"ACCT#8260163000003669"</f>
        <v>ACCT#8260163000003669</v>
      </c>
    </row>
    <row r="1196" spans="1:10" x14ac:dyDescent="0.3">
      <c r="A1196" t="str">
        <f>"004955"</f>
        <v>004955</v>
      </c>
      <c r="B1196" t="s">
        <v>392</v>
      </c>
      <c r="C1196">
        <v>69742</v>
      </c>
      <c r="D1196" s="2">
        <v>7684.49</v>
      </c>
      <c r="E1196" s="1">
        <v>42835</v>
      </c>
      <c r="F1196" t="str">
        <f>"20580"</f>
        <v>20580</v>
      </c>
      <c r="G1196" t="str">
        <f>"Invoice# 20580"</f>
        <v>Invoice# 20580</v>
      </c>
      <c r="H1196" s="2">
        <v>7684.49</v>
      </c>
      <c r="I1196" t="str">
        <f>"Invoice# 20580"</f>
        <v>Invoice# 20580</v>
      </c>
    </row>
    <row r="1197" spans="1:10" x14ac:dyDescent="0.3">
      <c r="A1197" t="str">
        <f>"005036"</f>
        <v>005036</v>
      </c>
      <c r="B1197" t="s">
        <v>393</v>
      </c>
      <c r="C1197">
        <v>69924</v>
      </c>
      <c r="D1197" s="2">
        <v>64.95</v>
      </c>
      <c r="E1197" s="1">
        <v>42849</v>
      </c>
      <c r="F1197" t="str">
        <f>"888373"</f>
        <v>888373</v>
      </c>
      <c r="G1197" t="str">
        <f>"SHAPEN SCISSORS/AC"</f>
        <v>SHAPEN SCISSORS/AC</v>
      </c>
      <c r="H1197" s="2">
        <v>64.95</v>
      </c>
      <c r="I1197" t="str">
        <f>"SHAPEN SCISSORS/AC"</f>
        <v>SHAPEN SCISSORS/AC</v>
      </c>
    </row>
    <row r="1198" spans="1:10" x14ac:dyDescent="0.3">
      <c r="A1198" t="str">
        <f>"002337"</f>
        <v>002337</v>
      </c>
      <c r="B1198" t="s">
        <v>394</v>
      </c>
      <c r="C1198">
        <v>69743</v>
      </c>
      <c r="D1198" s="2">
        <v>45</v>
      </c>
      <c r="E1198" s="1">
        <v>42835</v>
      </c>
      <c r="F1198" t="str">
        <f>"  10497"</f>
        <v xml:space="preserve">  10497</v>
      </c>
      <c r="G1198" t="str">
        <f>"SERVICE/02-06-2017"</f>
        <v>SERVICE/02-06-2017</v>
      </c>
      <c r="H1198" s="2">
        <v>25</v>
      </c>
      <c r="I1198" t="str">
        <f>"SERVICE/02-06-2017"</f>
        <v>SERVICE/02-06-2017</v>
      </c>
    </row>
    <row r="1199" spans="1:10" x14ac:dyDescent="0.3">
      <c r="A1199" t="str">
        <f>""</f>
        <v/>
      </c>
      <c r="F1199" t="str">
        <f>" 10497"</f>
        <v xml:space="preserve"> 10497</v>
      </c>
      <c r="G1199" t="str">
        <f>"SERVICE/02-02-2017"</f>
        <v>SERVICE/02-02-2017</v>
      </c>
      <c r="H1199" s="2">
        <v>20</v>
      </c>
      <c r="I1199" t="str">
        <f>"SERVICE/02-02-2017"</f>
        <v>SERVICE/02-02-2017</v>
      </c>
    </row>
    <row r="1200" spans="1:10" x14ac:dyDescent="0.3">
      <c r="A1200" t="str">
        <f>"002337"</f>
        <v>002337</v>
      </c>
      <c r="B1200" t="s">
        <v>394</v>
      </c>
      <c r="C1200">
        <v>69839</v>
      </c>
      <c r="D1200" s="2">
        <v>308</v>
      </c>
      <c r="E1200" s="1">
        <v>42849</v>
      </c>
      <c r="F1200" t="s">
        <v>58</v>
      </c>
      <c r="G1200" t="s">
        <v>59</v>
      </c>
      <c r="H1200" s="2" t="str">
        <f>"SERVICE 1/27/17"</f>
        <v>SERVICE 1/27/17</v>
      </c>
      <c r="I1200" t="str">
        <f>"995-4110"</f>
        <v>995-4110</v>
      </c>
      <c r="J1200">
        <v>70</v>
      </c>
    </row>
    <row r="1201" spans="1:9" x14ac:dyDescent="0.3">
      <c r="A1201" t="str">
        <f>""</f>
        <v/>
      </c>
      <c r="F1201" t="str">
        <f>"12557"</f>
        <v>12557</v>
      </c>
      <c r="G1201" t="str">
        <f>"SERVICE/02-21-2017"</f>
        <v>SERVICE/02-21-2017</v>
      </c>
      <c r="H1201" s="2">
        <v>53</v>
      </c>
      <c r="I1201" t="str">
        <f>"SERVICE/02-21-2017"</f>
        <v>SERVICE/02-21-2017</v>
      </c>
    </row>
    <row r="1202" spans="1:9" x14ac:dyDescent="0.3">
      <c r="A1202" t="str">
        <f>""</f>
        <v/>
      </c>
      <c r="F1202" t="str">
        <f>"12639"</f>
        <v>12639</v>
      </c>
      <c r="G1202" t="str">
        <f>"SERVICE/2-21-17"</f>
        <v>SERVICE/2-21-17</v>
      </c>
      <c r="H1202" s="2">
        <v>75</v>
      </c>
      <c r="I1202" t="str">
        <f>"SERVICE/2-21-17"</f>
        <v>SERVICE/2-21-17</v>
      </c>
    </row>
    <row r="1203" spans="1:9" x14ac:dyDescent="0.3">
      <c r="A1203" t="str">
        <f>""</f>
        <v/>
      </c>
      <c r="F1203" t="str">
        <f>"8793"</f>
        <v>8793</v>
      </c>
      <c r="G1203" t="str">
        <f>"SERVICE 2/23/17"</f>
        <v>SERVICE 2/23/17</v>
      </c>
      <c r="H1203" s="2">
        <v>110</v>
      </c>
      <c r="I1203" t="str">
        <f>"SERVICE 2/23/17"</f>
        <v>SERVICE 2/23/17</v>
      </c>
    </row>
    <row r="1204" spans="1:9" x14ac:dyDescent="0.3">
      <c r="A1204" t="str">
        <f>"005035"</f>
        <v>005035</v>
      </c>
      <c r="B1204" t="s">
        <v>395</v>
      </c>
      <c r="C1204">
        <v>69780</v>
      </c>
      <c r="D1204" s="2">
        <v>75</v>
      </c>
      <c r="E1204" s="1">
        <v>42843</v>
      </c>
      <c r="F1204" t="str">
        <f>"201704181313"</f>
        <v>201704181313</v>
      </c>
      <c r="G1204" t="str">
        <f>"SERVICE CITATION G-266"</f>
        <v>SERVICE CITATION G-266</v>
      </c>
      <c r="H1204" s="2">
        <v>75</v>
      </c>
      <c r="I1204" t="str">
        <f>"SERVICE CITATION G-266"</f>
        <v>SERVICE CITATION G-266</v>
      </c>
    </row>
    <row r="1205" spans="1:9" x14ac:dyDescent="0.3">
      <c r="A1205" t="str">
        <f>"T6199"</f>
        <v>T6199</v>
      </c>
      <c r="B1205" t="s">
        <v>396</v>
      </c>
      <c r="C1205">
        <v>70028</v>
      </c>
      <c r="D1205" s="2">
        <v>50</v>
      </c>
      <c r="E1205" s="1">
        <v>42849</v>
      </c>
      <c r="F1205" t="str">
        <f>"201704191355"</f>
        <v>201704191355</v>
      </c>
      <c r="G1205" t="str">
        <f>"TRAINING"</f>
        <v>TRAINING</v>
      </c>
      <c r="H1205" s="2">
        <v>50</v>
      </c>
      <c r="I1205" t="str">
        <f>"TRAINING"</f>
        <v>TRAINING</v>
      </c>
    </row>
    <row r="1206" spans="1:9" x14ac:dyDescent="0.3">
      <c r="A1206" t="str">
        <f>"002944"</f>
        <v>002944</v>
      </c>
      <c r="B1206" t="s">
        <v>397</v>
      </c>
      <c r="C1206">
        <v>69644</v>
      </c>
      <c r="D1206" s="2">
        <v>521.64</v>
      </c>
      <c r="E1206" s="1">
        <v>42835</v>
      </c>
      <c r="F1206" t="str">
        <f>"646444"</f>
        <v>646444</v>
      </c>
      <c r="G1206" t="str">
        <f>"INV 646444/UNIT 1667"</f>
        <v>INV 646444/UNIT 1667</v>
      </c>
      <c r="H1206" s="2">
        <v>521.64</v>
      </c>
      <c r="I1206" t="str">
        <f>"INV 646444/UNIT 1667"</f>
        <v>INV 646444/UNIT 1667</v>
      </c>
    </row>
    <row r="1207" spans="1:9" x14ac:dyDescent="0.3">
      <c r="A1207" t="str">
        <f>"002944"</f>
        <v>002944</v>
      </c>
      <c r="B1207" t="s">
        <v>397</v>
      </c>
      <c r="C1207">
        <v>69857</v>
      </c>
      <c r="D1207" s="2">
        <v>250.14</v>
      </c>
      <c r="E1207" s="1">
        <v>42849</v>
      </c>
      <c r="F1207" t="str">
        <f>"201704201439"</f>
        <v>201704201439</v>
      </c>
      <c r="G1207" t="str">
        <f>"INV 648400/UNIT 1669"</f>
        <v>INV 648400/UNIT 1669</v>
      </c>
      <c r="H1207" s="2">
        <v>130.41</v>
      </c>
      <c r="I1207" t="str">
        <f>"INV 648400/UNIT 1669"</f>
        <v>INV 648400/UNIT 1669</v>
      </c>
    </row>
    <row r="1208" spans="1:9" x14ac:dyDescent="0.3">
      <c r="A1208" t="str">
        <f>""</f>
        <v/>
      </c>
      <c r="F1208" t="str">
        <f>"201704201446"</f>
        <v>201704201446</v>
      </c>
      <c r="G1208" t="str">
        <f>"INV 648399/UNIT 0312"</f>
        <v>INV 648399/UNIT 0312</v>
      </c>
      <c r="H1208" s="2">
        <v>119.73</v>
      </c>
      <c r="I1208" t="str">
        <f>"INV 648399/UNIT 0312"</f>
        <v>INV 648399/UNIT 0312</v>
      </c>
    </row>
    <row r="1209" spans="1:9" x14ac:dyDescent="0.3">
      <c r="A1209" t="str">
        <f>"003883"</f>
        <v>003883</v>
      </c>
      <c r="B1209" t="s">
        <v>398</v>
      </c>
      <c r="C1209">
        <v>69744</v>
      </c>
      <c r="D1209" s="2">
        <v>130</v>
      </c>
      <c r="E1209" s="1">
        <v>42835</v>
      </c>
      <c r="F1209" t="str">
        <f>"201704060759"</f>
        <v>201704060759</v>
      </c>
      <c r="G1209" t="str">
        <f>"FERAL HOGS"</f>
        <v>FERAL HOGS</v>
      </c>
      <c r="H1209" s="2">
        <v>40</v>
      </c>
      <c r="I1209" t="str">
        <f>"FERAL HOGS"</f>
        <v>FERAL HOGS</v>
      </c>
    </row>
    <row r="1210" spans="1:9" x14ac:dyDescent="0.3">
      <c r="A1210" t="str">
        <f>""</f>
        <v/>
      </c>
      <c r="F1210" t="str">
        <f>"201704060762"</f>
        <v>201704060762</v>
      </c>
      <c r="G1210" t="str">
        <f>"FERAL HOGS"</f>
        <v>FERAL HOGS</v>
      </c>
      <c r="H1210" s="2">
        <v>10</v>
      </c>
      <c r="I1210" t="str">
        <f>"FERAL HOGS"</f>
        <v>FERAL HOGS</v>
      </c>
    </row>
    <row r="1211" spans="1:9" x14ac:dyDescent="0.3">
      <c r="A1211" t="str">
        <f>""</f>
        <v/>
      </c>
      <c r="F1211" t="str">
        <f>"201704060766"</f>
        <v>201704060766</v>
      </c>
      <c r="G1211" t="str">
        <f>"FERAL HOGS"</f>
        <v>FERAL HOGS</v>
      </c>
      <c r="H1211" s="2">
        <v>65</v>
      </c>
      <c r="I1211" t="str">
        <f>"FERAL HOGS"</f>
        <v>FERAL HOGS</v>
      </c>
    </row>
    <row r="1212" spans="1:9" x14ac:dyDescent="0.3">
      <c r="A1212" t="str">
        <f>""</f>
        <v/>
      </c>
      <c r="F1212" t="str">
        <f>"201704060771"</f>
        <v>201704060771</v>
      </c>
      <c r="G1212" t="str">
        <f>"FERAL HOGS"</f>
        <v>FERAL HOGS</v>
      </c>
      <c r="H1212" s="2">
        <v>15</v>
      </c>
      <c r="I1212" t="str">
        <f>"FERAL HOGS"</f>
        <v>FERAL HOGS</v>
      </c>
    </row>
    <row r="1213" spans="1:9" x14ac:dyDescent="0.3">
      <c r="A1213" t="str">
        <f>"003838"</f>
        <v>003838</v>
      </c>
      <c r="B1213" t="s">
        <v>399</v>
      </c>
      <c r="C1213">
        <v>69745</v>
      </c>
      <c r="D1213" s="2">
        <v>276.70999999999998</v>
      </c>
      <c r="E1213" s="1">
        <v>42835</v>
      </c>
      <c r="F1213" t="str">
        <f>"201704060735"</f>
        <v>201704060735</v>
      </c>
      <c r="G1213" t="str">
        <f>"INDIGENT HEALTH"</f>
        <v>INDIGENT HEALTH</v>
      </c>
      <c r="H1213" s="2">
        <v>276.70999999999998</v>
      </c>
      <c r="I1213" t="str">
        <f>"INDIGENT HEALTH"</f>
        <v>INDIGENT HEALTH</v>
      </c>
    </row>
    <row r="1214" spans="1:9" x14ac:dyDescent="0.3">
      <c r="A1214" t="str">
        <f>""</f>
        <v/>
      </c>
      <c r="F1214" t="str">
        <f>""</f>
        <v/>
      </c>
      <c r="G1214" t="str">
        <f>""</f>
        <v/>
      </c>
      <c r="I1214" t="str">
        <f>"INDIGENT HEALTH"</f>
        <v>INDIGENT HEALTH</v>
      </c>
    </row>
    <row r="1215" spans="1:9" x14ac:dyDescent="0.3">
      <c r="A1215" t="str">
        <f>"003838"</f>
        <v>003838</v>
      </c>
      <c r="B1215" t="s">
        <v>399</v>
      </c>
      <c r="C1215">
        <v>69882</v>
      </c>
      <c r="D1215" s="2">
        <v>87.04</v>
      </c>
      <c r="E1215" s="1">
        <v>42849</v>
      </c>
      <c r="F1215" t="str">
        <f>"201704201381"</f>
        <v>201704201381</v>
      </c>
      <c r="G1215" t="str">
        <f>"INDIGENT HEALTH"</f>
        <v>INDIGENT HEALTH</v>
      </c>
      <c r="H1215" s="2">
        <v>87.04</v>
      </c>
      <c r="I1215" t="str">
        <f>"INDIGENT HEALTH"</f>
        <v>INDIGENT HEALTH</v>
      </c>
    </row>
    <row r="1216" spans="1:9" x14ac:dyDescent="0.3">
      <c r="A1216" t="str">
        <f>"TRIPLE"</f>
        <v>TRIPLE</v>
      </c>
      <c r="B1216" t="s">
        <v>400</v>
      </c>
      <c r="C1216">
        <v>69746</v>
      </c>
      <c r="D1216" s="2">
        <v>4619.16</v>
      </c>
      <c r="E1216" s="1">
        <v>42835</v>
      </c>
      <c r="F1216" t="str">
        <f>"0006834-IN"</f>
        <v>0006834-IN</v>
      </c>
      <c r="G1216" t="str">
        <f>"ACCT#0009089/FUEL/PCT#2"</f>
        <v>ACCT#0009089/FUEL/PCT#2</v>
      </c>
      <c r="H1216" s="2">
        <v>3297.65</v>
      </c>
      <c r="I1216" t="str">
        <f>"ACCT#0009089/FUEL/PCT#2"</f>
        <v>ACCT#0009089/FUEL/PCT#2</v>
      </c>
    </row>
    <row r="1217" spans="1:9" x14ac:dyDescent="0.3">
      <c r="A1217" t="str">
        <f>""</f>
        <v/>
      </c>
      <c r="F1217" t="str">
        <f>"0006941"</f>
        <v>0006941</v>
      </c>
      <c r="G1217" t="str">
        <f>"ACCT#0009087/FUEL/PCT#4"</f>
        <v>ACCT#0009087/FUEL/PCT#4</v>
      </c>
      <c r="H1217" s="2">
        <v>1321.51</v>
      </c>
      <c r="I1217" t="str">
        <f>"ACCT#0009087/FUEL/PCT#4"</f>
        <v>ACCT#0009087/FUEL/PCT#4</v>
      </c>
    </row>
    <row r="1218" spans="1:9" x14ac:dyDescent="0.3">
      <c r="A1218" t="str">
        <f>"TRIPLE"</f>
        <v>TRIPLE</v>
      </c>
      <c r="B1218" t="s">
        <v>400</v>
      </c>
      <c r="C1218">
        <v>70049</v>
      </c>
      <c r="D1218" s="2">
        <v>2429.46</v>
      </c>
      <c r="E1218" s="1">
        <v>42849</v>
      </c>
      <c r="F1218" t="str">
        <f>"6598/6795"</f>
        <v>6598/6795</v>
      </c>
      <c r="G1218" t="str">
        <f>"ACCT#0009085/PCT#3"</f>
        <v>ACCT#0009085/PCT#3</v>
      </c>
      <c r="H1218" s="2">
        <v>2429.46</v>
      </c>
      <c r="I1218" t="str">
        <f>"ACCT#0009085/PCT#3"</f>
        <v>ACCT#0009085/PCT#3</v>
      </c>
    </row>
    <row r="1219" spans="1:9" x14ac:dyDescent="0.3">
      <c r="A1219" t="str">
        <f>"TRACTO"</f>
        <v>TRACTO</v>
      </c>
      <c r="B1219" t="s">
        <v>401</v>
      </c>
      <c r="C1219">
        <v>69747</v>
      </c>
      <c r="D1219" s="2">
        <v>68.72</v>
      </c>
      <c r="E1219" s="1">
        <v>42835</v>
      </c>
      <c r="F1219" t="str">
        <f>"300385328"</f>
        <v>300385328</v>
      </c>
      <c r="G1219" t="str">
        <f>"Acct:6035301200160982"</f>
        <v>Acct:6035301200160982</v>
      </c>
      <c r="H1219" s="2">
        <v>68.72</v>
      </c>
      <c r="I1219" t="str">
        <f>"inv# 300385328"</f>
        <v>inv# 300385328</v>
      </c>
    </row>
    <row r="1220" spans="1:9" x14ac:dyDescent="0.3">
      <c r="A1220" t="str">
        <f>""</f>
        <v/>
      </c>
      <c r="F1220" t="str">
        <f>""</f>
        <v/>
      </c>
      <c r="G1220" t="str">
        <f>""</f>
        <v/>
      </c>
      <c r="I1220" t="str">
        <f>"inv# 100489150"</f>
        <v>inv# 100489150</v>
      </c>
    </row>
    <row r="1221" spans="1:9" x14ac:dyDescent="0.3">
      <c r="A1221" t="str">
        <f>""</f>
        <v/>
      </c>
      <c r="F1221" t="str">
        <f>""</f>
        <v/>
      </c>
      <c r="G1221" t="str">
        <f>""</f>
        <v/>
      </c>
      <c r="I1221" t="str">
        <f>"inv# 100492494"</f>
        <v>inv# 100492494</v>
      </c>
    </row>
    <row r="1222" spans="1:9" x14ac:dyDescent="0.3">
      <c r="A1222" t="str">
        <f>""</f>
        <v/>
      </c>
      <c r="F1222" t="str">
        <f>""</f>
        <v/>
      </c>
      <c r="G1222" t="str">
        <f>""</f>
        <v/>
      </c>
      <c r="I1222" t="str">
        <f>"inv# 200389049"</f>
        <v>inv# 200389049</v>
      </c>
    </row>
    <row r="1223" spans="1:9" x14ac:dyDescent="0.3">
      <c r="A1223" t="str">
        <f>"002940"</f>
        <v>002940</v>
      </c>
      <c r="B1223" t="s">
        <v>402</v>
      </c>
      <c r="C1223">
        <v>69856</v>
      </c>
      <c r="D1223" s="2">
        <v>870</v>
      </c>
      <c r="E1223" s="1">
        <v>42849</v>
      </c>
      <c r="F1223" t="str">
        <f>"200016524"</f>
        <v>200016524</v>
      </c>
      <c r="G1223" t="str">
        <f>"DMO EMPOWERED PROGRAM/2017"</f>
        <v>DMO EMPOWERED PROGRAM/2017</v>
      </c>
      <c r="H1223" s="2">
        <v>675</v>
      </c>
      <c r="I1223" t="str">
        <f>"DMO EMPOWERED PROGRAM/2017"</f>
        <v>DMO EMPOWERED PROGRAM/2017</v>
      </c>
    </row>
    <row r="1224" spans="1:9" x14ac:dyDescent="0.3">
      <c r="A1224" t="str">
        <f>""</f>
        <v/>
      </c>
      <c r="F1224" t="str">
        <f>"200016531"</f>
        <v>200016531</v>
      </c>
      <c r="G1224" t="str">
        <f>"TTC 2017/ALUMNI-A  LEWIS"</f>
        <v>TTC 2017/ALUMNI-A  LEWIS</v>
      </c>
      <c r="H1224" s="2">
        <v>195</v>
      </c>
      <c r="I1224" t="str">
        <f>"TTC 2017/ALUMNI-A  LEWIS"</f>
        <v>TTC 2017/ALUMNI-A  LEWIS</v>
      </c>
    </row>
    <row r="1225" spans="1:9" x14ac:dyDescent="0.3">
      <c r="A1225" t="str">
        <f>"TULL"</f>
        <v>TULL</v>
      </c>
      <c r="B1225" t="s">
        <v>403</v>
      </c>
      <c r="C1225">
        <v>69748</v>
      </c>
      <c r="D1225" s="2">
        <v>5375</v>
      </c>
      <c r="E1225" s="1">
        <v>42835</v>
      </c>
      <c r="F1225" t="str">
        <f>"201704050646"</f>
        <v>201704050646</v>
      </c>
      <c r="G1225" t="str">
        <f>"410055-3"</f>
        <v>410055-3</v>
      </c>
      <c r="H1225" s="2">
        <v>400</v>
      </c>
      <c r="I1225" t="str">
        <f>"410055-3"</f>
        <v>410055-3</v>
      </c>
    </row>
    <row r="1226" spans="1:9" x14ac:dyDescent="0.3">
      <c r="A1226" t="str">
        <f>""</f>
        <v/>
      </c>
      <c r="F1226" t="str">
        <f>"201704050651"</f>
        <v>201704050651</v>
      </c>
      <c r="G1226" t="str">
        <f>"13981"</f>
        <v>13981</v>
      </c>
      <c r="H1226" s="2">
        <v>400</v>
      </c>
      <c r="I1226" t="str">
        <f>"13981"</f>
        <v>13981</v>
      </c>
    </row>
    <row r="1227" spans="1:9" x14ac:dyDescent="0.3">
      <c r="A1227" t="str">
        <f>""</f>
        <v/>
      </c>
      <c r="F1227" t="str">
        <f>"201704050652"</f>
        <v>201704050652</v>
      </c>
      <c r="G1227" t="str">
        <f>"16094 16191 16192"</f>
        <v>16094 16191 16192</v>
      </c>
      <c r="H1227" s="2">
        <v>1200</v>
      </c>
      <c r="I1227" t="str">
        <f>"16094 16191 16192"</f>
        <v>16094 16191 16192</v>
      </c>
    </row>
    <row r="1228" spans="1:9" x14ac:dyDescent="0.3">
      <c r="A1228" t="str">
        <f>""</f>
        <v/>
      </c>
      <c r="F1228" t="str">
        <f>"201704050656"</f>
        <v>201704050656</v>
      </c>
      <c r="G1228" t="str">
        <f>"02-0510-5-6"</f>
        <v>02-0510-5-6</v>
      </c>
      <c r="H1228" s="2">
        <v>400</v>
      </c>
      <c r="I1228" t="str">
        <f>"02-0510-5-6"</f>
        <v>02-0510-5-6</v>
      </c>
    </row>
    <row r="1229" spans="1:9" x14ac:dyDescent="0.3">
      <c r="A1229" t="str">
        <f>""</f>
        <v/>
      </c>
      <c r="F1229" t="str">
        <f>"201704061174"</f>
        <v>201704061174</v>
      </c>
      <c r="G1229" t="str">
        <f>"J-3052"</f>
        <v>J-3052</v>
      </c>
      <c r="H1229" s="2">
        <v>250</v>
      </c>
      <c r="I1229" t="str">
        <f>"J-3052"</f>
        <v>J-3052</v>
      </c>
    </row>
    <row r="1230" spans="1:9" x14ac:dyDescent="0.3">
      <c r="A1230" t="str">
        <f>""</f>
        <v/>
      </c>
      <c r="F1230" t="str">
        <f>"201704061175"</f>
        <v>201704061175</v>
      </c>
      <c r="G1230" t="str">
        <f>"1718246"</f>
        <v>1718246</v>
      </c>
      <c r="H1230" s="2">
        <v>100</v>
      </c>
      <c r="I1230" t="str">
        <f>"1718246"</f>
        <v>1718246</v>
      </c>
    </row>
    <row r="1231" spans="1:9" x14ac:dyDescent="0.3">
      <c r="A1231" t="str">
        <f>""</f>
        <v/>
      </c>
      <c r="F1231" t="str">
        <f>"201704061176"</f>
        <v>201704061176</v>
      </c>
      <c r="G1231" t="str">
        <f>"54598"</f>
        <v>54598</v>
      </c>
      <c r="H1231" s="2">
        <v>250</v>
      </c>
      <c r="I1231" t="str">
        <f>"54598"</f>
        <v>54598</v>
      </c>
    </row>
    <row r="1232" spans="1:9" x14ac:dyDescent="0.3">
      <c r="A1232" t="str">
        <f>""</f>
        <v/>
      </c>
      <c r="F1232" t="str">
        <f>"201704061177"</f>
        <v>201704061177</v>
      </c>
      <c r="G1232" t="str">
        <f>"54973"</f>
        <v>54973</v>
      </c>
      <c r="H1232" s="2">
        <v>250</v>
      </c>
      <c r="I1232" t="str">
        <f>"54973"</f>
        <v>54973</v>
      </c>
    </row>
    <row r="1233" spans="1:9" x14ac:dyDescent="0.3">
      <c r="A1233" t="str">
        <f>""</f>
        <v/>
      </c>
      <c r="F1233" t="str">
        <f>"201704061178"</f>
        <v>201704061178</v>
      </c>
      <c r="G1233" t="str">
        <f>"54529 54422"</f>
        <v>54529 54422</v>
      </c>
      <c r="H1233" s="2">
        <v>375</v>
      </c>
      <c r="I1233" t="str">
        <f>"54529 54422"</f>
        <v>54529 54422</v>
      </c>
    </row>
    <row r="1234" spans="1:9" x14ac:dyDescent="0.3">
      <c r="A1234" t="str">
        <f>""</f>
        <v/>
      </c>
      <c r="F1234" t="str">
        <f>"201704061179"</f>
        <v>201704061179</v>
      </c>
      <c r="G1234" t="str">
        <f>"54061 54325"</f>
        <v>54061 54325</v>
      </c>
      <c r="H1234" s="2">
        <v>500</v>
      </c>
      <c r="I1234" t="str">
        <f>"54061 54325"</f>
        <v>54061 54325</v>
      </c>
    </row>
    <row r="1235" spans="1:9" x14ac:dyDescent="0.3">
      <c r="A1235" t="str">
        <f>""</f>
        <v/>
      </c>
      <c r="F1235" t="str">
        <f>"201704061180"</f>
        <v>201704061180</v>
      </c>
      <c r="G1235" t="str">
        <f>"54425 20160227 20160420"</f>
        <v>54425 20160227 20160420</v>
      </c>
      <c r="H1235" s="2">
        <v>500</v>
      </c>
      <c r="I1235" t="str">
        <f>"54425 20160227 20160420"</f>
        <v>54425 20160227 20160420</v>
      </c>
    </row>
    <row r="1236" spans="1:9" x14ac:dyDescent="0.3">
      <c r="A1236" t="str">
        <f>""</f>
        <v/>
      </c>
      <c r="F1236" t="str">
        <f>"201704061181"</f>
        <v>201704061181</v>
      </c>
      <c r="G1236" t="str">
        <f>"54857 55016 55017 55018 55019"</f>
        <v>54857 55016 55017 55018 55019</v>
      </c>
      <c r="H1236" s="2">
        <v>750</v>
      </c>
      <c r="I1236" t="str">
        <f>"54857 55016 55017 55018 55019"</f>
        <v>54857 55016 55017 55018 55019</v>
      </c>
    </row>
    <row r="1237" spans="1:9" x14ac:dyDescent="0.3">
      <c r="A1237" t="str">
        <f>"TULL"</f>
        <v>TULL</v>
      </c>
      <c r="B1237" t="s">
        <v>403</v>
      </c>
      <c r="C1237">
        <v>70050</v>
      </c>
      <c r="D1237" s="2">
        <v>3200</v>
      </c>
      <c r="E1237" s="1">
        <v>42849</v>
      </c>
      <c r="F1237" t="str">
        <f>"201704201544"</f>
        <v>201704201544</v>
      </c>
      <c r="G1237" t="str">
        <f>"02-0803-1-11"</f>
        <v>02-0803-1-11</v>
      </c>
      <c r="H1237" s="2">
        <v>400</v>
      </c>
      <c r="I1237" t="str">
        <f>"02-0803-1-11"</f>
        <v>02-0803-1-11</v>
      </c>
    </row>
    <row r="1238" spans="1:9" x14ac:dyDescent="0.3">
      <c r="A1238" t="str">
        <f>""</f>
        <v/>
      </c>
      <c r="F1238" t="str">
        <f>"201704201545"</f>
        <v>201704201545</v>
      </c>
      <c r="G1238" t="str">
        <f>"401141-2"</f>
        <v>401141-2</v>
      </c>
      <c r="H1238" s="2">
        <v>400</v>
      </c>
      <c r="I1238" t="str">
        <f>"401141-2"</f>
        <v>401141-2</v>
      </c>
    </row>
    <row r="1239" spans="1:9" x14ac:dyDescent="0.3">
      <c r="A1239" t="str">
        <f>""</f>
        <v/>
      </c>
      <c r="F1239" t="str">
        <f>"201704201546"</f>
        <v>201704201546</v>
      </c>
      <c r="G1239" t="str">
        <f>"16-5-06103  410126.6"</f>
        <v>16-5-06103  410126.6</v>
      </c>
      <c r="H1239" s="2">
        <v>400</v>
      </c>
      <c r="I1239" t="str">
        <f>"16-5-06103  410126.6"</f>
        <v>16-5-06103  410126.6</v>
      </c>
    </row>
    <row r="1240" spans="1:9" x14ac:dyDescent="0.3">
      <c r="A1240" t="str">
        <f>""</f>
        <v/>
      </c>
      <c r="F1240" t="str">
        <f>"201704201547"</f>
        <v>201704201547</v>
      </c>
      <c r="G1240" t="str">
        <f>"01-112711B"</f>
        <v>01-112711B</v>
      </c>
      <c r="H1240" s="2">
        <v>150</v>
      </c>
      <c r="I1240" t="str">
        <f>"01-112711B"</f>
        <v>01-112711B</v>
      </c>
    </row>
    <row r="1241" spans="1:9" x14ac:dyDescent="0.3">
      <c r="A1241" t="str">
        <f>""</f>
        <v/>
      </c>
      <c r="F1241" t="str">
        <f>"201704201548"</f>
        <v>201704201548</v>
      </c>
      <c r="G1241" t="str">
        <f>"20111497"</f>
        <v>20111497</v>
      </c>
      <c r="H1241" s="2">
        <v>150</v>
      </c>
      <c r="I1241" t="str">
        <f>"20111497"</f>
        <v>20111497</v>
      </c>
    </row>
    <row r="1242" spans="1:9" x14ac:dyDescent="0.3">
      <c r="A1242" t="str">
        <f>""</f>
        <v/>
      </c>
      <c r="F1242" t="str">
        <f>"201704201549"</f>
        <v>201704201549</v>
      </c>
      <c r="G1242" t="str">
        <f>"02-0808-3  4  5 -11"</f>
        <v>02-0808-3  4  5 -11</v>
      </c>
      <c r="H1242" s="2">
        <v>800</v>
      </c>
      <c r="I1242" t="str">
        <f>"02-0808-3  4  5 -11"</f>
        <v>02-0808-3  4  5 -11</v>
      </c>
    </row>
    <row r="1243" spans="1:9" x14ac:dyDescent="0.3">
      <c r="A1243" t="str">
        <f>""</f>
        <v/>
      </c>
      <c r="F1243" t="str">
        <f>"201704201550"</f>
        <v>201704201550</v>
      </c>
      <c r="G1243" t="str">
        <f>"02-0719-6-11  20110609B"</f>
        <v>02-0719-6-11  20110609B</v>
      </c>
      <c r="H1243" s="2">
        <v>550</v>
      </c>
      <c r="I1243" t="str">
        <f>"02-0719-6-11  20110609B"</f>
        <v>02-0719-6-11  20110609B</v>
      </c>
    </row>
    <row r="1244" spans="1:9" x14ac:dyDescent="0.3">
      <c r="A1244" t="str">
        <f>""</f>
        <v/>
      </c>
      <c r="F1244" t="str">
        <f>"201704201551"</f>
        <v>201704201551</v>
      </c>
      <c r="G1244" t="str">
        <f>"CH-20170210  55.012"</f>
        <v>CH-20170210  55.012</v>
      </c>
      <c r="H1244" s="2">
        <v>250</v>
      </c>
      <c r="I1244" t="str">
        <f>"CH-20170210  55.012"</f>
        <v>CH-20170210  55.012</v>
      </c>
    </row>
    <row r="1245" spans="1:9" x14ac:dyDescent="0.3">
      <c r="A1245" t="str">
        <f>""</f>
        <v/>
      </c>
      <c r="F1245" t="str">
        <f>"201704201552"</f>
        <v>201704201552</v>
      </c>
      <c r="G1245" t="str">
        <f>"474-335"</f>
        <v>474-335</v>
      </c>
      <c r="H1245" s="2">
        <v>100</v>
      </c>
      <c r="I1245" t="str">
        <f>"474-335"</f>
        <v>474-335</v>
      </c>
    </row>
    <row r="1246" spans="1:9" x14ac:dyDescent="0.3">
      <c r="A1246" t="str">
        <f>"T12754"</f>
        <v>T12754</v>
      </c>
      <c r="B1246" t="s">
        <v>404</v>
      </c>
      <c r="C1246">
        <v>70001</v>
      </c>
      <c r="D1246" s="2">
        <v>327.75</v>
      </c>
      <c r="E1246" s="1">
        <v>42849</v>
      </c>
      <c r="F1246" t="str">
        <f>"112"</f>
        <v>112</v>
      </c>
      <c r="G1246" t="str">
        <f>"MACHINE REPAIRS/FUSER UNIT/JP4"</f>
        <v>MACHINE REPAIRS/FUSER UNIT/JP4</v>
      </c>
      <c r="H1246" s="2">
        <v>327.75</v>
      </c>
      <c r="I1246" t="str">
        <f>"MACHINE REPAIRS/FUSER UNIT/JP4"</f>
        <v>MACHINE REPAIRS/FUSER UNIT/JP4</v>
      </c>
    </row>
    <row r="1247" spans="1:9" x14ac:dyDescent="0.3">
      <c r="A1247" t="str">
        <f>""</f>
        <v/>
      </c>
      <c r="F1247" t="str">
        <f>""</f>
        <v/>
      </c>
      <c r="G1247" t="str">
        <f>""</f>
        <v/>
      </c>
      <c r="I1247" t="str">
        <f>"MACHINE REPAIRS/FUSER UNIT/JP4"</f>
        <v>MACHINE REPAIRS/FUSER UNIT/JP4</v>
      </c>
    </row>
    <row r="1248" spans="1:9" x14ac:dyDescent="0.3">
      <c r="A1248" t="str">
        <f>"TWC"</f>
        <v>TWC</v>
      </c>
      <c r="B1248" t="s">
        <v>405</v>
      </c>
      <c r="C1248">
        <v>69749</v>
      </c>
      <c r="D1248" s="2">
        <v>2120</v>
      </c>
      <c r="E1248" s="1">
        <v>42835</v>
      </c>
      <c r="F1248" t="str">
        <f>"WTR0047449"</f>
        <v>WTR0047449</v>
      </c>
      <c r="G1248" t="str">
        <f>"ACCT#0620010/HEALTH &amp; SAN"</f>
        <v>ACCT#0620010/HEALTH &amp; SAN</v>
      </c>
      <c r="H1248" s="2">
        <v>2120</v>
      </c>
      <c r="I1248" t="str">
        <f>"ACCT#0620010/HEALTH &amp; SAN"</f>
        <v>ACCT#0620010/HEALTH &amp; SAN</v>
      </c>
    </row>
    <row r="1249" spans="1:9" x14ac:dyDescent="0.3">
      <c r="A1249" t="str">
        <f>"T12006"</f>
        <v>T12006</v>
      </c>
      <c r="B1249" t="s">
        <v>406</v>
      </c>
      <c r="C1249">
        <v>69996</v>
      </c>
      <c r="D1249" s="2">
        <v>771.24</v>
      </c>
      <c r="E1249" s="1">
        <v>42849</v>
      </c>
      <c r="F1249" t="str">
        <f>"338782/339548"</f>
        <v>338782/339548</v>
      </c>
      <c r="G1249" t="str">
        <f>"ACCT#0010/PCT#2"</f>
        <v>ACCT#0010/PCT#2</v>
      </c>
      <c r="H1249" s="2">
        <v>355</v>
      </c>
      <c r="I1249" t="str">
        <f>"ACCT#0010/PCT#2"</f>
        <v>ACCT#0010/PCT#2</v>
      </c>
    </row>
    <row r="1250" spans="1:9" x14ac:dyDescent="0.3">
      <c r="A1250" t="str">
        <f>""</f>
        <v/>
      </c>
      <c r="F1250" t="str">
        <f>"338942/339540"</f>
        <v>338942/339540</v>
      </c>
      <c r="G1250" t="str">
        <f>"ACCT#0011/PCT#3"</f>
        <v>ACCT#0011/PCT#3</v>
      </c>
      <c r="H1250" s="2">
        <v>249</v>
      </c>
      <c r="I1250" t="str">
        <f>"ACCT#0011/PCT#3"</f>
        <v>ACCT#0011/PCT#3</v>
      </c>
    </row>
    <row r="1251" spans="1:9" x14ac:dyDescent="0.3">
      <c r="A1251" t="str">
        <f>""</f>
        <v/>
      </c>
      <c r="F1251" t="str">
        <f>"339104/339142"</f>
        <v>339104/339142</v>
      </c>
      <c r="G1251" t="str">
        <f>"ACCT#0009/PCT#1"</f>
        <v>ACCT#0009/PCT#1</v>
      </c>
      <c r="H1251" s="2">
        <v>84</v>
      </c>
      <c r="I1251" t="str">
        <f>"ACCT#0009/PCT#1"</f>
        <v>ACCT#0009/PCT#1</v>
      </c>
    </row>
    <row r="1252" spans="1:9" x14ac:dyDescent="0.3">
      <c r="A1252" t="str">
        <f>""</f>
        <v/>
      </c>
      <c r="F1252" t="str">
        <f>"339165"</f>
        <v>339165</v>
      </c>
      <c r="G1252" t="str">
        <f>"ACCT#0021/LP HABITAT"</f>
        <v>ACCT#0021/LP HABITAT</v>
      </c>
      <c r="H1252" s="2">
        <v>43.24</v>
      </c>
      <c r="I1252" t="str">
        <f>"ACCT#0021/LP HABITAT"</f>
        <v>ACCT#0021/LP HABITAT</v>
      </c>
    </row>
    <row r="1253" spans="1:9" x14ac:dyDescent="0.3">
      <c r="A1253" t="str">
        <f>""</f>
        <v/>
      </c>
      <c r="F1253" t="str">
        <f>"339171"</f>
        <v>339171</v>
      </c>
      <c r="G1253" t="str">
        <f>"ACCT#0009"</f>
        <v>ACCT#0009</v>
      </c>
      <c r="H1253" s="2">
        <v>40</v>
      </c>
      <c r="I1253" t="str">
        <f>"ACCT#0009"</f>
        <v>ACCT#0009</v>
      </c>
    </row>
    <row r="1254" spans="1:9" x14ac:dyDescent="0.3">
      <c r="A1254" t="str">
        <f>""</f>
        <v/>
      </c>
      <c r="F1254" t="str">
        <f>""</f>
        <v/>
      </c>
      <c r="G1254" t="str">
        <f>""</f>
        <v/>
      </c>
      <c r="I1254" t="str">
        <f>"ACCT#0009"</f>
        <v>ACCT#0009</v>
      </c>
    </row>
    <row r="1255" spans="1:9" x14ac:dyDescent="0.3">
      <c r="A1255" t="str">
        <f>"000775"</f>
        <v>000775</v>
      </c>
      <c r="B1255" t="s">
        <v>407</v>
      </c>
      <c r="C1255">
        <v>69810</v>
      </c>
      <c r="D1255" s="2">
        <v>35.619999999999997</v>
      </c>
      <c r="E1255" s="1">
        <v>42849</v>
      </c>
      <c r="F1255" t="str">
        <f>"201704201383"</f>
        <v>201704201383</v>
      </c>
      <c r="G1255" t="str">
        <f>"INV 000018VW63147"</f>
        <v>INV 000018VW63147</v>
      </c>
      <c r="H1255" s="2">
        <v>35.619999999999997</v>
      </c>
      <c r="I1255" t="str">
        <f>"IZ18VW630392821053"</f>
        <v>IZ18VW630392821053</v>
      </c>
    </row>
    <row r="1256" spans="1:9" x14ac:dyDescent="0.3">
      <c r="A1256" t="str">
        <f>""</f>
        <v/>
      </c>
      <c r="F1256" t="str">
        <f>""</f>
        <v/>
      </c>
      <c r="G1256" t="str">
        <f>""</f>
        <v/>
      </c>
      <c r="I1256" t="str">
        <f>"1Z18VW630398960080"</f>
        <v>1Z18VW630398960080</v>
      </c>
    </row>
    <row r="1257" spans="1:9" x14ac:dyDescent="0.3">
      <c r="A1257" t="str">
        <f>"001445"</f>
        <v>001445</v>
      </c>
      <c r="B1257" t="s">
        <v>408</v>
      </c>
      <c r="C1257">
        <v>69750</v>
      </c>
      <c r="D1257" s="2">
        <v>100.65</v>
      </c>
      <c r="E1257" s="1">
        <v>42835</v>
      </c>
      <c r="F1257" t="str">
        <f>"2002812"</f>
        <v>2002812</v>
      </c>
      <c r="G1257" t="str">
        <f>"REMOTE BIRTH ACCESS/3-1/3-31"</f>
        <v>REMOTE BIRTH ACCESS/3-1/3-31</v>
      </c>
      <c r="H1257" s="2">
        <v>100.65</v>
      </c>
      <c r="I1257" t="str">
        <f>"REMOTE BIRTH ACCESS/3-1/3-31"</f>
        <v>REMOTE BIRTH ACCESS/3-1/3-31</v>
      </c>
    </row>
    <row r="1258" spans="1:9" x14ac:dyDescent="0.3">
      <c r="A1258" t="str">
        <f>"001445"</f>
        <v>001445</v>
      </c>
      <c r="B1258" t="s">
        <v>408</v>
      </c>
      <c r="C1258">
        <v>69818</v>
      </c>
      <c r="D1258" s="2">
        <v>433</v>
      </c>
      <c r="E1258" s="1">
        <v>42849</v>
      </c>
      <c r="F1258" t="str">
        <f>"2017001038-14"</f>
        <v>2017001038-14</v>
      </c>
      <c r="G1258" t="str">
        <f>"ASBESTOS ABATEMENT"</f>
        <v>ASBESTOS ABATEMENT</v>
      </c>
      <c r="H1258" s="2">
        <v>433</v>
      </c>
      <c r="I1258" t="str">
        <f>"ASBESTOS ABATEMENT"</f>
        <v>ASBESTOS ABATEMENT</v>
      </c>
    </row>
    <row r="1259" spans="1:9" x14ac:dyDescent="0.3">
      <c r="A1259" t="str">
        <f>"002870"</f>
        <v>002870</v>
      </c>
      <c r="B1259" t="s">
        <v>409</v>
      </c>
      <c r="C1259">
        <v>69751</v>
      </c>
      <c r="D1259" s="2">
        <v>122.02</v>
      </c>
      <c r="E1259" s="1">
        <v>42835</v>
      </c>
      <c r="F1259" t="str">
        <f>"201704060736"</f>
        <v>201704060736</v>
      </c>
      <c r="G1259" t="str">
        <f>"INDIGENT HEALTH"</f>
        <v>INDIGENT HEALTH</v>
      </c>
      <c r="H1259" s="2">
        <v>122.02</v>
      </c>
      <c r="I1259" t="str">
        <f>"INDIGENT HEALTH"</f>
        <v>INDIGENT HEALTH</v>
      </c>
    </row>
    <row r="1260" spans="1:9" x14ac:dyDescent="0.3">
      <c r="A1260" t="str">
        <f>"004889"</f>
        <v>004889</v>
      </c>
      <c r="B1260" t="s">
        <v>410</v>
      </c>
      <c r="C1260">
        <v>69752</v>
      </c>
      <c r="D1260" s="2">
        <v>750</v>
      </c>
      <c r="E1260" s="1">
        <v>42835</v>
      </c>
      <c r="F1260" t="str">
        <f>"16172"</f>
        <v>16172</v>
      </c>
      <c r="G1260" t="str">
        <f>"COMPETENCY EVAL-A TULLUS"</f>
        <v>COMPETENCY EVAL-A TULLUS</v>
      </c>
      <c r="H1260" s="2">
        <v>750</v>
      </c>
      <c r="I1260" t="str">
        <f>"COMPETENCY EVAL-A TULLUS"</f>
        <v>COMPETENCY EVAL-A TULLUS</v>
      </c>
    </row>
    <row r="1261" spans="1:9" x14ac:dyDescent="0.3">
      <c r="A1261" t="str">
        <f>"005015"</f>
        <v>005015</v>
      </c>
      <c r="B1261" t="s">
        <v>411</v>
      </c>
      <c r="C1261">
        <v>69753</v>
      </c>
      <c r="D1261" s="2">
        <v>135</v>
      </c>
      <c r="E1261" s="1">
        <v>42835</v>
      </c>
      <c r="F1261" t="str">
        <f>"201704060773"</f>
        <v>201704060773</v>
      </c>
      <c r="G1261" t="str">
        <f>"FERAL HOGS"</f>
        <v>FERAL HOGS</v>
      </c>
      <c r="H1261" s="2">
        <v>75</v>
      </c>
      <c r="I1261" t="str">
        <f>"FERAL HOGS"</f>
        <v>FERAL HOGS</v>
      </c>
    </row>
    <row r="1262" spans="1:9" x14ac:dyDescent="0.3">
      <c r="A1262" t="str">
        <f>""</f>
        <v/>
      </c>
      <c r="F1262" t="str">
        <f>"201704060774"</f>
        <v>201704060774</v>
      </c>
      <c r="G1262" t="str">
        <f>"FERAL HOGS"</f>
        <v>FERAL HOGS</v>
      </c>
      <c r="H1262" s="2">
        <v>60</v>
      </c>
      <c r="I1262" t="str">
        <f>"FERAL HOGS"</f>
        <v>FERAL HOGS</v>
      </c>
    </row>
    <row r="1263" spans="1:9" x14ac:dyDescent="0.3">
      <c r="A1263" t="str">
        <f>"003629"</f>
        <v>003629</v>
      </c>
      <c r="B1263" t="s">
        <v>412</v>
      </c>
      <c r="C1263">
        <v>0</v>
      </c>
      <c r="D1263" s="2">
        <v>13206.19</v>
      </c>
      <c r="E1263" s="1">
        <v>42835</v>
      </c>
      <c r="F1263" t="str">
        <f>"12023"</f>
        <v>12023</v>
      </c>
      <c r="G1263" t="str">
        <f>"COLD MIX/PCT#3"</f>
        <v>COLD MIX/PCT#3</v>
      </c>
      <c r="H1263" s="2">
        <v>2673.53</v>
      </c>
      <c r="I1263" t="str">
        <f>"COLD MIX/PCT#3"</f>
        <v>COLD MIX/PCT#3</v>
      </c>
    </row>
    <row r="1264" spans="1:9" x14ac:dyDescent="0.3">
      <c r="A1264" t="str">
        <f>""</f>
        <v/>
      </c>
      <c r="F1264" t="str">
        <f>"12024"</f>
        <v>12024</v>
      </c>
      <c r="G1264" t="str">
        <f>"COLD MIX/PCT#4"</f>
        <v>COLD MIX/PCT#4</v>
      </c>
      <c r="H1264" s="2">
        <v>2561.48</v>
      </c>
      <c r="I1264" t="str">
        <f>"COLD MIX/PCT#4"</f>
        <v>COLD MIX/PCT#4</v>
      </c>
    </row>
    <row r="1265" spans="1:10" x14ac:dyDescent="0.3">
      <c r="A1265" t="str">
        <f>""</f>
        <v/>
      </c>
      <c r="F1265" t="str">
        <f>"12047"</f>
        <v>12047</v>
      </c>
      <c r="G1265" t="str">
        <f>"COLD MIX/PCT#4"</f>
        <v>COLD MIX/PCT#4</v>
      </c>
      <c r="H1265" s="2">
        <v>2682.43</v>
      </c>
      <c r="I1265" t="str">
        <f>"COLD MIX/PCT#4"</f>
        <v>COLD MIX/PCT#4</v>
      </c>
    </row>
    <row r="1266" spans="1:10" x14ac:dyDescent="0.3">
      <c r="A1266" t="str">
        <f>""</f>
        <v/>
      </c>
      <c r="F1266" t="str">
        <f>"12048"</f>
        <v>12048</v>
      </c>
      <c r="G1266" t="str">
        <f>"COLD MIX/PCT#1"</f>
        <v>COLD MIX/PCT#1</v>
      </c>
      <c r="H1266" s="2">
        <v>5288.75</v>
      </c>
      <c r="I1266" t="str">
        <f>"COLD MIX/PCT#1"</f>
        <v>COLD MIX/PCT#1</v>
      </c>
    </row>
    <row r="1267" spans="1:10" x14ac:dyDescent="0.3">
      <c r="A1267" t="str">
        <f>"003629"</f>
        <v>003629</v>
      </c>
      <c r="B1267" t="s">
        <v>412</v>
      </c>
      <c r="C1267">
        <v>0</v>
      </c>
      <c r="D1267" s="2">
        <v>7921.45</v>
      </c>
      <c r="E1267" s="1">
        <v>42849</v>
      </c>
      <c r="F1267" t="str">
        <f>"12108"</f>
        <v>12108</v>
      </c>
      <c r="G1267" t="str">
        <f>"COLD MIX/PCT#3"</f>
        <v>COLD MIX/PCT#3</v>
      </c>
      <c r="H1267" s="2">
        <v>2693.95</v>
      </c>
      <c r="I1267" t="str">
        <f>"COLD MIX/PCT#3"</f>
        <v>COLD MIX/PCT#3</v>
      </c>
    </row>
    <row r="1268" spans="1:10" x14ac:dyDescent="0.3">
      <c r="A1268" t="str">
        <f>""</f>
        <v/>
      </c>
      <c r="F1268" t="str">
        <f>"12163"</f>
        <v>12163</v>
      </c>
      <c r="G1268" t="str">
        <f>"COLD MIX/PCT#4"</f>
        <v>COLD MIX/PCT#4</v>
      </c>
      <c r="H1268" s="2">
        <v>2658.85</v>
      </c>
      <c r="I1268" t="str">
        <f>"COLD MIX/PCT#4"</f>
        <v>COLD MIX/PCT#4</v>
      </c>
    </row>
    <row r="1269" spans="1:10" x14ac:dyDescent="0.3">
      <c r="A1269" t="str">
        <f>""</f>
        <v/>
      </c>
      <c r="F1269" t="str">
        <f>"12187"</f>
        <v>12187</v>
      </c>
      <c r="G1269" t="str">
        <f>"COLD MIX/PCT#4"</f>
        <v>COLD MIX/PCT#4</v>
      </c>
      <c r="H1269" s="2">
        <v>2568.65</v>
      </c>
      <c r="I1269" t="str">
        <f>"COLD MIX/PCT#4"</f>
        <v>COLD MIX/PCT#4</v>
      </c>
    </row>
    <row r="1270" spans="1:10" x14ac:dyDescent="0.3">
      <c r="A1270" t="str">
        <f>"WALMAR"</f>
        <v>WALMAR</v>
      </c>
      <c r="B1270" t="s">
        <v>413</v>
      </c>
      <c r="C1270">
        <v>69754</v>
      </c>
      <c r="D1270" s="2">
        <v>826</v>
      </c>
      <c r="E1270" s="1">
        <v>42835</v>
      </c>
      <c r="F1270" t="s">
        <v>414</v>
      </c>
      <c r="G1270" t="s">
        <v>415</v>
      </c>
      <c r="H1270" s="2" t="str">
        <f>"Acct#6032202005312476"</f>
        <v>Acct#6032202005312476</v>
      </c>
      <c r="I1270" t="str">
        <f>"406-3100"</f>
        <v>406-3100</v>
      </c>
      <c r="J1270">
        <v>4.4800000000000004</v>
      </c>
    </row>
    <row r="1271" spans="1:10" x14ac:dyDescent="0.3">
      <c r="A1271" t="str">
        <f>""</f>
        <v/>
      </c>
      <c r="F1271" t="str">
        <f>""</f>
        <v/>
      </c>
      <c r="G1271" t="str">
        <f>""</f>
        <v/>
      </c>
      <c r="I1271" t="str">
        <f>"Inv# 008240"</f>
        <v>Inv# 008240</v>
      </c>
    </row>
    <row r="1272" spans="1:10" x14ac:dyDescent="0.3">
      <c r="A1272" t="str">
        <f>""</f>
        <v/>
      </c>
      <c r="F1272" t="str">
        <f>""</f>
        <v/>
      </c>
      <c r="G1272" t="str">
        <f>""</f>
        <v/>
      </c>
      <c r="I1272" t="str">
        <f>"Inv# 004535"</f>
        <v>Inv# 004535</v>
      </c>
    </row>
    <row r="1273" spans="1:10" x14ac:dyDescent="0.3">
      <c r="A1273" t="str">
        <f>""</f>
        <v/>
      </c>
      <c r="F1273" t="str">
        <f>""</f>
        <v/>
      </c>
      <c r="G1273" t="str">
        <f>""</f>
        <v/>
      </c>
      <c r="I1273" t="str">
        <f>"Inv# 005995"</f>
        <v>Inv# 005995</v>
      </c>
    </row>
    <row r="1274" spans="1:10" x14ac:dyDescent="0.3">
      <c r="A1274" t="str">
        <f>""</f>
        <v/>
      </c>
      <c r="F1274" t="str">
        <f>""</f>
        <v/>
      </c>
      <c r="G1274" t="str">
        <f>""</f>
        <v/>
      </c>
      <c r="I1274" t="str">
        <f>"Inv# 004535"</f>
        <v>Inv# 004535</v>
      </c>
    </row>
    <row r="1275" spans="1:10" x14ac:dyDescent="0.3">
      <c r="A1275" t="str">
        <f>""</f>
        <v/>
      </c>
      <c r="F1275" t="str">
        <f>""</f>
        <v/>
      </c>
      <c r="G1275" t="str">
        <f>""</f>
        <v/>
      </c>
      <c r="I1275" t="str">
        <f>"Inv# 005995"</f>
        <v>Inv# 005995</v>
      </c>
    </row>
    <row r="1276" spans="1:10" x14ac:dyDescent="0.3">
      <c r="A1276" t="str">
        <f>""</f>
        <v/>
      </c>
      <c r="F1276" t="str">
        <f>""</f>
        <v/>
      </c>
      <c r="G1276" t="str">
        <f>""</f>
        <v/>
      </c>
      <c r="I1276" t="str">
        <f>"Inv# 005514"</f>
        <v>Inv# 005514</v>
      </c>
    </row>
    <row r="1277" spans="1:10" x14ac:dyDescent="0.3">
      <c r="A1277" t="str">
        <f>""</f>
        <v/>
      </c>
      <c r="F1277" t="str">
        <f>""</f>
        <v/>
      </c>
      <c r="G1277" t="str">
        <f>""</f>
        <v/>
      </c>
      <c r="I1277" t="str">
        <f>"Inv# 006252"</f>
        <v>Inv# 006252</v>
      </c>
    </row>
    <row r="1278" spans="1:10" x14ac:dyDescent="0.3">
      <c r="A1278" t="str">
        <f>""</f>
        <v/>
      </c>
      <c r="F1278" t="str">
        <f>""</f>
        <v/>
      </c>
      <c r="G1278" t="str">
        <f>""</f>
        <v/>
      </c>
      <c r="I1278" t="str">
        <f>"Inv# 008867"</f>
        <v>Inv# 008867</v>
      </c>
    </row>
    <row r="1279" spans="1:10" x14ac:dyDescent="0.3">
      <c r="A1279" t="str">
        <f>"004310"</f>
        <v>004310</v>
      </c>
      <c r="B1279" t="s">
        <v>416</v>
      </c>
      <c r="C1279">
        <v>69895</v>
      </c>
      <c r="D1279" s="2">
        <v>640.67999999999995</v>
      </c>
      <c r="E1279" s="1">
        <v>42849</v>
      </c>
      <c r="F1279" t="str">
        <f>"0034031-2162-1"</f>
        <v>0034031-2162-1</v>
      </c>
      <c r="G1279" t="str">
        <f>"ACCT#16-27603-83003/AS"</f>
        <v>ACCT#16-27603-83003/AS</v>
      </c>
      <c r="H1279" s="2">
        <v>320.33999999999997</v>
      </c>
      <c r="I1279" t="str">
        <f>"ACCT#16-27603-83003/AS"</f>
        <v>ACCT#16-27603-83003/AS</v>
      </c>
    </row>
    <row r="1280" spans="1:10" x14ac:dyDescent="0.3">
      <c r="A1280" t="str">
        <f>""</f>
        <v/>
      </c>
      <c r="F1280" t="str">
        <f>"16-27603-83003"</f>
        <v>16-27603-83003</v>
      </c>
      <c r="G1280" t="str">
        <f>"WASTE MANAGEMENT"</f>
        <v>WASTE MANAGEMENT</v>
      </c>
      <c r="H1280" s="2">
        <v>320.33999999999997</v>
      </c>
      <c r="I1280" t="str">
        <f>"WASTE MANAGEMENT"</f>
        <v>WASTE MANAGEMENT</v>
      </c>
    </row>
    <row r="1281" spans="1:10" x14ac:dyDescent="0.3">
      <c r="A1281" t="str">
        <f>"T5726"</f>
        <v>T5726</v>
      </c>
      <c r="B1281" t="s">
        <v>417</v>
      </c>
      <c r="C1281">
        <v>69755</v>
      </c>
      <c r="D1281" s="2">
        <v>1714.7</v>
      </c>
      <c r="E1281" s="1">
        <v>42835</v>
      </c>
      <c r="F1281" t="str">
        <f>"1021578"</f>
        <v>1021578</v>
      </c>
      <c r="G1281" t="str">
        <f>"INV1021578 GAS VALVE"</f>
        <v>INV1021578 GAS VALVE</v>
      </c>
      <c r="H1281" s="2">
        <v>936</v>
      </c>
      <c r="I1281" t="str">
        <f>"INV1021578 GAS VALVE"</f>
        <v>INV1021578 GAS VALVE</v>
      </c>
    </row>
    <row r="1282" spans="1:10" x14ac:dyDescent="0.3">
      <c r="A1282" t="str">
        <f>""</f>
        <v/>
      </c>
      <c r="F1282" t="str">
        <f>""</f>
        <v/>
      </c>
      <c r="G1282" t="str">
        <f>""</f>
        <v/>
      </c>
      <c r="I1282" t="str">
        <f>"INV1021578 GAS VALVE"</f>
        <v>INV1021578 GAS VALVE</v>
      </c>
    </row>
    <row r="1283" spans="1:10" x14ac:dyDescent="0.3">
      <c r="A1283" t="str">
        <f>""</f>
        <v/>
      </c>
      <c r="F1283" t="str">
        <f>"1022139"</f>
        <v>1022139</v>
      </c>
      <c r="G1283" t="str">
        <f>"SERVER I MAINTINV1022139"</f>
        <v>SERVER I MAINTINV1022139</v>
      </c>
      <c r="H1283" s="2">
        <v>234.38</v>
      </c>
      <c r="I1283" t="str">
        <f>"SERVER I MAINTINV1022139"</f>
        <v>SERVER I MAINTINV1022139</v>
      </c>
    </row>
    <row r="1284" spans="1:10" x14ac:dyDescent="0.3">
      <c r="A1284" t="str">
        <f>""</f>
        <v/>
      </c>
      <c r="F1284" t="str">
        <f>"W0113547"</f>
        <v>W0113547</v>
      </c>
      <c r="G1284" t="str">
        <f>"COOLER VAULT #2&amp;4"</f>
        <v>COOLER VAULT #2&amp;4</v>
      </c>
      <c r="H1284" s="2">
        <v>544.32000000000005</v>
      </c>
      <c r="I1284" t="str">
        <f>"WO113547 COOLER2&amp;4"</f>
        <v>WO113547 COOLER2&amp;4</v>
      </c>
    </row>
    <row r="1285" spans="1:10" x14ac:dyDescent="0.3">
      <c r="A1285" t="str">
        <f>"004874"</f>
        <v>004874</v>
      </c>
      <c r="B1285" t="s">
        <v>418</v>
      </c>
      <c r="C1285">
        <v>69912</v>
      </c>
      <c r="D1285" s="2">
        <v>218</v>
      </c>
      <c r="E1285" s="1">
        <v>42849</v>
      </c>
      <c r="F1285" t="str">
        <f>"201704201411"</f>
        <v>201704201411</v>
      </c>
      <c r="G1285" t="str">
        <f>"WIND KNOT INCORPORATED"</f>
        <v>WIND KNOT INCORPORATED</v>
      </c>
      <c r="H1285" s="2">
        <v>218</v>
      </c>
      <c r="I1285" t="str">
        <f>"Polo Shirts W/Logo"</f>
        <v>Polo Shirts W/Logo</v>
      </c>
    </row>
    <row r="1286" spans="1:10" x14ac:dyDescent="0.3">
      <c r="A1286" t="str">
        <f>"003479"</f>
        <v>003479</v>
      </c>
      <c r="B1286" t="s">
        <v>419</v>
      </c>
      <c r="C1286">
        <v>69868</v>
      </c>
      <c r="D1286" s="2">
        <v>98.31</v>
      </c>
      <c r="E1286" s="1">
        <v>42849</v>
      </c>
      <c r="F1286" t="str">
        <f>"212988"</f>
        <v>212988</v>
      </c>
      <c r="G1286" t="str">
        <f>"AR-9628/PCT#1"</f>
        <v>AR-9628/PCT#1</v>
      </c>
      <c r="H1286" s="2">
        <v>98.31</v>
      </c>
      <c r="I1286" t="str">
        <f>"AR-9628/PCT#1"</f>
        <v>AR-9628/PCT#1</v>
      </c>
    </row>
    <row r="1287" spans="1:10" x14ac:dyDescent="0.3">
      <c r="A1287" t="str">
        <f>"005011"</f>
        <v>005011</v>
      </c>
      <c r="B1287" t="s">
        <v>420</v>
      </c>
      <c r="C1287">
        <v>69919</v>
      </c>
      <c r="D1287" s="2">
        <v>475</v>
      </c>
      <c r="E1287" s="1">
        <v>42849</v>
      </c>
      <c r="F1287" t="str">
        <f>"201704191352"</f>
        <v>201704191352</v>
      </c>
      <c r="G1287" t="str">
        <f>"TRAINING"</f>
        <v>TRAINING</v>
      </c>
      <c r="H1287" s="2">
        <v>475</v>
      </c>
      <c r="I1287" t="str">
        <f>"TRAINING"</f>
        <v>TRAINING</v>
      </c>
    </row>
    <row r="1288" spans="1:10" x14ac:dyDescent="0.3">
      <c r="A1288" t="str">
        <f>"LIN"</f>
        <v>LIN</v>
      </c>
      <c r="B1288" t="s">
        <v>421</v>
      </c>
      <c r="C1288">
        <v>0</v>
      </c>
      <c r="D1288" s="2">
        <v>12500</v>
      </c>
      <c r="E1288" s="1">
        <v>42852</v>
      </c>
      <c r="F1288" t="str">
        <f>"201704201559"</f>
        <v>201704201559</v>
      </c>
      <c r="G1288" t="str">
        <f>"MEDICAL CONTRACT"</f>
        <v>MEDICAL CONTRACT</v>
      </c>
      <c r="H1288" s="2">
        <v>12500</v>
      </c>
      <c r="I1288" t="str">
        <f>"MEDICAL CONTRACT"</f>
        <v>MEDICAL CONTRACT</v>
      </c>
    </row>
    <row r="1289" spans="1:10" x14ac:dyDescent="0.3">
      <c r="A1289" t="str">
        <f>"WPC"</f>
        <v>WPC</v>
      </c>
      <c r="B1289" t="s">
        <v>422</v>
      </c>
      <c r="C1289">
        <v>69756</v>
      </c>
      <c r="D1289" s="2">
        <v>3831.92</v>
      </c>
      <c r="E1289" s="1">
        <v>42835</v>
      </c>
      <c r="F1289" t="str">
        <f>"835617832"</f>
        <v>835617832</v>
      </c>
      <c r="G1289" t="str">
        <f>"ACCT#1000648597/LAW LIBRARY"</f>
        <v>ACCT#1000648597/LAW LIBRARY</v>
      </c>
      <c r="H1289" s="2">
        <v>3435.92</v>
      </c>
      <c r="I1289" t="str">
        <f>"ACCT#1000648597/LAW LIBRARY"</f>
        <v>ACCT#1000648597/LAW LIBRARY</v>
      </c>
    </row>
    <row r="1290" spans="1:10" x14ac:dyDescent="0.3">
      <c r="A1290" t="str">
        <f>""</f>
        <v/>
      </c>
      <c r="F1290" t="str">
        <f>"835679805"</f>
        <v>835679805</v>
      </c>
      <c r="G1290" t="str">
        <f>"ACCT#1000648597/LAW LIBRARY"</f>
        <v>ACCT#1000648597/LAW LIBRARY</v>
      </c>
      <c r="H1290" s="2">
        <v>396</v>
      </c>
      <c r="I1290" t="str">
        <f>"ACCT#1000648597/LAW LIBRARY"</f>
        <v>ACCT#1000648597/LAW LIBRARY</v>
      </c>
    </row>
    <row r="1291" spans="1:10" x14ac:dyDescent="0.3">
      <c r="A1291" t="str">
        <f>"WPC"</f>
        <v>WPC</v>
      </c>
      <c r="B1291" t="s">
        <v>422</v>
      </c>
      <c r="C1291">
        <v>70054</v>
      </c>
      <c r="D1291" s="2">
        <v>3831.92</v>
      </c>
      <c r="E1291" s="1">
        <v>42849</v>
      </c>
      <c r="F1291" t="str">
        <f>"835846982"</f>
        <v>835846982</v>
      </c>
      <c r="G1291" t="str">
        <f>"ACCT#1000648597/LAW LIBRARY"</f>
        <v>ACCT#1000648597/LAW LIBRARY</v>
      </c>
      <c r="H1291" s="2">
        <v>396</v>
      </c>
      <c r="I1291" t="str">
        <f>"ACCT#1000648597/LAW LIBRARY"</f>
        <v>ACCT#1000648597/LAW LIBRARY</v>
      </c>
    </row>
    <row r="1292" spans="1:10" x14ac:dyDescent="0.3">
      <c r="A1292" t="str">
        <f>""</f>
        <v/>
      </c>
      <c r="F1292" t="str">
        <f>"835964388"</f>
        <v>835964388</v>
      </c>
      <c r="G1292" t="str">
        <f>"1000648597 03/05/17 - 04/04/17"</f>
        <v>1000648597 03/05/17 - 04/04/17</v>
      </c>
      <c r="H1292" s="2">
        <v>3435.92</v>
      </c>
      <c r="I1292" t="str">
        <f>"1000648597 03/05/17 - 04/04/17"</f>
        <v>1000648597 03/05/17 - 04/04/17</v>
      </c>
    </row>
    <row r="1293" spans="1:10" x14ac:dyDescent="0.3">
      <c r="A1293" t="str">
        <f>"004074"</f>
        <v>004074</v>
      </c>
      <c r="B1293" t="s">
        <v>423</v>
      </c>
      <c r="C1293">
        <v>69886</v>
      </c>
      <c r="D1293" s="2">
        <v>4014.04</v>
      </c>
      <c r="E1293" s="1">
        <v>42849</v>
      </c>
      <c r="F1293" t="str">
        <f>"201704201390"</f>
        <v>201704201390</v>
      </c>
      <c r="G1293" t="str">
        <f>"MARCH PRESCRIPTIONS"</f>
        <v>MARCH PRESCRIPTIONS</v>
      </c>
      <c r="H1293" s="2">
        <v>4014.04</v>
      </c>
      <c r="I1293" t="str">
        <f>"MARCH PRESCRIPTIONS"</f>
        <v>MARCH PRESCRIPTIONS</v>
      </c>
    </row>
    <row r="1294" spans="1:10" x14ac:dyDescent="0.3">
      <c r="A1294" t="str">
        <f>"005020"</f>
        <v>005020</v>
      </c>
      <c r="B1294" t="s">
        <v>424</v>
      </c>
      <c r="C1294">
        <v>69757</v>
      </c>
      <c r="D1294" s="2">
        <v>100</v>
      </c>
      <c r="E1294" s="1">
        <v>42835</v>
      </c>
      <c r="F1294" t="str">
        <f>"201704060779"</f>
        <v>201704060779</v>
      </c>
      <c r="G1294" t="str">
        <f>"FERAL HOGS"</f>
        <v>FERAL HOGS</v>
      </c>
      <c r="H1294" s="2">
        <v>100</v>
      </c>
      <c r="I1294" t="str">
        <f>"FERAL HOGS"</f>
        <v>FERAL HOGS</v>
      </c>
    </row>
    <row r="1295" spans="1:10" x14ac:dyDescent="0.3">
      <c r="A1295" t="str">
        <f>"002351"</f>
        <v>002351</v>
      </c>
      <c r="B1295" t="s">
        <v>425</v>
      </c>
      <c r="C1295">
        <v>69758</v>
      </c>
      <c r="D1295" s="2">
        <v>70</v>
      </c>
      <c r="E1295" s="1">
        <v>42835</v>
      </c>
      <c r="F1295" t="str">
        <f>"11890"</f>
        <v>11890</v>
      </c>
      <c r="G1295" t="str">
        <f>"SERVICE/2-15-17"</f>
        <v>SERVICE/2-15-17</v>
      </c>
      <c r="H1295" s="2">
        <v>70</v>
      </c>
      <c r="I1295" t="str">
        <f>"SERVICE/2-15-17"</f>
        <v>SERVICE/2-15-17</v>
      </c>
    </row>
    <row r="1296" spans="1:10" x14ac:dyDescent="0.3">
      <c r="A1296" t="str">
        <f>"002445"</f>
        <v>002445</v>
      </c>
      <c r="B1296" t="s">
        <v>426</v>
      </c>
      <c r="C1296">
        <v>69845</v>
      </c>
      <c r="D1296" s="2">
        <v>70</v>
      </c>
      <c r="E1296" s="1">
        <v>42849</v>
      </c>
      <c r="F1296" t="s">
        <v>58</v>
      </c>
      <c r="G1296" t="s">
        <v>59</v>
      </c>
      <c r="H1296" s="2" t="str">
        <f>"SERVICE 1/27/17"</f>
        <v>SERVICE 1/27/17</v>
      </c>
      <c r="I1296" t="str">
        <f>"995-4110"</f>
        <v>995-4110</v>
      </c>
      <c r="J1296">
        <v>70</v>
      </c>
    </row>
    <row r="1297" spans="1:9" x14ac:dyDescent="0.3">
      <c r="A1297" t="str">
        <f>"004992"</f>
        <v>004992</v>
      </c>
      <c r="B1297" t="s">
        <v>427</v>
      </c>
      <c r="C1297">
        <v>69759</v>
      </c>
      <c r="D1297" s="2">
        <v>39.6</v>
      </c>
      <c r="E1297" s="1">
        <v>42835</v>
      </c>
      <c r="F1297" t="str">
        <f>"00000000099820"</f>
        <v>00000000099820</v>
      </c>
      <c r="G1297" t="str">
        <f>"INV 00000000099820"</f>
        <v>INV 00000000099820</v>
      </c>
      <c r="H1297" s="2">
        <v>39.6</v>
      </c>
      <c r="I1297" t="str">
        <f>"INV 00000000099820"</f>
        <v>INV 00000000099820</v>
      </c>
    </row>
    <row r="1298" spans="1:9" x14ac:dyDescent="0.3">
      <c r="A1298" t="str">
        <f>"004240"</f>
        <v>004240</v>
      </c>
      <c r="B1298" t="s">
        <v>428</v>
      </c>
      <c r="C1298">
        <v>69893</v>
      </c>
      <c r="D1298" s="2">
        <v>3576</v>
      </c>
      <c r="E1298" s="1">
        <v>42849</v>
      </c>
      <c r="F1298" t="str">
        <f>"1185"</f>
        <v>1185</v>
      </c>
      <c r="G1298" t="str">
        <f>"RESHAPE DITCHES/PCT#2"</f>
        <v>RESHAPE DITCHES/PCT#2</v>
      </c>
      <c r="H1298" s="2">
        <v>1236</v>
      </c>
      <c r="I1298" t="str">
        <f>"RESHAPE DITCHES/PCT#2"</f>
        <v>RESHAPE DITCHES/PCT#2</v>
      </c>
    </row>
    <row r="1299" spans="1:9" x14ac:dyDescent="0.3">
      <c r="A1299" t="str">
        <f>""</f>
        <v/>
      </c>
      <c r="F1299" t="str">
        <f>"1186"</f>
        <v>1186</v>
      </c>
      <c r="G1299" t="str">
        <f>"INSTALL CULVERTS/PCT#2"</f>
        <v>INSTALL CULVERTS/PCT#2</v>
      </c>
      <c r="H1299" s="2">
        <v>2340</v>
      </c>
      <c r="I1299" t="str">
        <f>"INSTALL CULVERTS/PCT#2"</f>
        <v>INSTALL CULVERTS/PCT#2</v>
      </c>
    </row>
    <row r="1300" spans="1:9" x14ac:dyDescent="0.3">
      <c r="A1300" t="str">
        <f>"XEROX"</f>
        <v>XEROX</v>
      </c>
      <c r="B1300" t="s">
        <v>429</v>
      </c>
      <c r="C1300">
        <v>69760</v>
      </c>
      <c r="D1300" s="2">
        <v>170.91</v>
      </c>
      <c r="E1300" s="1">
        <v>42835</v>
      </c>
      <c r="F1300" t="str">
        <f>"088658676"</f>
        <v>088658676</v>
      </c>
      <c r="G1300" t="str">
        <f>"CUST#662445931/TAX OFFICE"</f>
        <v>CUST#662445931/TAX OFFICE</v>
      </c>
      <c r="H1300" s="2">
        <v>106.45</v>
      </c>
      <c r="I1300" t="str">
        <f>"CUST#662445931/TAX OFFICE"</f>
        <v>CUST#662445931/TAX OFFICE</v>
      </c>
    </row>
    <row r="1301" spans="1:9" x14ac:dyDescent="0.3">
      <c r="A1301" t="str">
        <f>""</f>
        <v/>
      </c>
      <c r="F1301" t="str">
        <f>"088658677"</f>
        <v>088658677</v>
      </c>
      <c r="G1301" t="str">
        <f>"CUST#662445931/TAX OFFICE"</f>
        <v>CUST#662445931/TAX OFFICE</v>
      </c>
      <c r="H1301" s="2">
        <v>32.229999999999997</v>
      </c>
      <c r="I1301" t="str">
        <f>"CUST#662445931/TAX OFFICE"</f>
        <v>CUST#662445931/TAX OFFICE</v>
      </c>
    </row>
    <row r="1302" spans="1:9" x14ac:dyDescent="0.3">
      <c r="A1302" t="str">
        <f>""</f>
        <v/>
      </c>
      <c r="F1302" t="str">
        <f>"088658689"</f>
        <v>088658689</v>
      </c>
      <c r="G1302" t="str">
        <f>"CUST#723230843/TAX OFFICE"</f>
        <v>CUST#723230843/TAX OFFICE</v>
      </c>
      <c r="H1302" s="2">
        <v>32.229999999999997</v>
      </c>
      <c r="I1302" t="str">
        <f>"CUST#723230843/TAX OFFICE"</f>
        <v>CUST#723230843/TAX OFFICE</v>
      </c>
    </row>
    <row r="1303" spans="1:9" x14ac:dyDescent="0.3">
      <c r="A1303" t="str">
        <f>"003731"</f>
        <v>003731</v>
      </c>
      <c r="B1303" t="s">
        <v>430</v>
      </c>
      <c r="C1303">
        <v>69875</v>
      </c>
      <c r="D1303" s="2">
        <v>504.3</v>
      </c>
      <c r="E1303" s="1">
        <v>42849</v>
      </c>
      <c r="F1303" t="str">
        <f>"201704191362"</f>
        <v>201704191362</v>
      </c>
      <c r="G1303" t="str">
        <f>"LODGING"</f>
        <v>LODGING</v>
      </c>
      <c r="H1303" s="2">
        <v>504.3</v>
      </c>
    </row>
    <row r="1304" spans="1:9" x14ac:dyDescent="0.3">
      <c r="A1304" t="str">
        <f>"002481"</f>
        <v>002481</v>
      </c>
      <c r="B1304" t="s">
        <v>431</v>
      </c>
      <c r="C1304">
        <v>69761</v>
      </c>
      <c r="D1304" s="2">
        <v>105.18</v>
      </c>
      <c r="E1304" s="1">
        <v>42835</v>
      </c>
      <c r="F1304" t="str">
        <f>"201704060737"</f>
        <v>201704060737</v>
      </c>
      <c r="G1304" t="str">
        <f>"INDIGENT HEALTH"</f>
        <v>INDIGENT HEALTH</v>
      </c>
      <c r="H1304" s="2">
        <v>105.18</v>
      </c>
      <c r="I1304" t="str">
        <f>"INDIGENT HEALTH"</f>
        <v>INDIGENT HEALTH</v>
      </c>
    </row>
    <row r="1305" spans="1:9" x14ac:dyDescent="0.3">
      <c r="A1305" t="str">
        <f>"003152"</f>
        <v>003152</v>
      </c>
      <c r="B1305" t="s">
        <v>432</v>
      </c>
      <c r="C1305">
        <v>69865</v>
      </c>
      <c r="D1305" s="2">
        <v>137.16</v>
      </c>
      <c r="E1305" s="1">
        <v>42849</v>
      </c>
      <c r="F1305" t="str">
        <f>"201704191350"</f>
        <v>201704191350</v>
      </c>
      <c r="G1305" t="str">
        <f>"MILEAGE"</f>
        <v>MILEAGE</v>
      </c>
      <c r="H1305" s="2">
        <v>137.16</v>
      </c>
    </row>
    <row r="1306" spans="1:9" x14ac:dyDescent="0.3">
      <c r="A1306" t="str">
        <f>"003152"</f>
        <v>003152</v>
      </c>
      <c r="B1306" t="s">
        <v>432</v>
      </c>
      <c r="C1306">
        <v>69865</v>
      </c>
      <c r="D1306" s="2">
        <v>137.16</v>
      </c>
      <c r="E1306" s="1">
        <v>42849</v>
      </c>
      <c r="F1306" t="str">
        <f>"CHECK"</f>
        <v>CHECK</v>
      </c>
      <c r="G1306" t="str">
        <f>""</f>
        <v/>
      </c>
      <c r="H1306" s="2">
        <v>137.16</v>
      </c>
    </row>
    <row r="1307" spans="1:9" x14ac:dyDescent="0.3">
      <c r="A1307" t="str">
        <f>"002955"</f>
        <v>002955</v>
      </c>
      <c r="B1307" t="s">
        <v>433</v>
      </c>
      <c r="C1307">
        <v>69858</v>
      </c>
      <c r="D1307" s="2">
        <v>655.19000000000005</v>
      </c>
      <c r="E1307" s="1">
        <v>42849</v>
      </c>
      <c r="F1307" t="str">
        <f>"201704201432"</f>
        <v>201704201432</v>
      </c>
      <c r="G1307" t="str">
        <f>"ORDER S389841"</f>
        <v>ORDER S389841</v>
      </c>
      <c r="H1307" s="2">
        <v>655.19000000000005</v>
      </c>
      <c r="I1307" t="str">
        <f>"ORDER S389841"</f>
        <v>ORDER S389841</v>
      </c>
    </row>
    <row r="1308" spans="1:9" x14ac:dyDescent="0.3">
      <c r="A1308" t="str">
        <f>""</f>
        <v/>
      </c>
      <c r="F1308" t="str">
        <f>""</f>
        <v/>
      </c>
      <c r="G1308" t="str">
        <f>""</f>
        <v/>
      </c>
      <c r="I1308" t="str">
        <f>"SHIPPING"</f>
        <v>SHIPPING</v>
      </c>
    </row>
    <row r="1309" spans="1:9" x14ac:dyDescent="0.3">
      <c r="A1309" t="str">
        <f>"T4634"</f>
        <v>T4634</v>
      </c>
      <c r="B1309" t="s">
        <v>434</v>
      </c>
      <c r="C1309">
        <v>70022</v>
      </c>
      <c r="D1309" s="2">
        <v>594.28</v>
      </c>
      <c r="E1309" s="1">
        <v>42849</v>
      </c>
      <c r="F1309" t="str">
        <f>"9002738486"</f>
        <v>9002738486</v>
      </c>
      <c r="G1309" t="str">
        <f>"CUST#11167266/PCT#4"</f>
        <v>CUST#11167266/PCT#4</v>
      </c>
      <c r="H1309" s="2">
        <v>594.28</v>
      </c>
      <c r="I1309" t="str">
        <f>"CUST#11167266/PCT#4"</f>
        <v>CUST#11167266/PCT#4</v>
      </c>
    </row>
    <row r="1310" spans="1:9" x14ac:dyDescent="0.3">
      <c r="A1310" t="str">
        <f>"000598"</f>
        <v>000598</v>
      </c>
      <c r="B1310" t="s">
        <v>435</v>
      </c>
      <c r="C1310">
        <v>69517</v>
      </c>
      <c r="D1310" s="2">
        <v>19861.95</v>
      </c>
      <c r="E1310" s="1">
        <v>42835</v>
      </c>
      <c r="F1310" t="str">
        <f>"9725-001-91118"</f>
        <v>9725-001-91118</v>
      </c>
      <c r="G1310" t="str">
        <f t="shared" ref="G1310:G1328" si="14">"ACCT#9725-001/BASE/PCT#2"</f>
        <v>ACCT#9725-001/BASE/PCT#2</v>
      </c>
      <c r="H1310" s="2">
        <v>3982.31</v>
      </c>
      <c r="I1310" t="str">
        <f>"ACCT#9725-001/PCT#2"</f>
        <v>ACCT#9725-001/PCT#2</v>
      </c>
    </row>
    <row r="1311" spans="1:9" x14ac:dyDescent="0.3">
      <c r="A1311" t="str">
        <f>""</f>
        <v/>
      </c>
      <c r="F1311" t="str">
        <f>"9725-001-91147"</f>
        <v>9725-001-91147</v>
      </c>
      <c r="G1311" t="str">
        <f t="shared" si="14"/>
        <v>ACCT#9725-001/BASE/PCT#2</v>
      </c>
      <c r="H1311" s="2">
        <v>3610.93</v>
      </c>
      <c r="I1311" t="str">
        <f t="shared" ref="I1311:I1328" si="15">"ACCT#9725-001/BASE/PCT#2"</f>
        <v>ACCT#9725-001/BASE/PCT#2</v>
      </c>
    </row>
    <row r="1312" spans="1:9" x14ac:dyDescent="0.3">
      <c r="A1312" t="str">
        <f>""</f>
        <v/>
      </c>
      <c r="F1312" t="str">
        <f>"9725-001-91180"</f>
        <v>9725-001-91180</v>
      </c>
      <c r="G1312" t="str">
        <f t="shared" si="14"/>
        <v>ACCT#9725-001/BASE/PCT#2</v>
      </c>
      <c r="H1312" s="2">
        <v>4332.25</v>
      </c>
      <c r="I1312" t="str">
        <f t="shared" si="15"/>
        <v>ACCT#9725-001/BASE/PCT#2</v>
      </c>
    </row>
    <row r="1313" spans="1:9" x14ac:dyDescent="0.3">
      <c r="A1313" t="str">
        <f>""</f>
        <v/>
      </c>
      <c r="F1313" t="str">
        <f>"9725-001-91240"</f>
        <v>9725-001-91240</v>
      </c>
      <c r="G1313" t="str">
        <f t="shared" si="14"/>
        <v>ACCT#9725-001/BASE/PCT#2</v>
      </c>
      <c r="H1313" s="2">
        <v>3347.68</v>
      </c>
      <c r="I1313" t="str">
        <f t="shared" si="15"/>
        <v>ACCT#9725-001/BASE/PCT#2</v>
      </c>
    </row>
    <row r="1314" spans="1:9" x14ac:dyDescent="0.3">
      <c r="A1314" t="str">
        <f>""</f>
        <v/>
      </c>
      <c r="F1314" t="str">
        <f>"9725-001-91274"</f>
        <v>9725-001-91274</v>
      </c>
      <c r="G1314" t="str">
        <f t="shared" si="14"/>
        <v>ACCT#9725-001/BASE/PCT#2</v>
      </c>
      <c r="H1314" s="2">
        <v>1713.79</v>
      </c>
      <c r="I1314" t="str">
        <f t="shared" si="15"/>
        <v>ACCT#9725-001/BASE/PCT#2</v>
      </c>
    </row>
    <row r="1315" spans="1:9" x14ac:dyDescent="0.3">
      <c r="A1315" t="str">
        <f>""</f>
        <v/>
      </c>
      <c r="F1315" t="str">
        <f>"9725-001-91304"</f>
        <v>9725-001-91304</v>
      </c>
      <c r="G1315" t="str">
        <f t="shared" si="14"/>
        <v>ACCT#9725-001/BASE/PCT#2</v>
      </c>
      <c r="H1315" s="2">
        <v>2874.99</v>
      </c>
      <c r="I1315" t="str">
        <f t="shared" si="15"/>
        <v>ACCT#9725-001/BASE/PCT#2</v>
      </c>
    </row>
    <row r="1316" spans="1:9" x14ac:dyDescent="0.3">
      <c r="A1316" t="str">
        <f>"000598"</f>
        <v>000598</v>
      </c>
      <c r="B1316" t="s">
        <v>435</v>
      </c>
      <c r="C1316">
        <v>69786</v>
      </c>
      <c r="D1316" s="2">
        <v>7050.87</v>
      </c>
      <c r="E1316" s="1">
        <v>42849</v>
      </c>
      <c r="F1316" t="str">
        <f>"9725-001-91351"</f>
        <v>9725-001-91351</v>
      </c>
      <c r="G1316" t="str">
        <f t="shared" si="14"/>
        <v>ACCT#9725-001/BASE/PCT#2</v>
      </c>
      <c r="H1316" s="2">
        <v>389.14</v>
      </c>
      <c r="I1316" t="str">
        <f t="shared" si="15"/>
        <v>ACCT#9725-001/BASE/PCT#2</v>
      </c>
    </row>
    <row r="1317" spans="1:9" x14ac:dyDescent="0.3">
      <c r="A1317" t="str">
        <f>""</f>
        <v/>
      </c>
      <c r="F1317" t="str">
        <f>"9725-001-91376"</f>
        <v>9725-001-91376</v>
      </c>
      <c r="G1317" t="str">
        <f t="shared" si="14"/>
        <v>ACCT#9725-001/BASE/PCT#2</v>
      </c>
      <c r="H1317" s="2">
        <v>799.44</v>
      </c>
      <c r="I1317" t="str">
        <f t="shared" si="15"/>
        <v>ACCT#9725-001/BASE/PCT#2</v>
      </c>
    </row>
    <row r="1318" spans="1:9" x14ac:dyDescent="0.3">
      <c r="A1318" t="str">
        <f>""</f>
        <v/>
      </c>
      <c r="F1318" t="str">
        <f>"9725-001-91417"</f>
        <v>9725-001-91417</v>
      </c>
      <c r="G1318" t="str">
        <f t="shared" si="14"/>
        <v>ACCT#9725-001/BASE/PCT#2</v>
      </c>
      <c r="H1318" s="2">
        <v>613.11</v>
      </c>
      <c r="I1318" t="str">
        <f t="shared" si="15"/>
        <v>ACCT#9725-001/BASE/PCT#2</v>
      </c>
    </row>
    <row r="1319" spans="1:9" x14ac:dyDescent="0.3">
      <c r="A1319" t="str">
        <f>""</f>
        <v/>
      </c>
      <c r="F1319" t="str">
        <f>"9725-001-91454"</f>
        <v>9725-001-91454</v>
      </c>
      <c r="G1319" t="str">
        <f t="shared" si="14"/>
        <v>ACCT#9725-001/BASE/PCT#2</v>
      </c>
      <c r="H1319" s="2">
        <v>826.47</v>
      </c>
      <c r="I1319" t="str">
        <f t="shared" si="15"/>
        <v>ACCT#9725-001/BASE/PCT#2</v>
      </c>
    </row>
    <row r="1320" spans="1:9" x14ac:dyDescent="0.3">
      <c r="A1320" t="str">
        <f>""</f>
        <v/>
      </c>
      <c r="F1320" t="str">
        <f>"9725-001-91491"</f>
        <v>9725-001-91491</v>
      </c>
      <c r="G1320" t="str">
        <f t="shared" si="14"/>
        <v>ACCT#9725-001/BASE/PCT#2</v>
      </c>
      <c r="H1320" s="2">
        <v>387.52</v>
      </c>
      <c r="I1320" t="str">
        <f t="shared" si="15"/>
        <v>ACCT#9725-001/BASE/PCT#2</v>
      </c>
    </row>
    <row r="1321" spans="1:9" x14ac:dyDescent="0.3">
      <c r="A1321" t="str">
        <f>""</f>
        <v/>
      </c>
      <c r="F1321" t="str">
        <f>"9725-001-91522"</f>
        <v>9725-001-91522</v>
      </c>
      <c r="G1321" t="str">
        <f t="shared" si="14"/>
        <v>ACCT#9725-001/BASE/PCT#2</v>
      </c>
      <c r="H1321" s="2">
        <v>605.54999999999995</v>
      </c>
      <c r="I1321" t="str">
        <f t="shared" si="15"/>
        <v>ACCT#9725-001/BASE/PCT#2</v>
      </c>
    </row>
    <row r="1322" spans="1:9" x14ac:dyDescent="0.3">
      <c r="A1322" t="str">
        <f>""</f>
        <v/>
      </c>
      <c r="F1322" t="str">
        <f>"9725-001-91549"</f>
        <v>9725-001-91549</v>
      </c>
      <c r="G1322" t="str">
        <f t="shared" si="14"/>
        <v>ACCT#9725-001/BASE/PCT#2</v>
      </c>
      <c r="H1322" s="2">
        <v>420.08</v>
      </c>
      <c r="I1322" t="str">
        <f t="shared" si="15"/>
        <v>ACCT#9725-001/BASE/PCT#2</v>
      </c>
    </row>
    <row r="1323" spans="1:9" x14ac:dyDescent="0.3">
      <c r="A1323" t="str">
        <f>""</f>
        <v/>
      </c>
      <c r="F1323" t="str">
        <f>"9725-001-91576"</f>
        <v>9725-001-91576</v>
      </c>
      <c r="G1323" t="str">
        <f t="shared" si="14"/>
        <v>ACCT#9725-001/BASE/PCT#2</v>
      </c>
      <c r="H1323" s="2">
        <v>617.96</v>
      </c>
      <c r="I1323" t="str">
        <f t="shared" si="15"/>
        <v>ACCT#9725-001/BASE/PCT#2</v>
      </c>
    </row>
    <row r="1324" spans="1:9" x14ac:dyDescent="0.3">
      <c r="A1324" t="str">
        <f>""</f>
        <v/>
      </c>
      <c r="F1324" t="str">
        <f>"9725-001-91602"</f>
        <v>9725-001-91602</v>
      </c>
      <c r="G1324" t="str">
        <f t="shared" si="14"/>
        <v>ACCT#9725-001/BASE/PCT#2</v>
      </c>
      <c r="H1324" s="2">
        <v>639.12</v>
      </c>
      <c r="I1324" t="str">
        <f t="shared" si="15"/>
        <v>ACCT#9725-001/BASE/PCT#2</v>
      </c>
    </row>
    <row r="1325" spans="1:9" x14ac:dyDescent="0.3">
      <c r="A1325" t="str">
        <f>""</f>
        <v/>
      </c>
      <c r="F1325" t="str">
        <f>"9725-001-91627"</f>
        <v>9725-001-91627</v>
      </c>
      <c r="G1325" t="str">
        <f t="shared" si="14"/>
        <v>ACCT#9725-001/BASE/PCT#2</v>
      </c>
      <c r="H1325" s="2">
        <v>582.69000000000005</v>
      </c>
      <c r="I1325" t="str">
        <f t="shared" si="15"/>
        <v>ACCT#9725-001/BASE/PCT#2</v>
      </c>
    </row>
    <row r="1326" spans="1:9" x14ac:dyDescent="0.3">
      <c r="A1326" t="str">
        <f>""</f>
        <v/>
      </c>
      <c r="F1326" t="str">
        <f>"9725-001-91647"</f>
        <v>9725-001-91647</v>
      </c>
      <c r="G1326" t="str">
        <f t="shared" si="14"/>
        <v>ACCT#9725-001/BASE/PCT#2</v>
      </c>
      <c r="H1326" s="2">
        <v>589.23</v>
      </c>
      <c r="I1326" t="str">
        <f t="shared" si="15"/>
        <v>ACCT#9725-001/BASE/PCT#2</v>
      </c>
    </row>
    <row r="1327" spans="1:9" x14ac:dyDescent="0.3">
      <c r="A1327" t="str">
        <f>""</f>
        <v/>
      </c>
      <c r="F1327" t="str">
        <f>"9725-001-91671"</f>
        <v>9725-001-91671</v>
      </c>
      <c r="G1327" t="str">
        <f t="shared" si="14"/>
        <v>ACCT#9725-001/BASE/PCT#2</v>
      </c>
      <c r="H1327" s="2">
        <v>396.45</v>
      </c>
      <c r="I1327" t="str">
        <f t="shared" si="15"/>
        <v>ACCT#9725-001/BASE/PCT#2</v>
      </c>
    </row>
    <row r="1328" spans="1:9" x14ac:dyDescent="0.3">
      <c r="A1328" t="str">
        <f>""</f>
        <v/>
      </c>
      <c r="F1328" t="str">
        <f>"9725-001-91697"</f>
        <v>9725-001-91697</v>
      </c>
      <c r="G1328" t="str">
        <f t="shared" si="14"/>
        <v>ACCT#9725-001/BASE/PCT#2</v>
      </c>
      <c r="H1328" s="2">
        <v>184.11</v>
      </c>
      <c r="I1328" t="str">
        <f t="shared" si="15"/>
        <v>ACCT#9725-001/BASE/PCT#2</v>
      </c>
    </row>
    <row r="1329" spans="1:10" x14ac:dyDescent="0.3">
      <c r="A1329" t="str">
        <f>"ALLIED"</f>
        <v>ALLIED</v>
      </c>
      <c r="B1329" t="s">
        <v>23</v>
      </c>
      <c r="C1329">
        <v>69518</v>
      </c>
      <c r="D1329" s="2">
        <v>365</v>
      </c>
      <c r="E1329" s="1">
        <v>42835</v>
      </c>
      <c r="F1329" t="str">
        <f>"31360823"</f>
        <v>31360823</v>
      </c>
      <c r="G1329" t="str">
        <f>"CUST#27615/OEM"</f>
        <v>CUST#27615/OEM</v>
      </c>
      <c r="H1329" s="2">
        <v>365</v>
      </c>
      <c r="I1329" t="str">
        <f>"CUST#27615/OEM"</f>
        <v>CUST#27615/OEM</v>
      </c>
    </row>
    <row r="1330" spans="1:10" x14ac:dyDescent="0.3">
      <c r="A1330" t="str">
        <f>"AQUAB"</f>
        <v>AQUAB</v>
      </c>
      <c r="B1330" t="s">
        <v>34</v>
      </c>
      <c r="C1330">
        <v>69797</v>
      </c>
      <c r="D1330" s="2">
        <v>89.18</v>
      </c>
      <c r="E1330" s="1">
        <v>42849</v>
      </c>
      <c r="F1330" t="str">
        <f>"273686"</f>
        <v>273686</v>
      </c>
      <c r="G1330" t="str">
        <f>"AQUA BEVERAGE COMPANY/OZARKA"</f>
        <v>AQUA BEVERAGE COMPANY/OZARKA</v>
      </c>
      <c r="H1330" s="2">
        <v>89.18</v>
      </c>
      <c r="I1330" t="str">
        <f>"AQUA BEVERAGE COMPANY/OZARKA"</f>
        <v>AQUA BEVERAGE COMPANY/OZARKA</v>
      </c>
    </row>
    <row r="1331" spans="1:10" x14ac:dyDescent="0.3">
      <c r="A1331" t="str">
        <f>"B&amp;B"</f>
        <v>B&amp;B</v>
      </c>
      <c r="B1331" t="s">
        <v>52</v>
      </c>
      <c r="C1331">
        <v>69798</v>
      </c>
      <c r="D1331" s="2">
        <v>391.94</v>
      </c>
      <c r="E1331" s="1">
        <v>42849</v>
      </c>
      <c r="F1331" t="str">
        <f>"502230"</f>
        <v>502230</v>
      </c>
      <c r="G1331" t="str">
        <f>"CUST #1645 OEM"</f>
        <v>CUST #1645 OEM</v>
      </c>
      <c r="H1331" s="2">
        <v>391.94</v>
      </c>
      <c r="I1331" t="str">
        <f>"CUST #1645 OEM"</f>
        <v>CUST #1645 OEM</v>
      </c>
    </row>
    <row r="1332" spans="1:10" x14ac:dyDescent="0.3">
      <c r="A1332" t="str">
        <f>"T3799"</f>
        <v>T3799</v>
      </c>
      <c r="B1332" t="s">
        <v>61</v>
      </c>
      <c r="C1332">
        <v>69519</v>
      </c>
      <c r="D1332" s="2">
        <v>6733.97</v>
      </c>
      <c r="E1332" s="1">
        <v>42835</v>
      </c>
      <c r="F1332" t="str">
        <f>"145"</f>
        <v>145</v>
      </c>
      <c r="G1332" t="str">
        <f>"FUEL/VEHICLES USING PUMP/OEM"</f>
        <v>FUEL/VEHICLES USING PUMP/OEM</v>
      </c>
      <c r="H1332" s="2">
        <v>3265.62</v>
      </c>
      <c r="I1332" t="str">
        <f>"FUEL/VEHICLES USING PUMP/OEM"</f>
        <v>FUEL/VEHICLES USING PUMP/OEM</v>
      </c>
    </row>
    <row r="1333" spans="1:10" x14ac:dyDescent="0.3">
      <c r="A1333" t="str">
        <f>""</f>
        <v/>
      </c>
      <c r="F1333" t="str">
        <f>"147"</f>
        <v>147</v>
      </c>
      <c r="G1333" t="str">
        <f>"FUEL/OEM"</f>
        <v>FUEL/OEM</v>
      </c>
      <c r="H1333" s="2">
        <v>3468.35</v>
      </c>
      <c r="I1333" t="str">
        <f>"FUEL/OEM"</f>
        <v>FUEL/OEM</v>
      </c>
    </row>
    <row r="1334" spans="1:10" x14ac:dyDescent="0.3">
      <c r="A1334" t="str">
        <f>"T3799"</f>
        <v>T3799</v>
      </c>
      <c r="B1334" t="s">
        <v>61</v>
      </c>
      <c r="C1334">
        <v>69800</v>
      </c>
      <c r="D1334" s="2">
        <v>20286.349999999999</v>
      </c>
      <c r="E1334" s="1">
        <v>42849</v>
      </c>
      <c r="F1334" t="str">
        <f>"1009"</f>
        <v>1009</v>
      </c>
      <c r="G1334" t="str">
        <f>"BOOT CAMP EXP JAN-MAR'17"</f>
        <v>BOOT CAMP EXP JAN-MAR'17</v>
      </c>
      <c r="H1334" s="2">
        <v>20286.349999999999</v>
      </c>
      <c r="I1334" t="str">
        <f>"BOOT CAMP EXP JAN-MAR'17"</f>
        <v>BOOT CAMP EXP JAN-MAR'17</v>
      </c>
    </row>
    <row r="1335" spans="1:10" x14ac:dyDescent="0.3">
      <c r="A1335" t="str">
        <f>"003829"</f>
        <v>003829</v>
      </c>
      <c r="B1335" t="s">
        <v>436</v>
      </c>
      <c r="C1335">
        <v>69520</v>
      </c>
      <c r="D1335" s="2">
        <v>280</v>
      </c>
      <c r="E1335" s="1">
        <v>42835</v>
      </c>
      <c r="F1335" t="str">
        <f>"2528"</f>
        <v>2528</v>
      </c>
      <c r="G1335" t="str">
        <f>"REPAIR LEAK/OEM"</f>
        <v>REPAIR LEAK/OEM</v>
      </c>
      <c r="H1335" s="2">
        <v>280</v>
      </c>
      <c r="I1335" t="str">
        <f>"REPAIR LEAK/OEM"</f>
        <v>REPAIR LEAK/OEM</v>
      </c>
    </row>
    <row r="1336" spans="1:10" x14ac:dyDescent="0.3">
      <c r="A1336" t="str">
        <f>"BEC"</f>
        <v>BEC</v>
      </c>
      <c r="B1336" t="s">
        <v>76</v>
      </c>
      <c r="C1336">
        <v>69785</v>
      </c>
      <c r="D1336" s="2">
        <v>110.71</v>
      </c>
      <c r="E1336" s="1">
        <v>42843</v>
      </c>
      <c r="F1336" t="str">
        <f>"201704181320"</f>
        <v>201704181320</v>
      </c>
      <c r="G1336" t="str">
        <f>"5000057374 - 02/28-03/30"</f>
        <v>5000057374 - 02/28-03/30</v>
      </c>
      <c r="H1336" s="2">
        <v>110.71</v>
      </c>
      <c r="I1336" t="str">
        <f>"5000057374 - 02/28-03/30"</f>
        <v>5000057374 - 02/28-03/30</v>
      </c>
    </row>
    <row r="1337" spans="1:10" x14ac:dyDescent="0.3">
      <c r="A1337" t="str">
        <f>"002469"</f>
        <v>002469</v>
      </c>
      <c r="B1337" t="s">
        <v>437</v>
      </c>
      <c r="C1337">
        <v>69521</v>
      </c>
      <c r="D1337" s="2">
        <v>6081.01</v>
      </c>
      <c r="E1337" s="1">
        <v>42835</v>
      </c>
      <c r="F1337" t="str">
        <f>"15901-16"</f>
        <v>15901-16</v>
      </c>
      <c r="G1337" t="str">
        <f>"PROJ#B15159.01/PHASE 002 &amp; 003"</f>
        <v>PROJ#B15159.01/PHASE 002 &amp; 003</v>
      </c>
      <c r="H1337" s="2">
        <v>6081.01</v>
      </c>
      <c r="I1337" t="str">
        <f>"PROJ#B15159.01/PHASE 002 &amp; 003"</f>
        <v>PROJ#B15159.01/PHASE 002 &amp; 003</v>
      </c>
    </row>
    <row r="1338" spans="1:10" x14ac:dyDescent="0.3">
      <c r="A1338" t="str">
        <f>"002469"</f>
        <v>002469</v>
      </c>
      <c r="B1338" t="s">
        <v>437</v>
      </c>
      <c r="C1338">
        <v>69789</v>
      </c>
      <c r="D1338" s="2">
        <v>5212.28</v>
      </c>
      <c r="E1338" s="1">
        <v>42849</v>
      </c>
      <c r="F1338" t="str">
        <f>"15901-17"</f>
        <v>15901-17</v>
      </c>
      <c r="G1338" t="str">
        <f>"B&amp;A PROJECT# B15159.01"</f>
        <v>B&amp;A PROJECT# B15159.01</v>
      </c>
      <c r="H1338" s="2">
        <v>5212.28</v>
      </c>
      <c r="I1338" t="str">
        <f>"B&amp;A PROJECT# B15159.01"</f>
        <v>B&amp;A PROJECT# B15159.01</v>
      </c>
    </row>
    <row r="1339" spans="1:10" x14ac:dyDescent="0.3">
      <c r="A1339" t="str">
        <f>"003164"</f>
        <v>003164</v>
      </c>
      <c r="B1339" t="s">
        <v>88</v>
      </c>
      <c r="C1339">
        <v>69522</v>
      </c>
      <c r="D1339" s="2">
        <v>236.04</v>
      </c>
      <c r="E1339" s="1">
        <v>42835</v>
      </c>
      <c r="F1339" t="str">
        <f>"201704060790"</f>
        <v>201704060790</v>
      </c>
      <c r="G1339" t="str">
        <f>"Mastercard Statement"</f>
        <v>Mastercard Statement</v>
      </c>
      <c r="H1339" s="2">
        <v>236.04</v>
      </c>
      <c r="I1339" t="str">
        <f>"Irrigation Outlet"</f>
        <v>Irrigation Outlet</v>
      </c>
    </row>
    <row r="1340" spans="1:10" x14ac:dyDescent="0.3">
      <c r="A1340" t="str">
        <f>"SCO"</f>
        <v>SCO</v>
      </c>
      <c r="B1340" t="s">
        <v>112</v>
      </c>
      <c r="C1340">
        <v>69523</v>
      </c>
      <c r="D1340" s="2">
        <v>1952.4</v>
      </c>
      <c r="E1340" s="1">
        <v>42835</v>
      </c>
      <c r="F1340" t="s">
        <v>438</v>
      </c>
      <c r="G1340" t="s">
        <v>439</v>
      </c>
      <c r="H1340" s="2" t="str">
        <f>"PROJ#P06726-6"</f>
        <v>PROJ#P06726-6</v>
      </c>
      <c r="I1340" t="str">
        <f>"410-4311"</f>
        <v>410-4311</v>
      </c>
      <c r="J1340">
        <v>1952.4</v>
      </c>
    </row>
    <row r="1341" spans="1:10" x14ac:dyDescent="0.3">
      <c r="A1341" t="str">
        <f>"SCO"</f>
        <v>SCO</v>
      </c>
      <c r="B1341" t="s">
        <v>112</v>
      </c>
      <c r="C1341">
        <v>69799</v>
      </c>
      <c r="D1341" s="2">
        <v>120445.75</v>
      </c>
      <c r="E1341" s="1">
        <v>42849</v>
      </c>
      <c r="F1341" t="str">
        <f>"201704201440"</f>
        <v>201704201440</v>
      </c>
      <c r="G1341" t="str">
        <f>"APP#6 SMITHVILLE COMM CTR"</f>
        <v>APP#6 SMITHVILLE COMM CTR</v>
      </c>
      <c r="H1341" s="2">
        <v>120445.75</v>
      </c>
      <c r="I1341" t="str">
        <f>"APP#6 SMITHVILLE COMM CTR"</f>
        <v>APP#6 SMITHVILLE COMM CTR</v>
      </c>
    </row>
    <row r="1342" spans="1:10" x14ac:dyDescent="0.3">
      <c r="A1342" t="str">
        <f>"DELL"</f>
        <v>DELL</v>
      </c>
      <c r="B1342" t="s">
        <v>131</v>
      </c>
      <c r="C1342">
        <v>69524</v>
      </c>
      <c r="D1342" s="2">
        <v>1862.99</v>
      </c>
      <c r="E1342" s="1">
        <v>42835</v>
      </c>
      <c r="F1342" t="str">
        <f>"10155130435"</f>
        <v>10155130435</v>
      </c>
      <c r="G1342" t="str">
        <f>"Invoice# 10155130435"</f>
        <v>Invoice# 10155130435</v>
      </c>
      <c r="H1342" s="2">
        <v>1862.99</v>
      </c>
      <c r="I1342" t="str">
        <f>"Invoice# 10155130435"</f>
        <v>Invoice# 10155130435</v>
      </c>
    </row>
    <row r="1343" spans="1:10" x14ac:dyDescent="0.3">
      <c r="A1343" t="str">
        <f>"T8083"</f>
        <v>T8083</v>
      </c>
      <c r="B1343" t="s">
        <v>440</v>
      </c>
      <c r="C1343">
        <v>69801</v>
      </c>
      <c r="D1343" s="2">
        <v>144.15</v>
      </c>
      <c r="E1343" s="1">
        <v>42849</v>
      </c>
      <c r="F1343" t="str">
        <f>"PY42861605"</f>
        <v>PY42861605</v>
      </c>
      <c r="G1343" t="str">
        <f>"SUPPLIES GEN SERVICES"</f>
        <v>SUPPLIES GEN SERVICES</v>
      </c>
      <c r="H1343" s="2">
        <v>144.15</v>
      </c>
      <c r="I1343" t="str">
        <f>"SUPPLIES GEN SERVICES"</f>
        <v>SUPPLIES GEN SERVICES</v>
      </c>
    </row>
    <row r="1344" spans="1:10" x14ac:dyDescent="0.3">
      <c r="A1344" t="str">
        <f>"004691"</f>
        <v>004691</v>
      </c>
      <c r="B1344" t="s">
        <v>155</v>
      </c>
      <c r="C1344">
        <v>69525</v>
      </c>
      <c r="D1344" s="2">
        <v>36.700000000000003</v>
      </c>
      <c r="E1344" s="1">
        <v>42835</v>
      </c>
      <c r="F1344" t="str">
        <f>"NP50092918-245"</f>
        <v>NP50092918-245</v>
      </c>
      <c r="G1344" t="str">
        <f>"Stmt# NP50092918"</f>
        <v>Stmt# NP50092918</v>
      </c>
      <c r="H1344" s="2">
        <v>9.67</v>
      </c>
      <c r="I1344" t="str">
        <f>"OEM Payment"</f>
        <v>OEM Payment</v>
      </c>
    </row>
    <row r="1345" spans="1:10" x14ac:dyDescent="0.3">
      <c r="A1345" t="str">
        <f>""</f>
        <v/>
      </c>
      <c r="F1345" t="str">
        <f>"NP50092918-264"</f>
        <v>NP50092918-264</v>
      </c>
      <c r="G1345" t="str">
        <f>"Stmt# NP50092918"</f>
        <v>Stmt# NP50092918</v>
      </c>
      <c r="H1345" s="2">
        <v>27.03</v>
      </c>
      <c r="I1345" t="str">
        <f>"Cedar Creek Payment"</f>
        <v>Cedar Creek Payment</v>
      </c>
    </row>
    <row r="1346" spans="1:10" x14ac:dyDescent="0.3">
      <c r="A1346" t="str">
        <f>"004691"</f>
        <v>004691</v>
      </c>
      <c r="B1346" t="s">
        <v>155</v>
      </c>
      <c r="C1346">
        <v>69794</v>
      </c>
      <c r="D1346" s="2">
        <v>19.98</v>
      </c>
      <c r="E1346" s="1">
        <v>42849</v>
      </c>
      <c r="F1346" t="str">
        <f>"201704201466"</f>
        <v>201704201466</v>
      </c>
      <c r="G1346" t="str">
        <f>"STMT# NP5013323"</f>
        <v>STMT# NP5013323</v>
      </c>
      <c r="H1346" s="2">
        <v>19.98</v>
      </c>
      <c r="I1346" t="str">
        <f>"OEM"</f>
        <v>OEM</v>
      </c>
    </row>
    <row r="1347" spans="1:10" x14ac:dyDescent="0.3">
      <c r="A1347" t="str">
        <f>"T5794"</f>
        <v>T5794</v>
      </c>
      <c r="B1347" t="s">
        <v>441</v>
      </c>
      <c r="C1347">
        <v>69526</v>
      </c>
      <c r="D1347" s="2">
        <v>322.95999999999998</v>
      </c>
      <c r="E1347" s="1">
        <v>42835</v>
      </c>
      <c r="F1347" t="str">
        <f>"N46768"</f>
        <v>N46768</v>
      </c>
      <c r="G1347" t="str">
        <f>"CUST#02141/OEM"</f>
        <v>CUST#02141/OEM</v>
      </c>
      <c r="H1347" s="2">
        <v>322.95999999999998</v>
      </c>
      <c r="I1347" t="str">
        <f>"CUST#02141/OEM"</f>
        <v>CUST#02141/OEM</v>
      </c>
    </row>
    <row r="1348" spans="1:10" x14ac:dyDescent="0.3">
      <c r="A1348" t="str">
        <f>"T8869"</f>
        <v>T8869</v>
      </c>
      <c r="B1348" t="s">
        <v>182</v>
      </c>
      <c r="C1348">
        <v>69527</v>
      </c>
      <c r="D1348" s="2">
        <v>128.05000000000001</v>
      </c>
      <c r="E1348" s="1">
        <v>42835</v>
      </c>
      <c r="F1348" t="s">
        <v>442</v>
      </c>
      <c r="G1348" t="s">
        <v>443</v>
      </c>
      <c r="H1348" s="2" t="str">
        <f>"Account **7656"</f>
        <v>Account **7656</v>
      </c>
      <c r="I1348" t="str">
        <f>"410-4410"</f>
        <v>410-4410</v>
      </c>
      <c r="J1348">
        <v>29.65</v>
      </c>
    </row>
    <row r="1349" spans="1:10" x14ac:dyDescent="0.3">
      <c r="A1349" t="str">
        <f>""</f>
        <v/>
      </c>
      <c r="F1349" t="str">
        <f>""</f>
        <v/>
      </c>
      <c r="G1349" t="str">
        <f>""</f>
        <v/>
      </c>
      <c r="I1349" t="str">
        <f>"Inv# 3563857"</f>
        <v>Inv# 3563857</v>
      </c>
    </row>
    <row r="1350" spans="1:10" x14ac:dyDescent="0.3">
      <c r="A1350" t="str">
        <f>""</f>
        <v/>
      </c>
      <c r="F1350" t="str">
        <f>""</f>
        <v/>
      </c>
      <c r="G1350" t="str">
        <f>""</f>
        <v/>
      </c>
      <c r="I1350" t="str">
        <f>"Inv# 9011671"</f>
        <v>Inv# 9011671</v>
      </c>
    </row>
    <row r="1351" spans="1:10" x14ac:dyDescent="0.3">
      <c r="A1351" t="str">
        <f>""</f>
        <v/>
      </c>
      <c r="F1351" t="str">
        <f>""</f>
        <v/>
      </c>
      <c r="G1351" t="str">
        <f>""</f>
        <v/>
      </c>
      <c r="I1351" t="str">
        <f>"Inv# 9152498"</f>
        <v>Inv# 9152498</v>
      </c>
    </row>
    <row r="1352" spans="1:10" x14ac:dyDescent="0.3">
      <c r="A1352" t="str">
        <f>"T13475"</f>
        <v>T13475</v>
      </c>
      <c r="B1352" t="s">
        <v>444</v>
      </c>
      <c r="C1352">
        <v>69528</v>
      </c>
      <c r="D1352" s="2">
        <v>21134.91</v>
      </c>
      <c r="E1352" s="1">
        <v>42835</v>
      </c>
      <c r="F1352" t="str">
        <f>"3288"</f>
        <v>3288</v>
      </c>
      <c r="G1352" t="str">
        <f>"PHASE 1 INGRESS/SOUTH"</f>
        <v>PHASE 1 INGRESS/SOUTH</v>
      </c>
      <c r="H1352" s="2">
        <v>21134.91</v>
      </c>
      <c r="I1352" t="str">
        <f>"PHASE 1 INGRESS/SOUTH"</f>
        <v>PHASE 1 INGRESS/SOUTH</v>
      </c>
    </row>
    <row r="1353" spans="1:10" x14ac:dyDescent="0.3">
      <c r="A1353" t="str">
        <f>"002312"</f>
        <v>002312</v>
      </c>
      <c r="B1353" t="s">
        <v>445</v>
      </c>
      <c r="C1353">
        <v>69529</v>
      </c>
      <c r="D1353" s="2">
        <v>7538.2</v>
      </c>
      <c r="E1353" s="1">
        <v>42835</v>
      </c>
      <c r="F1353" t="str">
        <f>"13589"</f>
        <v>13589</v>
      </c>
      <c r="G1353" t="str">
        <f>"BASE/PCT#2"</f>
        <v>BASE/PCT#2</v>
      </c>
      <c r="H1353" s="2">
        <v>703.1</v>
      </c>
      <c r="I1353" t="str">
        <f>"BASE/PCT#2"</f>
        <v>BASE/PCT#2</v>
      </c>
    </row>
    <row r="1354" spans="1:10" x14ac:dyDescent="0.3">
      <c r="A1354" t="str">
        <f>""</f>
        <v/>
      </c>
      <c r="F1354" t="str">
        <f>"13590"</f>
        <v>13590</v>
      </c>
      <c r="G1354" t="str">
        <f>"BASE/PCT#2"</f>
        <v>BASE/PCT#2</v>
      </c>
      <c r="H1354" s="2">
        <v>1114.45</v>
      </c>
      <c r="I1354" t="str">
        <f>"BASE/PCT#2"</f>
        <v>BASE/PCT#2</v>
      </c>
    </row>
    <row r="1355" spans="1:10" x14ac:dyDescent="0.3">
      <c r="A1355" t="str">
        <f>""</f>
        <v/>
      </c>
      <c r="F1355" t="str">
        <f>"13666"</f>
        <v>13666</v>
      </c>
      <c r="G1355" t="str">
        <f>"BASE/PCT#2"</f>
        <v>BASE/PCT#2</v>
      </c>
      <c r="H1355" s="2">
        <v>5720.65</v>
      </c>
      <c r="I1355" t="str">
        <f>"BASE/PCT#2"</f>
        <v>BASE/PCT#2</v>
      </c>
    </row>
    <row r="1356" spans="1:10" x14ac:dyDescent="0.3">
      <c r="A1356" t="str">
        <f>"002312"</f>
        <v>002312</v>
      </c>
      <c r="B1356" t="s">
        <v>445</v>
      </c>
      <c r="C1356">
        <v>69788</v>
      </c>
      <c r="D1356" s="2">
        <v>3897.9</v>
      </c>
      <c r="E1356" s="1">
        <v>42849</v>
      </c>
      <c r="F1356" t="str">
        <f>"13719"</f>
        <v>13719</v>
      </c>
      <c r="G1356" t="str">
        <f>"MATERIALS PCT#2"</f>
        <v>MATERIALS PCT#2</v>
      </c>
      <c r="H1356" s="2">
        <v>2245.5</v>
      </c>
      <c r="I1356" t="str">
        <f>"MATERIALS PCT#2"</f>
        <v>MATERIALS PCT#2</v>
      </c>
    </row>
    <row r="1357" spans="1:10" x14ac:dyDescent="0.3">
      <c r="A1357" t="str">
        <f>""</f>
        <v/>
      </c>
      <c r="F1357" t="str">
        <f>"13760"</f>
        <v>13760</v>
      </c>
      <c r="G1357" t="str">
        <f>"MATERIALS PCT#2"</f>
        <v>MATERIALS PCT#2</v>
      </c>
      <c r="H1357" s="2">
        <v>1652.4</v>
      </c>
      <c r="I1357" t="str">
        <f>"MATERIALS PCT#2"</f>
        <v>MATERIALS PCT#2</v>
      </c>
    </row>
    <row r="1358" spans="1:10" x14ac:dyDescent="0.3">
      <c r="A1358" t="str">
        <f>"004401"</f>
        <v>004401</v>
      </c>
      <c r="B1358" t="s">
        <v>446</v>
      </c>
      <c r="C1358">
        <v>69793</v>
      </c>
      <c r="D1358" s="2">
        <v>930.9</v>
      </c>
      <c r="E1358" s="1">
        <v>42849</v>
      </c>
      <c r="F1358" t="str">
        <f>"201704201464"</f>
        <v>201704201464</v>
      </c>
      <c r="G1358" t="str">
        <f>"Hydraulic Oil"</f>
        <v>Hydraulic Oil</v>
      </c>
      <c r="H1358" s="2">
        <v>930.9</v>
      </c>
      <c r="I1358" t="str">
        <f>"Oil"</f>
        <v>Oil</v>
      </c>
    </row>
    <row r="1359" spans="1:10" x14ac:dyDescent="0.3">
      <c r="A1359" t="str">
        <f>"004766"</f>
        <v>004766</v>
      </c>
      <c r="B1359" t="s">
        <v>447</v>
      </c>
      <c r="C1359">
        <v>69796</v>
      </c>
      <c r="D1359" s="2">
        <v>5649.01</v>
      </c>
      <c r="E1359" s="1">
        <v>42849</v>
      </c>
      <c r="F1359" t="str">
        <f>"201704201405"</f>
        <v>201704201405</v>
      </c>
      <c r="G1359" t="str">
        <f>"COTTLE TOWN ROAD ASPHALT PCT2"</f>
        <v>COTTLE TOWN ROAD ASPHALT PCT2</v>
      </c>
      <c r="H1359" s="2">
        <v>4977</v>
      </c>
      <c r="I1359" t="str">
        <f>"COTTLE TOWN ROAD ASPHALT PCT2"</f>
        <v>COTTLE TOWN ROAD ASPHALT PCT2</v>
      </c>
    </row>
    <row r="1360" spans="1:10" x14ac:dyDescent="0.3">
      <c r="A1360" t="str">
        <f>""</f>
        <v/>
      </c>
      <c r="F1360" t="str">
        <f>"201704201408"</f>
        <v>201704201408</v>
      </c>
      <c r="G1360" t="str">
        <f>"COUNTY ROAD WORK PCT2"</f>
        <v>COUNTY ROAD WORK PCT2</v>
      </c>
      <c r="H1360" s="2">
        <v>672.01</v>
      </c>
      <c r="I1360" t="str">
        <f>"COUNTY ROAD WORK PCT2"</f>
        <v>COUNTY ROAD WORK PCT2</v>
      </c>
    </row>
    <row r="1361" spans="1:9" x14ac:dyDescent="0.3">
      <c r="A1361" t="str">
        <f>"003697"</f>
        <v>003697</v>
      </c>
      <c r="B1361" t="s">
        <v>448</v>
      </c>
      <c r="C1361">
        <v>69791</v>
      </c>
      <c r="D1361" s="2">
        <v>1470.8</v>
      </c>
      <c r="E1361" s="1">
        <v>42849</v>
      </c>
      <c r="F1361" t="str">
        <f>"201704201462"</f>
        <v>201704201462</v>
      </c>
      <c r="G1361" t="str">
        <f>"SAMES BASTROP FORD INC"</f>
        <v>SAMES BASTROP FORD INC</v>
      </c>
      <c r="H1361" s="2">
        <v>1470.8</v>
      </c>
      <c r="I1361" t="str">
        <f>"REPAIR"</f>
        <v>REPAIR</v>
      </c>
    </row>
    <row r="1362" spans="1:9" x14ac:dyDescent="0.3">
      <c r="A1362" t="str">
        <f>"004539"</f>
        <v>004539</v>
      </c>
      <c r="B1362" t="s">
        <v>449</v>
      </c>
      <c r="C1362">
        <v>69530</v>
      </c>
      <c r="D1362" s="2">
        <v>287886.37</v>
      </c>
      <c r="E1362" s="1">
        <v>42835</v>
      </c>
      <c r="F1362" t="str">
        <f>"160305-6"</f>
        <v>160305-6</v>
      </c>
      <c r="G1362" t="str">
        <f>"APP#6/PROJ#160305"</f>
        <v>APP#6/PROJ#160305</v>
      </c>
      <c r="H1362" s="2">
        <v>287886.37</v>
      </c>
      <c r="I1362" t="str">
        <f>"APP#6/PROJ#160305"</f>
        <v>APP#6/PROJ#160305</v>
      </c>
    </row>
    <row r="1363" spans="1:9" x14ac:dyDescent="0.3">
      <c r="A1363" t="str">
        <f>"003508"</f>
        <v>003508</v>
      </c>
      <c r="B1363" t="s">
        <v>354</v>
      </c>
      <c r="C1363">
        <v>69531</v>
      </c>
      <c r="D1363" s="2">
        <v>103.66</v>
      </c>
      <c r="E1363" s="1">
        <v>42835</v>
      </c>
      <c r="F1363" t="str">
        <f>"3332361272"</f>
        <v>3332361272</v>
      </c>
      <c r="G1363" t="str">
        <f>"Summary Inv#8043378536"</f>
        <v>Summary Inv#8043378536</v>
      </c>
      <c r="H1363" s="2">
        <v>103.66</v>
      </c>
      <c r="I1363" t="str">
        <f>"Inv# 3332361272"</f>
        <v>Inv# 3332361272</v>
      </c>
    </row>
    <row r="1364" spans="1:9" x14ac:dyDescent="0.3">
      <c r="A1364" t="str">
        <f>"000666"</f>
        <v>000666</v>
      </c>
      <c r="B1364" t="s">
        <v>450</v>
      </c>
      <c r="C1364">
        <v>69787</v>
      </c>
      <c r="D1364" s="2">
        <v>5809.85</v>
      </c>
      <c r="E1364" s="1">
        <v>42849</v>
      </c>
      <c r="F1364" t="str">
        <f>"SMT172794"</f>
        <v>SMT172794</v>
      </c>
      <c r="G1364" t="str">
        <f>"JOB#SW26872/PCT#2"</f>
        <v>JOB#SW26872/PCT#2</v>
      </c>
      <c r="H1364" s="2">
        <v>509.4</v>
      </c>
      <c r="I1364" t="str">
        <f>"JOB#SW26872/PCT#2"</f>
        <v>JOB#SW26872/PCT#2</v>
      </c>
    </row>
    <row r="1365" spans="1:9" x14ac:dyDescent="0.3">
      <c r="A1365" t="str">
        <f>""</f>
        <v/>
      </c>
      <c r="F1365" t="str">
        <f>"SMT172795"</f>
        <v>SMT172795</v>
      </c>
      <c r="G1365" t="str">
        <f>"JOB#SW26872/PCT#2"</f>
        <v>JOB#SW26872/PCT#2</v>
      </c>
      <c r="H1365" s="2">
        <v>464.05</v>
      </c>
      <c r="I1365" t="str">
        <f>"JOB#SW26872/PCT#2"</f>
        <v>JOB#SW26872/PCT#2</v>
      </c>
    </row>
    <row r="1366" spans="1:9" x14ac:dyDescent="0.3">
      <c r="A1366" t="str">
        <f>""</f>
        <v/>
      </c>
      <c r="F1366" t="str">
        <f>"SMT172796"</f>
        <v>SMT172796</v>
      </c>
      <c r="G1366" t="str">
        <f>"JOB#SW26872/PCT#2"</f>
        <v>JOB#SW26872/PCT#2</v>
      </c>
      <c r="H1366" s="2">
        <v>519.15</v>
      </c>
      <c r="I1366" t="str">
        <f>"JOB#SW26872/PCT#2"</f>
        <v>JOB#SW26872/PCT#2</v>
      </c>
    </row>
    <row r="1367" spans="1:9" x14ac:dyDescent="0.3">
      <c r="A1367" t="str">
        <f>""</f>
        <v/>
      </c>
      <c r="F1367" t="str">
        <f>"SMT172798"</f>
        <v>SMT172798</v>
      </c>
      <c r="G1367" t="str">
        <f>"JOB#SW26872/PCT#2"</f>
        <v>JOB#SW26872/PCT#2</v>
      </c>
      <c r="H1367" s="2">
        <v>645.15</v>
      </c>
      <c r="I1367" t="str">
        <f>"JOB#SW26872/PCT#2"</f>
        <v>JOB#SW26872/PCT#2</v>
      </c>
    </row>
    <row r="1368" spans="1:9" x14ac:dyDescent="0.3">
      <c r="A1368" t="str">
        <f>""</f>
        <v/>
      </c>
      <c r="F1368" t="str">
        <f>"SMT172800"</f>
        <v>SMT172800</v>
      </c>
      <c r="G1368" t="str">
        <f>"JOB#SW26872/PCT#2"</f>
        <v>JOB#SW26872/PCT#2</v>
      </c>
      <c r="H1368" s="2">
        <v>248.75</v>
      </c>
      <c r="I1368" t="str">
        <f>"JOB#SW26872/PCT#2"</f>
        <v>JOB#SW26872/PCT#2</v>
      </c>
    </row>
    <row r="1369" spans="1:9" x14ac:dyDescent="0.3">
      <c r="A1369" t="str">
        <f>""</f>
        <v/>
      </c>
      <c r="F1369" t="str">
        <f>"SMT172976"</f>
        <v>SMT172976</v>
      </c>
      <c r="G1369" t="str">
        <f>"JOB#SW26872/BASE/PCT#2"</f>
        <v>JOB#SW26872/BASE/PCT#2</v>
      </c>
      <c r="H1369" s="2">
        <v>511.3</v>
      </c>
      <c r="I1369" t="str">
        <f>"JOB#SW26872/BASE/PCT#2"</f>
        <v>JOB#SW26872/BASE/PCT#2</v>
      </c>
    </row>
    <row r="1370" spans="1:9" x14ac:dyDescent="0.3">
      <c r="A1370" t="str">
        <f>""</f>
        <v/>
      </c>
      <c r="F1370" t="str">
        <f>"SMT172977"</f>
        <v>SMT172977</v>
      </c>
      <c r="G1370" t="str">
        <f t="shared" ref="G1370:G1377" si="16">"JOB#SW26872/PCT#2"</f>
        <v>JOB#SW26872/PCT#2</v>
      </c>
      <c r="H1370" s="2">
        <v>516.79999999999995</v>
      </c>
      <c r="I1370" t="str">
        <f t="shared" ref="I1370:I1377" si="17">"JOB#SW26872/PCT#2"</f>
        <v>JOB#SW26872/PCT#2</v>
      </c>
    </row>
    <row r="1371" spans="1:9" x14ac:dyDescent="0.3">
      <c r="A1371" t="str">
        <f>""</f>
        <v/>
      </c>
      <c r="F1371" t="str">
        <f>"SMT172978"</f>
        <v>SMT172978</v>
      </c>
      <c r="G1371" t="str">
        <f t="shared" si="16"/>
        <v>JOB#SW26872/PCT#2</v>
      </c>
      <c r="H1371" s="2">
        <v>504.4</v>
      </c>
      <c r="I1371" t="str">
        <f t="shared" si="17"/>
        <v>JOB#SW26872/PCT#2</v>
      </c>
    </row>
    <row r="1372" spans="1:9" x14ac:dyDescent="0.3">
      <c r="A1372" t="str">
        <f>""</f>
        <v/>
      </c>
      <c r="F1372" t="str">
        <f>"SMT172980"</f>
        <v>SMT172980</v>
      </c>
      <c r="G1372" t="str">
        <f t="shared" si="16"/>
        <v>JOB#SW26872/PCT#2</v>
      </c>
      <c r="H1372" s="2">
        <v>493.7</v>
      </c>
      <c r="I1372" t="str">
        <f t="shared" si="17"/>
        <v>JOB#SW26872/PCT#2</v>
      </c>
    </row>
    <row r="1373" spans="1:9" x14ac:dyDescent="0.3">
      <c r="A1373" t="str">
        <f>""</f>
        <v/>
      </c>
      <c r="F1373" t="str">
        <f>"SMT172981"</f>
        <v>SMT172981</v>
      </c>
      <c r="G1373" t="str">
        <f t="shared" si="16"/>
        <v>JOB#SW26872/PCT#2</v>
      </c>
      <c r="H1373" s="2">
        <v>379.45</v>
      </c>
      <c r="I1373" t="str">
        <f t="shared" si="17"/>
        <v>JOB#SW26872/PCT#2</v>
      </c>
    </row>
    <row r="1374" spans="1:9" x14ac:dyDescent="0.3">
      <c r="A1374" t="str">
        <f>""</f>
        <v/>
      </c>
      <c r="F1374" t="str">
        <f>"SMT173307"</f>
        <v>SMT173307</v>
      </c>
      <c r="G1374" t="str">
        <f t="shared" si="16"/>
        <v>JOB#SW26872/PCT#2</v>
      </c>
      <c r="H1374" s="2">
        <v>379.35</v>
      </c>
      <c r="I1374" t="str">
        <f t="shared" si="17"/>
        <v>JOB#SW26872/PCT#2</v>
      </c>
    </row>
    <row r="1375" spans="1:9" x14ac:dyDescent="0.3">
      <c r="A1375" t="str">
        <f>""</f>
        <v/>
      </c>
      <c r="F1375" t="str">
        <f>"SMT173308"</f>
        <v>SMT173308</v>
      </c>
      <c r="G1375" t="str">
        <f t="shared" si="16"/>
        <v>JOB#SW26872/PCT#2</v>
      </c>
      <c r="H1375" s="2">
        <v>382.25</v>
      </c>
      <c r="I1375" t="str">
        <f t="shared" si="17"/>
        <v>JOB#SW26872/PCT#2</v>
      </c>
    </row>
    <row r="1376" spans="1:9" x14ac:dyDescent="0.3">
      <c r="A1376" t="str">
        <f>""</f>
        <v/>
      </c>
      <c r="F1376" t="str">
        <f>"SMT173546"</f>
        <v>SMT173546</v>
      </c>
      <c r="G1376" t="str">
        <f t="shared" si="16"/>
        <v>JOB#SW26872/PCT#2</v>
      </c>
      <c r="H1376" s="2">
        <v>130.44999999999999</v>
      </c>
      <c r="I1376" t="str">
        <f t="shared" si="17"/>
        <v>JOB#SW26872/PCT#2</v>
      </c>
    </row>
    <row r="1377" spans="1:9" x14ac:dyDescent="0.3">
      <c r="A1377" t="str">
        <f>""</f>
        <v/>
      </c>
      <c r="F1377" t="str">
        <f>"SMT173548"</f>
        <v>SMT173548</v>
      </c>
      <c r="G1377" t="str">
        <f t="shared" si="16"/>
        <v>JOB#SW26872/PCT#2</v>
      </c>
      <c r="H1377" s="2">
        <v>125.65</v>
      </c>
      <c r="I1377" t="str">
        <f t="shared" si="17"/>
        <v>JOB#SW26872/PCT#2</v>
      </c>
    </row>
    <row r="1378" spans="1:9" x14ac:dyDescent="0.3">
      <c r="A1378" t="str">
        <f>"003986"</f>
        <v>003986</v>
      </c>
      <c r="B1378" t="s">
        <v>451</v>
      </c>
      <c r="C1378">
        <v>69792</v>
      </c>
      <c r="D1378" s="2">
        <v>9112.5</v>
      </c>
      <c r="E1378" s="1">
        <v>42849</v>
      </c>
      <c r="F1378" t="str">
        <f>"W002762"</f>
        <v>W002762</v>
      </c>
      <c r="G1378" t="str">
        <f>"INV 9 MULCHING WELCH PROP"</f>
        <v>INV 9 MULCHING WELCH PROP</v>
      </c>
      <c r="H1378" s="2">
        <v>9112.5</v>
      </c>
      <c r="I1378" t="str">
        <f>"INV 9 MULCHING WELCH PROP"</f>
        <v>INV 9 MULCHING WELCH PROP</v>
      </c>
    </row>
    <row r="1379" spans="1:9" x14ac:dyDescent="0.3">
      <c r="A1379" t="str">
        <f>"TACUE"</f>
        <v>TACUE</v>
      </c>
      <c r="B1379" t="s">
        <v>376</v>
      </c>
      <c r="C1379">
        <v>69532</v>
      </c>
      <c r="D1379" s="2">
        <v>212.84</v>
      </c>
      <c r="E1379" s="1">
        <v>42835</v>
      </c>
      <c r="F1379" t="str">
        <f>"201704060792"</f>
        <v>201704060792</v>
      </c>
      <c r="G1379" t="str">
        <f>"UNEMPLOYMENT FY 16/17"</f>
        <v>UNEMPLOYMENT FY 16/17</v>
      </c>
      <c r="H1379" s="2">
        <v>51.48</v>
      </c>
      <c r="I1379" t="str">
        <f>"UNEMPLOYMENT FY 16/17"</f>
        <v>UNEMPLOYMENT FY 16/17</v>
      </c>
    </row>
    <row r="1380" spans="1:9" x14ac:dyDescent="0.3">
      <c r="A1380" t="str">
        <f>""</f>
        <v/>
      </c>
      <c r="F1380" t="str">
        <f>"201704060793"</f>
        <v>201704060793</v>
      </c>
      <c r="G1380" t="str">
        <f>"UNEMPLOYMENT FY 16/17"</f>
        <v>UNEMPLOYMENT FY 16/17</v>
      </c>
      <c r="H1380" s="2">
        <v>161.36000000000001</v>
      </c>
      <c r="I1380" t="str">
        <f>"UNEMPLOYMENT FY 16/17"</f>
        <v>UNEMPLOYMENT FY 16/17</v>
      </c>
    </row>
    <row r="1381" spans="1:9" x14ac:dyDescent="0.3">
      <c r="A1381" t="str">
        <f>"002239"</f>
        <v>002239</v>
      </c>
      <c r="B1381" t="s">
        <v>452</v>
      </c>
      <c r="C1381">
        <v>69509</v>
      </c>
      <c r="D1381" s="2">
        <v>386.25</v>
      </c>
      <c r="E1381" s="1">
        <v>42828</v>
      </c>
      <c r="F1381" t="str">
        <f>"201704030610"</f>
        <v>201704030610</v>
      </c>
      <c r="G1381" t="str">
        <f>"TEXAS DIVISION OF EMERGENCY MA"</f>
        <v>TEXAS DIVISION OF EMERGENCY MA</v>
      </c>
      <c r="H1381" s="2">
        <v>386.25</v>
      </c>
      <c r="I1381" t="str">
        <f>"TEXAS DIVISION OF EMERGENCY MA"</f>
        <v>TEXAS DIVISION OF EMERGENCY MA</v>
      </c>
    </row>
    <row r="1382" spans="1:9" x14ac:dyDescent="0.3">
      <c r="A1382" t="str">
        <f>"004698"</f>
        <v>004698</v>
      </c>
      <c r="B1382" t="s">
        <v>453</v>
      </c>
      <c r="C1382">
        <v>69795</v>
      </c>
      <c r="D1382" s="2">
        <v>29.78</v>
      </c>
      <c r="E1382" s="1">
        <v>42849</v>
      </c>
      <c r="F1382" t="str">
        <f>"201704201451"</f>
        <v>201704201451</v>
      </c>
      <c r="G1382" t="str">
        <f>"EXPENSES/MILEAGE"</f>
        <v>EXPENSES/MILEAGE</v>
      </c>
      <c r="H1382" s="2">
        <v>29.78</v>
      </c>
      <c r="I1382" t="str">
        <f>"EXPENSES/MILEAGE"</f>
        <v>EXPENSES/MILEAGE</v>
      </c>
    </row>
    <row r="1383" spans="1:9" x14ac:dyDescent="0.3">
      <c r="A1383" t="str">
        <f>"003479"</f>
        <v>003479</v>
      </c>
      <c r="B1383" t="s">
        <v>419</v>
      </c>
      <c r="C1383">
        <v>69790</v>
      </c>
      <c r="D1383" s="2">
        <v>759.27</v>
      </c>
      <c r="E1383" s="1">
        <v>42849</v>
      </c>
      <c r="F1383" t="str">
        <f>"209853"</f>
        <v>209853</v>
      </c>
      <c r="G1383" t="str">
        <f>"RENTAL CEDAR CREEK PARK"</f>
        <v>RENTAL CEDAR CREEK PARK</v>
      </c>
      <c r="H1383" s="2">
        <v>759.27</v>
      </c>
      <c r="I1383" t="str">
        <f>"RENTAL CEDAR CREEK PARK"</f>
        <v>RENTAL CEDAR CREEK PARK</v>
      </c>
    </row>
    <row r="1384" spans="1:9" x14ac:dyDescent="0.3">
      <c r="A1384" t="str">
        <f>"ALLSTA"</f>
        <v>ALLSTA</v>
      </c>
      <c r="B1384" t="s">
        <v>454</v>
      </c>
      <c r="C1384">
        <v>0</v>
      </c>
      <c r="D1384" s="2">
        <v>10769.98</v>
      </c>
      <c r="E1384" s="1">
        <v>42853</v>
      </c>
      <c r="F1384" t="str">
        <f>"201704281583"</f>
        <v>201704281583</v>
      </c>
      <c r="G1384" t="str">
        <f>"ALLSTATE-AMERICAN HERITAGE LIF"</f>
        <v>ALLSTATE-AMERICAN HERITAGE LIF</v>
      </c>
      <c r="H1384" s="2">
        <v>0.18</v>
      </c>
      <c r="I1384" t="str">
        <f>"ALLSTATE-AMERICAN HERITAGE LIF"</f>
        <v>ALLSTATE-AMERICAN HERITAGE LIF</v>
      </c>
    </row>
    <row r="1385" spans="1:9" x14ac:dyDescent="0.3">
      <c r="A1385" t="str">
        <f>""</f>
        <v/>
      </c>
      <c r="F1385" t="str">
        <f>"201704281584"</f>
        <v>201704281584</v>
      </c>
      <c r="G1385" t="str">
        <f>"L vasquez"</f>
        <v>L vasquez</v>
      </c>
      <c r="H1385" s="2">
        <v>20.27</v>
      </c>
      <c r="I1385" t="str">
        <f>"L vasquez"</f>
        <v>L vasquez</v>
      </c>
    </row>
    <row r="1386" spans="1:9" x14ac:dyDescent="0.3">
      <c r="A1386" t="str">
        <f>""</f>
        <v/>
      </c>
      <c r="F1386" t="str">
        <f>"AS 201704050690"</f>
        <v>AS 201704050690</v>
      </c>
      <c r="G1386" t="str">
        <f t="shared" ref="G1386:G1399" si="18">"ALLSTATE"</f>
        <v>ALLSTATE</v>
      </c>
      <c r="H1386" s="2">
        <v>1191.24</v>
      </c>
      <c r="I1386" t="str">
        <f t="shared" ref="I1386:I1399" si="19">"ALLSTATE"</f>
        <v>ALLSTATE</v>
      </c>
    </row>
    <row r="1387" spans="1:9" x14ac:dyDescent="0.3">
      <c r="A1387" t="str">
        <f>""</f>
        <v/>
      </c>
      <c r="F1387" t="str">
        <f>"AS 201704050691"</f>
        <v>AS 201704050691</v>
      </c>
      <c r="G1387" t="str">
        <f t="shared" si="18"/>
        <v>ALLSTATE</v>
      </c>
      <c r="H1387" s="2">
        <v>36.14</v>
      </c>
      <c r="I1387" t="str">
        <f t="shared" si="19"/>
        <v>ALLSTATE</v>
      </c>
    </row>
    <row r="1388" spans="1:9" x14ac:dyDescent="0.3">
      <c r="A1388" t="str">
        <f>""</f>
        <v/>
      </c>
      <c r="F1388" t="str">
        <f>"AS 201704191327"</f>
        <v>AS 201704191327</v>
      </c>
      <c r="G1388" t="str">
        <f t="shared" si="18"/>
        <v>ALLSTATE</v>
      </c>
      <c r="H1388" s="2">
        <v>1218.3800000000001</v>
      </c>
      <c r="I1388" t="str">
        <f t="shared" si="19"/>
        <v>ALLSTATE</v>
      </c>
    </row>
    <row r="1389" spans="1:9" x14ac:dyDescent="0.3">
      <c r="A1389" t="str">
        <f>""</f>
        <v/>
      </c>
      <c r="F1389" t="str">
        <f>"AS 201704191328"</f>
        <v>AS 201704191328</v>
      </c>
      <c r="G1389" t="str">
        <f t="shared" si="18"/>
        <v>ALLSTATE</v>
      </c>
      <c r="H1389" s="2">
        <v>36.14</v>
      </c>
      <c r="I1389" t="str">
        <f t="shared" si="19"/>
        <v>ALLSTATE</v>
      </c>
    </row>
    <row r="1390" spans="1:9" x14ac:dyDescent="0.3">
      <c r="A1390" t="str">
        <f>""</f>
        <v/>
      </c>
      <c r="F1390" t="str">
        <f>"ASD201704050690"</f>
        <v>ASD201704050690</v>
      </c>
      <c r="G1390" t="str">
        <f t="shared" si="18"/>
        <v>ALLSTATE</v>
      </c>
      <c r="H1390" s="2">
        <v>411.36</v>
      </c>
      <c r="I1390" t="str">
        <f t="shared" si="19"/>
        <v>ALLSTATE</v>
      </c>
    </row>
    <row r="1391" spans="1:9" x14ac:dyDescent="0.3">
      <c r="A1391" t="str">
        <f>""</f>
        <v/>
      </c>
      <c r="F1391" t="str">
        <f>"ASD201704191327"</f>
        <v>ASD201704191327</v>
      </c>
      <c r="G1391" t="str">
        <f t="shared" si="18"/>
        <v>ALLSTATE</v>
      </c>
      <c r="H1391" s="2">
        <v>411.36</v>
      </c>
      <c r="I1391" t="str">
        <f t="shared" si="19"/>
        <v>ALLSTATE</v>
      </c>
    </row>
    <row r="1392" spans="1:9" x14ac:dyDescent="0.3">
      <c r="A1392" t="str">
        <f>""</f>
        <v/>
      </c>
      <c r="F1392" t="str">
        <f>"ASI201704050690"</f>
        <v>ASI201704050690</v>
      </c>
      <c r="G1392" t="str">
        <f t="shared" si="18"/>
        <v>ALLSTATE</v>
      </c>
      <c r="H1392" s="2">
        <v>1324.36</v>
      </c>
      <c r="I1392" t="str">
        <f t="shared" si="19"/>
        <v>ALLSTATE</v>
      </c>
    </row>
    <row r="1393" spans="1:9" x14ac:dyDescent="0.3">
      <c r="A1393" t="str">
        <f>""</f>
        <v/>
      </c>
      <c r="F1393" t="str">
        <f>"ASI201704050691"</f>
        <v>ASI201704050691</v>
      </c>
      <c r="G1393" t="str">
        <f t="shared" si="18"/>
        <v>ALLSTATE</v>
      </c>
      <c r="H1393" s="2">
        <v>100.63</v>
      </c>
      <c r="I1393" t="str">
        <f t="shared" si="19"/>
        <v>ALLSTATE</v>
      </c>
    </row>
    <row r="1394" spans="1:9" x14ac:dyDescent="0.3">
      <c r="A1394" t="str">
        <f>""</f>
        <v/>
      </c>
      <c r="F1394" t="str">
        <f>"ASI201704191327"</f>
        <v>ASI201704191327</v>
      </c>
      <c r="G1394" t="str">
        <f t="shared" si="18"/>
        <v>ALLSTATE</v>
      </c>
      <c r="H1394" s="2">
        <v>1427.15</v>
      </c>
      <c r="I1394" t="str">
        <f t="shared" si="19"/>
        <v>ALLSTATE</v>
      </c>
    </row>
    <row r="1395" spans="1:9" x14ac:dyDescent="0.3">
      <c r="A1395" t="str">
        <f>""</f>
        <v/>
      </c>
      <c r="F1395" t="str">
        <f>"ASI201704191328"</f>
        <v>ASI201704191328</v>
      </c>
      <c r="G1395" t="str">
        <f t="shared" si="18"/>
        <v>ALLSTATE</v>
      </c>
      <c r="H1395" s="2">
        <v>100.63</v>
      </c>
      <c r="I1395" t="str">
        <f t="shared" si="19"/>
        <v>ALLSTATE</v>
      </c>
    </row>
    <row r="1396" spans="1:9" x14ac:dyDescent="0.3">
      <c r="A1396" t="str">
        <f>""</f>
        <v/>
      </c>
      <c r="F1396" t="str">
        <f>"AST201704050690"</f>
        <v>AST201704050690</v>
      </c>
      <c r="G1396" t="str">
        <f t="shared" si="18"/>
        <v>ALLSTATE</v>
      </c>
      <c r="H1396" s="2">
        <v>2126.6</v>
      </c>
      <c r="I1396" t="str">
        <f t="shared" si="19"/>
        <v>ALLSTATE</v>
      </c>
    </row>
    <row r="1397" spans="1:9" x14ac:dyDescent="0.3">
      <c r="A1397" t="str">
        <f>""</f>
        <v/>
      </c>
      <c r="F1397" t="str">
        <f>"AST201704050691"</f>
        <v>AST201704050691</v>
      </c>
      <c r="G1397" t="str">
        <f t="shared" si="18"/>
        <v>ALLSTATE</v>
      </c>
      <c r="H1397" s="2">
        <v>119.47</v>
      </c>
      <c r="I1397" t="str">
        <f t="shared" si="19"/>
        <v>ALLSTATE</v>
      </c>
    </row>
    <row r="1398" spans="1:9" x14ac:dyDescent="0.3">
      <c r="A1398" t="str">
        <f>""</f>
        <v/>
      </c>
      <c r="F1398" t="str">
        <f>"AST201704191327"</f>
        <v>AST201704191327</v>
      </c>
      <c r="G1398" t="str">
        <f t="shared" si="18"/>
        <v>ALLSTATE</v>
      </c>
      <c r="H1398" s="2">
        <v>2126.6</v>
      </c>
      <c r="I1398" t="str">
        <f t="shared" si="19"/>
        <v>ALLSTATE</v>
      </c>
    </row>
    <row r="1399" spans="1:9" x14ac:dyDescent="0.3">
      <c r="A1399" t="str">
        <f>""</f>
        <v/>
      </c>
      <c r="F1399" t="str">
        <f>"AST201704191328"</f>
        <v>AST201704191328</v>
      </c>
      <c r="G1399" t="str">
        <f t="shared" si="18"/>
        <v>ALLSTATE</v>
      </c>
      <c r="H1399" s="2">
        <v>119.47</v>
      </c>
      <c r="I1399" t="str">
        <f t="shared" si="19"/>
        <v>ALLSTATE</v>
      </c>
    </row>
    <row r="1400" spans="1:9" x14ac:dyDescent="0.3">
      <c r="A1400" t="str">
        <f>"002234"</f>
        <v>002234</v>
      </c>
      <c r="B1400" t="s">
        <v>455</v>
      </c>
      <c r="C1400">
        <v>0</v>
      </c>
      <c r="D1400" s="2">
        <v>570</v>
      </c>
      <c r="E1400" s="1">
        <v>42853</v>
      </c>
      <c r="F1400" t="str">
        <f>"BAS201704050690"</f>
        <v>BAS201704050690</v>
      </c>
      <c r="G1400" t="str">
        <f>"B.A.S.E."</f>
        <v>B.A.S.E.</v>
      </c>
      <c r="H1400" s="2">
        <v>288</v>
      </c>
      <c r="I1400" t="str">
        <f>"B.A.S.E."</f>
        <v>B.A.S.E.</v>
      </c>
    </row>
    <row r="1401" spans="1:9" x14ac:dyDescent="0.3">
      <c r="A1401" t="str">
        <f>""</f>
        <v/>
      </c>
      <c r="F1401" t="str">
        <f>"BAS201704191327"</f>
        <v>BAS201704191327</v>
      </c>
      <c r="G1401" t="str">
        <f>"B.A.S.E."</f>
        <v>B.A.S.E.</v>
      </c>
      <c r="H1401" s="2">
        <v>282</v>
      </c>
      <c r="I1401" t="str">
        <f>"B.A.S.E."</f>
        <v>B.A.S.E.</v>
      </c>
    </row>
    <row r="1402" spans="1:9" x14ac:dyDescent="0.3">
      <c r="A1402" t="str">
        <f>"T12180"</f>
        <v>T12180</v>
      </c>
      <c r="B1402" t="s">
        <v>456</v>
      </c>
      <c r="C1402">
        <v>0</v>
      </c>
      <c r="D1402" s="2">
        <v>3347.12</v>
      </c>
      <c r="E1402" s="1">
        <v>42832</v>
      </c>
      <c r="F1402" t="str">
        <f>"DDP201704050692"</f>
        <v>DDP201704050692</v>
      </c>
      <c r="G1402" t="str">
        <f>"AP - TEXAS DISCOUNT DENTAL"</f>
        <v>AP - TEXAS DISCOUNT DENTAL</v>
      </c>
      <c r="H1402" s="2">
        <v>6.53</v>
      </c>
      <c r="I1402" t="str">
        <f>"AP - TEXAS DISCOUNT DENTAL"</f>
        <v>AP - TEXAS DISCOUNT DENTAL</v>
      </c>
    </row>
    <row r="1403" spans="1:9" x14ac:dyDescent="0.3">
      <c r="A1403" t="str">
        <f>""</f>
        <v/>
      </c>
      <c r="F1403" t="str">
        <f>"DHM201704050692"</f>
        <v>DHM201704050692</v>
      </c>
      <c r="G1403" t="str">
        <f>"AP - DENTAL HMO"</f>
        <v>AP - DENTAL HMO</v>
      </c>
      <c r="H1403" s="2">
        <v>35.49</v>
      </c>
      <c r="I1403" t="str">
        <f>"AP - DENTAL HMO"</f>
        <v>AP - DENTAL HMO</v>
      </c>
    </row>
    <row r="1404" spans="1:9" x14ac:dyDescent="0.3">
      <c r="A1404" t="str">
        <f>""</f>
        <v/>
      </c>
      <c r="F1404" t="str">
        <f>"DTX201704050692"</f>
        <v>DTX201704050692</v>
      </c>
      <c r="G1404" t="str">
        <f>"AP - TEXAS DENTAL"</f>
        <v>AP - TEXAS DENTAL</v>
      </c>
      <c r="H1404" s="2">
        <v>390.47</v>
      </c>
      <c r="I1404" t="str">
        <f>"AP - TEXAS DENTAL"</f>
        <v>AP - TEXAS DENTAL</v>
      </c>
    </row>
    <row r="1405" spans="1:9" x14ac:dyDescent="0.3">
      <c r="A1405" t="str">
        <f>""</f>
        <v/>
      </c>
      <c r="F1405" t="str">
        <f>"FD 201704050692"</f>
        <v>FD 201704050692</v>
      </c>
      <c r="G1405" t="str">
        <f>"AP - FT DEARBORN PRE-TAX"</f>
        <v>AP - FT DEARBORN PRE-TAX</v>
      </c>
      <c r="H1405" s="2">
        <v>206.34</v>
      </c>
      <c r="I1405" t="str">
        <f>"AP - FT DEARBORN PRE-TAX"</f>
        <v>AP - FT DEARBORN PRE-TAX</v>
      </c>
    </row>
    <row r="1406" spans="1:9" x14ac:dyDescent="0.3">
      <c r="A1406" t="str">
        <f>""</f>
        <v/>
      </c>
      <c r="F1406" t="str">
        <f>"FDT201704050692"</f>
        <v>FDT201704050692</v>
      </c>
      <c r="G1406" t="str">
        <f>"AP - FT DEARBORN AFTER TAX"</f>
        <v>AP - FT DEARBORN AFTER TAX</v>
      </c>
      <c r="H1406" s="2">
        <v>87.75</v>
      </c>
      <c r="I1406" t="str">
        <f>"AP - FT DEARBORN AFTER TAX"</f>
        <v>AP - FT DEARBORN AFTER TAX</v>
      </c>
    </row>
    <row r="1407" spans="1:9" x14ac:dyDescent="0.3">
      <c r="A1407" t="str">
        <f>""</f>
        <v/>
      </c>
      <c r="F1407" t="str">
        <f>"FLX201704050692"</f>
        <v>FLX201704050692</v>
      </c>
      <c r="G1407" t="str">
        <f>"AP - TEX FLEX"</f>
        <v>AP - TEX FLEX</v>
      </c>
      <c r="H1407" s="2">
        <v>364</v>
      </c>
      <c r="I1407" t="str">
        <f>"AP - TEX FLEX"</f>
        <v>AP - TEX FLEX</v>
      </c>
    </row>
    <row r="1408" spans="1:9" x14ac:dyDescent="0.3">
      <c r="A1408" t="str">
        <f>""</f>
        <v/>
      </c>
      <c r="F1408" t="str">
        <f>"MHS201704050692"</f>
        <v>MHS201704050692</v>
      </c>
      <c r="G1408" t="str">
        <f>"AP - HEALTH SELECT MEDICAL"</f>
        <v>AP - HEALTH SELECT MEDICAL</v>
      </c>
      <c r="H1408" s="2">
        <v>1951.32</v>
      </c>
      <c r="I1408" t="str">
        <f>"AP - HEALTH SELECT MEDICAL"</f>
        <v>AP - HEALTH SELECT MEDICAL</v>
      </c>
    </row>
    <row r="1409" spans="1:9" x14ac:dyDescent="0.3">
      <c r="A1409" t="str">
        <f>""</f>
        <v/>
      </c>
      <c r="F1409" t="str">
        <f>"MSW201704050692"</f>
        <v>MSW201704050692</v>
      </c>
      <c r="G1409" t="str">
        <f>"AP - SCOTT &amp; WHITE MEDICAL"</f>
        <v>AP - SCOTT &amp; WHITE MEDICAL</v>
      </c>
      <c r="H1409" s="2">
        <v>291.82</v>
      </c>
      <c r="I1409" t="str">
        <f>"AP - SCOTT &amp; WHITE MEDICAL"</f>
        <v>AP - SCOTT &amp; WHITE MEDICAL</v>
      </c>
    </row>
    <row r="1410" spans="1:9" x14ac:dyDescent="0.3">
      <c r="A1410" t="str">
        <f>""</f>
        <v/>
      </c>
      <c r="F1410" t="str">
        <f>"SPE201704050692"</f>
        <v>SPE201704050692</v>
      </c>
      <c r="G1410" t="str">
        <f>"AP - STATE VISION"</f>
        <v>AP - STATE VISION</v>
      </c>
      <c r="H1410" s="2">
        <v>13.4</v>
      </c>
      <c r="I1410" t="str">
        <f>"AP - STATE VISION"</f>
        <v>AP - STATE VISION</v>
      </c>
    </row>
    <row r="1411" spans="1:9" x14ac:dyDescent="0.3">
      <c r="A1411" t="str">
        <f>"T12180"</f>
        <v>T12180</v>
      </c>
      <c r="B1411" t="s">
        <v>456</v>
      </c>
      <c r="C1411">
        <v>0</v>
      </c>
      <c r="D1411" s="2">
        <v>3347.12</v>
      </c>
      <c r="E1411" s="1">
        <v>42846</v>
      </c>
      <c r="F1411" t="str">
        <f>"DDP201704191329"</f>
        <v>DDP201704191329</v>
      </c>
      <c r="G1411" t="str">
        <f>"AP - TEXAS DISCOUNT DENTAL"</f>
        <v>AP - TEXAS DISCOUNT DENTAL</v>
      </c>
      <c r="H1411" s="2">
        <v>6.53</v>
      </c>
      <c r="I1411" t="str">
        <f>"AP - TEXAS DISCOUNT DENTAL"</f>
        <v>AP - TEXAS DISCOUNT DENTAL</v>
      </c>
    </row>
    <row r="1412" spans="1:9" x14ac:dyDescent="0.3">
      <c r="A1412" t="str">
        <f>""</f>
        <v/>
      </c>
      <c r="F1412" t="str">
        <f>"DHM201704191329"</f>
        <v>DHM201704191329</v>
      </c>
      <c r="G1412" t="str">
        <f>"AP - DENTAL HMO"</f>
        <v>AP - DENTAL HMO</v>
      </c>
      <c r="H1412" s="2">
        <v>35.49</v>
      </c>
      <c r="I1412" t="str">
        <f>"AP - DENTAL HMO"</f>
        <v>AP - DENTAL HMO</v>
      </c>
    </row>
    <row r="1413" spans="1:9" x14ac:dyDescent="0.3">
      <c r="A1413" t="str">
        <f>""</f>
        <v/>
      </c>
      <c r="F1413" t="str">
        <f>"DTX201704191329"</f>
        <v>DTX201704191329</v>
      </c>
      <c r="G1413" t="str">
        <f>"AP - TEXAS DENTAL"</f>
        <v>AP - TEXAS DENTAL</v>
      </c>
      <c r="H1413" s="2">
        <v>390.47</v>
      </c>
      <c r="I1413" t="str">
        <f>"AP - TEXAS DENTAL"</f>
        <v>AP - TEXAS DENTAL</v>
      </c>
    </row>
    <row r="1414" spans="1:9" x14ac:dyDescent="0.3">
      <c r="A1414" t="str">
        <f>""</f>
        <v/>
      </c>
      <c r="F1414" t="str">
        <f>"FD 201704191329"</f>
        <v>FD 201704191329</v>
      </c>
      <c r="G1414" t="str">
        <f>"AP - FT DEARBORN PRE-TAX"</f>
        <v>AP - FT DEARBORN PRE-TAX</v>
      </c>
      <c r="H1414" s="2">
        <v>206.34</v>
      </c>
      <c r="I1414" t="str">
        <f>"AP - FT DEARBORN PRE-TAX"</f>
        <v>AP - FT DEARBORN PRE-TAX</v>
      </c>
    </row>
    <row r="1415" spans="1:9" x14ac:dyDescent="0.3">
      <c r="A1415" t="str">
        <f>""</f>
        <v/>
      </c>
      <c r="F1415" t="str">
        <f>"FDT201704191329"</f>
        <v>FDT201704191329</v>
      </c>
      <c r="G1415" t="str">
        <f>"AP - FT DEARBORN AFTER TAX"</f>
        <v>AP - FT DEARBORN AFTER TAX</v>
      </c>
      <c r="H1415" s="2">
        <v>87.75</v>
      </c>
      <c r="I1415" t="str">
        <f>"AP - FT DEARBORN AFTER TAX"</f>
        <v>AP - FT DEARBORN AFTER TAX</v>
      </c>
    </row>
    <row r="1416" spans="1:9" x14ac:dyDescent="0.3">
      <c r="A1416" t="str">
        <f>""</f>
        <v/>
      </c>
      <c r="F1416" t="str">
        <f>"FLX201704191329"</f>
        <v>FLX201704191329</v>
      </c>
      <c r="G1416" t="str">
        <f>"AP - TEX FLEX"</f>
        <v>AP - TEX FLEX</v>
      </c>
      <c r="H1416" s="2">
        <v>364</v>
      </c>
      <c r="I1416" t="str">
        <f>"AP - TEX FLEX"</f>
        <v>AP - TEX FLEX</v>
      </c>
    </row>
    <row r="1417" spans="1:9" x14ac:dyDescent="0.3">
      <c r="A1417" t="str">
        <f>""</f>
        <v/>
      </c>
      <c r="F1417" t="str">
        <f>"MHS201704191329"</f>
        <v>MHS201704191329</v>
      </c>
      <c r="G1417" t="str">
        <f>"AP - HEALTH SELECT MEDICAL"</f>
        <v>AP - HEALTH SELECT MEDICAL</v>
      </c>
      <c r="H1417" s="2">
        <v>1951.32</v>
      </c>
      <c r="I1417" t="str">
        <f>"AP - HEALTH SELECT MEDICAL"</f>
        <v>AP - HEALTH SELECT MEDICAL</v>
      </c>
    </row>
    <row r="1418" spans="1:9" x14ac:dyDescent="0.3">
      <c r="A1418" t="str">
        <f>""</f>
        <v/>
      </c>
      <c r="F1418" t="str">
        <f>"MSW201704191329"</f>
        <v>MSW201704191329</v>
      </c>
      <c r="G1418" t="str">
        <f>"AP - SCOTT &amp; WHITE MEDICAL"</f>
        <v>AP - SCOTT &amp; WHITE MEDICAL</v>
      </c>
      <c r="H1418" s="2">
        <v>291.82</v>
      </c>
      <c r="I1418" t="str">
        <f>"AP - SCOTT &amp; WHITE MEDICAL"</f>
        <v>AP - SCOTT &amp; WHITE MEDICAL</v>
      </c>
    </row>
    <row r="1419" spans="1:9" x14ac:dyDescent="0.3">
      <c r="A1419" t="str">
        <f>""</f>
        <v/>
      </c>
      <c r="F1419" t="str">
        <f>"SPE201704191329"</f>
        <v>SPE201704191329</v>
      </c>
      <c r="G1419" t="str">
        <f>"AP - STATE VISION"</f>
        <v>AP - STATE VISION</v>
      </c>
      <c r="H1419" s="2">
        <v>13.4</v>
      </c>
      <c r="I1419" t="str">
        <f>"AP - STATE VISION"</f>
        <v>AP - STATE VISION</v>
      </c>
    </row>
    <row r="1420" spans="1:9" x14ac:dyDescent="0.3">
      <c r="A1420" t="str">
        <f>"COLONI"</f>
        <v>COLONI</v>
      </c>
      <c r="B1420" t="s">
        <v>457</v>
      </c>
      <c r="C1420">
        <v>0</v>
      </c>
      <c r="D1420" s="2">
        <v>4963.28</v>
      </c>
      <c r="E1420" s="1">
        <v>42853</v>
      </c>
      <c r="F1420" t="str">
        <f>"201704281587"</f>
        <v>201704281587</v>
      </c>
      <c r="G1420" t="str">
        <f>"COLONIAL LIFE &amp; ACCIDENT INS."</f>
        <v>COLONIAL LIFE &amp; ACCIDENT INS.</v>
      </c>
      <c r="H1420" s="2">
        <v>-0.14000000000000001</v>
      </c>
      <c r="I1420" t="str">
        <f>"COLONIAL LIFE &amp; ACCIDENT INS."</f>
        <v>COLONIAL LIFE &amp; ACCIDENT INS.</v>
      </c>
    </row>
    <row r="1421" spans="1:9" x14ac:dyDescent="0.3">
      <c r="A1421" t="str">
        <f>""</f>
        <v/>
      </c>
      <c r="F1421" t="str">
        <f>"CL 201704050690"</f>
        <v>CL 201704050690</v>
      </c>
      <c r="G1421" t="str">
        <f t="shared" ref="G1421:G1440" si="20">"COLONIAL"</f>
        <v>COLONIAL</v>
      </c>
      <c r="H1421" s="2">
        <v>784.79</v>
      </c>
      <c r="I1421" t="str">
        <f t="shared" ref="I1421:I1440" si="21">"COLONIAL"</f>
        <v>COLONIAL</v>
      </c>
    </row>
    <row r="1422" spans="1:9" x14ac:dyDescent="0.3">
      <c r="A1422" t="str">
        <f>""</f>
        <v/>
      </c>
      <c r="F1422" t="str">
        <f>"CL 201704050691"</f>
        <v>CL 201704050691</v>
      </c>
      <c r="G1422" t="str">
        <f t="shared" si="20"/>
        <v>COLONIAL</v>
      </c>
      <c r="H1422" s="2">
        <v>14.49</v>
      </c>
      <c r="I1422" t="str">
        <f t="shared" si="21"/>
        <v>COLONIAL</v>
      </c>
    </row>
    <row r="1423" spans="1:9" x14ac:dyDescent="0.3">
      <c r="A1423" t="str">
        <f>""</f>
        <v/>
      </c>
      <c r="F1423" t="str">
        <f>"CL 201704191327"</f>
        <v>CL 201704191327</v>
      </c>
      <c r="G1423" t="str">
        <f t="shared" si="20"/>
        <v>COLONIAL</v>
      </c>
      <c r="H1423" s="2">
        <v>784.79</v>
      </c>
      <c r="I1423" t="str">
        <f t="shared" si="21"/>
        <v>COLONIAL</v>
      </c>
    </row>
    <row r="1424" spans="1:9" x14ac:dyDescent="0.3">
      <c r="A1424" t="str">
        <f>""</f>
        <v/>
      </c>
      <c r="F1424" t="str">
        <f>"CL 201704191328"</f>
        <v>CL 201704191328</v>
      </c>
      <c r="G1424" t="str">
        <f t="shared" si="20"/>
        <v>COLONIAL</v>
      </c>
      <c r="H1424" s="2">
        <v>14.49</v>
      </c>
      <c r="I1424" t="str">
        <f t="shared" si="21"/>
        <v>COLONIAL</v>
      </c>
    </row>
    <row r="1425" spans="1:9" x14ac:dyDescent="0.3">
      <c r="A1425" t="str">
        <f>""</f>
        <v/>
      </c>
      <c r="F1425" t="str">
        <f>"CLC201704050690"</f>
        <v>CLC201704050690</v>
      </c>
      <c r="G1425" t="str">
        <f t="shared" si="20"/>
        <v>COLONIAL</v>
      </c>
      <c r="H1425" s="2">
        <v>100.6</v>
      </c>
      <c r="I1425" t="str">
        <f t="shared" si="21"/>
        <v>COLONIAL</v>
      </c>
    </row>
    <row r="1426" spans="1:9" x14ac:dyDescent="0.3">
      <c r="A1426" t="str">
        <f>""</f>
        <v/>
      </c>
      <c r="F1426" t="str">
        <f>"CLC201704191327"</f>
        <v>CLC201704191327</v>
      </c>
      <c r="G1426" t="str">
        <f t="shared" si="20"/>
        <v>COLONIAL</v>
      </c>
      <c r="H1426" s="2">
        <v>100.6</v>
      </c>
      <c r="I1426" t="str">
        <f t="shared" si="21"/>
        <v>COLONIAL</v>
      </c>
    </row>
    <row r="1427" spans="1:9" x14ac:dyDescent="0.3">
      <c r="A1427" t="str">
        <f>""</f>
        <v/>
      </c>
      <c r="F1427" t="str">
        <f>"CLI201704050690"</f>
        <v>CLI201704050690</v>
      </c>
      <c r="G1427" t="str">
        <f t="shared" si="20"/>
        <v>COLONIAL</v>
      </c>
      <c r="H1427" s="2">
        <v>509.64</v>
      </c>
      <c r="I1427" t="str">
        <f t="shared" si="21"/>
        <v>COLONIAL</v>
      </c>
    </row>
    <row r="1428" spans="1:9" x14ac:dyDescent="0.3">
      <c r="A1428" t="str">
        <f>""</f>
        <v/>
      </c>
      <c r="F1428" t="str">
        <f>"CLI201704191327"</f>
        <v>CLI201704191327</v>
      </c>
      <c r="G1428" t="str">
        <f t="shared" si="20"/>
        <v>COLONIAL</v>
      </c>
      <c r="H1428" s="2">
        <v>509.64</v>
      </c>
      <c r="I1428" t="str">
        <f t="shared" si="21"/>
        <v>COLONIAL</v>
      </c>
    </row>
    <row r="1429" spans="1:9" x14ac:dyDescent="0.3">
      <c r="A1429" t="str">
        <f>""</f>
        <v/>
      </c>
      <c r="F1429" t="str">
        <f>"CLK201704050690"</f>
        <v>CLK201704050690</v>
      </c>
      <c r="G1429" t="str">
        <f t="shared" si="20"/>
        <v>COLONIAL</v>
      </c>
      <c r="H1429" s="2">
        <v>27.09</v>
      </c>
      <c r="I1429" t="str">
        <f t="shared" si="21"/>
        <v>COLONIAL</v>
      </c>
    </row>
    <row r="1430" spans="1:9" x14ac:dyDescent="0.3">
      <c r="A1430" t="str">
        <f>""</f>
        <v/>
      </c>
      <c r="F1430" t="str">
        <f>"CLK201704191327"</f>
        <v>CLK201704191327</v>
      </c>
      <c r="G1430" t="str">
        <f t="shared" si="20"/>
        <v>COLONIAL</v>
      </c>
      <c r="H1430" s="2">
        <v>27.09</v>
      </c>
      <c r="I1430" t="str">
        <f t="shared" si="21"/>
        <v>COLONIAL</v>
      </c>
    </row>
    <row r="1431" spans="1:9" x14ac:dyDescent="0.3">
      <c r="A1431" t="str">
        <f>""</f>
        <v/>
      </c>
      <c r="F1431" t="str">
        <f>"CLS201704050690"</f>
        <v>CLS201704050690</v>
      </c>
      <c r="G1431" t="str">
        <f t="shared" si="20"/>
        <v>COLONIAL</v>
      </c>
      <c r="H1431" s="2">
        <v>340.22</v>
      </c>
      <c r="I1431" t="str">
        <f t="shared" si="21"/>
        <v>COLONIAL</v>
      </c>
    </row>
    <row r="1432" spans="1:9" x14ac:dyDescent="0.3">
      <c r="A1432" t="str">
        <f>""</f>
        <v/>
      </c>
      <c r="F1432" t="str">
        <f>"CLS201704050691"</f>
        <v>CLS201704050691</v>
      </c>
      <c r="G1432" t="str">
        <f t="shared" si="20"/>
        <v>COLONIAL</v>
      </c>
      <c r="H1432" s="2">
        <v>22.47</v>
      </c>
      <c r="I1432" t="str">
        <f t="shared" si="21"/>
        <v>COLONIAL</v>
      </c>
    </row>
    <row r="1433" spans="1:9" x14ac:dyDescent="0.3">
      <c r="A1433" t="str">
        <f>""</f>
        <v/>
      </c>
      <c r="F1433" t="str">
        <f>"CLS201704191327"</f>
        <v>CLS201704191327</v>
      </c>
      <c r="G1433" t="str">
        <f t="shared" si="20"/>
        <v>COLONIAL</v>
      </c>
      <c r="H1433" s="2">
        <v>340.22</v>
      </c>
      <c r="I1433" t="str">
        <f t="shared" si="21"/>
        <v>COLONIAL</v>
      </c>
    </row>
    <row r="1434" spans="1:9" x14ac:dyDescent="0.3">
      <c r="A1434" t="str">
        <f>""</f>
        <v/>
      </c>
      <c r="F1434" t="str">
        <f>"CLS201704191328"</f>
        <v>CLS201704191328</v>
      </c>
      <c r="G1434" t="str">
        <f t="shared" si="20"/>
        <v>COLONIAL</v>
      </c>
      <c r="H1434" s="2">
        <v>22.47</v>
      </c>
      <c r="I1434" t="str">
        <f t="shared" si="21"/>
        <v>COLONIAL</v>
      </c>
    </row>
    <row r="1435" spans="1:9" x14ac:dyDescent="0.3">
      <c r="A1435" t="str">
        <f>""</f>
        <v/>
      </c>
      <c r="F1435" t="str">
        <f>"CLT201704050690"</f>
        <v>CLT201704050690</v>
      </c>
      <c r="G1435" t="str">
        <f t="shared" si="20"/>
        <v>COLONIAL</v>
      </c>
      <c r="H1435" s="2">
        <v>402.75</v>
      </c>
      <c r="I1435" t="str">
        <f t="shared" si="21"/>
        <v>COLONIAL</v>
      </c>
    </row>
    <row r="1436" spans="1:9" x14ac:dyDescent="0.3">
      <c r="A1436" t="str">
        <f>""</f>
        <v/>
      </c>
      <c r="F1436" t="str">
        <f>"CLT201704191327"</f>
        <v>CLT201704191327</v>
      </c>
      <c r="G1436" t="str">
        <f t="shared" si="20"/>
        <v>COLONIAL</v>
      </c>
      <c r="H1436" s="2">
        <v>402.75</v>
      </c>
      <c r="I1436" t="str">
        <f t="shared" si="21"/>
        <v>COLONIAL</v>
      </c>
    </row>
    <row r="1437" spans="1:9" x14ac:dyDescent="0.3">
      <c r="A1437" t="str">
        <f>""</f>
        <v/>
      </c>
      <c r="F1437" t="str">
        <f>"CLU201704050690"</f>
        <v>CLU201704050690</v>
      </c>
      <c r="G1437" t="str">
        <f t="shared" si="20"/>
        <v>COLONIAL</v>
      </c>
      <c r="H1437" s="2">
        <v>236.1</v>
      </c>
      <c r="I1437" t="str">
        <f t="shared" si="21"/>
        <v>COLONIAL</v>
      </c>
    </row>
    <row r="1438" spans="1:9" x14ac:dyDescent="0.3">
      <c r="A1438" t="str">
        <f>""</f>
        <v/>
      </c>
      <c r="F1438" t="str">
        <f>"CLU201704191327"</f>
        <v>CLU201704191327</v>
      </c>
      <c r="G1438" t="str">
        <f t="shared" si="20"/>
        <v>COLONIAL</v>
      </c>
      <c r="H1438" s="2">
        <v>236.1</v>
      </c>
      <c r="I1438" t="str">
        <f t="shared" si="21"/>
        <v>COLONIAL</v>
      </c>
    </row>
    <row r="1439" spans="1:9" x14ac:dyDescent="0.3">
      <c r="A1439" t="str">
        <f>""</f>
        <v/>
      </c>
      <c r="F1439" t="str">
        <f>"CLW201704050690"</f>
        <v>CLW201704050690</v>
      </c>
      <c r="G1439" t="str">
        <f t="shared" si="20"/>
        <v>COLONIAL</v>
      </c>
      <c r="H1439" s="2">
        <v>43.56</v>
      </c>
      <c r="I1439" t="str">
        <f t="shared" si="21"/>
        <v>COLONIAL</v>
      </c>
    </row>
    <row r="1440" spans="1:9" x14ac:dyDescent="0.3">
      <c r="A1440" t="str">
        <f>""</f>
        <v/>
      </c>
      <c r="F1440" t="str">
        <f>"CLW201704191327"</f>
        <v>CLW201704191327</v>
      </c>
      <c r="G1440" t="str">
        <f t="shared" si="20"/>
        <v>COLONIAL</v>
      </c>
      <c r="H1440" s="2">
        <v>43.56</v>
      </c>
      <c r="I1440" t="str">
        <f t="shared" si="21"/>
        <v>COLONIAL</v>
      </c>
    </row>
    <row r="1441" spans="1:9" x14ac:dyDescent="0.3">
      <c r="A1441" t="str">
        <f>"T14390"</f>
        <v>T14390</v>
      </c>
      <c r="B1441" t="s">
        <v>458</v>
      </c>
      <c r="C1441">
        <v>0</v>
      </c>
      <c r="D1441" s="2">
        <v>7124.61</v>
      </c>
      <c r="E1441" s="1">
        <v>42832</v>
      </c>
      <c r="F1441" t="str">
        <f>"CPI201704050690"</f>
        <v>CPI201704050690</v>
      </c>
      <c r="G1441" t="str">
        <f>"DEFERRED COMP 457B PAYABLE"</f>
        <v>DEFERRED COMP 457B PAYABLE</v>
      </c>
      <c r="H1441" s="2">
        <v>7017.11</v>
      </c>
      <c r="I1441" t="str">
        <f>"DEFERRED COMP 457B PAYABLE"</f>
        <v>DEFERRED COMP 457B PAYABLE</v>
      </c>
    </row>
    <row r="1442" spans="1:9" x14ac:dyDescent="0.3">
      <c r="A1442" t="str">
        <f>""</f>
        <v/>
      </c>
      <c r="F1442" t="str">
        <f>"CPI201704050691"</f>
        <v>CPI201704050691</v>
      </c>
      <c r="G1442" t="str">
        <f>"DEFERRED COMP 457B PAYABLE"</f>
        <v>DEFERRED COMP 457B PAYABLE</v>
      </c>
      <c r="H1442" s="2">
        <v>107.5</v>
      </c>
      <c r="I1442" t="str">
        <f>"DEFERRED COMP 457B PAYABLE"</f>
        <v>DEFERRED COMP 457B PAYABLE</v>
      </c>
    </row>
    <row r="1443" spans="1:9" x14ac:dyDescent="0.3">
      <c r="A1443" t="str">
        <f>"T14390"</f>
        <v>T14390</v>
      </c>
      <c r="B1443" t="s">
        <v>458</v>
      </c>
      <c r="C1443">
        <v>0</v>
      </c>
      <c r="D1443" s="2">
        <v>7174.34</v>
      </c>
      <c r="E1443" s="1">
        <v>42846</v>
      </c>
      <c r="F1443" t="str">
        <f>"CPI201704191327"</f>
        <v>CPI201704191327</v>
      </c>
      <c r="G1443" t="str">
        <f>"DEFERRED COMP 457B PAYABLE"</f>
        <v>DEFERRED COMP 457B PAYABLE</v>
      </c>
      <c r="H1443" s="2">
        <v>7066.84</v>
      </c>
      <c r="I1443" t="str">
        <f>"DEFERRED COMP 457B PAYABLE"</f>
        <v>DEFERRED COMP 457B PAYABLE</v>
      </c>
    </row>
    <row r="1444" spans="1:9" x14ac:dyDescent="0.3">
      <c r="A1444" t="str">
        <f>""</f>
        <v/>
      </c>
      <c r="F1444" t="str">
        <f>"CPI201704191328"</f>
        <v>CPI201704191328</v>
      </c>
      <c r="G1444" t="str">
        <f>"DEFERRED COMP 457B PAYABLE"</f>
        <v>DEFERRED COMP 457B PAYABLE</v>
      </c>
      <c r="H1444" s="2">
        <v>107.5</v>
      </c>
      <c r="I1444" t="str">
        <f>"DEFERRED COMP 457B PAYABLE"</f>
        <v>DEFERRED COMP 457B PAYABLE</v>
      </c>
    </row>
    <row r="1445" spans="1:9" x14ac:dyDescent="0.3">
      <c r="A1445" t="str">
        <f>"T10761"</f>
        <v>T10761</v>
      </c>
      <c r="B1445" t="s">
        <v>459</v>
      </c>
      <c r="C1445">
        <v>45507</v>
      </c>
      <c r="D1445" s="2">
        <v>1184.08</v>
      </c>
      <c r="E1445" s="1">
        <v>42832</v>
      </c>
      <c r="F1445" t="str">
        <f>"B13201704050690"</f>
        <v>B13201704050690</v>
      </c>
      <c r="G1445" t="str">
        <f>"Rosa Warren 15-10357-TMD"</f>
        <v>Rosa Warren 15-10357-TMD</v>
      </c>
      <c r="H1445" s="2">
        <v>692.31</v>
      </c>
      <c r="I1445" t="str">
        <f>"Rosa Warren 15-10357-TMD"</f>
        <v>Rosa Warren 15-10357-TMD</v>
      </c>
    </row>
    <row r="1446" spans="1:9" x14ac:dyDescent="0.3">
      <c r="A1446" t="str">
        <f>""</f>
        <v/>
      </c>
      <c r="F1446" t="str">
        <f>"BJL201704050690"</f>
        <v>BJL201704050690</v>
      </c>
      <c r="G1446" t="str">
        <f>"Julian Luna 14-10230-TMD"</f>
        <v>Julian Luna 14-10230-TMD</v>
      </c>
      <c r="H1446" s="2">
        <v>491.77</v>
      </c>
      <c r="I1446" t="str">
        <f>"Julian Luna 14-10230-TMD"</f>
        <v>Julian Luna 14-10230-TMD</v>
      </c>
    </row>
    <row r="1447" spans="1:9" x14ac:dyDescent="0.3">
      <c r="A1447" t="str">
        <f>"T10761"</f>
        <v>T10761</v>
      </c>
      <c r="B1447" t="s">
        <v>459</v>
      </c>
      <c r="C1447">
        <v>45536</v>
      </c>
      <c r="D1447" s="2">
        <v>1345.62</v>
      </c>
      <c r="E1447" s="1">
        <v>42846</v>
      </c>
      <c r="F1447" t="str">
        <f>"B13201704191327"</f>
        <v>B13201704191327</v>
      </c>
      <c r="G1447" t="str">
        <f>"Rosa Warren 15-10357-TMD"</f>
        <v>Rosa Warren 15-10357-TMD</v>
      </c>
      <c r="H1447" s="2">
        <v>853.85</v>
      </c>
      <c r="I1447" t="str">
        <f>"Rosa Warren 15-10357-TMD"</f>
        <v>Rosa Warren 15-10357-TMD</v>
      </c>
    </row>
    <row r="1448" spans="1:9" x14ac:dyDescent="0.3">
      <c r="A1448" t="str">
        <f>""</f>
        <v/>
      </c>
      <c r="F1448" t="str">
        <f>"BJL201704191327"</f>
        <v>BJL201704191327</v>
      </c>
      <c r="G1448" t="str">
        <f>"Julian Luna 14-10230-TMD"</f>
        <v>Julian Luna 14-10230-TMD</v>
      </c>
      <c r="H1448" s="2">
        <v>491.77</v>
      </c>
      <c r="I1448" t="str">
        <f>"Julian Luna 14-10230-TMD"</f>
        <v>Julian Luna 14-10230-TMD</v>
      </c>
    </row>
    <row r="1449" spans="1:9" x14ac:dyDescent="0.3">
      <c r="A1449" t="str">
        <f>"GUARD"</f>
        <v>GUARD</v>
      </c>
      <c r="B1449" t="s">
        <v>460</v>
      </c>
      <c r="C1449">
        <v>0</v>
      </c>
      <c r="D1449" s="2">
        <v>36558.629999999997</v>
      </c>
      <c r="E1449" s="1">
        <v>42853</v>
      </c>
      <c r="F1449" t="str">
        <f>"201704281574"</f>
        <v>201704281574</v>
      </c>
      <c r="G1449" t="str">
        <f>"Retiree Dental April 2017"</f>
        <v>Retiree Dental April 2017</v>
      </c>
      <c r="H1449" s="2">
        <v>2851.35</v>
      </c>
      <c r="I1449" t="str">
        <f>"Retiree Dental April 2017"</f>
        <v>Retiree Dental April 2017</v>
      </c>
    </row>
    <row r="1450" spans="1:9" x14ac:dyDescent="0.3">
      <c r="A1450" t="str">
        <f>""</f>
        <v/>
      </c>
      <c r="F1450" t="str">
        <f>"201704281575"</f>
        <v>201704281575</v>
      </c>
      <c r="G1450" t="str">
        <f>"COBRA coverage April 2017"</f>
        <v>COBRA coverage April 2017</v>
      </c>
      <c r="H1450" s="2">
        <v>36.96</v>
      </c>
      <c r="I1450" t="str">
        <f>"COBRA coverage April 2017"</f>
        <v>COBRA coverage April 2017</v>
      </c>
    </row>
    <row r="1451" spans="1:9" x14ac:dyDescent="0.3">
      <c r="A1451" t="str">
        <f>""</f>
        <v/>
      </c>
      <c r="F1451" t="str">
        <f>"201704281576"</f>
        <v>201704281576</v>
      </c>
      <c r="G1451" t="str">
        <f>"Dental Rouding April 2017"</f>
        <v>Dental Rouding April 2017</v>
      </c>
      <c r="H1451" s="2">
        <v>5.56</v>
      </c>
      <c r="I1451" t="str">
        <f>"Dental Rouding April 2017"</f>
        <v>Dental Rouding April 2017</v>
      </c>
    </row>
    <row r="1452" spans="1:9" x14ac:dyDescent="0.3">
      <c r="A1452" t="str">
        <f>""</f>
        <v/>
      </c>
      <c r="F1452" t="str">
        <f>"201704281577"</f>
        <v>201704281577</v>
      </c>
      <c r="G1452" t="str">
        <f>"Retiree Life Coverage"</f>
        <v>Retiree Life Coverage</v>
      </c>
      <c r="H1452" s="2">
        <v>103.13</v>
      </c>
      <c r="I1452" t="str">
        <f>"Retiree Life Coverage"</f>
        <v>Retiree Life Coverage</v>
      </c>
    </row>
    <row r="1453" spans="1:9" x14ac:dyDescent="0.3">
      <c r="A1453" t="str">
        <f>""</f>
        <v/>
      </c>
      <c r="F1453" t="str">
        <f>"ADC201704050690"</f>
        <v>ADC201704050690</v>
      </c>
      <c r="G1453" t="str">
        <f t="shared" ref="G1453:G1465" si="22">"GUARDIAN"</f>
        <v>GUARDIAN</v>
      </c>
      <c r="H1453" s="2">
        <v>5.53</v>
      </c>
      <c r="I1453" t="str">
        <f t="shared" ref="I1453:I1516" si="23">"GUARDIAN"</f>
        <v>GUARDIAN</v>
      </c>
    </row>
    <row r="1454" spans="1:9" x14ac:dyDescent="0.3">
      <c r="A1454" t="str">
        <f>""</f>
        <v/>
      </c>
      <c r="F1454" t="str">
        <f>"ADC201704050691"</f>
        <v>ADC201704050691</v>
      </c>
      <c r="G1454" t="str">
        <f t="shared" si="22"/>
        <v>GUARDIAN</v>
      </c>
      <c r="H1454" s="2">
        <v>0.16</v>
      </c>
      <c r="I1454" t="str">
        <f t="shared" si="23"/>
        <v>GUARDIAN</v>
      </c>
    </row>
    <row r="1455" spans="1:9" x14ac:dyDescent="0.3">
      <c r="A1455" t="str">
        <f>""</f>
        <v/>
      </c>
      <c r="F1455" t="str">
        <f>"ADC201704191327"</f>
        <v>ADC201704191327</v>
      </c>
      <c r="G1455" t="str">
        <f t="shared" si="22"/>
        <v>GUARDIAN</v>
      </c>
      <c r="H1455" s="2">
        <v>5.53</v>
      </c>
      <c r="I1455" t="str">
        <f t="shared" si="23"/>
        <v>GUARDIAN</v>
      </c>
    </row>
    <row r="1456" spans="1:9" x14ac:dyDescent="0.3">
      <c r="A1456" t="str">
        <f>""</f>
        <v/>
      </c>
      <c r="F1456" t="str">
        <f>"ADC201704191328"</f>
        <v>ADC201704191328</v>
      </c>
      <c r="G1456" t="str">
        <f t="shared" si="22"/>
        <v>GUARDIAN</v>
      </c>
      <c r="H1456" s="2">
        <v>0.16</v>
      </c>
      <c r="I1456" t="str">
        <f t="shared" si="23"/>
        <v>GUARDIAN</v>
      </c>
    </row>
    <row r="1457" spans="1:9" x14ac:dyDescent="0.3">
      <c r="A1457" t="str">
        <f>""</f>
        <v/>
      </c>
      <c r="F1457" t="str">
        <f>"ADE201704050690"</f>
        <v>ADE201704050690</v>
      </c>
      <c r="G1457" t="str">
        <f t="shared" si="22"/>
        <v>GUARDIAN</v>
      </c>
      <c r="H1457" s="2">
        <v>213.84</v>
      </c>
      <c r="I1457" t="str">
        <f t="shared" si="23"/>
        <v>GUARDIAN</v>
      </c>
    </row>
    <row r="1458" spans="1:9" x14ac:dyDescent="0.3">
      <c r="A1458" t="str">
        <f>""</f>
        <v/>
      </c>
      <c r="F1458" t="str">
        <f>"ADE201704050691"</f>
        <v>ADE201704050691</v>
      </c>
      <c r="G1458" t="str">
        <f t="shared" si="22"/>
        <v>GUARDIAN</v>
      </c>
      <c r="H1458" s="2">
        <v>6.6</v>
      </c>
      <c r="I1458" t="str">
        <f t="shared" si="23"/>
        <v>GUARDIAN</v>
      </c>
    </row>
    <row r="1459" spans="1:9" x14ac:dyDescent="0.3">
      <c r="A1459" t="str">
        <f>""</f>
        <v/>
      </c>
      <c r="F1459" t="str">
        <f>"ADE201704191327"</f>
        <v>ADE201704191327</v>
      </c>
      <c r="G1459" t="str">
        <f t="shared" si="22"/>
        <v>GUARDIAN</v>
      </c>
      <c r="H1459" s="2">
        <v>213.84</v>
      </c>
      <c r="I1459" t="str">
        <f t="shared" si="23"/>
        <v>GUARDIAN</v>
      </c>
    </row>
    <row r="1460" spans="1:9" x14ac:dyDescent="0.3">
      <c r="A1460" t="str">
        <f>""</f>
        <v/>
      </c>
      <c r="F1460" t="str">
        <f>"ADE201704191328"</f>
        <v>ADE201704191328</v>
      </c>
      <c r="G1460" t="str">
        <f t="shared" si="22"/>
        <v>GUARDIAN</v>
      </c>
      <c r="H1460" s="2">
        <v>6.6</v>
      </c>
      <c r="I1460" t="str">
        <f t="shared" si="23"/>
        <v>GUARDIAN</v>
      </c>
    </row>
    <row r="1461" spans="1:9" x14ac:dyDescent="0.3">
      <c r="A1461" t="str">
        <f>""</f>
        <v/>
      </c>
      <c r="F1461" t="str">
        <f>"ADS201704050690"</f>
        <v>ADS201704050690</v>
      </c>
      <c r="G1461" t="str">
        <f t="shared" si="22"/>
        <v>GUARDIAN</v>
      </c>
      <c r="H1461" s="2">
        <v>35.14</v>
      </c>
      <c r="I1461" t="str">
        <f t="shared" si="23"/>
        <v>GUARDIAN</v>
      </c>
    </row>
    <row r="1462" spans="1:9" x14ac:dyDescent="0.3">
      <c r="A1462" t="str">
        <f>""</f>
        <v/>
      </c>
      <c r="F1462" t="str">
        <f>"ADS201704050691"</f>
        <v>ADS201704050691</v>
      </c>
      <c r="G1462" t="str">
        <f t="shared" si="22"/>
        <v>GUARDIAN</v>
      </c>
      <c r="H1462" s="2">
        <v>0.98</v>
      </c>
      <c r="I1462" t="str">
        <f t="shared" si="23"/>
        <v>GUARDIAN</v>
      </c>
    </row>
    <row r="1463" spans="1:9" x14ac:dyDescent="0.3">
      <c r="A1463" t="str">
        <f>""</f>
        <v/>
      </c>
      <c r="F1463" t="str">
        <f>"ADS201704191327"</f>
        <v>ADS201704191327</v>
      </c>
      <c r="G1463" t="str">
        <f t="shared" si="22"/>
        <v>GUARDIAN</v>
      </c>
      <c r="H1463" s="2">
        <v>35.14</v>
      </c>
      <c r="I1463" t="str">
        <f t="shared" si="23"/>
        <v>GUARDIAN</v>
      </c>
    </row>
    <row r="1464" spans="1:9" x14ac:dyDescent="0.3">
      <c r="A1464" t="str">
        <f>""</f>
        <v/>
      </c>
      <c r="F1464" t="str">
        <f>"ADS201704191328"</f>
        <v>ADS201704191328</v>
      </c>
      <c r="G1464" t="str">
        <f t="shared" si="22"/>
        <v>GUARDIAN</v>
      </c>
      <c r="H1464" s="2">
        <v>0.98</v>
      </c>
      <c r="I1464" t="str">
        <f t="shared" si="23"/>
        <v>GUARDIAN</v>
      </c>
    </row>
    <row r="1465" spans="1:9" x14ac:dyDescent="0.3">
      <c r="A1465" t="str">
        <f>""</f>
        <v/>
      </c>
      <c r="F1465" t="str">
        <f>"GDC201704050690"</f>
        <v>GDC201704050690</v>
      </c>
      <c r="G1465" t="str">
        <f t="shared" si="22"/>
        <v>GUARDIAN</v>
      </c>
      <c r="H1465" s="2">
        <v>2350.8000000000002</v>
      </c>
      <c r="I1465" t="str">
        <f t="shared" si="23"/>
        <v>GUARDIAN</v>
      </c>
    </row>
    <row r="1466" spans="1:9" x14ac:dyDescent="0.3">
      <c r="A1466" t="str">
        <f>""</f>
        <v/>
      </c>
      <c r="F1466" t="str">
        <f>""</f>
        <v/>
      </c>
      <c r="G1466" t="str">
        <f>""</f>
        <v/>
      </c>
      <c r="I1466" t="str">
        <f t="shared" si="23"/>
        <v>GUARDIAN</v>
      </c>
    </row>
    <row r="1467" spans="1:9" x14ac:dyDescent="0.3">
      <c r="A1467" t="str">
        <f>""</f>
        <v/>
      </c>
      <c r="F1467" t="str">
        <f>""</f>
        <v/>
      </c>
      <c r="G1467" t="str">
        <f>""</f>
        <v/>
      </c>
      <c r="I1467" t="str">
        <f t="shared" si="23"/>
        <v>GUARDIAN</v>
      </c>
    </row>
    <row r="1468" spans="1:9" x14ac:dyDescent="0.3">
      <c r="A1468" t="str">
        <f>""</f>
        <v/>
      </c>
      <c r="F1468" t="str">
        <f>""</f>
        <v/>
      </c>
      <c r="G1468" t="str">
        <f>""</f>
        <v/>
      </c>
      <c r="I1468" t="str">
        <f t="shared" si="23"/>
        <v>GUARDIAN</v>
      </c>
    </row>
    <row r="1469" spans="1:9" x14ac:dyDescent="0.3">
      <c r="A1469" t="str">
        <f>""</f>
        <v/>
      </c>
      <c r="F1469" t="str">
        <f>""</f>
        <v/>
      </c>
      <c r="G1469" t="str">
        <f>""</f>
        <v/>
      </c>
      <c r="I1469" t="str">
        <f t="shared" si="23"/>
        <v>GUARDIAN</v>
      </c>
    </row>
    <row r="1470" spans="1:9" x14ac:dyDescent="0.3">
      <c r="A1470" t="str">
        <f>""</f>
        <v/>
      </c>
      <c r="F1470" t="str">
        <f>""</f>
        <v/>
      </c>
      <c r="G1470" t="str">
        <f>""</f>
        <v/>
      </c>
      <c r="I1470" t="str">
        <f t="shared" si="23"/>
        <v>GUARDIAN</v>
      </c>
    </row>
    <row r="1471" spans="1:9" x14ac:dyDescent="0.3">
      <c r="A1471" t="str">
        <f>""</f>
        <v/>
      </c>
      <c r="F1471" t="str">
        <f>""</f>
        <v/>
      </c>
      <c r="G1471" t="str">
        <f>""</f>
        <v/>
      </c>
      <c r="I1471" t="str">
        <f t="shared" si="23"/>
        <v>GUARDIAN</v>
      </c>
    </row>
    <row r="1472" spans="1:9" x14ac:dyDescent="0.3">
      <c r="A1472" t="str">
        <f>""</f>
        <v/>
      </c>
      <c r="F1472" t="str">
        <f>""</f>
        <v/>
      </c>
      <c r="G1472" t="str">
        <f>""</f>
        <v/>
      </c>
      <c r="I1472" t="str">
        <f t="shared" si="23"/>
        <v>GUARDIAN</v>
      </c>
    </row>
    <row r="1473" spans="1:9" x14ac:dyDescent="0.3">
      <c r="A1473" t="str">
        <f>""</f>
        <v/>
      </c>
      <c r="F1473" t="str">
        <f>""</f>
        <v/>
      </c>
      <c r="G1473" t="str">
        <f>""</f>
        <v/>
      </c>
      <c r="I1473" t="str">
        <f t="shared" si="23"/>
        <v>GUARDIAN</v>
      </c>
    </row>
    <row r="1474" spans="1:9" x14ac:dyDescent="0.3">
      <c r="A1474" t="str">
        <f>""</f>
        <v/>
      </c>
      <c r="F1474" t="str">
        <f>""</f>
        <v/>
      </c>
      <c r="G1474" t="str">
        <f>""</f>
        <v/>
      </c>
      <c r="I1474" t="str">
        <f t="shared" si="23"/>
        <v>GUARDIAN</v>
      </c>
    </row>
    <row r="1475" spans="1:9" x14ac:dyDescent="0.3">
      <c r="A1475" t="str">
        <f>""</f>
        <v/>
      </c>
      <c r="F1475" t="str">
        <f>""</f>
        <v/>
      </c>
      <c r="G1475" t="str">
        <f>""</f>
        <v/>
      </c>
      <c r="I1475" t="str">
        <f t="shared" si="23"/>
        <v>GUARDIAN</v>
      </c>
    </row>
    <row r="1476" spans="1:9" x14ac:dyDescent="0.3">
      <c r="A1476" t="str">
        <f>""</f>
        <v/>
      </c>
      <c r="F1476" t="str">
        <f>""</f>
        <v/>
      </c>
      <c r="G1476" t="str">
        <f>""</f>
        <v/>
      </c>
      <c r="I1476" t="str">
        <f t="shared" si="23"/>
        <v>GUARDIAN</v>
      </c>
    </row>
    <row r="1477" spans="1:9" x14ac:dyDescent="0.3">
      <c r="A1477" t="str">
        <f>""</f>
        <v/>
      </c>
      <c r="F1477" t="str">
        <f>""</f>
        <v/>
      </c>
      <c r="G1477" t="str">
        <f>""</f>
        <v/>
      </c>
      <c r="I1477" t="str">
        <f t="shared" si="23"/>
        <v>GUARDIAN</v>
      </c>
    </row>
    <row r="1478" spans="1:9" x14ac:dyDescent="0.3">
      <c r="A1478" t="str">
        <f>""</f>
        <v/>
      </c>
      <c r="F1478" t="str">
        <f>""</f>
        <v/>
      </c>
      <c r="G1478" t="str">
        <f>""</f>
        <v/>
      </c>
      <c r="I1478" t="str">
        <f t="shared" si="23"/>
        <v>GUARDIAN</v>
      </c>
    </row>
    <row r="1479" spans="1:9" x14ac:dyDescent="0.3">
      <c r="A1479" t="str">
        <f>""</f>
        <v/>
      </c>
      <c r="F1479" t="str">
        <f>""</f>
        <v/>
      </c>
      <c r="G1479" t="str">
        <f>""</f>
        <v/>
      </c>
      <c r="I1479" t="str">
        <f t="shared" si="23"/>
        <v>GUARDIAN</v>
      </c>
    </row>
    <row r="1480" spans="1:9" x14ac:dyDescent="0.3">
      <c r="A1480" t="str">
        <f>""</f>
        <v/>
      </c>
      <c r="F1480" t="str">
        <f>""</f>
        <v/>
      </c>
      <c r="G1480" t="str">
        <f>""</f>
        <v/>
      </c>
      <c r="I1480" t="str">
        <f t="shared" si="23"/>
        <v>GUARDIAN</v>
      </c>
    </row>
    <row r="1481" spans="1:9" x14ac:dyDescent="0.3">
      <c r="A1481" t="str">
        <f>""</f>
        <v/>
      </c>
      <c r="F1481" t="str">
        <f>""</f>
        <v/>
      </c>
      <c r="G1481" t="str">
        <f>""</f>
        <v/>
      </c>
      <c r="I1481" t="str">
        <f t="shared" si="23"/>
        <v>GUARDIAN</v>
      </c>
    </row>
    <row r="1482" spans="1:9" x14ac:dyDescent="0.3">
      <c r="A1482" t="str">
        <f>""</f>
        <v/>
      </c>
      <c r="F1482" t="str">
        <f>""</f>
        <v/>
      </c>
      <c r="G1482" t="str">
        <f>""</f>
        <v/>
      </c>
      <c r="I1482" t="str">
        <f t="shared" si="23"/>
        <v>GUARDIAN</v>
      </c>
    </row>
    <row r="1483" spans="1:9" x14ac:dyDescent="0.3">
      <c r="A1483" t="str">
        <f>""</f>
        <v/>
      </c>
      <c r="F1483" t="str">
        <f>""</f>
        <v/>
      </c>
      <c r="G1483" t="str">
        <f>""</f>
        <v/>
      </c>
      <c r="I1483" t="str">
        <f t="shared" si="23"/>
        <v>GUARDIAN</v>
      </c>
    </row>
    <row r="1484" spans="1:9" x14ac:dyDescent="0.3">
      <c r="A1484" t="str">
        <f>""</f>
        <v/>
      </c>
      <c r="F1484" t="str">
        <f>""</f>
        <v/>
      </c>
      <c r="G1484" t="str">
        <f>""</f>
        <v/>
      </c>
      <c r="I1484" t="str">
        <f t="shared" si="23"/>
        <v>GUARDIAN</v>
      </c>
    </row>
    <row r="1485" spans="1:9" x14ac:dyDescent="0.3">
      <c r="A1485" t="str">
        <f>""</f>
        <v/>
      </c>
      <c r="F1485" t="str">
        <f>""</f>
        <v/>
      </c>
      <c r="G1485" t="str">
        <f>""</f>
        <v/>
      </c>
      <c r="I1485" t="str">
        <f t="shared" si="23"/>
        <v>GUARDIAN</v>
      </c>
    </row>
    <row r="1486" spans="1:9" x14ac:dyDescent="0.3">
      <c r="A1486" t="str">
        <f>""</f>
        <v/>
      </c>
      <c r="F1486" t="str">
        <f>""</f>
        <v/>
      </c>
      <c r="G1486" t="str">
        <f>""</f>
        <v/>
      </c>
      <c r="I1486" t="str">
        <f t="shared" si="23"/>
        <v>GUARDIAN</v>
      </c>
    </row>
    <row r="1487" spans="1:9" x14ac:dyDescent="0.3">
      <c r="A1487" t="str">
        <f>""</f>
        <v/>
      </c>
      <c r="F1487" t="str">
        <f>""</f>
        <v/>
      </c>
      <c r="G1487" t="str">
        <f>""</f>
        <v/>
      </c>
      <c r="I1487" t="str">
        <f t="shared" si="23"/>
        <v>GUARDIAN</v>
      </c>
    </row>
    <row r="1488" spans="1:9" x14ac:dyDescent="0.3">
      <c r="A1488" t="str">
        <f>""</f>
        <v/>
      </c>
      <c r="F1488" t="str">
        <f>""</f>
        <v/>
      </c>
      <c r="G1488" t="str">
        <f>""</f>
        <v/>
      </c>
      <c r="I1488" t="str">
        <f t="shared" si="23"/>
        <v>GUARDIAN</v>
      </c>
    </row>
    <row r="1489" spans="1:9" x14ac:dyDescent="0.3">
      <c r="A1489" t="str">
        <f>""</f>
        <v/>
      </c>
      <c r="F1489" t="str">
        <f>""</f>
        <v/>
      </c>
      <c r="G1489" t="str">
        <f>""</f>
        <v/>
      </c>
      <c r="I1489" t="str">
        <f t="shared" si="23"/>
        <v>GUARDIAN</v>
      </c>
    </row>
    <row r="1490" spans="1:9" x14ac:dyDescent="0.3">
      <c r="A1490" t="str">
        <f>""</f>
        <v/>
      </c>
      <c r="F1490" t="str">
        <f>""</f>
        <v/>
      </c>
      <c r="G1490" t="str">
        <f>""</f>
        <v/>
      </c>
      <c r="I1490" t="str">
        <f t="shared" si="23"/>
        <v>GUARDIAN</v>
      </c>
    </row>
    <row r="1491" spans="1:9" x14ac:dyDescent="0.3">
      <c r="A1491" t="str">
        <f>""</f>
        <v/>
      </c>
      <c r="F1491" t="str">
        <f>""</f>
        <v/>
      </c>
      <c r="G1491" t="str">
        <f>""</f>
        <v/>
      </c>
      <c r="I1491" t="str">
        <f t="shared" si="23"/>
        <v>GUARDIAN</v>
      </c>
    </row>
    <row r="1492" spans="1:9" x14ac:dyDescent="0.3">
      <c r="A1492" t="str">
        <f>""</f>
        <v/>
      </c>
      <c r="F1492" t="str">
        <f>""</f>
        <v/>
      </c>
      <c r="G1492" t="str">
        <f>""</f>
        <v/>
      </c>
      <c r="I1492" t="str">
        <f t="shared" si="23"/>
        <v>GUARDIAN</v>
      </c>
    </row>
    <row r="1493" spans="1:9" x14ac:dyDescent="0.3">
      <c r="A1493" t="str">
        <f>""</f>
        <v/>
      </c>
      <c r="F1493" t="str">
        <f>""</f>
        <v/>
      </c>
      <c r="G1493" t="str">
        <f>""</f>
        <v/>
      </c>
      <c r="I1493" t="str">
        <f t="shared" si="23"/>
        <v>GUARDIAN</v>
      </c>
    </row>
    <row r="1494" spans="1:9" x14ac:dyDescent="0.3">
      <c r="A1494" t="str">
        <f>""</f>
        <v/>
      </c>
      <c r="F1494" t="str">
        <f>"GDC201704050691"</f>
        <v>GDC201704050691</v>
      </c>
      <c r="G1494" t="str">
        <f>"GUARDIAN"</f>
        <v>GUARDIAN</v>
      </c>
      <c r="H1494" s="2">
        <v>130.6</v>
      </c>
      <c r="I1494" t="str">
        <f t="shared" si="23"/>
        <v>GUARDIAN</v>
      </c>
    </row>
    <row r="1495" spans="1:9" x14ac:dyDescent="0.3">
      <c r="A1495" t="str">
        <f>""</f>
        <v/>
      </c>
      <c r="F1495" t="str">
        <f>""</f>
        <v/>
      </c>
      <c r="G1495" t="str">
        <f>""</f>
        <v/>
      </c>
      <c r="I1495" t="str">
        <f t="shared" si="23"/>
        <v>GUARDIAN</v>
      </c>
    </row>
    <row r="1496" spans="1:9" x14ac:dyDescent="0.3">
      <c r="A1496" t="str">
        <f>""</f>
        <v/>
      </c>
      <c r="F1496" t="str">
        <f>"GDC201704191327"</f>
        <v>GDC201704191327</v>
      </c>
      <c r="G1496" t="str">
        <f>"GUARDIAN"</f>
        <v>GUARDIAN</v>
      </c>
      <c r="H1496" s="2">
        <v>2318.15</v>
      </c>
      <c r="I1496" t="str">
        <f t="shared" si="23"/>
        <v>GUARDIAN</v>
      </c>
    </row>
    <row r="1497" spans="1:9" x14ac:dyDescent="0.3">
      <c r="A1497" t="str">
        <f>""</f>
        <v/>
      </c>
      <c r="F1497" t="str">
        <f>""</f>
        <v/>
      </c>
      <c r="G1497" t="str">
        <f>""</f>
        <v/>
      </c>
      <c r="I1497" t="str">
        <f t="shared" si="23"/>
        <v>GUARDIAN</v>
      </c>
    </row>
    <row r="1498" spans="1:9" x14ac:dyDescent="0.3">
      <c r="A1498" t="str">
        <f>""</f>
        <v/>
      </c>
      <c r="F1498" t="str">
        <f>""</f>
        <v/>
      </c>
      <c r="G1498" t="str">
        <f>""</f>
        <v/>
      </c>
      <c r="I1498" t="str">
        <f t="shared" si="23"/>
        <v>GUARDIAN</v>
      </c>
    </row>
    <row r="1499" spans="1:9" x14ac:dyDescent="0.3">
      <c r="A1499" t="str">
        <f>""</f>
        <v/>
      </c>
      <c r="F1499" t="str">
        <f>""</f>
        <v/>
      </c>
      <c r="G1499" t="str">
        <f>""</f>
        <v/>
      </c>
      <c r="I1499" t="str">
        <f t="shared" si="23"/>
        <v>GUARDIAN</v>
      </c>
    </row>
    <row r="1500" spans="1:9" x14ac:dyDescent="0.3">
      <c r="A1500" t="str">
        <f>""</f>
        <v/>
      </c>
      <c r="F1500" t="str">
        <f>""</f>
        <v/>
      </c>
      <c r="G1500" t="str">
        <f>""</f>
        <v/>
      </c>
      <c r="I1500" t="str">
        <f t="shared" si="23"/>
        <v>GUARDIAN</v>
      </c>
    </row>
    <row r="1501" spans="1:9" x14ac:dyDescent="0.3">
      <c r="A1501" t="str">
        <f>""</f>
        <v/>
      </c>
      <c r="F1501" t="str">
        <f>""</f>
        <v/>
      </c>
      <c r="G1501" t="str">
        <f>""</f>
        <v/>
      </c>
      <c r="I1501" t="str">
        <f t="shared" si="23"/>
        <v>GUARDIAN</v>
      </c>
    </row>
    <row r="1502" spans="1:9" x14ac:dyDescent="0.3">
      <c r="A1502" t="str">
        <f>""</f>
        <v/>
      </c>
      <c r="F1502" t="str">
        <f>""</f>
        <v/>
      </c>
      <c r="G1502" t="str">
        <f>""</f>
        <v/>
      </c>
      <c r="I1502" t="str">
        <f t="shared" si="23"/>
        <v>GUARDIAN</v>
      </c>
    </row>
    <row r="1503" spans="1:9" x14ac:dyDescent="0.3">
      <c r="A1503" t="str">
        <f>""</f>
        <v/>
      </c>
      <c r="F1503" t="str">
        <f>""</f>
        <v/>
      </c>
      <c r="G1503" t="str">
        <f>""</f>
        <v/>
      </c>
      <c r="I1503" t="str">
        <f t="shared" si="23"/>
        <v>GUARDIAN</v>
      </c>
    </row>
    <row r="1504" spans="1:9" x14ac:dyDescent="0.3">
      <c r="A1504" t="str">
        <f>""</f>
        <v/>
      </c>
      <c r="F1504" t="str">
        <f>""</f>
        <v/>
      </c>
      <c r="G1504" t="str">
        <f>""</f>
        <v/>
      </c>
      <c r="I1504" t="str">
        <f t="shared" si="23"/>
        <v>GUARDIAN</v>
      </c>
    </row>
    <row r="1505" spans="1:9" x14ac:dyDescent="0.3">
      <c r="A1505" t="str">
        <f>""</f>
        <v/>
      </c>
      <c r="F1505" t="str">
        <f>""</f>
        <v/>
      </c>
      <c r="G1505" t="str">
        <f>""</f>
        <v/>
      </c>
      <c r="I1505" t="str">
        <f t="shared" si="23"/>
        <v>GUARDIAN</v>
      </c>
    </row>
    <row r="1506" spans="1:9" x14ac:dyDescent="0.3">
      <c r="A1506" t="str">
        <f>""</f>
        <v/>
      </c>
      <c r="F1506" t="str">
        <f>""</f>
        <v/>
      </c>
      <c r="G1506" t="str">
        <f>""</f>
        <v/>
      </c>
      <c r="I1506" t="str">
        <f t="shared" si="23"/>
        <v>GUARDIAN</v>
      </c>
    </row>
    <row r="1507" spans="1:9" x14ac:dyDescent="0.3">
      <c r="A1507" t="str">
        <f>""</f>
        <v/>
      </c>
      <c r="F1507" t="str">
        <f>""</f>
        <v/>
      </c>
      <c r="G1507" t="str">
        <f>""</f>
        <v/>
      </c>
      <c r="I1507" t="str">
        <f t="shared" si="23"/>
        <v>GUARDIAN</v>
      </c>
    </row>
    <row r="1508" spans="1:9" x14ac:dyDescent="0.3">
      <c r="A1508" t="str">
        <f>""</f>
        <v/>
      </c>
      <c r="F1508" t="str">
        <f>""</f>
        <v/>
      </c>
      <c r="G1508" t="str">
        <f>""</f>
        <v/>
      </c>
      <c r="I1508" t="str">
        <f t="shared" si="23"/>
        <v>GUARDIAN</v>
      </c>
    </row>
    <row r="1509" spans="1:9" x14ac:dyDescent="0.3">
      <c r="A1509" t="str">
        <f>""</f>
        <v/>
      </c>
      <c r="F1509" t="str">
        <f>""</f>
        <v/>
      </c>
      <c r="G1509" t="str">
        <f>""</f>
        <v/>
      </c>
      <c r="I1509" t="str">
        <f t="shared" si="23"/>
        <v>GUARDIAN</v>
      </c>
    </row>
    <row r="1510" spans="1:9" x14ac:dyDescent="0.3">
      <c r="A1510" t="str">
        <f>""</f>
        <v/>
      </c>
      <c r="F1510" t="str">
        <f>""</f>
        <v/>
      </c>
      <c r="G1510" t="str">
        <f>""</f>
        <v/>
      </c>
      <c r="I1510" t="str">
        <f t="shared" si="23"/>
        <v>GUARDIAN</v>
      </c>
    </row>
    <row r="1511" spans="1:9" x14ac:dyDescent="0.3">
      <c r="A1511" t="str">
        <f>""</f>
        <v/>
      </c>
      <c r="F1511" t="str">
        <f>""</f>
        <v/>
      </c>
      <c r="G1511" t="str">
        <f>""</f>
        <v/>
      </c>
      <c r="I1511" t="str">
        <f t="shared" si="23"/>
        <v>GUARDIAN</v>
      </c>
    </row>
    <row r="1512" spans="1:9" x14ac:dyDescent="0.3">
      <c r="A1512" t="str">
        <f>""</f>
        <v/>
      </c>
      <c r="F1512" t="str">
        <f>""</f>
        <v/>
      </c>
      <c r="G1512" t="str">
        <f>""</f>
        <v/>
      </c>
      <c r="I1512" t="str">
        <f t="shared" si="23"/>
        <v>GUARDIAN</v>
      </c>
    </row>
    <row r="1513" spans="1:9" x14ac:dyDescent="0.3">
      <c r="A1513" t="str">
        <f>""</f>
        <v/>
      </c>
      <c r="F1513" t="str">
        <f>""</f>
        <v/>
      </c>
      <c r="G1513" t="str">
        <f>""</f>
        <v/>
      </c>
      <c r="I1513" t="str">
        <f t="shared" si="23"/>
        <v>GUARDIAN</v>
      </c>
    </row>
    <row r="1514" spans="1:9" x14ac:dyDescent="0.3">
      <c r="A1514" t="str">
        <f>""</f>
        <v/>
      </c>
      <c r="F1514" t="str">
        <f>""</f>
        <v/>
      </c>
      <c r="G1514" t="str">
        <f>""</f>
        <v/>
      </c>
      <c r="I1514" t="str">
        <f t="shared" si="23"/>
        <v>GUARDIAN</v>
      </c>
    </row>
    <row r="1515" spans="1:9" x14ac:dyDescent="0.3">
      <c r="A1515" t="str">
        <f>""</f>
        <v/>
      </c>
      <c r="F1515" t="str">
        <f>""</f>
        <v/>
      </c>
      <c r="G1515" t="str">
        <f>""</f>
        <v/>
      </c>
      <c r="I1515" t="str">
        <f t="shared" si="23"/>
        <v>GUARDIAN</v>
      </c>
    </row>
    <row r="1516" spans="1:9" x14ac:dyDescent="0.3">
      <c r="A1516" t="str">
        <f>""</f>
        <v/>
      </c>
      <c r="F1516" t="str">
        <f>""</f>
        <v/>
      </c>
      <c r="G1516" t="str">
        <f>""</f>
        <v/>
      </c>
      <c r="I1516" t="str">
        <f t="shared" si="23"/>
        <v>GUARDIAN</v>
      </c>
    </row>
    <row r="1517" spans="1:9" x14ac:dyDescent="0.3">
      <c r="A1517" t="str">
        <f>""</f>
        <v/>
      </c>
      <c r="F1517" t="str">
        <f>""</f>
        <v/>
      </c>
      <c r="G1517" t="str">
        <f>""</f>
        <v/>
      </c>
      <c r="I1517" t="str">
        <f t="shared" ref="I1517:I1580" si="24">"GUARDIAN"</f>
        <v>GUARDIAN</v>
      </c>
    </row>
    <row r="1518" spans="1:9" x14ac:dyDescent="0.3">
      <c r="A1518" t="str">
        <f>""</f>
        <v/>
      </c>
      <c r="F1518" t="str">
        <f>""</f>
        <v/>
      </c>
      <c r="G1518" t="str">
        <f>""</f>
        <v/>
      </c>
      <c r="I1518" t="str">
        <f t="shared" si="24"/>
        <v>GUARDIAN</v>
      </c>
    </row>
    <row r="1519" spans="1:9" x14ac:dyDescent="0.3">
      <c r="A1519" t="str">
        <f>""</f>
        <v/>
      </c>
      <c r="F1519" t="str">
        <f>""</f>
        <v/>
      </c>
      <c r="G1519" t="str">
        <f>""</f>
        <v/>
      </c>
      <c r="I1519" t="str">
        <f t="shared" si="24"/>
        <v>GUARDIAN</v>
      </c>
    </row>
    <row r="1520" spans="1:9" x14ac:dyDescent="0.3">
      <c r="A1520" t="str">
        <f>""</f>
        <v/>
      </c>
      <c r="F1520" t="str">
        <f>""</f>
        <v/>
      </c>
      <c r="G1520" t="str">
        <f>""</f>
        <v/>
      </c>
      <c r="I1520" t="str">
        <f t="shared" si="24"/>
        <v>GUARDIAN</v>
      </c>
    </row>
    <row r="1521" spans="1:9" x14ac:dyDescent="0.3">
      <c r="A1521" t="str">
        <f>""</f>
        <v/>
      </c>
      <c r="F1521" t="str">
        <f>""</f>
        <v/>
      </c>
      <c r="G1521" t="str">
        <f>""</f>
        <v/>
      </c>
      <c r="I1521" t="str">
        <f t="shared" si="24"/>
        <v>GUARDIAN</v>
      </c>
    </row>
    <row r="1522" spans="1:9" x14ac:dyDescent="0.3">
      <c r="A1522" t="str">
        <f>""</f>
        <v/>
      </c>
      <c r="F1522" t="str">
        <f>""</f>
        <v/>
      </c>
      <c r="G1522" t="str">
        <f>""</f>
        <v/>
      </c>
      <c r="I1522" t="str">
        <f t="shared" si="24"/>
        <v>GUARDIAN</v>
      </c>
    </row>
    <row r="1523" spans="1:9" x14ac:dyDescent="0.3">
      <c r="A1523" t="str">
        <f>""</f>
        <v/>
      </c>
      <c r="F1523" t="str">
        <f>""</f>
        <v/>
      </c>
      <c r="G1523" t="str">
        <f>""</f>
        <v/>
      </c>
      <c r="I1523" t="str">
        <f t="shared" si="24"/>
        <v>GUARDIAN</v>
      </c>
    </row>
    <row r="1524" spans="1:9" x14ac:dyDescent="0.3">
      <c r="A1524" t="str">
        <f>""</f>
        <v/>
      </c>
      <c r="F1524" t="str">
        <f>""</f>
        <v/>
      </c>
      <c r="G1524" t="str">
        <f>""</f>
        <v/>
      </c>
      <c r="I1524" t="str">
        <f t="shared" si="24"/>
        <v>GUARDIAN</v>
      </c>
    </row>
    <row r="1525" spans="1:9" x14ac:dyDescent="0.3">
      <c r="A1525" t="str">
        <f>""</f>
        <v/>
      </c>
      <c r="F1525" t="str">
        <f>"GDC201704191328"</f>
        <v>GDC201704191328</v>
      </c>
      <c r="G1525" t="str">
        <f>"GUARDIAN"</f>
        <v>GUARDIAN</v>
      </c>
      <c r="H1525" s="2">
        <v>130.6</v>
      </c>
      <c r="I1525" t="str">
        <f t="shared" si="24"/>
        <v>GUARDIAN</v>
      </c>
    </row>
    <row r="1526" spans="1:9" x14ac:dyDescent="0.3">
      <c r="A1526" t="str">
        <f>""</f>
        <v/>
      </c>
      <c r="F1526" t="str">
        <f>""</f>
        <v/>
      </c>
      <c r="G1526" t="str">
        <f>""</f>
        <v/>
      </c>
      <c r="I1526" t="str">
        <f t="shared" si="24"/>
        <v>GUARDIAN</v>
      </c>
    </row>
    <row r="1527" spans="1:9" x14ac:dyDescent="0.3">
      <c r="A1527" t="str">
        <f>""</f>
        <v/>
      </c>
      <c r="F1527" t="str">
        <f>"GDE201704050690"</f>
        <v>GDE201704050690</v>
      </c>
      <c r="G1527" t="str">
        <f>"GUARDIAN"</f>
        <v>GUARDIAN</v>
      </c>
      <c r="H1527" s="2">
        <v>3729.6</v>
      </c>
      <c r="I1527" t="str">
        <f t="shared" si="24"/>
        <v>GUARDIAN</v>
      </c>
    </row>
    <row r="1528" spans="1:9" x14ac:dyDescent="0.3">
      <c r="A1528" t="str">
        <f>""</f>
        <v/>
      </c>
      <c r="F1528" t="str">
        <f>""</f>
        <v/>
      </c>
      <c r="G1528" t="str">
        <f>""</f>
        <v/>
      </c>
      <c r="I1528" t="str">
        <f t="shared" si="24"/>
        <v>GUARDIAN</v>
      </c>
    </row>
    <row r="1529" spans="1:9" x14ac:dyDescent="0.3">
      <c r="A1529" t="str">
        <f>""</f>
        <v/>
      </c>
      <c r="F1529" t="str">
        <f>""</f>
        <v/>
      </c>
      <c r="G1529" t="str">
        <f>""</f>
        <v/>
      </c>
      <c r="I1529" t="str">
        <f t="shared" si="24"/>
        <v>GUARDIAN</v>
      </c>
    </row>
    <row r="1530" spans="1:9" x14ac:dyDescent="0.3">
      <c r="A1530" t="str">
        <f>""</f>
        <v/>
      </c>
      <c r="F1530" t="str">
        <f>""</f>
        <v/>
      </c>
      <c r="G1530" t="str">
        <f>""</f>
        <v/>
      </c>
      <c r="I1530" t="str">
        <f t="shared" si="24"/>
        <v>GUARDIAN</v>
      </c>
    </row>
    <row r="1531" spans="1:9" x14ac:dyDescent="0.3">
      <c r="A1531" t="str">
        <f>""</f>
        <v/>
      </c>
      <c r="F1531" t="str">
        <f>""</f>
        <v/>
      </c>
      <c r="G1531" t="str">
        <f>""</f>
        <v/>
      </c>
      <c r="I1531" t="str">
        <f t="shared" si="24"/>
        <v>GUARDIAN</v>
      </c>
    </row>
    <row r="1532" spans="1:9" x14ac:dyDescent="0.3">
      <c r="A1532" t="str">
        <f>""</f>
        <v/>
      </c>
      <c r="F1532" t="str">
        <f>""</f>
        <v/>
      </c>
      <c r="G1532" t="str">
        <f>""</f>
        <v/>
      </c>
      <c r="I1532" t="str">
        <f t="shared" si="24"/>
        <v>GUARDIAN</v>
      </c>
    </row>
    <row r="1533" spans="1:9" x14ac:dyDescent="0.3">
      <c r="A1533" t="str">
        <f>""</f>
        <v/>
      </c>
      <c r="F1533" t="str">
        <f>""</f>
        <v/>
      </c>
      <c r="G1533" t="str">
        <f>""</f>
        <v/>
      </c>
      <c r="I1533" t="str">
        <f t="shared" si="24"/>
        <v>GUARDIAN</v>
      </c>
    </row>
    <row r="1534" spans="1:9" x14ac:dyDescent="0.3">
      <c r="A1534" t="str">
        <f>""</f>
        <v/>
      </c>
      <c r="F1534" t="str">
        <f>""</f>
        <v/>
      </c>
      <c r="G1534" t="str">
        <f>""</f>
        <v/>
      </c>
      <c r="I1534" t="str">
        <f t="shared" si="24"/>
        <v>GUARDIAN</v>
      </c>
    </row>
    <row r="1535" spans="1:9" x14ac:dyDescent="0.3">
      <c r="A1535" t="str">
        <f>""</f>
        <v/>
      </c>
      <c r="F1535" t="str">
        <f>""</f>
        <v/>
      </c>
      <c r="G1535" t="str">
        <f>""</f>
        <v/>
      </c>
      <c r="I1535" t="str">
        <f t="shared" si="24"/>
        <v>GUARDIAN</v>
      </c>
    </row>
    <row r="1536" spans="1:9" x14ac:dyDescent="0.3">
      <c r="A1536" t="str">
        <f>""</f>
        <v/>
      </c>
      <c r="F1536" t="str">
        <f>""</f>
        <v/>
      </c>
      <c r="G1536" t="str">
        <f>""</f>
        <v/>
      </c>
      <c r="I1536" t="str">
        <f t="shared" si="24"/>
        <v>GUARDIAN</v>
      </c>
    </row>
    <row r="1537" spans="1:9" x14ac:dyDescent="0.3">
      <c r="A1537" t="str">
        <f>""</f>
        <v/>
      </c>
      <c r="F1537" t="str">
        <f>""</f>
        <v/>
      </c>
      <c r="G1537" t="str">
        <f>""</f>
        <v/>
      </c>
      <c r="I1537" t="str">
        <f t="shared" si="24"/>
        <v>GUARDIAN</v>
      </c>
    </row>
    <row r="1538" spans="1:9" x14ac:dyDescent="0.3">
      <c r="A1538" t="str">
        <f>""</f>
        <v/>
      </c>
      <c r="F1538" t="str">
        <f>""</f>
        <v/>
      </c>
      <c r="G1538" t="str">
        <f>""</f>
        <v/>
      </c>
      <c r="I1538" t="str">
        <f t="shared" si="24"/>
        <v>GUARDIAN</v>
      </c>
    </row>
    <row r="1539" spans="1:9" x14ac:dyDescent="0.3">
      <c r="A1539" t="str">
        <f>""</f>
        <v/>
      </c>
      <c r="F1539" t="str">
        <f>""</f>
        <v/>
      </c>
      <c r="G1539" t="str">
        <f>""</f>
        <v/>
      </c>
      <c r="I1539" t="str">
        <f t="shared" si="24"/>
        <v>GUARDIAN</v>
      </c>
    </row>
    <row r="1540" spans="1:9" x14ac:dyDescent="0.3">
      <c r="A1540" t="str">
        <f>""</f>
        <v/>
      </c>
      <c r="F1540" t="str">
        <f>""</f>
        <v/>
      </c>
      <c r="G1540" t="str">
        <f>""</f>
        <v/>
      </c>
      <c r="I1540" t="str">
        <f t="shared" si="24"/>
        <v>GUARDIAN</v>
      </c>
    </row>
    <row r="1541" spans="1:9" x14ac:dyDescent="0.3">
      <c r="A1541" t="str">
        <f>""</f>
        <v/>
      </c>
      <c r="F1541" t="str">
        <f>""</f>
        <v/>
      </c>
      <c r="G1541" t="str">
        <f>""</f>
        <v/>
      </c>
      <c r="I1541" t="str">
        <f t="shared" si="24"/>
        <v>GUARDIAN</v>
      </c>
    </row>
    <row r="1542" spans="1:9" x14ac:dyDescent="0.3">
      <c r="A1542" t="str">
        <f>""</f>
        <v/>
      </c>
      <c r="F1542" t="str">
        <f>""</f>
        <v/>
      </c>
      <c r="G1542" t="str">
        <f>""</f>
        <v/>
      </c>
      <c r="I1542" t="str">
        <f t="shared" si="24"/>
        <v>GUARDIAN</v>
      </c>
    </row>
    <row r="1543" spans="1:9" x14ac:dyDescent="0.3">
      <c r="A1543" t="str">
        <f>""</f>
        <v/>
      </c>
      <c r="F1543" t="str">
        <f>""</f>
        <v/>
      </c>
      <c r="G1543" t="str">
        <f>""</f>
        <v/>
      </c>
      <c r="I1543" t="str">
        <f t="shared" si="24"/>
        <v>GUARDIAN</v>
      </c>
    </row>
    <row r="1544" spans="1:9" x14ac:dyDescent="0.3">
      <c r="A1544" t="str">
        <f>""</f>
        <v/>
      </c>
      <c r="F1544" t="str">
        <f>""</f>
        <v/>
      </c>
      <c r="G1544" t="str">
        <f>""</f>
        <v/>
      </c>
      <c r="I1544" t="str">
        <f t="shared" si="24"/>
        <v>GUARDIAN</v>
      </c>
    </row>
    <row r="1545" spans="1:9" x14ac:dyDescent="0.3">
      <c r="A1545" t="str">
        <f>""</f>
        <v/>
      </c>
      <c r="F1545" t="str">
        <f>""</f>
        <v/>
      </c>
      <c r="G1545" t="str">
        <f>""</f>
        <v/>
      </c>
      <c r="I1545" t="str">
        <f t="shared" si="24"/>
        <v>GUARDIAN</v>
      </c>
    </row>
    <row r="1546" spans="1:9" x14ac:dyDescent="0.3">
      <c r="A1546" t="str">
        <f>""</f>
        <v/>
      </c>
      <c r="F1546" t="str">
        <f>""</f>
        <v/>
      </c>
      <c r="G1546" t="str">
        <f>""</f>
        <v/>
      </c>
      <c r="I1546" t="str">
        <f t="shared" si="24"/>
        <v>GUARDIAN</v>
      </c>
    </row>
    <row r="1547" spans="1:9" x14ac:dyDescent="0.3">
      <c r="A1547" t="str">
        <f>""</f>
        <v/>
      </c>
      <c r="F1547" t="str">
        <f>""</f>
        <v/>
      </c>
      <c r="G1547" t="str">
        <f>""</f>
        <v/>
      </c>
      <c r="I1547" t="str">
        <f t="shared" si="24"/>
        <v>GUARDIAN</v>
      </c>
    </row>
    <row r="1548" spans="1:9" x14ac:dyDescent="0.3">
      <c r="A1548" t="str">
        <f>""</f>
        <v/>
      </c>
      <c r="F1548" t="str">
        <f>""</f>
        <v/>
      </c>
      <c r="G1548" t="str">
        <f>""</f>
        <v/>
      </c>
      <c r="I1548" t="str">
        <f t="shared" si="24"/>
        <v>GUARDIAN</v>
      </c>
    </row>
    <row r="1549" spans="1:9" x14ac:dyDescent="0.3">
      <c r="A1549" t="str">
        <f>""</f>
        <v/>
      </c>
      <c r="F1549" t="str">
        <f>""</f>
        <v/>
      </c>
      <c r="G1549" t="str">
        <f>""</f>
        <v/>
      </c>
      <c r="I1549" t="str">
        <f t="shared" si="24"/>
        <v>GUARDIAN</v>
      </c>
    </row>
    <row r="1550" spans="1:9" x14ac:dyDescent="0.3">
      <c r="A1550" t="str">
        <f>""</f>
        <v/>
      </c>
      <c r="F1550" t="str">
        <f>""</f>
        <v/>
      </c>
      <c r="G1550" t="str">
        <f>""</f>
        <v/>
      </c>
      <c r="I1550" t="str">
        <f t="shared" si="24"/>
        <v>GUARDIAN</v>
      </c>
    </row>
    <row r="1551" spans="1:9" x14ac:dyDescent="0.3">
      <c r="A1551" t="str">
        <f>""</f>
        <v/>
      </c>
      <c r="F1551" t="str">
        <f>""</f>
        <v/>
      </c>
      <c r="G1551" t="str">
        <f>""</f>
        <v/>
      </c>
      <c r="I1551" t="str">
        <f t="shared" si="24"/>
        <v>GUARDIAN</v>
      </c>
    </row>
    <row r="1552" spans="1:9" x14ac:dyDescent="0.3">
      <c r="A1552" t="str">
        <f>""</f>
        <v/>
      </c>
      <c r="F1552" t="str">
        <f>""</f>
        <v/>
      </c>
      <c r="G1552" t="str">
        <f>""</f>
        <v/>
      </c>
      <c r="I1552" t="str">
        <f t="shared" si="24"/>
        <v>GUARDIAN</v>
      </c>
    </row>
    <row r="1553" spans="1:9" x14ac:dyDescent="0.3">
      <c r="A1553" t="str">
        <f>""</f>
        <v/>
      </c>
      <c r="F1553" t="str">
        <f>""</f>
        <v/>
      </c>
      <c r="G1553" t="str">
        <f>""</f>
        <v/>
      </c>
      <c r="I1553" t="str">
        <f t="shared" si="24"/>
        <v>GUARDIAN</v>
      </c>
    </row>
    <row r="1554" spans="1:9" x14ac:dyDescent="0.3">
      <c r="A1554" t="str">
        <f>""</f>
        <v/>
      </c>
      <c r="F1554" t="str">
        <f>""</f>
        <v/>
      </c>
      <c r="G1554" t="str">
        <f>""</f>
        <v/>
      </c>
      <c r="I1554" t="str">
        <f t="shared" si="24"/>
        <v>GUARDIAN</v>
      </c>
    </row>
    <row r="1555" spans="1:9" x14ac:dyDescent="0.3">
      <c r="A1555" t="str">
        <f>""</f>
        <v/>
      </c>
      <c r="F1555" t="str">
        <f>""</f>
        <v/>
      </c>
      <c r="G1555" t="str">
        <f>""</f>
        <v/>
      </c>
      <c r="I1555" t="str">
        <f t="shared" si="24"/>
        <v>GUARDIAN</v>
      </c>
    </row>
    <row r="1556" spans="1:9" x14ac:dyDescent="0.3">
      <c r="A1556" t="str">
        <f>""</f>
        <v/>
      </c>
      <c r="F1556" t="str">
        <f>""</f>
        <v/>
      </c>
      <c r="G1556" t="str">
        <f>""</f>
        <v/>
      </c>
      <c r="I1556" t="str">
        <f t="shared" si="24"/>
        <v>GUARDIAN</v>
      </c>
    </row>
    <row r="1557" spans="1:9" x14ac:dyDescent="0.3">
      <c r="A1557" t="str">
        <f>""</f>
        <v/>
      </c>
      <c r="F1557" t="str">
        <f>""</f>
        <v/>
      </c>
      <c r="G1557" t="str">
        <f>""</f>
        <v/>
      </c>
      <c r="I1557" t="str">
        <f t="shared" si="24"/>
        <v>GUARDIAN</v>
      </c>
    </row>
    <row r="1558" spans="1:9" x14ac:dyDescent="0.3">
      <c r="A1558" t="str">
        <f>""</f>
        <v/>
      </c>
      <c r="F1558" t="str">
        <f>""</f>
        <v/>
      </c>
      <c r="G1558" t="str">
        <f>""</f>
        <v/>
      </c>
      <c r="I1558" t="str">
        <f t="shared" si="24"/>
        <v>GUARDIAN</v>
      </c>
    </row>
    <row r="1559" spans="1:9" x14ac:dyDescent="0.3">
      <c r="A1559" t="str">
        <f>""</f>
        <v/>
      </c>
      <c r="F1559" t="str">
        <f>""</f>
        <v/>
      </c>
      <c r="G1559" t="str">
        <f>""</f>
        <v/>
      </c>
      <c r="I1559" t="str">
        <f t="shared" si="24"/>
        <v>GUARDIAN</v>
      </c>
    </row>
    <row r="1560" spans="1:9" x14ac:dyDescent="0.3">
      <c r="A1560" t="str">
        <f>""</f>
        <v/>
      </c>
      <c r="F1560" t="str">
        <f>""</f>
        <v/>
      </c>
      <c r="G1560" t="str">
        <f>""</f>
        <v/>
      </c>
      <c r="I1560" t="str">
        <f t="shared" si="24"/>
        <v>GUARDIAN</v>
      </c>
    </row>
    <row r="1561" spans="1:9" x14ac:dyDescent="0.3">
      <c r="A1561" t="str">
        <f>""</f>
        <v/>
      </c>
      <c r="F1561" t="str">
        <f>""</f>
        <v/>
      </c>
      <c r="G1561" t="str">
        <f>""</f>
        <v/>
      </c>
      <c r="I1561" t="str">
        <f t="shared" si="24"/>
        <v>GUARDIAN</v>
      </c>
    </row>
    <row r="1562" spans="1:9" x14ac:dyDescent="0.3">
      <c r="A1562" t="str">
        <f>""</f>
        <v/>
      </c>
      <c r="F1562" t="str">
        <f>""</f>
        <v/>
      </c>
      <c r="G1562" t="str">
        <f>""</f>
        <v/>
      </c>
      <c r="I1562" t="str">
        <f t="shared" si="24"/>
        <v>GUARDIAN</v>
      </c>
    </row>
    <row r="1563" spans="1:9" x14ac:dyDescent="0.3">
      <c r="A1563" t="str">
        <f>""</f>
        <v/>
      </c>
      <c r="F1563" t="str">
        <f>""</f>
        <v/>
      </c>
      <c r="G1563" t="str">
        <f>""</f>
        <v/>
      </c>
      <c r="I1563" t="str">
        <f t="shared" si="24"/>
        <v>GUARDIAN</v>
      </c>
    </row>
    <row r="1564" spans="1:9" x14ac:dyDescent="0.3">
      <c r="A1564" t="str">
        <f>""</f>
        <v/>
      </c>
      <c r="F1564" t="str">
        <f>""</f>
        <v/>
      </c>
      <c r="G1564" t="str">
        <f>""</f>
        <v/>
      </c>
      <c r="I1564" t="str">
        <f t="shared" si="24"/>
        <v>GUARDIAN</v>
      </c>
    </row>
    <row r="1565" spans="1:9" x14ac:dyDescent="0.3">
      <c r="A1565" t="str">
        <f>""</f>
        <v/>
      </c>
      <c r="F1565" t="str">
        <f>""</f>
        <v/>
      </c>
      <c r="G1565" t="str">
        <f>""</f>
        <v/>
      </c>
      <c r="I1565" t="str">
        <f t="shared" si="24"/>
        <v>GUARDIAN</v>
      </c>
    </row>
    <row r="1566" spans="1:9" x14ac:dyDescent="0.3">
      <c r="A1566" t="str">
        <f>""</f>
        <v/>
      </c>
      <c r="F1566" t="str">
        <f>""</f>
        <v/>
      </c>
      <c r="G1566" t="str">
        <f>""</f>
        <v/>
      </c>
      <c r="I1566" t="str">
        <f t="shared" si="24"/>
        <v>GUARDIAN</v>
      </c>
    </row>
    <row r="1567" spans="1:9" x14ac:dyDescent="0.3">
      <c r="A1567" t="str">
        <f>""</f>
        <v/>
      </c>
      <c r="F1567" t="str">
        <f>""</f>
        <v/>
      </c>
      <c r="G1567" t="str">
        <f>""</f>
        <v/>
      </c>
      <c r="I1567" t="str">
        <f t="shared" si="24"/>
        <v>GUARDIAN</v>
      </c>
    </row>
    <row r="1568" spans="1:9" x14ac:dyDescent="0.3">
      <c r="A1568" t="str">
        <f>""</f>
        <v/>
      </c>
      <c r="F1568" t="str">
        <f>""</f>
        <v/>
      </c>
      <c r="G1568" t="str">
        <f>""</f>
        <v/>
      </c>
      <c r="I1568" t="str">
        <f t="shared" si="24"/>
        <v>GUARDIAN</v>
      </c>
    </row>
    <row r="1569" spans="1:9" x14ac:dyDescent="0.3">
      <c r="A1569" t="str">
        <f>""</f>
        <v/>
      </c>
      <c r="F1569" t="str">
        <f>"GDE201704050691"</f>
        <v>GDE201704050691</v>
      </c>
      <c r="G1569" t="str">
        <f>"GUARDIAN"</f>
        <v>GUARDIAN</v>
      </c>
      <c r="H1569" s="2">
        <v>162.80000000000001</v>
      </c>
      <c r="I1569" t="str">
        <f t="shared" si="24"/>
        <v>GUARDIAN</v>
      </c>
    </row>
    <row r="1570" spans="1:9" x14ac:dyDescent="0.3">
      <c r="A1570" t="str">
        <f>""</f>
        <v/>
      </c>
      <c r="F1570" t="str">
        <f>"GDE201704191327"</f>
        <v>GDE201704191327</v>
      </c>
      <c r="G1570" t="str">
        <f>"GUARDIAN"</f>
        <v>GUARDIAN</v>
      </c>
      <c r="H1570" s="2">
        <v>3729.6</v>
      </c>
      <c r="I1570" t="str">
        <f t="shared" si="24"/>
        <v>GUARDIAN</v>
      </c>
    </row>
    <row r="1571" spans="1:9" x14ac:dyDescent="0.3">
      <c r="A1571" t="str">
        <f>""</f>
        <v/>
      </c>
      <c r="F1571" t="str">
        <f>""</f>
        <v/>
      </c>
      <c r="G1571" t="str">
        <f>""</f>
        <v/>
      </c>
      <c r="I1571" t="str">
        <f t="shared" si="24"/>
        <v>GUARDIAN</v>
      </c>
    </row>
    <row r="1572" spans="1:9" x14ac:dyDescent="0.3">
      <c r="A1572" t="str">
        <f>""</f>
        <v/>
      </c>
      <c r="F1572" t="str">
        <f>""</f>
        <v/>
      </c>
      <c r="G1572" t="str">
        <f>""</f>
        <v/>
      </c>
      <c r="I1572" t="str">
        <f t="shared" si="24"/>
        <v>GUARDIAN</v>
      </c>
    </row>
    <row r="1573" spans="1:9" x14ac:dyDescent="0.3">
      <c r="A1573" t="str">
        <f>""</f>
        <v/>
      </c>
      <c r="F1573" t="str">
        <f>""</f>
        <v/>
      </c>
      <c r="G1573" t="str">
        <f>""</f>
        <v/>
      </c>
      <c r="I1573" t="str">
        <f t="shared" si="24"/>
        <v>GUARDIAN</v>
      </c>
    </row>
    <row r="1574" spans="1:9" x14ac:dyDescent="0.3">
      <c r="A1574" t="str">
        <f>""</f>
        <v/>
      </c>
      <c r="F1574" t="str">
        <f>""</f>
        <v/>
      </c>
      <c r="G1574" t="str">
        <f>""</f>
        <v/>
      </c>
      <c r="I1574" t="str">
        <f t="shared" si="24"/>
        <v>GUARDIAN</v>
      </c>
    </row>
    <row r="1575" spans="1:9" x14ac:dyDescent="0.3">
      <c r="A1575" t="str">
        <f>""</f>
        <v/>
      </c>
      <c r="F1575" t="str">
        <f>""</f>
        <v/>
      </c>
      <c r="G1575" t="str">
        <f>""</f>
        <v/>
      </c>
      <c r="I1575" t="str">
        <f t="shared" si="24"/>
        <v>GUARDIAN</v>
      </c>
    </row>
    <row r="1576" spans="1:9" x14ac:dyDescent="0.3">
      <c r="A1576" t="str">
        <f>""</f>
        <v/>
      </c>
      <c r="F1576" t="str">
        <f>""</f>
        <v/>
      </c>
      <c r="G1576" t="str">
        <f>""</f>
        <v/>
      </c>
      <c r="I1576" t="str">
        <f t="shared" si="24"/>
        <v>GUARDIAN</v>
      </c>
    </row>
    <row r="1577" spans="1:9" x14ac:dyDescent="0.3">
      <c r="A1577" t="str">
        <f>""</f>
        <v/>
      </c>
      <c r="F1577" t="str">
        <f>""</f>
        <v/>
      </c>
      <c r="G1577" t="str">
        <f>""</f>
        <v/>
      </c>
      <c r="I1577" t="str">
        <f t="shared" si="24"/>
        <v>GUARDIAN</v>
      </c>
    </row>
    <row r="1578" spans="1:9" x14ac:dyDescent="0.3">
      <c r="A1578" t="str">
        <f>""</f>
        <v/>
      </c>
      <c r="F1578" t="str">
        <f>""</f>
        <v/>
      </c>
      <c r="G1578" t="str">
        <f>""</f>
        <v/>
      </c>
      <c r="I1578" t="str">
        <f t="shared" si="24"/>
        <v>GUARDIAN</v>
      </c>
    </row>
    <row r="1579" spans="1:9" x14ac:dyDescent="0.3">
      <c r="A1579" t="str">
        <f>""</f>
        <v/>
      </c>
      <c r="F1579" t="str">
        <f>""</f>
        <v/>
      </c>
      <c r="G1579" t="str">
        <f>""</f>
        <v/>
      </c>
      <c r="I1579" t="str">
        <f t="shared" si="24"/>
        <v>GUARDIAN</v>
      </c>
    </row>
    <row r="1580" spans="1:9" x14ac:dyDescent="0.3">
      <c r="A1580" t="str">
        <f>""</f>
        <v/>
      </c>
      <c r="F1580" t="str">
        <f>""</f>
        <v/>
      </c>
      <c r="G1580" t="str">
        <f>""</f>
        <v/>
      </c>
      <c r="I1580" t="str">
        <f t="shared" si="24"/>
        <v>GUARDIAN</v>
      </c>
    </row>
    <row r="1581" spans="1:9" x14ac:dyDescent="0.3">
      <c r="A1581" t="str">
        <f>""</f>
        <v/>
      </c>
      <c r="F1581" t="str">
        <f>""</f>
        <v/>
      </c>
      <c r="G1581" t="str">
        <f>""</f>
        <v/>
      </c>
      <c r="I1581" t="str">
        <f t="shared" ref="I1581:I1644" si="25">"GUARDIAN"</f>
        <v>GUARDIAN</v>
      </c>
    </row>
    <row r="1582" spans="1:9" x14ac:dyDescent="0.3">
      <c r="A1582" t="str">
        <f>""</f>
        <v/>
      </c>
      <c r="F1582" t="str">
        <f>""</f>
        <v/>
      </c>
      <c r="G1582" t="str">
        <f>""</f>
        <v/>
      </c>
      <c r="I1582" t="str">
        <f t="shared" si="25"/>
        <v>GUARDIAN</v>
      </c>
    </row>
    <row r="1583" spans="1:9" x14ac:dyDescent="0.3">
      <c r="A1583" t="str">
        <f>""</f>
        <v/>
      </c>
      <c r="F1583" t="str">
        <f>""</f>
        <v/>
      </c>
      <c r="G1583" t="str">
        <f>""</f>
        <v/>
      </c>
      <c r="I1583" t="str">
        <f t="shared" si="25"/>
        <v>GUARDIAN</v>
      </c>
    </row>
    <row r="1584" spans="1:9" x14ac:dyDescent="0.3">
      <c r="A1584" t="str">
        <f>""</f>
        <v/>
      </c>
      <c r="F1584" t="str">
        <f>""</f>
        <v/>
      </c>
      <c r="G1584" t="str">
        <f>""</f>
        <v/>
      </c>
      <c r="I1584" t="str">
        <f t="shared" si="25"/>
        <v>GUARDIAN</v>
      </c>
    </row>
    <row r="1585" spans="1:9" x14ac:dyDescent="0.3">
      <c r="A1585" t="str">
        <f>""</f>
        <v/>
      </c>
      <c r="F1585" t="str">
        <f>""</f>
        <v/>
      </c>
      <c r="G1585" t="str">
        <f>""</f>
        <v/>
      </c>
      <c r="I1585" t="str">
        <f t="shared" si="25"/>
        <v>GUARDIAN</v>
      </c>
    </row>
    <row r="1586" spans="1:9" x14ac:dyDescent="0.3">
      <c r="A1586" t="str">
        <f>""</f>
        <v/>
      </c>
      <c r="F1586" t="str">
        <f>""</f>
        <v/>
      </c>
      <c r="G1586" t="str">
        <f>""</f>
        <v/>
      </c>
      <c r="I1586" t="str">
        <f t="shared" si="25"/>
        <v>GUARDIAN</v>
      </c>
    </row>
    <row r="1587" spans="1:9" x14ac:dyDescent="0.3">
      <c r="A1587" t="str">
        <f>""</f>
        <v/>
      </c>
      <c r="F1587" t="str">
        <f>""</f>
        <v/>
      </c>
      <c r="G1587" t="str">
        <f>""</f>
        <v/>
      </c>
      <c r="I1587" t="str">
        <f t="shared" si="25"/>
        <v>GUARDIAN</v>
      </c>
    </row>
    <row r="1588" spans="1:9" x14ac:dyDescent="0.3">
      <c r="A1588" t="str">
        <f>""</f>
        <v/>
      </c>
      <c r="F1588" t="str">
        <f>""</f>
        <v/>
      </c>
      <c r="G1588" t="str">
        <f>""</f>
        <v/>
      </c>
      <c r="I1588" t="str">
        <f t="shared" si="25"/>
        <v>GUARDIAN</v>
      </c>
    </row>
    <row r="1589" spans="1:9" x14ac:dyDescent="0.3">
      <c r="A1589" t="str">
        <f>""</f>
        <v/>
      </c>
      <c r="F1589" t="str">
        <f>""</f>
        <v/>
      </c>
      <c r="G1589" t="str">
        <f>""</f>
        <v/>
      </c>
      <c r="I1589" t="str">
        <f t="shared" si="25"/>
        <v>GUARDIAN</v>
      </c>
    </row>
    <row r="1590" spans="1:9" x14ac:dyDescent="0.3">
      <c r="A1590" t="str">
        <f>""</f>
        <v/>
      </c>
      <c r="F1590" t="str">
        <f>""</f>
        <v/>
      </c>
      <c r="G1590" t="str">
        <f>""</f>
        <v/>
      </c>
      <c r="I1590" t="str">
        <f t="shared" si="25"/>
        <v>GUARDIAN</v>
      </c>
    </row>
    <row r="1591" spans="1:9" x14ac:dyDescent="0.3">
      <c r="A1591" t="str">
        <f>""</f>
        <v/>
      </c>
      <c r="F1591" t="str">
        <f>""</f>
        <v/>
      </c>
      <c r="G1591" t="str">
        <f>""</f>
        <v/>
      </c>
      <c r="I1591" t="str">
        <f t="shared" si="25"/>
        <v>GUARDIAN</v>
      </c>
    </row>
    <row r="1592" spans="1:9" x14ac:dyDescent="0.3">
      <c r="A1592" t="str">
        <f>""</f>
        <v/>
      </c>
      <c r="F1592" t="str">
        <f>""</f>
        <v/>
      </c>
      <c r="G1592" t="str">
        <f>""</f>
        <v/>
      </c>
      <c r="I1592" t="str">
        <f t="shared" si="25"/>
        <v>GUARDIAN</v>
      </c>
    </row>
    <row r="1593" spans="1:9" x14ac:dyDescent="0.3">
      <c r="A1593" t="str">
        <f>""</f>
        <v/>
      </c>
      <c r="F1593" t="str">
        <f>""</f>
        <v/>
      </c>
      <c r="G1593" t="str">
        <f>""</f>
        <v/>
      </c>
      <c r="I1593" t="str">
        <f t="shared" si="25"/>
        <v>GUARDIAN</v>
      </c>
    </row>
    <row r="1594" spans="1:9" x14ac:dyDescent="0.3">
      <c r="A1594" t="str">
        <f>""</f>
        <v/>
      </c>
      <c r="F1594" t="str">
        <f>""</f>
        <v/>
      </c>
      <c r="G1594" t="str">
        <f>""</f>
        <v/>
      </c>
      <c r="I1594" t="str">
        <f t="shared" si="25"/>
        <v>GUARDIAN</v>
      </c>
    </row>
    <row r="1595" spans="1:9" x14ac:dyDescent="0.3">
      <c r="A1595" t="str">
        <f>""</f>
        <v/>
      </c>
      <c r="F1595" t="str">
        <f>""</f>
        <v/>
      </c>
      <c r="G1595" t="str">
        <f>""</f>
        <v/>
      </c>
      <c r="I1595" t="str">
        <f t="shared" si="25"/>
        <v>GUARDIAN</v>
      </c>
    </row>
    <row r="1596" spans="1:9" x14ac:dyDescent="0.3">
      <c r="A1596" t="str">
        <f>""</f>
        <v/>
      </c>
      <c r="F1596" t="str">
        <f>""</f>
        <v/>
      </c>
      <c r="G1596" t="str">
        <f>""</f>
        <v/>
      </c>
      <c r="I1596" t="str">
        <f t="shared" si="25"/>
        <v>GUARDIAN</v>
      </c>
    </row>
    <row r="1597" spans="1:9" x14ac:dyDescent="0.3">
      <c r="A1597" t="str">
        <f>""</f>
        <v/>
      </c>
      <c r="F1597" t="str">
        <f>""</f>
        <v/>
      </c>
      <c r="G1597" t="str">
        <f>""</f>
        <v/>
      </c>
      <c r="I1597" t="str">
        <f t="shared" si="25"/>
        <v>GUARDIAN</v>
      </c>
    </row>
    <row r="1598" spans="1:9" x14ac:dyDescent="0.3">
      <c r="A1598" t="str">
        <f>""</f>
        <v/>
      </c>
      <c r="F1598" t="str">
        <f>""</f>
        <v/>
      </c>
      <c r="G1598" t="str">
        <f>""</f>
        <v/>
      </c>
      <c r="I1598" t="str">
        <f t="shared" si="25"/>
        <v>GUARDIAN</v>
      </c>
    </row>
    <row r="1599" spans="1:9" x14ac:dyDescent="0.3">
      <c r="A1599" t="str">
        <f>""</f>
        <v/>
      </c>
      <c r="F1599" t="str">
        <f>""</f>
        <v/>
      </c>
      <c r="G1599" t="str">
        <f>""</f>
        <v/>
      </c>
      <c r="I1599" t="str">
        <f t="shared" si="25"/>
        <v>GUARDIAN</v>
      </c>
    </row>
    <row r="1600" spans="1:9" x14ac:dyDescent="0.3">
      <c r="A1600" t="str">
        <f>""</f>
        <v/>
      </c>
      <c r="F1600" t="str">
        <f>""</f>
        <v/>
      </c>
      <c r="G1600" t="str">
        <f>""</f>
        <v/>
      </c>
      <c r="I1600" t="str">
        <f t="shared" si="25"/>
        <v>GUARDIAN</v>
      </c>
    </row>
    <row r="1601" spans="1:9" x14ac:dyDescent="0.3">
      <c r="A1601" t="str">
        <f>""</f>
        <v/>
      </c>
      <c r="F1601" t="str">
        <f>""</f>
        <v/>
      </c>
      <c r="G1601" t="str">
        <f>""</f>
        <v/>
      </c>
      <c r="I1601" t="str">
        <f t="shared" si="25"/>
        <v>GUARDIAN</v>
      </c>
    </row>
    <row r="1602" spans="1:9" x14ac:dyDescent="0.3">
      <c r="A1602" t="str">
        <f>""</f>
        <v/>
      </c>
      <c r="F1602" t="str">
        <f>""</f>
        <v/>
      </c>
      <c r="G1602" t="str">
        <f>""</f>
        <v/>
      </c>
      <c r="I1602" t="str">
        <f t="shared" si="25"/>
        <v>GUARDIAN</v>
      </c>
    </row>
    <row r="1603" spans="1:9" x14ac:dyDescent="0.3">
      <c r="A1603" t="str">
        <f>""</f>
        <v/>
      </c>
      <c r="F1603" t="str">
        <f>""</f>
        <v/>
      </c>
      <c r="G1603" t="str">
        <f>""</f>
        <v/>
      </c>
      <c r="I1603" t="str">
        <f t="shared" si="25"/>
        <v>GUARDIAN</v>
      </c>
    </row>
    <row r="1604" spans="1:9" x14ac:dyDescent="0.3">
      <c r="A1604" t="str">
        <f>""</f>
        <v/>
      </c>
      <c r="F1604" t="str">
        <f>""</f>
        <v/>
      </c>
      <c r="G1604" t="str">
        <f>""</f>
        <v/>
      </c>
      <c r="I1604" t="str">
        <f t="shared" si="25"/>
        <v>GUARDIAN</v>
      </c>
    </row>
    <row r="1605" spans="1:9" x14ac:dyDescent="0.3">
      <c r="A1605" t="str">
        <f>""</f>
        <v/>
      </c>
      <c r="F1605" t="str">
        <f>""</f>
        <v/>
      </c>
      <c r="G1605" t="str">
        <f>""</f>
        <v/>
      </c>
      <c r="I1605" t="str">
        <f t="shared" si="25"/>
        <v>GUARDIAN</v>
      </c>
    </row>
    <row r="1606" spans="1:9" x14ac:dyDescent="0.3">
      <c r="A1606" t="str">
        <f>""</f>
        <v/>
      </c>
      <c r="F1606" t="str">
        <f>""</f>
        <v/>
      </c>
      <c r="G1606" t="str">
        <f>""</f>
        <v/>
      </c>
      <c r="I1606" t="str">
        <f t="shared" si="25"/>
        <v>GUARDIAN</v>
      </c>
    </row>
    <row r="1607" spans="1:9" x14ac:dyDescent="0.3">
      <c r="A1607" t="str">
        <f>""</f>
        <v/>
      </c>
      <c r="F1607" t="str">
        <f>""</f>
        <v/>
      </c>
      <c r="G1607" t="str">
        <f>""</f>
        <v/>
      </c>
      <c r="I1607" t="str">
        <f t="shared" si="25"/>
        <v>GUARDIAN</v>
      </c>
    </row>
    <row r="1608" spans="1:9" x14ac:dyDescent="0.3">
      <c r="A1608" t="str">
        <f>""</f>
        <v/>
      </c>
      <c r="F1608" t="str">
        <f>""</f>
        <v/>
      </c>
      <c r="G1608" t="str">
        <f>""</f>
        <v/>
      </c>
      <c r="I1608" t="str">
        <f t="shared" si="25"/>
        <v>GUARDIAN</v>
      </c>
    </row>
    <row r="1609" spans="1:9" x14ac:dyDescent="0.3">
      <c r="A1609" t="str">
        <f>""</f>
        <v/>
      </c>
      <c r="F1609" t="str">
        <f>""</f>
        <v/>
      </c>
      <c r="G1609" t="str">
        <f>""</f>
        <v/>
      </c>
      <c r="I1609" t="str">
        <f t="shared" si="25"/>
        <v>GUARDIAN</v>
      </c>
    </row>
    <row r="1610" spans="1:9" x14ac:dyDescent="0.3">
      <c r="A1610" t="str">
        <f>""</f>
        <v/>
      </c>
      <c r="F1610" t="str">
        <f>""</f>
        <v/>
      </c>
      <c r="G1610" t="str">
        <f>""</f>
        <v/>
      </c>
      <c r="I1610" t="str">
        <f t="shared" si="25"/>
        <v>GUARDIAN</v>
      </c>
    </row>
    <row r="1611" spans="1:9" x14ac:dyDescent="0.3">
      <c r="A1611" t="str">
        <f>""</f>
        <v/>
      </c>
      <c r="F1611" t="str">
        <f>""</f>
        <v/>
      </c>
      <c r="G1611" t="str">
        <f>""</f>
        <v/>
      </c>
      <c r="I1611" t="str">
        <f t="shared" si="25"/>
        <v>GUARDIAN</v>
      </c>
    </row>
    <row r="1612" spans="1:9" x14ac:dyDescent="0.3">
      <c r="A1612" t="str">
        <f>""</f>
        <v/>
      </c>
      <c r="F1612" t="str">
        <f>"GDE201704191328"</f>
        <v>GDE201704191328</v>
      </c>
      <c r="G1612" t="str">
        <f>"GUARDIAN"</f>
        <v>GUARDIAN</v>
      </c>
      <c r="H1612" s="2">
        <v>162.80000000000001</v>
      </c>
      <c r="I1612" t="str">
        <f t="shared" si="25"/>
        <v>GUARDIAN</v>
      </c>
    </row>
    <row r="1613" spans="1:9" x14ac:dyDescent="0.3">
      <c r="A1613" t="str">
        <f>""</f>
        <v/>
      </c>
      <c r="F1613" t="str">
        <f>"GDF201704050690"</f>
        <v>GDF201704050690</v>
      </c>
      <c r="G1613" t="str">
        <f>"GUARDIAN"</f>
        <v>GUARDIAN</v>
      </c>
      <c r="H1613" s="2">
        <v>1979.48</v>
      </c>
      <c r="I1613" t="str">
        <f t="shared" si="25"/>
        <v>GUARDIAN</v>
      </c>
    </row>
    <row r="1614" spans="1:9" x14ac:dyDescent="0.3">
      <c r="A1614" t="str">
        <f>""</f>
        <v/>
      </c>
      <c r="F1614" t="str">
        <f>""</f>
        <v/>
      </c>
      <c r="G1614" t="str">
        <f>""</f>
        <v/>
      </c>
      <c r="I1614" t="str">
        <f t="shared" si="25"/>
        <v>GUARDIAN</v>
      </c>
    </row>
    <row r="1615" spans="1:9" x14ac:dyDescent="0.3">
      <c r="A1615" t="str">
        <f>""</f>
        <v/>
      </c>
      <c r="F1615" t="str">
        <f>""</f>
        <v/>
      </c>
      <c r="G1615" t="str">
        <f>""</f>
        <v/>
      </c>
      <c r="I1615" t="str">
        <f t="shared" si="25"/>
        <v>GUARDIAN</v>
      </c>
    </row>
    <row r="1616" spans="1:9" x14ac:dyDescent="0.3">
      <c r="A1616" t="str">
        <f>""</f>
        <v/>
      </c>
      <c r="F1616" t="str">
        <f>""</f>
        <v/>
      </c>
      <c r="G1616" t="str">
        <f>""</f>
        <v/>
      </c>
      <c r="I1616" t="str">
        <f t="shared" si="25"/>
        <v>GUARDIAN</v>
      </c>
    </row>
    <row r="1617" spans="1:9" x14ac:dyDescent="0.3">
      <c r="A1617" t="str">
        <f>""</f>
        <v/>
      </c>
      <c r="F1617" t="str">
        <f>""</f>
        <v/>
      </c>
      <c r="G1617" t="str">
        <f>""</f>
        <v/>
      </c>
      <c r="I1617" t="str">
        <f t="shared" si="25"/>
        <v>GUARDIAN</v>
      </c>
    </row>
    <row r="1618" spans="1:9" x14ac:dyDescent="0.3">
      <c r="A1618" t="str">
        <f>""</f>
        <v/>
      </c>
      <c r="F1618" t="str">
        <f>""</f>
        <v/>
      </c>
      <c r="G1618" t="str">
        <f>""</f>
        <v/>
      </c>
      <c r="I1618" t="str">
        <f t="shared" si="25"/>
        <v>GUARDIAN</v>
      </c>
    </row>
    <row r="1619" spans="1:9" x14ac:dyDescent="0.3">
      <c r="A1619" t="str">
        <f>""</f>
        <v/>
      </c>
      <c r="F1619" t="str">
        <f>""</f>
        <v/>
      </c>
      <c r="G1619" t="str">
        <f>""</f>
        <v/>
      </c>
      <c r="I1619" t="str">
        <f t="shared" si="25"/>
        <v>GUARDIAN</v>
      </c>
    </row>
    <row r="1620" spans="1:9" x14ac:dyDescent="0.3">
      <c r="A1620" t="str">
        <f>""</f>
        <v/>
      </c>
      <c r="F1620" t="str">
        <f>""</f>
        <v/>
      </c>
      <c r="G1620" t="str">
        <f>""</f>
        <v/>
      </c>
      <c r="I1620" t="str">
        <f t="shared" si="25"/>
        <v>GUARDIAN</v>
      </c>
    </row>
    <row r="1621" spans="1:9" x14ac:dyDescent="0.3">
      <c r="A1621" t="str">
        <f>""</f>
        <v/>
      </c>
      <c r="F1621" t="str">
        <f>""</f>
        <v/>
      </c>
      <c r="G1621" t="str">
        <f>""</f>
        <v/>
      </c>
      <c r="I1621" t="str">
        <f t="shared" si="25"/>
        <v>GUARDIAN</v>
      </c>
    </row>
    <row r="1622" spans="1:9" x14ac:dyDescent="0.3">
      <c r="A1622" t="str">
        <f>""</f>
        <v/>
      </c>
      <c r="F1622" t="str">
        <f>""</f>
        <v/>
      </c>
      <c r="G1622" t="str">
        <f>""</f>
        <v/>
      </c>
      <c r="I1622" t="str">
        <f t="shared" si="25"/>
        <v>GUARDIAN</v>
      </c>
    </row>
    <row r="1623" spans="1:9" x14ac:dyDescent="0.3">
      <c r="A1623" t="str">
        <f>""</f>
        <v/>
      </c>
      <c r="F1623" t="str">
        <f>""</f>
        <v/>
      </c>
      <c r="G1623" t="str">
        <f>""</f>
        <v/>
      </c>
      <c r="I1623" t="str">
        <f t="shared" si="25"/>
        <v>GUARDIAN</v>
      </c>
    </row>
    <row r="1624" spans="1:9" x14ac:dyDescent="0.3">
      <c r="A1624" t="str">
        <f>""</f>
        <v/>
      </c>
      <c r="F1624" t="str">
        <f>""</f>
        <v/>
      </c>
      <c r="G1624" t="str">
        <f>""</f>
        <v/>
      </c>
      <c r="I1624" t="str">
        <f t="shared" si="25"/>
        <v>GUARDIAN</v>
      </c>
    </row>
    <row r="1625" spans="1:9" x14ac:dyDescent="0.3">
      <c r="A1625" t="str">
        <f>""</f>
        <v/>
      </c>
      <c r="F1625" t="str">
        <f>""</f>
        <v/>
      </c>
      <c r="G1625" t="str">
        <f>""</f>
        <v/>
      </c>
      <c r="I1625" t="str">
        <f t="shared" si="25"/>
        <v>GUARDIAN</v>
      </c>
    </row>
    <row r="1626" spans="1:9" x14ac:dyDescent="0.3">
      <c r="A1626" t="str">
        <f>""</f>
        <v/>
      </c>
      <c r="F1626" t="str">
        <f>""</f>
        <v/>
      </c>
      <c r="G1626" t="str">
        <f>""</f>
        <v/>
      </c>
      <c r="I1626" t="str">
        <f t="shared" si="25"/>
        <v>GUARDIAN</v>
      </c>
    </row>
    <row r="1627" spans="1:9" x14ac:dyDescent="0.3">
      <c r="A1627" t="str">
        <f>""</f>
        <v/>
      </c>
      <c r="F1627" t="str">
        <f>""</f>
        <v/>
      </c>
      <c r="G1627" t="str">
        <f>""</f>
        <v/>
      </c>
      <c r="I1627" t="str">
        <f t="shared" si="25"/>
        <v>GUARDIAN</v>
      </c>
    </row>
    <row r="1628" spans="1:9" x14ac:dyDescent="0.3">
      <c r="A1628" t="str">
        <f>""</f>
        <v/>
      </c>
      <c r="F1628" t="str">
        <f>""</f>
        <v/>
      </c>
      <c r="G1628" t="str">
        <f>""</f>
        <v/>
      </c>
      <c r="I1628" t="str">
        <f t="shared" si="25"/>
        <v>GUARDIAN</v>
      </c>
    </row>
    <row r="1629" spans="1:9" x14ac:dyDescent="0.3">
      <c r="A1629" t="str">
        <f>""</f>
        <v/>
      </c>
      <c r="F1629" t="str">
        <f>""</f>
        <v/>
      </c>
      <c r="G1629" t="str">
        <f>""</f>
        <v/>
      </c>
      <c r="I1629" t="str">
        <f t="shared" si="25"/>
        <v>GUARDIAN</v>
      </c>
    </row>
    <row r="1630" spans="1:9" x14ac:dyDescent="0.3">
      <c r="A1630" t="str">
        <f>""</f>
        <v/>
      </c>
      <c r="F1630" t="str">
        <f>""</f>
        <v/>
      </c>
      <c r="G1630" t="str">
        <f>""</f>
        <v/>
      </c>
      <c r="I1630" t="str">
        <f t="shared" si="25"/>
        <v>GUARDIAN</v>
      </c>
    </row>
    <row r="1631" spans="1:9" x14ac:dyDescent="0.3">
      <c r="A1631" t="str">
        <f>""</f>
        <v/>
      </c>
      <c r="F1631" t="str">
        <f>""</f>
        <v/>
      </c>
      <c r="G1631" t="str">
        <f>""</f>
        <v/>
      </c>
      <c r="I1631" t="str">
        <f t="shared" si="25"/>
        <v>GUARDIAN</v>
      </c>
    </row>
    <row r="1632" spans="1:9" x14ac:dyDescent="0.3">
      <c r="A1632" t="str">
        <f>""</f>
        <v/>
      </c>
      <c r="F1632" t="str">
        <f>""</f>
        <v/>
      </c>
      <c r="G1632" t="str">
        <f>""</f>
        <v/>
      </c>
      <c r="I1632" t="str">
        <f t="shared" si="25"/>
        <v>GUARDIAN</v>
      </c>
    </row>
    <row r="1633" spans="1:9" x14ac:dyDescent="0.3">
      <c r="A1633" t="str">
        <f>""</f>
        <v/>
      </c>
      <c r="F1633" t="str">
        <f>""</f>
        <v/>
      </c>
      <c r="G1633" t="str">
        <f>""</f>
        <v/>
      </c>
      <c r="I1633" t="str">
        <f t="shared" si="25"/>
        <v>GUARDIAN</v>
      </c>
    </row>
    <row r="1634" spans="1:9" x14ac:dyDescent="0.3">
      <c r="A1634" t="str">
        <f>""</f>
        <v/>
      </c>
      <c r="F1634" t="str">
        <f>""</f>
        <v/>
      </c>
      <c r="G1634" t="str">
        <f>""</f>
        <v/>
      </c>
      <c r="I1634" t="str">
        <f t="shared" si="25"/>
        <v>GUARDIAN</v>
      </c>
    </row>
    <row r="1635" spans="1:9" x14ac:dyDescent="0.3">
      <c r="A1635" t="str">
        <f>""</f>
        <v/>
      </c>
      <c r="F1635" t="str">
        <f>""</f>
        <v/>
      </c>
      <c r="G1635" t="str">
        <f>""</f>
        <v/>
      </c>
      <c r="I1635" t="str">
        <f t="shared" si="25"/>
        <v>GUARDIAN</v>
      </c>
    </row>
    <row r="1636" spans="1:9" x14ac:dyDescent="0.3">
      <c r="A1636" t="str">
        <f>""</f>
        <v/>
      </c>
      <c r="F1636" t="str">
        <f>""</f>
        <v/>
      </c>
      <c r="G1636" t="str">
        <f>""</f>
        <v/>
      </c>
      <c r="I1636" t="str">
        <f t="shared" si="25"/>
        <v>GUARDIAN</v>
      </c>
    </row>
    <row r="1637" spans="1:9" x14ac:dyDescent="0.3">
      <c r="A1637" t="str">
        <f>""</f>
        <v/>
      </c>
      <c r="F1637" t="str">
        <f>""</f>
        <v/>
      </c>
      <c r="G1637" t="str">
        <f>""</f>
        <v/>
      </c>
      <c r="I1637" t="str">
        <f t="shared" si="25"/>
        <v>GUARDIAN</v>
      </c>
    </row>
    <row r="1638" spans="1:9" x14ac:dyDescent="0.3">
      <c r="A1638" t="str">
        <f>""</f>
        <v/>
      </c>
      <c r="F1638" t="str">
        <f>""</f>
        <v/>
      </c>
      <c r="G1638" t="str">
        <f>""</f>
        <v/>
      </c>
      <c r="I1638" t="str">
        <f t="shared" si="25"/>
        <v>GUARDIAN</v>
      </c>
    </row>
    <row r="1639" spans="1:9" x14ac:dyDescent="0.3">
      <c r="A1639" t="str">
        <f>""</f>
        <v/>
      </c>
      <c r="F1639" t="str">
        <f>"GDF201704050691"</f>
        <v>GDF201704050691</v>
      </c>
      <c r="G1639" t="str">
        <f>"GUARDIAN"</f>
        <v>GUARDIAN</v>
      </c>
      <c r="H1639" s="2">
        <v>96.56</v>
      </c>
      <c r="I1639" t="str">
        <f t="shared" si="25"/>
        <v>GUARDIAN</v>
      </c>
    </row>
    <row r="1640" spans="1:9" x14ac:dyDescent="0.3">
      <c r="A1640" t="str">
        <f>""</f>
        <v/>
      </c>
      <c r="F1640" t="str">
        <f>""</f>
        <v/>
      </c>
      <c r="G1640" t="str">
        <f>""</f>
        <v/>
      </c>
      <c r="I1640" t="str">
        <f t="shared" si="25"/>
        <v>GUARDIAN</v>
      </c>
    </row>
    <row r="1641" spans="1:9" x14ac:dyDescent="0.3">
      <c r="A1641" t="str">
        <f>""</f>
        <v/>
      </c>
      <c r="F1641" t="str">
        <f>"GDF201704191327"</f>
        <v>GDF201704191327</v>
      </c>
      <c r="G1641" t="str">
        <f>"GUARDIAN"</f>
        <v>GUARDIAN</v>
      </c>
      <c r="H1641" s="2">
        <v>2157.8000000000002</v>
      </c>
      <c r="I1641" t="str">
        <f t="shared" si="25"/>
        <v>GUARDIAN</v>
      </c>
    </row>
    <row r="1642" spans="1:9" x14ac:dyDescent="0.3">
      <c r="A1642" t="str">
        <f>""</f>
        <v/>
      </c>
      <c r="F1642" t="str">
        <f>""</f>
        <v/>
      </c>
      <c r="G1642" t="str">
        <f>""</f>
        <v/>
      </c>
      <c r="I1642" t="str">
        <f t="shared" si="25"/>
        <v>GUARDIAN</v>
      </c>
    </row>
    <row r="1643" spans="1:9" x14ac:dyDescent="0.3">
      <c r="A1643" t="str">
        <f>""</f>
        <v/>
      </c>
      <c r="F1643" t="str">
        <f>""</f>
        <v/>
      </c>
      <c r="G1643" t="str">
        <f>""</f>
        <v/>
      </c>
      <c r="I1643" t="str">
        <f t="shared" si="25"/>
        <v>GUARDIAN</v>
      </c>
    </row>
    <row r="1644" spans="1:9" x14ac:dyDescent="0.3">
      <c r="A1644" t="str">
        <f>""</f>
        <v/>
      </c>
      <c r="F1644" t="str">
        <f>""</f>
        <v/>
      </c>
      <c r="G1644" t="str">
        <f>""</f>
        <v/>
      </c>
      <c r="I1644" t="str">
        <f t="shared" si="25"/>
        <v>GUARDIAN</v>
      </c>
    </row>
    <row r="1645" spans="1:9" x14ac:dyDescent="0.3">
      <c r="A1645" t="str">
        <f>""</f>
        <v/>
      </c>
      <c r="F1645" t="str">
        <f>""</f>
        <v/>
      </c>
      <c r="G1645" t="str">
        <f>""</f>
        <v/>
      </c>
      <c r="I1645" t="str">
        <f t="shared" ref="I1645:I1708" si="26">"GUARDIAN"</f>
        <v>GUARDIAN</v>
      </c>
    </row>
    <row r="1646" spans="1:9" x14ac:dyDescent="0.3">
      <c r="A1646" t="str">
        <f>""</f>
        <v/>
      </c>
      <c r="F1646" t="str">
        <f>""</f>
        <v/>
      </c>
      <c r="G1646" t="str">
        <f>""</f>
        <v/>
      </c>
      <c r="I1646" t="str">
        <f t="shared" si="26"/>
        <v>GUARDIAN</v>
      </c>
    </row>
    <row r="1647" spans="1:9" x14ac:dyDescent="0.3">
      <c r="A1647" t="str">
        <f>""</f>
        <v/>
      </c>
      <c r="F1647" t="str">
        <f>""</f>
        <v/>
      </c>
      <c r="G1647" t="str">
        <f>""</f>
        <v/>
      </c>
      <c r="I1647" t="str">
        <f t="shared" si="26"/>
        <v>GUARDIAN</v>
      </c>
    </row>
    <row r="1648" spans="1:9" x14ac:dyDescent="0.3">
      <c r="A1648" t="str">
        <f>""</f>
        <v/>
      </c>
      <c r="F1648" t="str">
        <f>""</f>
        <v/>
      </c>
      <c r="G1648" t="str">
        <f>""</f>
        <v/>
      </c>
      <c r="I1648" t="str">
        <f t="shared" si="26"/>
        <v>GUARDIAN</v>
      </c>
    </row>
    <row r="1649" spans="1:9" x14ac:dyDescent="0.3">
      <c r="A1649" t="str">
        <f>""</f>
        <v/>
      </c>
      <c r="F1649" t="str">
        <f>""</f>
        <v/>
      </c>
      <c r="G1649" t="str">
        <f>""</f>
        <v/>
      </c>
      <c r="I1649" t="str">
        <f t="shared" si="26"/>
        <v>GUARDIAN</v>
      </c>
    </row>
    <row r="1650" spans="1:9" x14ac:dyDescent="0.3">
      <c r="A1650" t="str">
        <f>""</f>
        <v/>
      </c>
      <c r="F1650" t="str">
        <f>""</f>
        <v/>
      </c>
      <c r="G1650" t="str">
        <f>""</f>
        <v/>
      </c>
      <c r="I1650" t="str">
        <f t="shared" si="26"/>
        <v>GUARDIAN</v>
      </c>
    </row>
    <row r="1651" spans="1:9" x14ac:dyDescent="0.3">
      <c r="A1651" t="str">
        <f>""</f>
        <v/>
      </c>
      <c r="F1651" t="str">
        <f>""</f>
        <v/>
      </c>
      <c r="G1651" t="str">
        <f>""</f>
        <v/>
      </c>
      <c r="I1651" t="str">
        <f t="shared" si="26"/>
        <v>GUARDIAN</v>
      </c>
    </row>
    <row r="1652" spans="1:9" x14ac:dyDescent="0.3">
      <c r="A1652" t="str">
        <f>""</f>
        <v/>
      </c>
      <c r="F1652" t="str">
        <f>""</f>
        <v/>
      </c>
      <c r="G1652" t="str">
        <f>""</f>
        <v/>
      </c>
      <c r="I1652" t="str">
        <f t="shared" si="26"/>
        <v>GUARDIAN</v>
      </c>
    </row>
    <row r="1653" spans="1:9" x14ac:dyDescent="0.3">
      <c r="A1653" t="str">
        <f>""</f>
        <v/>
      </c>
      <c r="F1653" t="str">
        <f>""</f>
        <v/>
      </c>
      <c r="G1653" t="str">
        <f>""</f>
        <v/>
      </c>
      <c r="I1653" t="str">
        <f t="shared" si="26"/>
        <v>GUARDIAN</v>
      </c>
    </row>
    <row r="1654" spans="1:9" x14ac:dyDescent="0.3">
      <c r="A1654" t="str">
        <f>""</f>
        <v/>
      </c>
      <c r="F1654" t="str">
        <f>""</f>
        <v/>
      </c>
      <c r="G1654" t="str">
        <f>""</f>
        <v/>
      </c>
      <c r="I1654" t="str">
        <f t="shared" si="26"/>
        <v>GUARDIAN</v>
      </c>
    </row>
    <row r="1655" spans="1:9" x14ac:dyDescent="0.3">
      <c r="A1655" t="str">
        <f>""</f>
        <v/>
      </c>
      <c r="F1655" t="str">
        <f>""</f>
        <v/>
      </c>
      <c r="G1655" t="str">
        <f>""</f>
        <v/>
      </c>
      <c r="I1655" t="str">
        <f t="shared" si="26"/>
        <v>GUARDIAN</v>
      </c>
    </row>
    <row r="1656" spans="1:9" x14ac:dyDescent="0.3">
      <c r="A1656" t="str">
        <f>""</f>
        <v/>
      </c>
      <c r="F1656" t="str">
        <f>""</f>
        <v/>
      </c>
      <c r="G1656" t="str">
        <f>""</f>
        <v/>
      </c>
      <c r="I1656" t="str">
        <f t="shared" si="26"/>
        <v>GUARDIAN</v>
      </c>
    </row>
    <row r="1657" spans="1:9" x14ac:dyDescent="0.3">
      <c r="A1657" t="str">
        <f>""</f>
        <v/>
      </c>
      <c r="F1657" t="str">
        <f>""</f>
        <v/>
      </c>
      <c r="G1657" t="str">
        <f>""</f>
        <v/>
      </c>
      <c r="I1657" t="str">
        <f t="shared" si="26"/>
        <v>GUARDIAN</v>
      </c>
    </row>
    <row r="1658" spans="1:9" x14ac:dyDescent="0.3">
      <c r="A1658" t="str">
        <f>""</f>
        <v/>
      </c>
      <c r="F1658" t="str">
        <f>""</f>
        <v/>
      </c>
      <c r="G1658" t="str">
        <f>""</f>
        <v/>
      </c>
      <c r="I1658" t="str">
        <f t="shared" si="26"/>
        <v>GUARDIAN</v>
      </c>
    </row>
    <row r="1659" spans="1:9" x14ac:dyDescent="0.3">
      <c r="A1659" t="str">
        <f>""</f>
        <v/>
      </c>
      <c r="F1659" t="str">
        <f>""</f>
        <v/>
      </c>
      <c r="G1659" t="str">
        <f>""</f>
        <v/>
      </c>
      <c r="I1659" t="str">
        <f t="shared" si="26"/>
        <v>GUARDIAN</v>
      </c>
    </row>
    <row r="1660" spans="1:9" x14ac:dyDescent="0.3">
      <c r="A1660" t="str">
        <f>""</f>
        <v/>
      </c>
      <c r="F1660" t="str">
        <f>""</f>
        <v/>
      </c>
      <c r="G1660" t="str">
        <f>""</f>
        <v/>
      </c>
      <c r="I1660" t="str">
        <f t="shared" si="26"/>
        <v>GUARDIAN</v>
      </c>
    </row>
    <row r="1661" spans="1:9" x14ac:dyDescent="0.3">
      <c r="A1661" t="str">
        <f>""</f>
        <v/>
      </c>
      <c r="F1661" t="str">
        <f>""</f>
        <v/>
      </c>
      <c r="G1661" t="str">
        <f>""</f>
        <v/>
      </c>
      <c r="I1661" t="str">
        <f t="shared" si="26"/>
        <v>GUARDIAN</v>
      </c>
    </row>
    <row r="1662" spans="1:9" x14ac:dyDescent="0.3">
      <c r="A1662" t="str">
        <f>""</f>
        <v/>
      </c>
      <c r="F1662" t="str">
        <f>""</f>
        <v/>
      </c>
      <c r="G1662" t="str">
        <f>""</f>
        <v/>
      </c>
      <c r="I1662" t="str">
        <f t="shared" si="26"/>
        <v>GUARDIAN</v>
      </c>
    </row>
    <row r="1663" spans="1:9" x14ac:dyDescent="0.3">
      <c r="A1663" t="str">
        <f>""</f>
        <v/>
      </c>
      <c r="F1663" t="str">
        <f>""</f>
        <v/>
      </c>
      <c r="G1663" t="str">
        <f>""</f>
        <v/>
      </c>
      <c r="I1663" t="str">
        <f t="shared" si="26"/>
        <v>GUARDIAN</v>
      </c>
    </row>
    <row r="1664" spans="1:9" x14ac:dyDescent="0.3">
      <c r="A1664" t="str">
        <f>""</f>
        <v/>
      </c>
      <c r="F1664" t="str">
        <f>""</f>
        <v/>
      </c>
      <c r="G1664" t="str">
        <f>""</f>
        <v/>
      </c>
      <c r="I1664" t="str">
        <f t="shared" si="26"/>
        <v>GUARDIAN</v>
      </c>
    </row>
    <row r="1665" spans="1:9" x14ac:dyDescent="0.3">
      <c r="A1665" t="str">
        <f>""</f>
        <v/>
      </c>
      <c r="F1665" t="str">
        <f>""</f>
        <v/>
      </c>
      <c r="G1665" t="str">
        <f>""</f>
        <v/>
      </c>
      <c r="I1665" t="str">
        <f t="shared" si="26"/>
        <v>GUARDIAN</v>
      </c>
    </row>
    <row r="1666" spans="1:9" x14ac:dyDescent="0.3">
      <c r="A1666" t="str">
        <f>""</f>
        <v/>
      </c>
      <c r="F1666" t="str">
        <f>""</f>
        <v/>
      </c>
      <c r="G1666" t="str">
        <f>""</f>
        <v/>
      </c>
      <c r="I1666" t="str">
        <f t="shared" si="26"/>
        <v>GUARDIAN</v>
      </c>
    </row>
    <row r="1667" spans="1:9" x14ac:dyDescent="0.3">
      <c r="A1667" t="str">
        <f>""</f>
        <v/>
      </c>
      <c r="F1667" t="str">
        <f>""</f>
        <v/>
      </c>
      <c r="G1667" t="str">
        <f>""</f>
        <v/>
      </c>
      <c r="I1667" t="str">
        <f t="shared" si="26"/>
        <v>GUARDIAN</v>
      </c>
    </row>
    <row r="1668" spans="1:9" x14ac:dyDescent="0.3">
      <c r="A1668" t="str">
        <f>""</f>
        <v/>
      </c>
      <c r="F1668" t="str">
        <f>"GDF201704191328"</f>
        <v>GDF201704191328</v>
      </c>
      <c r="G1668" t="str">
        <f>"GUARDIAN"</f>
        <v>GUARDIAN</v>
      </c>
      <c r="H1668" s="2">
        <v>96.56</v>
      </c>
      <c r="I1668" t="str">
        <f t="shared" si="26"/>
        <v>GUARDIAN</v>
      </c>
    </row>
    <row r="1669" spans="1:9" x14ac:dyDescent="0.3">
      <c r="A1669" t="str">
        <f>""</f>
        <v/>
      </c>
      <c r="F1669" t="str">
        <f>""</f>
        <v/>
      </c>
      <c r="G1669" t="str">
        <f>""</f>
        <v/>
      </c>
      <c r="I1669" t="str">
        <f t="shared" si="26"/>
        <v>GUARDIAN</v>
      </c>
    </row>
    <row r="1670" spans="1:9" x14ac:dyDescent="0.3">
      <c r="A1670" t="str">
        <f>""</f>
        <v/>
      </c>
      <c r="F1670" t="str">
        <f>"GDS201704050690"</f>
        <v>GDS201704050690</v>
      </c>
      <c r="G1670" t="str">
        <f>"GUARDIAN"</f>
        <v>GUARDIAN</v>
      </c>
      <c r="H1670" s="2">
        <v>1997.94</v>
      </c>
      <c r="I1670" t="str">
        <f t="shared" si="26"/>
        <v>GUARDIAN</v>
      </c>
    </row>
    <row r="1671" spans="1:9" x14ac:dyDescent="0.3">
      <c r="A1671" t="str">
        <f>""</f>
        <v/>
      </c>
      <c r="F1671" t="str">
        <f>""</f>
        <v/>
      </c>
      <c r="G1671" t="str">
        <f>""</f>
        <v/>
      </c>
      <c r="I1671" t="str">
        <f t="shared" si="26"/>
        <v>GUARDIAN</v>
      </c>
    </row>
    <row r="1672" spans="1:9" x14ac:dyDescent="0.3">
      <c r="A1672" t="str">
        <f>""</f>
        <v/>
      </c>
      <c r="F1672" t="str">
        <f>""</f>
        <v/>
      </c>
      <c r="G1672" t="str">
        <f>""</f>
        <v/>
      </c>
      <c r="I1672" t="str">
        <f t="shared" si="26"/>
        <v>GUARDIAN</v>
      </c>
    </row>
    <row r="1673" spans="1:9" x14ac:dyDescent="0.3">
      <c r="A1673" t="str">
        <f>""</f>
        <v/>
      </c>
      <c r="F1673" t="str">
        <f>""</f>
        <v/>
      </c>
      <c r="G1673" t="str">
        <f>""</f>
        <v/>
      </c>
      <c r="I1673" t="str">
        <f t="shared" si="26"/>
        <v>GUARDIAN</v>
      </c>
    </row>
    <row r="1674" spans="1:9" x14ac:dyDescent="0.3">
      <c r="A1674" t="str">
        <f>""</f>
        <v/>
      </c>
      <c r="F1674" t="str">
        <f>""</f>
        <v/>
      </c>
      <c r="G1674" t="str">
        <f>""</f>
        <v/>
      </c>
      <c r="I1674" t="str">
        <f t="shared" si="26"/>
        <v>GUARDIAN</v>
      </c>
    </row>
    <row r="1675" spans="1:9" x14ac:dyDescent="0.3">
      <c r="A1675" t="str">
        <f>""</f>
        <v/>
      </c>
      <c r="F1675" t="str">
        <f>""</f>
        <v/>
      </c>
      <c r="G1675" t="str">
        <f>""</f>
        <v/>
      </c>
      <c r="I1675" t="str">
        <f t="shared" si="26"/>
        <v>GUARDIAN</v>
      </c>
    </row>
    <row r="1676" spans="1:9" x14ac:dyDescent="0.3">
      <c r="A1676" t="str">
        <f>""</f>
        <v/>
      </c>
      <c r="F1676" t="str">
        <f>""</f>
        <v/>
      </c>
      <c r="G1676" t="str">
        <f>""</f>
        <v/>
      </c>
      <c r="I1676" t="str">
        <f t="shared" si="26"/>
        <v>GUARDIAN</v>
      </c>
    </row>
    <row r="1677" spans="1:9" x14ac:dyDescent="0.3">
      <c r="A1677" t="str">
        <f>""</f>
        <v/>
      </c>
      <c r="F1677" t="str">
        <f>""</f>
        <v/>
      </c>
      <c r="G1677" t="str">
        <f>""</f>
        <v/>
      </c>
      <c r="I1677" t="str">
        <f t="shared" si="26"/>
        <v>GUARDIAN</v>
      </c>
    </row>
    <row r="1678" spans="1:9" x14ac:dyDescent="0.3">
      <c r="A1678" t="str">
        <f>""</f>
        <v/>
      </c>
      <c r="F1678" t="str">
        <f>""</f>
        <v/>
      </c>
      <c r="G1678" t="str">
        <f>""</f>
        <v/>
      </c>
      <c r="I1678" t="str">
        <f t="shared" si="26"/>
        <v>GUARDIAN</v>
      </c>
    </row>
    <row r="1679" spans="1:9" x14ac:dyDescent="0.3">
      <c r="A1679" t="str">
        <f>""</f>
        <v/>
      </c>
      <c r="F1679" t="str">
        <f>""</f>
        <v/>
      </c>
      <c r="G1679" t="str">
        <f>""</f>
        <v/>
      </c>
      <c r="I1679" t="str">
        <f t="shared" si="26"/>
        <v>GUARDIAN</v>
      </c>
    </row>
    <row r="1680" spans="1:9" x14ac:dyDescent="0.3">
      <c r="A1680" t="str">
        <f>""</f>
        <v/>
      </c>
      <c r="F1680" t="str">
        <f>""</f>
        <v/>
      </c>
      <c r="G1680" t="str">
        <f>""</f>
        <v/>
      </c>
      <c r="I1680" t="str">
        <f t="shared" si="26"/>
        <v>GUARDIAN</v>
      </c>
    </row>
    <row r="1681" spans="1:9" x14ac:dyDescent="0.3">
      <c r="A1681" t="str">
        <f>""</f>
        <v/>
      </c>
      <c r="F1681" t="str">
        <f>""</f>
        <v/>
      </c>
      <c r="G1681" t="str">
        <f>""</f>
        <v/>
      </c>
      <c r="I1681" t="str">
        <f t="shared" si="26"/>
        <v>GUARDIAN</v>
      </c>
    </row>
    <row r="1682" spans="1:9" x14ac:dyDescent="0.3">
      <c r="A1682" t="str">
        <f>""</f>
        <v/>
      </c>
      <c r="F1682" t="str">
        <f>""</f>
        <v/>
      </c>
      <c r="G1682" t="str">
        <f>""</f>
        <v/>
      </c>
      <c r="I1682" t="str">
        <f t="shared" si="26"/>
        <v>GUARDIAN</v>
      </c>
    </row>
    <row r="1683" spans="1:9" x14ac:dyDescent="0.3">
      <c r="A1683" t="str">
        <f>""</f>
        <v/>
      </c>
      <c r="F1683" t="str">
        <f>""</f>
        <v/>
      </c>
      <c r="G1683" t="str">
        <f>""</f>
        <v/>
      </c>
      <c r="I1683" t="str">
        <f t="shared" si="26"/>
        <v>GUARDIAN</v>
      </c>
    </row>
    <row r="1684" spans="1:9" x14ac:dyDescent="0.3">
      <c r="A1684" t="str">
        <f>""</f>
        <v/>
      </c>
      <c r="F1684" t="str">
        <f>""</f>
        <v/>
      </c>
      <c r="G1684" t="str">
        <f>""</f>
        <v/>
      </c>
      <c r="I1684" t="str">
        <f t="shared" si="26"/>
        <v>GUARDIAN</v>
      </c>
    </row>
    <row r="1685" spans="1:9" x14ac:dyDescent="0.3">
      <c r="A1685" t="str">
        <f>""</f>
        <v/>
      </c>
      <c r="F1685" t="str">
        <f>""</f>
        <v/>
      </c>
      <c r="G1685" t="str">
        <f>""</f>
        <v/>
      </c>
      <c r="I1685" t="str">
        <f t="shared" si="26"/>
        <v>GUARDIAN</v>
      </c>
    </row>
    <row r="1686" spans="1:9" x14ac:dyDescent="0.3">
      <c r="A1686" t="str">
        <f>""</f>
        <v/>
      </c>
      <c r="F1686" t="str">
        <f>""</f>
        <v/>
      </c>
      <c r="G1686" t="str">
        <f>""</f>
        <v/>
      </c>
      <c r="I1686" t="str">
        <f t="shared" si="26"/>
        <v>GUARDIAN</v>
      </c>
    </row>
    <row r="1687" spans="1:9" x14ac:dyDescent="0.3">
      <c r="A1687" t="str">
        <f>""</f>
        <v/>
      </c>
      <c r="F1687" t="str">
        <f>""</f>
        <v/>
      </c>
      <c r="G1687" t="str">
        <f>""</f>
        <v/>
      </c>
      <c r="I1687" t="str">
        <f t="shared" si="26"/>
        <v>GUARDIAN</v>
      </c>
    </row>
    <row r="1688" spans="1:9" x14ac:dyDescent="0.3">
      <c r="A1688" t="str">
        <f>""</f>
        <v/>
      </c>
      <c r="F1688" t="str">
        <f>""</f>
        <v/>
      </c>
      <c r="G1688" t="str">
        <f>""</f>
        <v/>
      </c>
      <c r="I1688" t="str">
        <f t="shared" si="26"/>
        <v>GUARDIAN</v>
      </c>
    </row>
    <row r="1689" spans="1:9" x14ac:dyDescent="0.3">
      <c r="A1689" t="str">
        <f>""</f>
        <v/>
      </c>
      <c r="F1689" t="str">
        <f>""</f>
        <v/>
      </c>
      <c r="G1689" t="str">
        <f>""</f>
        <v/>
      </c>
      <c r="I1689" t="str">
        <f t="shared" si="26"/>
        <v>GUARDIAN</v>
      </c>
    </row>
    <row r="1690" spans="1:9" x14ac:dyDescent="0.3">
      <c r="A1690" t="str">
        <f>""</f>
        <v/>
      </c>
      <c r="F1690" t="str">
        <f>""</f>
        <v/>
      </c>
      <c r="G1690" t="str">
        <f>""</f>
        <v/>
      </c>
      <c r="I1690" t="str">
        <f t="shared" si="26"/>
        <v>GUARDIAN</v>
      </c>
    </row>
    <row r="1691" spans="1:9" x14ac:dyDescent="0.3">
      <c r="A1691" t="str">
        <f>""</f>
        <v/>
      </c>
      <c r="F1691" t="str">
        <f>""</f>
        <v/>
      </c>
      <c r="G1691" t="str">
        <f>""</f>
        <v/>
      </c>
      <c r="I1691" t="str">
        <f t="shared" si="26"/>
        <v>GUARDIAN</v>
      </c>
    </row>
    <row r="1692" spans="1:9" x14ac:dyDescent="0.3">
      <c r="A1692" t="str">
        <f>""</f>
        <v/>
      </c>
      <c r="F1692" t="str">
        <f>""</f>
        <v/>
      </c>
      <c r="G1692" t="str">
        <f>""</f>
        <v/>
      </c>
      <c r="I1692" t="str">
        <f t="shared" si="26"/>
        <v>GUARDIAN</v>
      </c>
    </row>
    <row r="1693" spans="1:9" x14ac:dyDescent="0.3">
      <c r="A1693" t="str">
        <f>""</f>
        <v/>
      </c>
      <c r="F1693" t="str">
        <f>""</f>
        <v/>
      </c>
      <c r="G1693" t="str">
        <f>""</f>
        <v/>
      </c>
      <c r="I1693" t="str">
        <f t="shared" si="26"/>
        <v>GUARDIAN</v>
      </c>
    </row>
    <row r="1694" spans="1:9" x14ac:dyDescent="0.3">
      <c r="A1694" t="str">
        <f>""</f>
        <v/>
      </c>
      <c r="F1694" t="str">
        <f>""</f>
        <v/>
      </c>
      <c r="G1694" t="str">
        <f>""</f>
        <v/>
      </c>
      <c r="I1694" t="str">
        <f t="shared" si="26"/>
        <v>GUARDIAN</v>
      </c>
    </row>
    <row r="1695" spans="1:9" x14ac:dyDescent="0.3">
      <c r="A1695" t="str">
        <f>""</f>
        <v/>
      </c>
      <c r="F1695" t="str">
        <f>""</f>
        <v/>
      </c>
      <c r="G1695" t="str">
        <f>""</f>
        <v/>
      </c>
      <c r="I1695" t="str">
        <f t="shared" si="26"/>
        <v>GUARDIAN</v>
      </c>
    </row>
    <row r="1696" spans="1:9" x14ac:dyDescent="0.3">
      <c r="A1696" t="str">
        <f>""</f>
        <v/>
      </c>
      <c r="F1696" t="str">
        <f>""</f>
        <v/>
      </c>
      <c r="G1696" t="str">
        <f>""</f>
        <v/>
      </c>
      <c r="I1696" t="str">
        <f t="shared" si="26"/>
        <v>GUARDIAN</v>
      </c>
    </row>
    <row r="1697" spans="1:9" x14ac:dyDescent="0.3">
      <c r="A1697" t="str">
        <f>""</f>
        <v/>
      </c>
      <c r="F1697" t="str">
        <f>""</f>
        <v/>
      </c>
      <c r="G1697" t="str">
        <f>""</f>
        <v/>
      </c>
      <c r="I1697" t="str">
        <f t="shared" si="26"/>
        <v>GUARDIAN</v>
      </c>
    </row>
    <row r="1698" spans="1:9" x14ac:dyDescent="0.3">
      <c r="A1698" t="str">
        <f>""</f>
        <v/>
      </c>
      <c r="F1698" t="str">
        <f>""</f>
        <v/>
      </c>
      <c r="G1698" t="str">
        <f>""</f>
        <v/>
      </c>
      <c r="I1698" t="str">
        <f t="shared" si="26"/>
        <v>GUARDIAN</v>
      </c>
    </row>
    <row r="1699" spans="1:9" x14ac:dyDescent="0.3">
      <c r="A1699" t="str">
        <f>""</f>
        <v/>
      </c>
      <c r="F1699" t="str">
        <f>""</f>
        <v/>
      </c>
      <c r="G1699" t="str">
        <f>""</f>
        <v/>
      </c>
      <c r="I1699" t="str">
        <f t="shared" si="26"/>
        <v>GUARDIAN</v>
      </c>
    </row>
    <row r="1700" spans="1:9" x14ac:dyDescent="0.3">
      <c r="A1700" t="str">
        <f>""</f>
        <v/>
      </c>
      <c r="F1700" t="str">
        <f>""</f>
        <v/>
      </c>
      <c r="G1700" t="str">
        <f>""</f>
        <v/>
      </c>
      <c r="I1700" t="str">
        <f t="shared" si="26"/>
        <v>GUARDIAN</v>
      </c>
    </row>
    <row r="1701" spans="1:9" x14ac:dyDescent="0.3">
      <c r="A1701" t="str">
        <f>""</f>
        <v/>
      </c>
      <c r="F1701" t="str">
        <f>"GDS201704191327"</f>
        <v>GDS201704191327</v>
      </c>
      <c r="G1701" t="str">
        <f>"GUARDIAN"</f>
        <v>GUARDIAN</v>
      </c>
      <c r="H1701" s="2">
        <v>1997.94</v>
      </c>
      <c r="I1701" t="str">
        <f t="shared" si="26"/>
        <v>GUARDIAN</v>
      </c>
    </row>
    <row r="1702" spans="1:9" x14ac:dyDescent="0.3">
      <c r="A1702" t="str">
        <f>""</f>
        <v/>
      </c>
      <c r="F1702" t="str">
        <f>""</f>
        <v/>
      </c>
      <c r="G1702" t="str">
        <f>""</f>
        <v/>
      </c>
      <c r="I1702" t="str">
        <f t="shared" si="26"/>
        <v>GUARDIAN</v>
      </c>
    </row>
    <row r="1703" spans="1:9" x14ac:dyDescent="0.3">
      <c r="A1703" t="str">
        <f>""</f>
        <v/>
      </c>
      <c r="F1703" t="str">
        <f>""</f>
        <v/>
      </c>
      <c r="G1703" t="str">
        <f>""</f>
        <v/>
      </c>
      <c r="I1703" t="str">
        <f t="shared" si="26"/>
        <v>GUARDIAN</v>
      </c>
    </row>
    <row r="1704" spans="1:9" x14ac:dyDescent="0.3">
      <c r="A1704" t="str">
        <f>""</f>
        <v/>
      </c>
      <c r="F1704" t="str">
        <f>""</f>
        <v/>
      </c>
      <c r="G1704" t="str">
        <f>""</f>
        <v/>
      </c>
      <c r="I1704" t="str">
        <f t="shared" si="26"/>
        <v>GUARDIAN</v>
      </c>
    </row>
    <row r="1705" spans="1:9" x14ac:dyDescent="0.3">
      <c r="A1705" t="str">
        <f>""</f>
        <v/>
      </c>
      <c r="F1705" t="str">
        <f>""</f>
        <v/>
      </c>
      <c r="G1705" t="str">
        <f>""</f>
        <v/>
      </c>
      <c r="I1705" t="str">
        <f t="shared" si="26"/>
        <v>GUARDIAN</v>
      </c>
    </row>
    <row r="1706" spans="1:9" x14ac:dyDescent="0.3">
      <c r="A1706" t="str">
        <f>""</f>
        <v/>
      </c>
      <c r="F1706" t="str">
        <f>""</f>
        <v/>
      </c>
      <c r="G1706" t="str">
        <f>""</f>
        <v/>
      </c>
      <c r="I1706" t="str">
        <f t="shared" si="26"/>
        <v>GUARDIAN</v>
      </c>
    </row>
    <row r="1707" spans="1:9" x14ac:dyDescent="0.3">
      <c r="A1707" t="str">
        <f>""</f>
        <v/>
      </c>
      <c r="F1707" t="str">
        <f>""</f>
        <v/>
      </c>
      <c r="G1707" t="str">
        <f>""</f>
        <v/>
      </c>
      <c r="I1707" t="str">
        <f t="shared" si="26"/>
        <v>GUARDIAN</v>
      </c>
    </row>
    <row r="1708" spans="1:9" x14ac:dyDescent="0.3">
      <c r="A1708" t="str">
        <f>""</f>
        <v/>
      </c>
      <c r="F1708" t="str">
        <f>""</f>
        <v/>
      </c>
      <c r="G1708" t="str">
        <f>""</f>
        <v/>
      </c>
      <c r="I1708" t="str">
        <f t="shared" si="26"/>
        <v>GUARDIAN</v>
      </c>
    </row>
    <row r="1709" spans="1:9" x14ac:dyDescent="0.3">
      <c r="A1709" t="str">
        <f>""</f>
        <v/>
      </c>
      <c r="F1709" t="str">
        <f>""</f>
        <v/>
      </c>
      <c r="G1709" t="str">
        <f>""</f>
        <v/>
      </c>
      <c r="I1709" t="str">
        <f t="shared" ref="I1709:I1731" si="27">"GUARDIAN"</f>
        <v>GUARDIAN</v>
      </c>
    </row>
    <row r="1710" spans="1:9" x14ac:dyDescent="0.3">
      <c r="A1710" t="str">
        <f>""</f>
        <v/>
      </c>
      <c r="F1710" t="str">
        <f>""</f>
        <v/>
      </c>
      <c r="G1710" t="str">
        <f>""</f>
        <v/>
      </c>
      <c r="I1710" t="str">
        <f t="shared" si="27"/>
        <v>GUARDIAN</v>
      </c>
    </row>
    <row r="1711" spans="1:9" x14ac:dyDescent="0.3">
      <c r="A1711" t="str">
        <f>""</f>
        <v/>
      </c>
      <c r="F1711" t="str">
        <f>""</f>
        <v/>
      </c>
      <c r="G1711" t="str">
        <f>""</f>
        <v/>
      </c>
      <c r="I1711" t="str">
        <f t="shared" si="27"/>
        <v>GUARDIAN</v>
      </c>
    </row>
    <row r="1712" spans="1:9" x14ac:dyDescent="0.3">
      <c r="A1712" t="str">
        <f>""</f>
        <v/>
      </c>
      <c r="F1712" t="str">
        <f>""</f>
        <v/>
      </c>
      <c r="G1712" t="str">
        <f>""</f>
        <v/>
      </c>
      <c r="I1712" t="str">
        <f t="shared" si="27"/>
        <v>GUARDIAN</v>
      </c>
    </row>
    <row r="1713" spans="1:9" x14ac:dyDescent="0.3">
      <c r="A1713" t="str">
        <f>""</f>
        <v/>
      </c>
      <c r="F1713" t="str">
        <f>""</f>
        <v/>
      </c>
      <c r="G1713" t="str">
        <f>""</f>
        <v/>
      </c>
      <c r="I1713" t="str">
        <f t="shared" si="27"/>
        <v>GUARDIAN</v>
      </c>
    </row>
    <row r="1714" spans="1:9" x14ac:dyDescent="0.3">
      <c r="A1714" t="str">
        <f>""</f>
        <v/>
      </c>
      <c r="F1714" t="str">
        <f>""</f>
        <v/>
      </c>
      <c r="G1714" t="str">
        <f>""</f>
        <v/>
      </c>
      <c r="I1714" t="str">
        <f t="shared" si="27"/>
        <v>GUARDIAN</v>
      </c>
    </row>
    <row r="1715" spans="1:9" x14ac:dyDescent="0.3">
      <c r="A1715" t="str">
        <f>""</f>
        <v/>
      </c>
      <c r="F1715" t="str">
        <f>""</f>
        <v/>
      </c>
      <c r="G1715" t="str">
        <f>""</f>
        <v/>
      </c>
      <c r="I1715" t="str">
        <f t="shared" si="27"/>
        <v>GUARDIAN</v>
      </c>
    </row>
    <row r="1716" spans="1:9" x14ac:dyDescent="0.3">
      <c r="A1716" t="str">
        <f>""</f>
        <v/>
      </c>
      <c r="F1716" t="str">
        <f>""</f>
        <v/>
      </c>
      <c r="G1716" t="str">
        <f>""</f>
        <v/>
      </c>
      <c r="I1716" t="str">
        <f t="shared" si="27"/>
        <v>GUARDIAN</v>
      </c>
    </row>
    <row r="1717" spans="1:9" x14ac:dyDescent="0.3">
      <c r="A1717" t="str">
        <f>""</f>
        <v/>
      </c>
      <c r="F1717" t="str">
        <f>""</f>
        <v/>
      </c>
      <c r="G1717" t="str">
        <f>""</f>
        <v/>
      </c>
      <c r="I1717" t="str">
        <f t="shared" si="27"/>
        <v>GUARDIAN</v>
      </c>
    </row>
    <row r="1718" spans="1:9" x14ac:dyDescent="0.3">
      <c r="A1718" t="str">
        <f>""</f>
        <v/>
      </c>
      <c r="F1718" t="str">
        <f>""</f>
        <v/>
      </c>
      <c r="G1718" t="str">
        <f>""</f>
        <v/>
      </c>
      <c r="I1718" t="str">
        <f t="shared" si="27"/>
        <v>GUARDIAN</v>
      </c>
    </row>
    <row r="1719" spans="1:9" x14ac:dyDescent="0.3">
      <c r="A1719" t="str">
        <f>""</f>
        <v/>
      </c>
      <c r="F1719" t="str">
        <f>""</f>
        <v/>
      </c>
      <c r="G1719" t="str">
        <f>""</f>
        <v/>
      </c>
      <c r="I1719" t="str">
        <f t="shared" si="27"/>
        <v>GUARDIAN</v>
      </c>
    </row>
    <row r="1720" spans="1:9" x14ac:dyDescent="0.3">
      <c r="A1720" t="str">
        <f>""</f>
        <v/>
      </c>
      <c r="F1720" t="str">
        <f>""</f>
        <v/>
      </c>
      <c r="G1720" t="str">
        <f>""</f>
        <v/>
      </c>
      <c r="I1720" t="str">
        <f t="shared" si="27"/>
        <v>GUARDIAN</v>
      </c>
    </row>
    <row r="1721" spans="1:9" x14ac:dyDescent="0.3">
      <c r="A1721" t="str">
        <f>""</f>
        <v/>
      </c>
      <c r="F1721" t="str">
        <f>""</f>
        <v/>
      </c>
      <c r="G1721" t="str">
        <f>""</f>
        <v/>
      </c>
      <c r="I1721" t="str">
        <f t="shared" si="27"/>
        <v>GUARDIAN</v>
      </c>
    </row>
    <row r="1722" spans="1:9" x14ac:dyDescent="0.3">
      <c r="A1722" t="str">
        <f>""</f>
        <v/>
      </c>
      <c r="F1722" t="str">
        <f>""</f>
        <v/>
      </c>
      <c r="G1722" t="str">
        <f>""</f>
        <v/>
      </c>
      <c r="I1722" t="str">
        <f t="shared" si="27"/>
        <v>GUARDIAN</v>
      </c>
    </row>
    <row r="1723" spans="1:9" x14ac:dyDescent="0.3">
      <c r="A1723" t="str">
        <f>""</f>
        <v/>
      </c>
      <c r="F1723" t="str">
        <f>""</f>
        <v/>
      </c>
      <c r="G1723" t="str">
        <f>""</f>
        <v/>
      </c>
      <c r="I1723" t="str">
        <f t="shared" si="27"/>
        <v>GUARDIAN</v>
      </c>
    </row>
    <row r="1724" spans="1:9" x14ac:dyDescent="0.3">
      <c r="A1724" t="str">
        <f>""</f>
        <v/>
      </c>
      <c r="F1724" t="str">
        <f>""</f>
        <v/>
      </c>
      <c r="G1724" t="str">
        <f>""</f>
        <v/>
      </c>
      <c r="I1724" t="str">
        <f t="shared" si="27"/>
        <v>GUARDIAN</v>
      </c>
    </row>
    <row r="1725" spans="1:9" x14ac:dyDescent="0.3">
      <c r="A1725" t="str">
        <f>""</f>
        <v/>
      </c>
      <c r="F1725" t="str">
        <f>""</f>
        <v/>
      </c>
      <c r="G1725" t="str">
        <f>""</f>
        <v/>
      </c>
      <c r="I1725" t="str">
        <f t="shared" si="27"/>
        <v>GUARDIAN</v>
      </c>
    </row>
    <row r="1726" spans="1:9" x14ac:dyDescent="0.3">
      <c r="A1726" t="str">
        <f>""</f>
        <v/>
      </c>
      <c r="F1726" t="str">
        <f>""</f>
        <v/>
      </c>
      <c r="G1726" t="str">
        <f>""</f>
        <v/>
      </c>
      <c r="I1726" t="str">
        <f t="shared" si="27"/>
        <v>GUARDIAN</v>
      </c>
    </row>
    <row r="1727" spans="1:9" x14ac:dyDescent="0.3">
      <c r="A1727" t="str">
        <f>""</f>
        <v/>
      </c>
      <c r="F1727" t="str">
        <f>""</f>
        <v/>
      </c>
      <c r="G1727" t="str">
        <f>""</f>
        <v/>
      </c>
      <c r="I1727" t="str">
        <f t="shared" si="27"/>
        <v>GUARDIAN</v>
      </c>
    </row>
    <row r="1728" spans="1:9" x14ac:dyDescent="0.3">
      <c r="A1728" t="str">
        <f>""</f>
        <v/>
      </c>
      <c r="F1728" t="str">
        <f>""</f>
        <v/>
      </c>
      <c r="G1728" t="str">
        <f>""</f>
        <v/>
      </c>
      <c r="I1728" t="str">
        <f t="shared" si="27"/>
        <v>GUARDIAN</v>
      </c>
    </row>
    <row r="1729" spans="1:9" x14ac:dyDescent="0.3">
      <c r="A1729" t="str">
        <f>""</f>
        <v/>
      </c>
      <c r="F1729" t="str">
        <f>""</f>
        <v/>
      </c>
      <c r="G1729" t="str">
        <f>""</f>
        <v/>
      </c>
      <c r="I1729" t="str">
        <f t="shared" si="27"/>
        <v>GUARDIAN</v>
      </c>
    </row>
    <row r="1730" spans="1:9" x14ac:dyDescent="0.3">
      <c r="A1730" t="str">
        <f>""</f>
        <v/>
      </c>
      <c r="F1730" t="str">
        <f>""</f>
        <v/>
      </c>
      <c r="G1730" t="str">
        <f>""</f>
        <v/>
      </c>
      <c r="I1730" t="str">
        <f t="shared" si="27"/>
        <v>GUARDIAN</v>
      </c>
    </row>
    <row r="1731" spans="1:9" x14ac:dyDescent="0.3">
      <c r="A1731" t="str">
        <f>""</f>
        <v/>
      </c>
      <c r="F1731" t="str">
        <f>""</f>
        <v/>
      </c>
      <c r="G1731" t="str">
        <f>""</f>
        <v/>
      </c>
      <c r="I1731" t="str">
        <f t="shared" si="27"/>
        <v>GUARDIAN</v>
      </c>
    </row>
    <row r="1732" spans="1:9" x14ac:dyDescent="0.3">
      <c r="A1732" t="str">
        <f>""</f>
        <v/>
      </c>
      <c r="F1732" t="str">
        <f>"GV1201704050690"</f>
        <v>GV1201704050690</v>
      </c>
      <c r="G1732" t="str">
        <f>"GUARDIAN VISION"</f>
        <v>GUARDIAN VISION</v>
      </c>
      <c r="H1732" s="2">
        <v>347.2</v>
      </c>
      <c r="I1732" t="str">
        <f>"GUARDIAN VISION"</f>
        <v>GUARDIAN VISION</v>
      </c>
    </row>
    <row r="1733" spans="1:9" x14ac:dyDescent="0.3">
      <c r="A1733" t="str">
        <f>""</f>
        <v/>
      </c>
      <c r="F1733" t="str">
        <f>"GV1201704050691"</f>
        <v>GV1201704050691</v>
      </c>
      <c r="G1733" t="str">
        <f>"GUARDIAN VISION"</f>
        <v>GUARDIAN VISION</v>
      </c>
      <c r="H1733" s="2">
        <v>5.6</v>
      </c>
      <c r="I1733" t="str">
        <f>"GUARDIAN VISION"</f>
        <v>GUARDIAN VISION</v>
      </c>
    </row>
    <row r="1734" spans="1:9" x14ac:dyDescent="0.3">
      <c r="A1734" t="str">
        <f>""</f>
        <v/>
      </c>
      <c r="F1734" t="str">
        <f>"GV1201704191327"</f>
        <v>GV1201704191327</v>
      </c>
      <c r="G1734" t="str">
        <f>"GUARDIAN VISION"</f>
        <v>GUARDIAN VISION</v>
      </c>
      <c r="H1734" s="2">
        <v>347.2</v>
      </c>
      <c r="I1734" t="str">
        <f>"GUARDIAN VISION"</f>
        <v>GUARDIAN VISION</v>
      </c>
    </row>
    <row r="1735" spans="1:9" x14ac:dyDescent="0.3">
      <c r="A1735" t="str">
        <f>""</f>
        <v/>
      </c>
      <c r="F1735" t="str">
        <f>"GV1201704191328"</f>
        <v>GV1201704191328</v>
      </c>
      <c r="G1735" t="str">
        <f>"GUARDIAN VISION"</f>
        <v>GUARDIAN VISION</v>
      </c>
      <c r="H1735" s="2">
        <v>5.6</v>
      </c>
      <c r="I1735" t="str">
        <f>"GUARDIAN VISION"</f>
        <v>GUARDIAN VISION</v>
      </c>
    </row>
    <row r="1736" spans="1:9" x14ac:dyDescent="0.3">
      <c r="A1736" t="str">
        <f>""</f>
        <v/>
      </c>
      <c r="F1736" t="str">
        <f>"GVE201704050690"</f>
        <v>GVE201704050690</v>
      </c>
      <c r="G1736" t="str">
        <f>"GUARDIAN VISION VENDOR"</f>
        <v>GUARDIAN VISION VENDOR</v>
      </c>
      <c r="H1736" s="2">
        <v>512.91</v>
      </c>
      <c r="I1736" t="str">
        <f>"GUARDIAN VISION VENDOR"</f>
        <v>GUARDIAN VISION VENDOR</v>
      </c>
    </row>
    <row r="1737" spans="1:9" x14ac:dyDescent="0.3">
      <c r="A1737" t="str">
        <f>""</f>
        <v/>
      </c>
      <c r="F1737" t="str">
        <f>"GVE201704050691"</f>
        <v>GVE201704050691</v>
      </c>
      <c r="G1737" t="str">
        <f>"GUARDIAN VISION VENDOR"</f>
        <v>GUARDIAN VISION VENDOR</v>
      </c>
      <c r="H1737" s="2">
        <v>22.14</v>
      </c>
      <c r="I1737" t="str">
        <f>"GUARDIAN VISION VENDOR"</f>
        <v>GUARDIAN VISION VENDOR</v>
      </c>
    </row>
    <row r="1738" spans="1:9" x14ac:dyDescent="0.3">
      <c r="A1738" t="str">
        <f>""</f>
        <v/>
      </c>
      <c r="F1738" t="str">
        <f>"GVE201704191327"</f>
        <v>GVE201704191327</v>
      </c>
      <c r="G1738" t="str">
        <f>"GUARDIAN VISION VENDOR"</f>
        <v>GUARDIAN VISION VENDOR</v>
      </c>
      <c r="H1738" s="2">
        <v>520.29</v>
      </c>
      <c r="I1738" t="str">
        <f>"GUARDIAN VISION VENDOR"</f>
        <v>GUARDIAN VISION VENDOR</v>
      </c>
    </row>
    <row r="1739" spans="1:9" x14ac:dyDescent="0.3">
      <c r="A1739" t="str">
        <f>""</f>
        <v/>
      </c>
      <c r="F1739" t="str">
        <f>"GVE201704191328"</f>
        <v>GVE201704191328</v>
      </c>
      <c r="G1739" t="str">
        <f>"GUARDIAN VISION VENDOR"</f>
        <v>GUARDIAN VISION VENDOR</v>
      </c>
      <c r="H1739" s="2">
        <v>22.14</v>
      </c>
      <c r="I1739" t="str">
        <f>"GUARDIAN VISION VENDOR"</f>
        <v>GUARDIAN VISION VENDOR</v>
      </c>
    </row>
    <row r="1740" spans="1:9" x14ac:dyDescent="0.3">
      <c r="A1740" t="str">
        <f>""</f>
        <v/>
      </c>
      <c r="F1740" t="str">
        <f>"GVF201704050690"</f>
        <v>GVF201704050690</v>
      </c>
      <c r="G1740" t="str">
        <f>"GUARDIAN VISION"</f>
        <v>GUARDIAN VISION</v>
      </c>
      <c r="H1740" s="2">
        <v>433.4</v>
      </c>
      <c r="I1740" t="str">
        <f>"GUARDIAN VISION"</f>
        <v>GUARDIAN VISION</v>
      </c>
    </row>
    <row r="1741" spans="1:9" x14ac:dyDescent="0.3">
      <c r="A1741" t="str">
        <f>""</f>
        <v/>
      </c>
      <c r="F1741" t="str">
        <f>"GVF201704050691"</f>
        <v>GVF201704050691</v>
      </c>
      <c r="G1741" t="str">
        <f>"GUARDIAN VISION VENDOR"</f>
        <v>GUARDIAN VISION VENDOR</v>
      </c>
      <c r="H1741" s="2">
        <v>19.7</v>
      </c>
      <c r="I1741" t="str">
        <f>"GUARDIAN VISION VENDOR"</f>
        <v>GUARDIAN VISION VENDOR</v>
      </c>
    </row>
    <row r="1742" spans="1:9" x14ac:dyDescent="0.3">
      <c r="A1742" t="str">
        <f>""</f>
        <v/>
      </c>
      <c r="F1742" t="str">
        <f>"GVF201704191327"</f>
        <v>GVF201704191327</v>
      </c>
      <c r="G1742" t="str">
        <f>"GUARDIAN VISION"</f>
        <v>GUARDIAN VISION</v>
      </c>
      <c r="H1742" s="2">
        <v>453.1</v>
      </c>
      <c r="I1742" t="str">
        <f>"GUARDIAN VISION"</f>
        <v>GUARDIAN VISION</v>
      </c>
    </row>
    <row r="1743" spans="1:9" x14ac:dyDescent="0.3">
      <c r="A1743" t="str">
        <f>""</f>
        <v/>
      </c>
      <c r="F1743" t="str">
        <f>"GVF201704191328"</f>
        <v>GVF201704191328</v>
      </c>
      <c r="G1743" t="str">
        <f>"GUARDIAN VISION VENDOR"</f>
        <v>GUARDIAN VISION VENDOR</v>
      </c>
      <c r="H1743" s="2">
        <v>19.7</v>
      </c>
      <c r="I1743" t="str">
        <f>"GUARDIAN VISION VENDOR"</f>
        <v>GUARDIAN VISION VENDOR</v>
      </c>
    </row>
    <row r="1744" spans="1:9" x14ac:dyDescent="0.3">
      <c r="A1744" t="str">
        <f>""</f>
        <v/>
      </c>
      <c r="F1744" t="str">
        <f>"LIA201704050690"</f>
        <v>LIA201704050690</v>
      </c>
      <c r="G1744" t="str">
        <f>"GUARDIAN"</f>
        <v>GUARDIAN</v>
      </c>
      <c r="H1744" s="2">
        <v>116.52</v>
      </c>
      <c r="I1744" t="str">
        <f t="shared" ref="I1744:I1775" si="28">"GUARDIAN"</f>
        <v>GUARDIAN</v>
      </c>
    </row>
    <row r="1745" spans="1:9" x14ac:dyDescent="0.3">
      <c r="A1745" t="str">
        <f>""</f>
        <v/>
      </c>
      <c r="F1745" t="str">
        <f>""</f>
        <v/>
      </c>
      <c r="G1745" t="str">
        <f>""</f>
        <v/>
      </c>
      <c r="I1745" t="str">
        <f t="shared" si="28"/>
        <v>GUARDIAN</v>
      </c>
    </row>
    <row r="1746" spans="1:9" x14ac:dyDescent="0.3">
      <c r="A1746" t="str">
        <f>""</f>
        <v/>
      </c>
      <c r="F1746" t="str">
        <f>""</f>
        <v/>
      </c>
      <c r="G1746" t="str">
        <f>""</f>
        <v/>
      </c>
      <c r="I1746" t="str">
        <f t="shared" si="28"/>
        <v>GUARDIAN</v>
      </c>
    </row>
    <row r="1747" spans="1:9" x14ac:dyDescent="0.3">
      <c r="A1747" t="str">
        <f>""</f>
        <v/>
      </c>
      <c r="F1747" t="str">
        <f>""</f>
        <v/>
      </c>
      <c r="G1747" t="str">
        <f>""</f>
        <v/>
      </c>
      <c r="I1747" t="str">
        <f t="shared" si="28"/>
        <v>GUARDIAN</v>
      </c>
    </row>
    <row r="1748" spans="1:9" x14ac:dyDescent="0.3">
      <c r="A1748" t="str">
        <f>""</f>
        <v/>
      </c>
      <c r="F1748" t="str">
        <f>""</f>
        <v/>
      </c>
      <c r="G1748" t="str">
        <f>""</f>
        <v/>
      </c>
      <c r="I1748" t="str">
        <f t="shared" si="28"/>
        <v>GUARDIAN</v>
      </c>
    </row>
    <row r="1749" spans="1:9" x14ac:dyDescent="0.3">
      <c r="A1749" t="str">
        <f>""</f>
        <v/>
      </c>
      <c r="F1749" t="str">
        <f>""</f>
        <v/>
      </c>
      <c r="G1749" t="str">
        <f>""</f>
        <v/>
      </c>
      <c r="I1749" t="str">
        <f t="shared" si="28"/>
        <v>GUARDIAN</v>
      </c>
    </row>
    <row r="1750" spans="1:9" x14ac:dyDescent="0.3">
      <c r="A1750" t="str">
        <f>""</f>
        <v/>
      </c>
      <c r="F1750" t="str">
        <f>""</f>
        <v/>
      </c>
      <c r="G1750" t="str">
        <f>""</f>
        <v/>
      </c>
      <c r="I1750" t="str">
        <f t="shared" si="28"/>
        <v>GUARDIAN</v>
      </c>
    </row>
    <row r="1751" spans="1:9" x14ac:dyDescent="0.3">
      <c r="A1751" t="str">
        <f>""</f>
        <v/>
      </c>
      <c r="F1751" t="str">
        <f>""</f>
        <v/>
      </c>
      <c r="G1751" t="str">
        <f>""</f>
        <v/>
      </c>
      <c r="I1751" t="str">
        <f t="shared" si="28"/>
        <v>GUARDIAN</v>
      </c>
    </row>
    <row r="1752" spans="1:9" x14ac:dyDescent="0.3">
      <c r="A1752" t="str">
        <f>""</f>
        <v/>
      </c>
      <c r="F1752" t="str">
        <f>""</f>
        <v/>
      </c>
      <c r="G1752" t="str">
        <f>""</f>
        <v/>
      </c>
      <c r="I1752" t="str">
        <f t="shared" si="28"/>
        <v>GUARDIAN</v>
      </c>
    </row>
    <row r="1753" spans="1:9" x14ac:dyDescent="0.3">
      <c r="A1753" t="str">
        <f>""</f>
        <v/>
      </c>
      <c r="F1753" t="str">
        <f>""</f>
        <v/>
      </c>
      <c r="G1753" t="str">
        <f>""</f>
        <v/>
      </c>
      <c r="I1753" t="str">
        <f t="shared" si="28"/>
        <v>GUARDIAN</v>
      </c>
    </row>
    <row r="1754" spans="1:9" x14ac:dyDescent="0.3">
      <c r="A1754" t="str">
        <f>""</f>
        <v/>
      </c>
      <c r="F1754" t="str">
        <f>""</f>
        <v/>
      </c>
      <c r="G1754" t="str">
        <f>""</f>
        <v/>
      </c>
      <c r="I1754" t="str">
        <f t="shared" si="28"/>
        <v>GUARDIAN</v>
      </c>
    </row>
    <row r="1755" spans="1:9" x14ac:dyDescent="0.3">
      <c r="A1755" t="str">
        <f>""</f>
        <v/>
      </c>
      <c r="F1755" t="str">
        <f>""</f>
        <v/>
      </c>
      <c r="G1755" t="str">
        <f>""</f>
        <v/>
      </c>
      <c r="I1755" t="str">
        <f t="shared" si="28"/>
        <v>GUARDIAN</v>
      </c>
    </row>
    <row r="1756" spans="1:9" x14ac:dyDescent="0.3">
      <c r="A1756" t="str">
        <f>""</f>
        <v/>
      </c>
      <c r="F1756" t="str">
        <f>""</f>
        <v/>
      </c>
      <c r="G1756" t="str">
        <f>""</f>
        <v/>
      </c>
      <c r="I1756" t="str">
        <f t="shared" si="28"/>
        <v>GUARDIAN</v>
      </c>
    </row>
    <row r="1757" spans="1:9" x14ac:dyDescent="0.3">
      <c r="A1757" t="str">
        <f>""</f>
        <v/>
      </c>
      <c r="F1757" t="str">
        <f>""</f>
        <v/>
      </c>
      <c r="G1757" t="str">
        <f>""</f>
        <v/>
      </c>
      <c r="I1757" t="str">
        <f t="shared" si="28"/>
        <v>GUARDIAN</v>
      </c>
    </row>
    <row r="1758" spans="1:9" x14ac:dyDescent="0.3">
      <c r="A1758" t="str">
        <f>""</f>
        <v/>
      </c>
      <c r="F1758" t="str">
        <f>""</f>
        <v/>
      </c>
      <c r="G1758" t="str">
        <f>""</f>
        <v/>
      </c>
      <c r="I1758" t="str">
        <f t="shared" si="28"/>
        <v>GUARDIAN</v>
      </c>
    </row>
    <row r="1759" spans="1:9" x14ac:dyDescent="0.3">
      <c r="A1759" t="str">
        <f>""</f>
        <v/>
      </c>
      <c r="F1759" t="str">
        <f>""</f>
        <v/>
      </c>
      <c r="G1759" t="str">
        <f>""</f>
        <v/>
      </c>
      <c r="I1759" t="str">
        <f t="shared" si="28"/>
        <v>GUARDIAN</v>
      </c>
    </row>
    <row r="1760" spans="1:9" x14ac:dyDescent="0.3">
      <c r="A1760" t="str">
        <f>""</f>
        <v/>
      </c>
      <c r="F1760" t="str">
        <f>""</f>
        <v/>
      </c>
      <c r="G1760" t="str">
        <f>""</f>
        <v/>
      </c>
      <c r="I1760" t="str">
        <f t="shared" si="28"/>
        <v>GUARDIAN</v>
      </c>
    </row>
    <row r="1761" spans="1:9" x14ac:dyDescent="0.3">
      <c r="A1761" t="str">
        <f>""</f>
        <v/>
      </c>
      <c r="F1761" t="str">
        <f>""</f>
        <v/>
      </c>
      <c r="G1761" t="str">
        <f>""</f>
        <v/>
      </c>
      <c r="I1761" t="str">
        <f t="shared" si="28"/>
        <v>GUARDIAN</v>
      </c>
    </row>
    <row r="1762" spans="1:9" x14ac:dyDescent="0.3">
      <c r="A1762" t="str">
        <f>""</f>
        <v/>
      </c>
      <c r="F1762" t="str">
        <f>""</f>
        <v/>
      </c>
      <c r="G1762" t="str">
        <f>""</f>
        <v/>
      </c>
      <c r="I1762" t="str">
        <f t="shared" si="28"/>
        <v>GUARDIAN</v>
      </c>
    </row>
    <row r="1763" spans="1:9" x14ac:dyDescent="0.3">
      <c r="A1763" t="str">
        <f>""</f>
        <v/>
      </c>
      <c r="F1763" t="str">
        <f>""</f>
        <v/>
      </c>
      <c r="G1763" t="str">
        <f>""</f>
        <v/>
      </c>
      <c r="I1763" t="str">
        <f t="shared" si="28"/>
        <v>GUARDIAN</v>
      </c>
    </row>
    <row r="1764" spans="1:9" x14ac:dyDescent="0.3">
      <c r="A1764" t="str">
        <f>""</f>
        <v/>
      </c>
      <c r="F1764" t="str">
        <f>""</f>
        <v/>
      </c>
      <c r="G1764" t="str">
        <f>""</f>
        <v/>
      </c>
      <c r="I1764" t="str">
        <f t="shared" si="28"/>
        <v>GUARDIAN</v>
      </c>
    </row>
    <row r="1765" spans="1:9" x14ac:dyDescent="0.3">
      <c r="A1765" t="str">
        <f>""</f>
        <v/>
      </c>
      <c r="F1765" t="str">
        <f>""</f>
        <v/>
      </c>
      <c r="G1765" t="str">
        <f>""</f>
        <v/>
      </c>
      <c r="I1765" t="str">
        <f t="shared" si="28"/>
        <v>GUARDIAN</v>
      </c>
    </row>
    <row r="1766" spans="1:9" x14ac:dyDescent="0.3">
      <c r="A1766" t="str">
        <f>""</f>
        <v/>
      </c>
      <c r="F1766" t="str">
        <f>"LIA201704191327"</f>
        <v>LIA201704191327</v>
      </c>
      <c r="G1766" t="str">
        <f>"GUARDIAN"</f>
        <v>GUARDIAN</v>
      </c>
      <c r="H1766" s="2">
        <v>116.52</v>
      </c>
      <c r="I1766" t="str">
        <f t="shared" si="28"/>
        <v>GUARDIAN</v>
      </c>
    </row>
    <row r="1767" spans="1:9" x14ac:dyDescent="0.3">
      <c r="A1767" t="str">
        <f>""</f>
        <v/>
      </c>
      <c r="F1767" t="str">
        <f>""</f>
        <v/>
      </c>
      <c r="G1767" t="str">
        <f>""</f>
        <v/>
      </c>
      <c r="I1767" t="str">
        <f t="shared" si="28"/>
        <v>GUARDIAN</v>
      </c>
    </row>
    <row r="1768" spans="1:9" x14ac:dyDescent="0.3">
      <c r="A1768" t="str">
        <f>""</f>
        <v/>
      </c>
      <c r="F1768" t="str">
        <f>""</f>
        <v/>
      </c>
      <c r="G1768" t="str">
        <f>""</f>
        <v/>
      </c>
      <c r="I1768" t="str">
        <f t="shared" si="28"/>
        <v>GUARDIAN</v>
      </c>
    </row>
    <row r="1769" spans="1:9" x14ac:dyDescent="0.3">
      <c r="A1769" t="str">
        <f>""</f>
        <v/>
      </c>
      <c r="F1769" t="str">
        <f>""</f>
        <v/>
      </c>
      <c r="G1769" t="str">
        <f>""</f>
        <v/>
      </c>
      <c r="I1769" t="str">
        <f t="shared" si="28"/>
        <v>GUARDIAN</v>
      </c>
    </row>
    <row r="1770" spans="1:9" x14ac:dyDescent="0.3">
      <c r="A1770" t="str">
        <f>""</f>
        <v/>
      </c>
      <c r="F1770" t="str">
        <f>""</f>
        <v/>
      </c>
      <c r="G1770" t="str">
        <f>""</f>
        <v/>
      </c>
      <c r="I1770" t="str">
        <f t="shared" si="28"/>
        <v>GUARDIAN</v>
      </c>
    </row>
    <row r="1771" spans="1:9" x14ac:dyDescent="0.3">
      <c r="A1771" t="str">
        <f>""</f>
        <v/>
      </c>
      <c r="F1771" t="str">
        <f>""</f>
        <v/>
      </c>
      <c r="G1771" t="str">
        <f>""</f>
        <v/>
      </c>
      <c r="I1771" t="str">
        <f t="shared" si="28"/>
        <v>GUARDIAN</v>
      </c>
    </row>
    <row r="1772" spans="1:9" x14ac:dyDescent="0.3">
      <c r="A1772" t="str">
        <f>""</f>
        <v/>
      </c>
      <c r="F1772" t="str">
        <f>""</f>
        <v/>
      </c>
      <c r="G1772" t="str">
        <f>""</f>
        <v/>
      </c>
      <c r="I1772" t="str">
        <f t="shared" si="28"/>
        <v>GUARDIAN</v>
      </c>
    </row>
    <row r="1773" spans="1:9" x14ac:dyDescent="0.3">
      <c r="A1773" t="str">
        <f>""</f>
        <v/>
      </c>
      <c r="F1773" t="str">
        <f>""</f>
        <v/>
      </c>
      <c r="G1773" t="str">
        <f>""</f>
        <v/>
      </c>
      <c r="I1773" t="str">
        <f t="shared" si="28"/>
        <v>GUARDIAN</v>
      </c>
    </row>
    <row r="1774" spans="1:9" x14ac:dyDescent="0.3">
      <c r="A1774" t="str">
        <f>""</f>
        <v/>
      </c>
      <c r="F1774" t="str">
        <f>""</f>
        <v/>
      </c>
      <c r="G1774" t="str">
        <f>""</f>
        <v/>
      </c>
      <c r="I1774" t="str">
        <f t="shared" si="28"/>
        <v>GUARDIAN</v>
      </c>
    </row>
    <row r="1775" spans="1:9" x14ac:dyDescent="0.3">
      <c r="A1775" t="str">
        <f>""</f>
        <v/>
      </c>
      <c r="F1775" t="str">
        <f>""</f>
        <v/>
      </c>
      <c r="G1775" t="str">
        <f>""</f>
        <v/>
      </c>
      <c r="I1775" t="str">
        <f t="shared" si="28"/>
        <v>GUARDIAN</v>
      </c>
    </row>
    <row r="1776" spans="1:9" x14ac:dyDescent="0.3">
      <c r="A1776" t="str">
        <f>""</f>
        <v/>
      </c>
      <c r="F1776" t="str">
        <f>""</f>
        <v/>
      </c>
      <c r="G1776" t="str">
        <f>""</f>
        <v/>
      </c>
      <c r="I1776" t="str">
        <f t="shared" ref="I1776:I1807" si="29">"GUARDIAN"</f>
        <v>GUARDIAN</v>
      </c>
    </row>
    <row r="1777" spans="1:9" x14ac:dyDescent="0.3">
      <c r="A1777" t="str">
        <f>""</f>
        <v/>
      </c>
      <c r="F1777" t="str">
        <f>""</f>
        <v/>
      </c>
      <c r="G1777" t="str">
        <f>""</f>
        <v/>
      </c>
      <c r="I1777" t="str">
        <f t="shared" si="29"/>
        <v>GUARDIAN</v>
      </c>
    </row>
    <row r="1778" spans="1:9" x14ac:dyDescent="0.3">
      <c r="A1778" t="str">
        <f>""</f>
        <v/>
      </c>
      <c r="F1778" t="str">
        <f>""</f>
        <v/>
      </c>
      <c r="G1778" t="str">
        <f>""</f>
        <v/>
      </c>
      <c r="I1778" t="str">
        <f t="shared" si="29"/>
        <v>GUARDIAN</v>
      </c>
    </row>
    <row r="1779" spans="1:9" x14ac:dyDescent="0.3">
      <c r="A1779" t="str">
        <f>""</f>
        <v/>
      </c>
      <c r="F1779" t="str">
        <f>""</f>
        <v/>
      </c>
      <c r="G1779" t="str">
        <f>""</f>
        <v/>
      </c>
      <c r="I1779" t="str">
        <f t="shared" si="29"/>
        <v>GUARDIAN</v>
      </c>
    </row>
    <row r="1780" spans="1:9" x14ac:dyDescent="0.3">
      <c r="A1780" t="str">
        <f>""</f>
        <v/>
      </c>
      <c r="F1780" t="str">
        <f>""</f>
        <v/>
      </c>
      <c r="G1780" t="str">
        <f>""</f>
        <v/>
      </c>
      <c r="I1780" t="str">
        <f t="shared" si="29"/>
        <v>GUARDIAN</v>
      </c>
    </row>
    <row r="1781" spans="1:9" x14ac:dyDescent="0.3">
      <c r="A1781" t="str">
        <f>""</f>
        <v/>
      </c>
      <c r="F1781" t="str">
        <f>""</f>
        <v/>
      </c>
      <c r="G1781" t="str">
        <f>""</f>
        <v/>
      </c>
      <c r="I1781" t="str">
        <f t="shared" si="29"/>
        <v>GUARDIAN</v>
      </c>
    </row>
    <row r="1782" spans="1:9" x14ac:dyDescent="0.3">
      <c r="A1782" t="str">
        <f>""</f>
        <v/>
      </c>
      <c r="F1782" t="str">
        <f>""</f>
        <v/>
      </c>
      <c r="G1782" t="str">
        <f>""</f>
        <v/>
      </c>
      <c r="I1782" t="str">
        <f t="shared" si="29"/>
        <v>GUARDIAN</v>
      </c>
    </row>
    <row r="1783" spans="1:9" x14ac:dyDescent="0.3">
      <c r="A1783" t="str">
        <f>""</f>
        <v/>
      </c>
      <c r="F1783" t="str">
        <f>""</f>
        <v/>
      </c>
      <c r="G1783" t="str">
        <f>""</f>
        <v/>
      </c>
      <c r="I1783" t="str">
        <f t="shared" si="29"/>
        <v>GUARDIAN</v>
      </c>
    </row>
    <row r="1784" spans="1:9" x14ac:dyDescent="0.3">
      <c r="A1784" t="str">
        <f>""</f>
        <v/>
      </c>
      <c r="F1784" t="str">
        <f>""</f>
        <v/>
      </c>
      <c r="G1784" t="str">
        <f>""</f>
        <v/>
      </c>
      <c r="I1784" t="str">
        <f t="shared" si="29"/>
        <v>GUARDIAN</v>
      </c>
    </row>
    <row r="1785" spans="1:9" x14ac:dyDescent="0.3">
      <c r="A1785" t="str">
        <f>""</f>
        <v/>
      </c>
      <c r="F1785" t="str">
        <f>""</f>
        <v/>
      </c>
      <c r="G1785" t="str">
        <f>""</f>
        <v/>
      </c>
      <c r="I1785" t="str">
        <f t="shared" si="29"/>
        <v>GUARDIAN</v>
      </c>
    </row>
    <row r="1786" spans="1:9" x14ac:dyDescent="0.3">
      <c r="A1786" t="str">
        <f>""</f>
        <v/>
      </c>
      <c r="F1786" t="str">
        <f>""</f>
        <v/>
      </c>
      <c r="G1786" t="str">
        <f>""</f>
        <v/>
      </c>
      <c r="I1786" t="str">
        <f t="shared" si="29"/>
        <v>GUARDIAN</v>
      </c>
    </row>
    <row r="1787" spans="1:9" x14ac:dyDescent="0.3">
      <c r="A1787" t="str">
        <f>""</f>
        <v/>
      </c>
      <c r="F1787" t="str">
        <f>""</f>
        <v/>
      </c>
      <c r="G1787" t="str">
        <f>""</f>
        <v/>
      </c>
      <c r="I1787" t="str">
        <f t="shared" si="29"/>
        <v>GUARDIAN</v>
      </c>
    </row>
    <row r="1788" spans="1:9" x14ac:dyDescent="0.3">
      <c r="A1788" t="str">
        <f>""</f>
        <v/>
      </c>
      <c r="F1788" t="str">
        <f>"LIC201704050690"</f>
        <v>LIC201704050690</v>
      </c>
      <c r="G1788" t="str">
        <f>"GUARDIAN"</f>
        <v>GUARDIAN</v>
      </c>
      <c r="H1788" s="2">
        <v>40.200000000000003</v>
      </c>
      <c r="I1788" t="str">
        <f t="shared" si="29"/>
        <v>GUARDIAN</v>
      </c>
    </row>
    <row r="1789" spans="1:9" x14ac:dyDescent="0.3">
      <c r="A1789" t="str">
        <f>""</f>
        <v/>
      </c>
      <c r="F1789" t="str">
        <f>"LIC201704050691"</f>
        <v>LIC201704050691</v>
      </c>
      <c r="G1789" t="str">
        <f>"GUARDIAN"</f>
        <v>GUARDIAN</v>
      </c>
      <c r="H1789" s="2">
        <v>1.05</v>
      </c>
      <c r="I1789" t="str">
        <f t="shared" si="29"/>
        <v>GUARDIAN</v>
      </c>
    </row>
    <row r="1790" spans="1:9" x14ac:dyDescent="0.3">
      <c r="A1790" t="str">
        <f>""</f>
        <v/>
      </c>
      <c r="F1790" t="str">
        <f>"LIC201704191327"</f>
        <v>LIC201704191327</v>
      </c>
      <c r="G1790" t="str">
        <f>"GUARDIAN"</f>
        <v>GUARDIAN</v>
      </c>
      <c r="H1790" s="2">
        <v>38.799999999999997</v>
      </c>
      <c r="I1790" t="str">
        <f t="shared" si="29"/>
        <v>GUARDIAN</v>
      </c>
    </row>
    <row r="1791" spans="1:9" x14ac:dyDescent="0.3">
      <c r="A1791" t="str">
        <f>""</f>
        <v/>
      </c>
      <c r="F1791" t="str">
        <f>"LIC201704191328"</f>
        <v>LIC201704191328</v>
      </c>
      <c r="G1791" t="str">
        <f>"GUARDIAN"</f>
        <v>GUARDIAN</v>
      </c>
      <c r="H1791" s="2">
        <v>1.05</v>
      </c>
      <c r="I1791" t="str">
        <f t="shared" si="29"/>
        <v>GUARDIAN</v>
      </c>
    </row>
    <row r="1792" spans="1:9" x14ac:dyDescent="0.3">
      <c r="A1792" t="str">
        <f>""</f>
        <v/>
      </c>
      <c r="F1792" t="str">
        <f>"LIE201704050690"</f>
        <v>LIE201704050690</v>
      </c>
      <c r="G1792" t="str">
        <f>"GUARDIAN"</f>
        <v>GUARDIAN</v>
      </c>
      <c r="H1792" s="2">
        <v>3064.05</v>
      </c>
      <c r="I1792" t="str">
        <f t="shared" si="29"/>
        <v>GUARDIAN</v>
      </c>
    </row>
    <row r="1793" spans="1:9" x14ac:dyDescent="0.3">
      <c r="A1793" t="str">
        <f>""</f>
        <v/>
      </c>
      <c r="F1793" t="str">
        <f>""</f>
        <v/>
      </c>
      <c r="G1793" t="str">
        <f>""</f>
        <v/>
      </c>
      <c r="I1793" t="str">
        <f t="shared" si="29"/>
        <v>GUARDIAN</v>
      </c>
    </row>
    <row r="1794" spans="1:9" x14ac:dyDescent="0.3">
      <c r="A1794" t="str">
        <f>""</f>
        <v/>
      </c>
      <c r="F1794" t="str">
        <f>""</f>
        <v/>
      </c>
      <c r="G1794" t="str">
        <f>""</f>
        <v/>
      </c>
      <c r="I1794" t="str">
        <f t="shared" si="29"/>
        <v>GUARDIAN</v>
      </c>
    </row>
    <row r="1795" spans="1:9" x14ac:dyDescent="0.3">
      <c r="A1795" t="str">
        <f>""</f>
        <v/>
      </c>
      <c r="F1795" t="str">
        <f>""</f>
        <v/>
      </c>
      <c r="G1795" t="str">
        <f>""</f>
        <v/>
      </c>
      <c r="I1795" t="str">
        <f t="shared" si="29"/>
        <v>GUARDIAN</v>
      </c>
    </row>
    <row r="1796" spans="1:9" x14ac:dyDescent="0.3">
      <c r="A1796" t="str">
        <f>""</f>
        <v/>
      </c>
      <c r="F1796" t="str">
        <f>""</f>
        <v/>
      </c>
      <c r="G1796" t="str">
        <f>""</f>
        <v/>
      </c>
      <c r="I1796" t="str">
        <f t="shared" si="29"/>
        <v>GUARDIAN</v>
      </c>
    </row>
    <row r="1797" spans="1:9" x14ac:dyDescent="0.3">
      <c r="A1797" t="str">
        <f>""</f>
        <v/>
      </c>
      <c r="F1797" t="str">
        <f>""</f>
        <v/>
      </c>
      <c r="G1797" t="str">
        <f>""</f>
        <v/>
      </c>
      <c r="I1797" t="str">
        <f t="shared" si="29"/>
        <v>GUARDIAN</v>
      </c>
    </row>
    <row r="1798" spans="1:9" x14ac:dyDescent="0.3">
      <c r="A1798" t="str">
        <f>""</f>
        <v/>
      </c>
      <c r="F1798" t="str">
        <f>""</f>
        <v/>
      </c>
      <c r="G1798" t="str">
        <f>""</f>
        <v/>
      </c>
      <c r="I1798" t="str">
        <f t="shared" si="29"/>
        <v>GUARDIAN</v>
      </c>
    </row>
    <row r="1799" spans="1:9" x14ac:dyDescent="0.3">
      <c r="A1799" t="str">
        <f>""</f>
        <v/>
      </c>
      <c r="F1799" t="str">
        <f>""</f>
        <v/>
      </c>
      <c r="G1799" t="str">
        <f>""</f>
        <v/>
      </c>
      <c r="I1799" t="str">
        <f t="shared" si="29"/>
        <v>GUARDIAN</v>
      </c>
    </row>
    <row r="1800" spans="1:9" x14ac:dyDescent="0.3">
      <c r="A1800" t="str">
        <f>""</f>
        <v/>
      </c>
      <c r="F1800" t="str">
        <f>""</f>
        <v/>
      </c>
      <c r="G1800" t="str">
        <f>""</f>
        <v/>
      </c>
      <c r="I1800" t="str">
        <f t="shared" si="29"/>
        <v>GUARDIAN</v>
      </c>
    </row>
    <row r="1801" spans="1:9" x14ac:dyDescent="0.3">
      <c r="A1801" t="str">
        <f>""</f>
        <v/>
      </c>
      <c r="F1801" t="str">
        <f>""</f>
        <v/>
      </c>
      <c r="G1801" t="str">
        <f>""</f>
        <v/>
      </c>
      <c r="I1801" t="str">
        <f t="shared" si="29"/>
        <v>GUARDIAN</v>
      </c>
    </row>
    <row r="1802" spans="1:9" x14ac:dyDescent="0.3">
      <c r="A1802" t="str">
        <f>""</f>
        <v/>
      </c>
      <c r="F1802" t="str">
        <f>""</f>
        <v/>
      </c>
      <c r="G1802" t="str">
        <f>""</f>
        <v/>
      </c>
      <c r="I1802" t="str">
        <f t="shared" si="29"/>
        <v>GUARDIAN</v>
      </c>
    </row>
    <row r="1803" spans="1:9" x14ac:dyDescent="0.3">
      <c r="A1803" t="str">
        <f>""</f>
        <v/>
      </c>
      <c r="F1803" t="str">
        <f>""</f>
        <v/>
      </c>
      <c r="G1803" t="str">
        <f>""</f>
        <v/>
      </c>
      <c r="I1803" t="str">
        <f t="shared" si="29"/>
        <v>GUARDIAN</v>
      </c>
    </row>
    <row r="1804" spans="1:9" x14ac:dyDescent="0.3">
      <c r="A1804" t="str">
        <f>""</f>
        <v/>
      </c>
      <c r="F1804" t="str">
        <f>""</f>
        <v/>
      </c>
      <c r="G1804" t="str">
        <f>""</f>
        <v/>
      </c>
      <c r="I1804" t="str">
        <f t="shared" si="29"/>
        <v>GUARDIAN</v>
      </c>
    </row>
    <row r="1805" spans="1:9" x14ac:dyDescent="0.3">
      <c r="A1805" t="str">
        <f>""</f>
        <v/>
      </c>
      <c r="F1805" t="str">
        <f>""</f>
        <v/>
      </c>
      <c r="G1805" t="str">
        <f>""</f>
        <v/>
      </c>
      <c r="I1805" t="str">
        <f t="shared" si="29"/>
        <v>GUARDIAN</v>
      </c>
    </row>
    <row r="1806" spans="1:9" x14ac:dyDescent="0.3">
      <c r="A1806" t="str">
        <f>""</f>
        <v/>
      </c>
      <c r="F1806" t="str">
        <f>""</f>
        <v/>
      </c>
      <c r="G1806" t="str">
        <f>""</f>
        <v/>
      </c>
      <c r="I1806" t="str">
        <f t="shared" si="29"/>
        <v>GUARDIAN</v>
      </c>
    </row>
    <row r="1807" spans="1:9" x14ac:dyDescent="0.3">
      <c r="A1807" t="str">
        <f>""</f>
        <v/>
      </c>
      <c r="F1807" t="str">
        <f>""</f>
        <v/>
      </c>
      <c r="G1807" t="str">
        <f>""</f>
        <v/>
      </c>
      <c r="I1807" t="str">
        <f t="shared" si="29"/>
        <v>GUARDIAN</v>
      </c>
    </row>
    <row r="1808" spans="1:9" x14ac:dyDescent="0.3">
      <c r="A1808" t="str">
        <f>""</f>
        <v/>
      </c>
      <c r="F1808" t="str">
        <f>""</f>
        <v/>
      </c>
      <c r="G1808" t="str">
        <f>""</f>
        <v/>
      </c>
      <c r="I1808" t="str">
        <f t="shared" ref="I1808:I1839" si="30">"GUARDIAN"</f>
        <v>GUARDIAN</v>
      </c>
    </row>
    <row r="1809" spans="1:9" x14ac:dyDescent="0.3">
      <c r="A1809" t="str">
        <f>""</f>
        <v/>
      </c>
      <c r="F1809" t="str">
        <f>""</f>
        <v/>
      </c>
      <c r="G1809" t="str">
        <f>""</f>
        <v/>
      </c>
      <c r="I1809" t="str">
        <f t="shared" si="30"/>
        <v>GUARDIAN</v>
      </c>
    </row>
    <row r="1810" spans="1:9" x14ac:dyDescent="0.3">
      <c r="A1810" t="str">
        <f>""</f>
        <v/>
      </c>
      <c r="F1810" t="str">
        <f>""</f>
        <v/>
      </c>
      <c r="G1810" t="str">
        <f>""</f>
        <v/>
      </c>
      <c r="I1810" t="str">
        <f t="shared" si="30"/>
        <v>GUARDIAN</v>
      </c>
    </row>
    <row r="1811" spans="1:9" x14ac:dyDescent="0.3">
      <c r="A1811" t="str">
        <f>""</f>
        <v/>
      </c>
      <c r="F1811" t="str">
        <f>""</f>
        <v/>
      </c>
      <c r="G1811" t="str">
        <f>""</f>
        <v/>
      </c>
      <c r="I1811" t="str">
        <f t="shared" si="30"/>
        <v>GUARDIAN</v>
      </c>
    </row>
    <row r="1812" spans="1:9" x14ac:dyDescent="0.3">
      <c r="A1812" t="str">
        <f>""</f>
        <v/>
      </c>
      <c r="F1812" t="str">
        <f>""</f>
        <v/>
      </c>
      <c r="G1812" t="str">
        <f>""</f>
        <v/>
      </c>
      <c r="I1812" t="str">
        <f t="shared" si="30"/>
        <v>GUARDIAN</v>
      </c>
    </row>
    <row r="1813" spans="1:9" x14ac:dyDescent="0.3">
      <c r="A1813" t="str">
        <f>""</f>
        <v/>
      </c>
      <c r="F1813" t="str">
        <f>""</f>
        <v/>
      </c>
      <c r="G1813" t="str">
        <f>""</f>
        <v/>
      </c>
      <c r="I1813" t="str">
        <f t="shared" si="30"/>
        <v>GUARDIAN</v>
      </c>
    </row>
    <row r="1814" spans="1:9" x14ac:dyDescent="0.3">
      <c r="A1814" t="str">
        <f>""</f>
        <v/>
      </c>
      <c r="F1814" t="str">
        <f>""</f>
        <v/>
      </c>
      <c r="G1814" t="str">
        <f>""</f>
        <v/>
      </c>
      <c r="I1814" t="str">
        <f t="shared" si="30"/>
        <v>GUARDIAN</v>
      </c>
    </row>
    <row r="1815" spans="1:9" x14ac:dyDescent="0.3">
      <c r="A1815" t="str">
        <f>""</f>
        <v/>
      </c>
      <c r="F1815" t="str">
        <f>""</f>
        <v/>
      </c>
      <c r="G1815" t="str">
        <f>""</f>
        <v/>
      </c>
      <c r="I1815" t="str">
        <f t="shared" si="30"/>
        <v>GUARDIAN</v>
      </c>
    </row>
    <row r="1816" spans="1:9" x14ac:dyDescent="0.3">
      <c r="A1816" t="str">
        <f>""</f>
        <v/>
      </c>
      <c r="F1816" t="str">
        <f>""</f>
        <v/>
      </c>
      <c r="G1816" t="str">
        <f>""</f>
        <v/>
      </c>
      <c r="I1816" t="str">
        <f t="shared" si="30"/>
        <v>GUARDIAN</v>
      </c>
    </row>
    <row r="1817" spans="1:9" x14ac:dyDescent="0.3">
      <c r="A1817" t="str">
        <f>""</f>
        <v/>
      </c>
      <c r="F1817" t="str">
        <f>""</f>
        <v/>
      </c>
      <c r="G1817" t="str">
        <f>""</f>
        <v/>
      </c>
      <c r="I1817" t="str">
        <f t="shared" si="30"/>
        <v>GUARDIAN</v>
      </c>
    </row>
    <row r="1818" spans="1:9" x14ac:dyDescent="0.3">
      <c r="A1818" t="str">
        <f>""</f>
        <v/>
      </c>
      <c r="F1818" t="str">
        <f>""</f>
        <v/>
      </c>
      <c r="G1818" t="str">
        <f>""</f>
        <v/>
      </c>
      <c r="I1818" t="str">
        <f t="shared" si="30"/>
        <v>GUARDIAN</v>
      </c>
    </row>
    <row r="1819" spans="1:9" x14ac:dyDescent="0.3">
      <c r="A1819" t="str">
        <f>""</f>
        <v/>
      </c>
      <c r="F1819" t="str">
        <f>""</f>
        <v/>
      </c>
      <c r="G1819" t="str">
        <f>""</f>
        <v/>
      </c>
      <c r="I1819" t="str">
        <f t="shared" si="30"/>
        <v>GUARDIAN</v>
      </c>
    </row>
    <row r="1820" spans="1:9" x14ac:dyDescent="0.3">
      <c r="A1820" t="str">
        <f>""</f>
        <v/>
      </c>
      <c r="F1820" t="str">
        <f>""</f>
        <v/>
      </c>
      <c r="G1820" t="str">
        <f>""</f>
        <v/>
      </c>
      <c r="I1820" t="str">
        <f t="shared" si="30"/>
        <v>GUARDIAN</v>
      </c>
    </row>
    <row r="1821" spans="1:9" x14ac:dyDescent="0.3">
      <c r="A1821" t="str">
        <f>""</f>
        <v/>
      </c>
      <c r="F1821" t="str">
        <f>""</f>
        <v/>
      </c>
      <c r="G1821" t="str">
        <f>""</f>
        <v/>
      </c>
      <c r="I1821" t="str">
        <f t="shared" si="30"/>
        <v>GUARDIAN</v>
      </c>
    </row>
    <row r="1822" spans="1:9" x14ac:dyDescent="0.3">
      <c r="A1822" t="str">
        <f>""</f>
        <v/>
      </c>
      <c r="F1822" t="str">
        <f>""</f>
        <v/>
      </c>
      <c r="G1822" t="str">
        <f>""</f>
        <v/>
      </c>
      <c r="I1822" t="str">
        <f t="shared" si="30"/>
        <v>GUARDIAN</v>
      </c>
    </row>
    <row r="1823" spans="1:9" x14ac:dyDescent="0.3">
      <c r="A1823" t="str">
        <f>""</f>
        <v/>
      </c>
      <c r="F1823" t="str">
        <f>""</f>
        <v/>
      </c>
      <c r="G1823" t="str">
        <f>""</f>
        <v/>
      </c>
      <c r="I1823" t="str">
        <f t="shared" si="30"/>
        <v>GUARDIAN</v>
      </c>
    </row>
    <row r="1824" spans="1:9" x14ac:dyDescent="0.3">
      <c r="A1824" t="str">
        <f>""</f>
        <v/>
      </c>
      <c r="F1824" t="str">
        <f>""</f>
        <v/>
      </c>
      <c r="G1824" t="str">
        <f>""</f>
        <v/>
      </c>
      <c r="I1824" t="str">
        <f t="shared" si="30"/>
        <v>GUARDIAN</v>
      </c>
    </row>
    <row r="1825" spans="1:9" x14ac:dyDescent="0.3">
      <c r="A1825" t="str">
        <f>""</f>
        <v/>
      </c>
      <c r="F1825" t="str">
        <f>""</f>
        <v/>
      </c>
      <c r="G1825" t="str">
        <f>""</f>
        <v/>
      </c>
      <c r="I1825" t="str">
        <f t="shared" si="30"/>
        <v>GUARDIAN</v>
      </c>
    </row>
    <row r="1826" spans="1:9" x14ac:dyDescent="0.3">
      <c r="A1826" t="str">
        <f>""</f>
        <v/>
      </c>
      <c r="F1826" t="str">
        <f>""</f>
        <v/>
      </c>
      <c r="G1826" t="str">
        <f>""</f>
        <v/>
      </c>
      <c r="I1826" t="str">
        <f t="shared" si="30"/>
        <v>GUARDIAN</v>
      </c>
    </row>
    <row r="1827" spans="1:9" x14ac:dyDescent="0.3">
      <c r="A1827" t="str">
        <f>""</f>
        <v/>
      </c>
      <c r="F1827" t="str">
        <f>""</f>
        <v/>
      </c>
      <c r="G1827" t="str">
        <f>""</f>
        <v/>
      </c>
      <c r="I1827" t="str">
        <f t="shared" si="30"/>
        <v>GUARDIAN</v>
      </c>
    </row>
    <row r="1828" spans="1:9" x14ac:dyDescent="0.3">
      <c r="A1828" t="str">
        <f>""</f>
        <v/>
      </c>
      <c r="F1828" t="str">
        <f>""</f>
        <v/>
      </c>
      <c r="G1828" t="str">
        <f>""</f>
        <v/>
      </c>
      <c r="I1828" t="str">
        <f t="shared" si="30"/>
        <v>GUARDIAN</v>
      </c>
    </row>
    <row r="1829" spans="1:9" x14ac:dyDescent="0.3">
      <c r="A1829" t="str">
        <f>""</f>
        <v/>
      </c>
      <c r="F1829" t="str">
        <f>""</f>
        <v/>
      </c>
      <c r="G1829" t="str">
        <f>""</f>
        <v/>
      </c>
      <c r="I1829" t="str">
        <f t="shared" si="30"/>
        <v>GUARDIAN</v>
      </c>
    </row>
    <row r="1830" spans="1:9" x14ac:dyDescent="0.3">
      <c r="A1830" t="str">
        <f>""</f>
        <v/>
      </c>
      <c r="F1830" t="str">
        <f>""</f>
        <v/>
      </c>
      <c r="G1830" t="str">
        <f>""</f>
        <v/>
      </c>
      <c r="I1830" t="str">
        <f t="shared" si="30"/>
        <v>GUARDIAN</v>
      </c>
    </row>
    <row r="1831" spans="1:9" x14ac:dyDescent="0.3">
      <c r="A1831" t="str">
        <f>""</f>
        <v/>
      </c>
      <c r="F1831" t="str">
        <f>""</f>
        <v/>
      </c>
      <c r="G1831" t="str">
        <f>""</f>
        <v/>
      </c>
      <c r="I1831" t="str">
        <f t="shared" si="30"/>
        <v>GUARDIAN</v>
      </c>
    </row>
    <row r="1832" spans="1:9" x14ac:dyDescent="0.3">
      <c r="A1832" t="str">
        <f>""</f>
        <v/>
      </c>
      <c r="F1832" t="str">
        <f>""</f>
        <v/>
      </c>
      <c r="G1832" t="str">
        <f>""</f>
        <v/>
      </c>
      <c r="I1832" t="str">
        <f t="shared" si="30"/>
        <v>GUARDIAN</v>
      </c>
    </row>
    <row r="1833" spans="1:9" x14ac:dyDescent="0.3">
      <c r="A1833" t="str">
        <f>""</f>
        <v/>
      </c>
      <c r="F1833" t="str">
        <f>""</f>
        <v/>
      </c>
      <c r="G1833" t="str">
        <f>""</f>
        <v/>
      </c>
      <c r="I1833" t="str">
        <f t="shared" si="30"/>
        <v>GUARDIAN</v>
      </c>
    </row>
    <row r="1834" spans="1:9" x14ac:dyDescent="0.3">
      <c r="A1834" t="str">
        <f>""</f>
        <v/>
      </c>
      <c r="F1834" t="str">
        <f>""</f>
        <v/>
      </c>
      <c r="G1834" t="str">
        <f>""</f>
        <v/>
      </c>
      <c r="I1834" t="str">
        <f t="shared" si="30"/>
        <v>GUARDIAN</v>
      </c>
    </row>
    <row r="1835" spans="1:9" x14ac:dyDescent="0.3">
      <c r="A1835" t="str">
        <f>""</f>
        <v/>
      </c>
      <c r="F1835" t="str">
        <f>""</f>
        <v/>
      </c>
      <c r="G1835" t="str">
        <f>""</f>
        <v/>
      </c>
      <c r="I1835" t="str">
        <f t="shared" si="30"/>
        <v>GUARDIAN</v>
      </c>
    </row>
    <row r="1836" spans="1:9" x14ac:dyDescent="0.3">
      <c r="A1836" t="str">
        <f>""</f>
        <v/>
      </c>
      <c r="F1836" t="str">
        <f>""</f>
        <v/>
      </c>
      <c r="G1836" t="str">
        <f>""</f>
        <v/>
      </c>
      <c r="I1836" t="str">
        <f t="shared" si="30"/>
        <v>GUARDIAN</v>
      </c>
    </row>
    <row r="1837" spans="1:9" x14ac:dyDescent="0.3">
      <c r="A1837" t="str">
        <f>""</f>
        <v/>
      </c>
      <c r="F1837" t="str">
        <f>""</f>
        <v/>
      </c>
      <c r="G1837" t="str">
        <f>""</f>
        <v/>
      </c>
      <c r="I1837" t="str">
        <f t="shared" si="30"/>
        <v>GUARDIAN</v>
      </c>
    </row>
    <row r="1838" spans="1:9" x14ac:dyDescent="0.3">
      <c r="A1838" t="str">
        <f>""</f>
        <v/>
      </c>
      <c r="F1838" t="str">
        <f>""</f>
        <v/>
      </c>
      <c r="G1838" t="str">
        <f>""</f>
        <v/>
      </c>
      <c r="I1838" t="str">
        <f t="shared" si="30"/>
        <v>GUARDIAN</v>
      </c>
    </row>
    <row r="1839" spans="1:9" x14ac:dyDescent="0.3">
      <c r="A1839" t="str">
        <f>""</f>
        <v/>
      </c>
      <c r="F1839" t="str">
        <f>""</f>
        <v/>
      </c>
      <c r="G1839" t="str">
        <f>""</f>
        <v/>
      </c>
      <c r="I1839" t="str">
        <f t="shared" si="30"/>
        <v>GUARDIAN</v>
      </c>
    </row>
    <row r="1840" spans="1:9" x14ac:dyDescent="0.3">
      <c r="A1840" t="str">
        <f>""</f>
        <v/>
      </c>
      <c r="F1840" t="str">
        <f>""</f>
        <v/>
      </c>
      <c r="G1840" t="str">
        <f>""</f>
        <v/>
      </c>
      <c r="I1840" t="str">
        <f t="shared" ref="I1840:I1871" si="31">"GUARDIAN"</f>
        <v>GUARDIAN</v>
      </c>
    </row>
    <row r="1841" spans="1:9" x14ac:dyDescent="0.3">
      <c r="A1841" t="str">
        <f>""</f>
        <v/>
      </c>
      <c r="F1841" t="str">
        <f>""</f>
        <v/>
      </c>
      <c r="G1841" t="str">
        <f>""</f>
        <v/>
      </c>
      <c r="I1841" t="str">
        <f t="shared" si="31"/>
        <v>GUARDIAN</v>
      </c>
    </row>
    <row r="1842" spans="1:9" x14ac:dyDescent="0.3">
      <c r="A1842" t="str">
        <f>""</f>
        <v/>
      </c>
      <c r="F1842" t="str">
        <f>"LIE201704050691"</f>
        <v>LIE201704050691</v>
      </c>
      <c r="G1842" t="str">
        <f>"GUARDIAN"</f>
        <v>GUARDIAN</v>
      </c>
      <c r="H1842" s="2">
        <v>134.1</v>
      </c>
      <c r="I1842" t="str">
        <f t="shared" si="31"/>
        <v>GUARDIAN</v>
      </c>
    </row>
    <row r="1843" spans="1:9" x14ac:dyDescent="0.3">
      <c r="A1843" t="str">
        <f>""</f>
        <v/>
      </c>
      <c r="F1843" t="str">
        <f>""</f>
        <v/>
      </c>
      <c r="G1843" t="str">
        <f>""</f>
        <v/>
      </c>
      <c r="I1843" t="str">
        <f t="shared" si="31"/>
        <v>GUARDIAN</v>
      </c>
    </row>
    <row r="1844" spans="1:9" x14ac:dyDescent="0.3">
      <c r="A1844" t="str">
        <f>""</f>
        <v/>
      </c>
      <c r="F1844" t="str">
        <f>"LIE201704191327"</f>
        <v>LIE201704191327</v>
      </c>
      <c r="G1844" t="str">
        <f>"GUARDIAN"</f>
        <v>GUARDIAN</v>
      </c>
      <c r="H1844" s="2">
        <v>3056.75</v>
      </c>
      <c r="I1844" t="str">
        <f t="shared" si="31"/>
        <v>GUARDIAN</v>
      </c>
    </row>
    <row r="1845" spans="1:9" x14ac:dyDescent="0.3">
      <c r="A1845" t="str">
        <f>""</f>
        <v/>
      </c>
      <c r="F1845" t="str">
        <f>""</f>
        <v/>
      </c>
      <c r="G1845" t="str">
        <f>""</f>
        <v/>
      </c>
      <c r="I1845" t="str">
        <f t="shared" si="31"/>
        <v>GUARDIAN</v>
      </c>
    </row>
    <row r="1846" spans="1:9" x14ac:dyDescent="0.3">
      <c r="A1846" t="str">
        <f>""</f>
        <v/>
      </c>
      <c r="F1846" t="str">
        <f>""</f>
        <v/>
      </c>
      <c r="G1846" t="str">
        <f>""</f>
        <v/>
      </c>
      <c r="I1846" t="str">
        <f t="shared" si="31"/>
        <v>GUARDIAN</v>
      </c>
    </row>
    <row r="1847" spans="1:9" x14ac:dyDescent="0.3">
      <c r="A1847" t="str">
        <f>""</f>
        <v/>
      </c>
      <c r="F1847" t="str">
        <f>""</f>
        <v/>
      </c>
      <c r="G1847" t="str">
        <f>""</f>
        <v/>
      </c>
      <c r="I1847" t="str">
        <f t="shared" si="31"/>
        <v>GUARDIAN</v>
      </c>
    </row>
    <row r="1848" spans="1:9" x14ac:dyDescent="0.3">
      <c r="A1848" t="str">
        <f>""</f>
        <v/>
      </c>
      <c r="F1848" t="str">
        <f>""</f>
        <v/>
      </c>
      <c r="G1848" t="str">
        <f>""</f>
        <v/>
      </c>
      <c r="I1848" t="str">
        <f t="shared" si="31"/>
        <v>GUARDIAN</v>
      </c>
    </row>
    <row r="1849" spans="1:9" x14ac:dyDescent="0.3">
      <c r="A1849" t="str">
        <f>""</f>
        <v/>
      </c>
      <c r="F1849" t="str">
        <f>""</f>
        <v/>
      </c>
      <c r="G1849" t="str">
        <f>""</f>
        <v/>
      </c>
      <c r="I1849" t="str">
        <f t="shared" si="31"/>
        <v>GUARDIAN</v>
      </c>
    </row>
    <row r="1850" spans="1:9" x14ac:dyDescent="0.3">
      <c r="A1850" t="str">
        <f>""</f>
        <v/>
      </c>
      <c r="F1850" t="str">
        <f>""</f>
        <v/>
      </c>
      <c r="G1850" t="str">
        <f>""</f>
        <v/>
      </c>
      <c r="I1850" t="str">
        <f t="shared" si="31"/>
        <v>GUARDIAN</v>
      </c>
    </row>
    <row r="1851" spans="1:9" x14ac:dyDescent="0.3">
      <c r="A1851" t="str">
        <f>""</f>
        <v/>
      </c>
      <c r="F1851" t="str">
        <f>""</f>
        <v/>
      </c>
      <c r="G1851" t="str">
        <f>""</f>
        <v/>
      </c>
      <c r="I1851" t="str">
        <f t="shared" si="31"/>
        <v>GUARDIAN</v>
      </c>
    </row>
    <row r="1852" spans="1:9" x14ac:dyDescent="0.3">
      <c r="A1852" t="str">
        <f>""</f>
        <v/>
      </c>
      <c r="F1852" t="str">
        <f>""</f>
        <v/>
      </c>
      <c r="G1852" t="str">
        <f>""</f>
        <v/>
      </c>
      <c r="I1852" t="str">
        <f t="shared" si="31"/>
        <v>GUARDIAN</v>
      </c>
    </row>
    <row r="1853" spans="1:9" x14ac:dyDescent="0.3">
      <c r="A1853" t="str">
        <f>""</f>
        <v/>
      </c>
      <c r="F1853" t="str">
        <f>""</f>
        <v/>
      </c>
      <c r="G1853" t="str">
        <f>""</f>
        <v/>
      </c>
      <c r="I1853" t="str">
        <f t="shared" si="31"/>
        <v>GUARDIAN</v>
      </c>
    </row>
    <row r="1854" spans="1:9" x14ac:dyDescent="0.3">
      <c r="A1854" t="str">
        <f>""</f>
        <v/>
      </c>
      <c r="F1854" t="str">
        <f>""</f>
        <v/>
      </c>
      <c r="G1854" t="str">
        <f>""</f>
        <v/>
      </c>
      <c r="I1854" t="str">
        <f t="shared" si="31"/>
        <v>GUARDIAN</v>
      </c>
    </row>
    <row r="1855" spans="1:9" x14ac:dyDescent="0.3">
      <c r="A1855" t="str">
        <f>""</f>
        <v/>
      </c>
      <c r="F1855" t="str">
        <f>""</f>
        <v/>
      </c>
      <c r="G1855" t="str">
        <f>""</f>
        <v/>
      </c>
      <c r="I1855" t="str">
        <f t="shared" si="31"/>
        <v>GUARDIAN</v>
      </c>
    </row>
    <row r="1856" spans="1:9" x14ac:dyDescent="0.3">
      <c r="A1856" t="str">
        <f>""</f>
        <v/>
      </c>
      <c r="F1856" t="str">
        <f>""</f>
        <v/>
      </c>
      <c r="G1856" t="str">
        <f>""</f>
        <v/>
      </c>
      <c r="I1856" t="str">
        <f t="shared" si="31"/>
        <v>GUARDIAN</v>
      </c>
    </row>
    <row r="1857" spans="1:9" x14ac:dyDescent="0.3">
      <c r="A1857" t="str">
        <f>""</f>
        <v/>
      </c>
      <c r="F1857" t="str">
        <f>""</f>
        <v/>
      </c>
      <c r="G1857" t="str">
        <f>""</f>
        <v/>
      </c>
      <c r="I1857" t="str">
        <f t="shared" si="31"/>
        <v>GUARDIAN</v>
      </c>
    </row>
    <row r="1858" spans="1:9" x14ac:dyDescent="0.3">
      <c r="A1858" t="str">
        <f>""</f>
        <v/>
      </c>
      <c r="F1858" t="str">
        <f>""</f>
        <v/>
      </c>
      <c r="G1858" t="str">
        <f>""</f>
        <v/>
      </c>
      <c r="I1858" t="str">
        <f t="shared" si="31"/>
        <v>GUARDIAN</v>
      </c>
    </row>
    <row r="1859" spans="1:9" x14ac:dyDescent="0.3">
      <c r="A1859" t="str">
        <f>""</f>
        <v/>
      </c>
      <c r="F1859" t="str">
        <f>""</f>
        <v/>
      </c>
      <c r="G1859" t="str">
        <f>""</f>
        <v/>
      </c>
      <c r="I1859" t="str">
        <f t="shared" si="31"/>
        <v>GUARDIAN</v>
      </c>
    </row>
    <row r="1860" spans="1:9" x14ac:dyDescent="0.3">
      <c r="A1860" t="str">
        <f>""</f>
        <v/>
      </c>
      <c r="F1860" t="str">
        <f>""</f>
        <v/>
      </c>
      <c r="G1860" t="str">
        <f>""</f>
        <v/>
      </c>
      <c r="I1860" t="str">
        <f t="shared" si="31"/>
        <v>GUARDIAN</v>
      </c>
    </row>
    <row r="1861" spans="1:9" x14ac:dyDescent="0.3">
      <c r="A1861" t="str">
        <f>""</f>
        <v/>
      </c>
      <c r="F1861" t="str">
        <f>""</f>
        <v/>
      </c>
      <c r="G1861" t="str">
        <f>""</f>
        <v/>
      </c>
      <c r="I1861" t="str">
        <f t="shared" si="31"/>
        <v>GUARDIAN</v>
      </c>
    </row>
    <row r="1862" spans="1:9" x14ac:dyDescent="0.3">
      <c r="A1862" t="str">
        <f>""</f>
        <v/>
      </c>
      <c r="F1862" t="str">
        <f>""</f>
        <v/>
      </c>
      <c r="G1862" t="str">
        <f>""</f>
        <v/>
      </c>
      <c r="I1862" t="str">
        <f t="shared" si="31"/>
        <v>GUARDIAN</v>
      </c>
    </row>
    <row r="1863" spans="1:9" x14ac:dyDescent="0.3">
      <c r="A1863" t="str">
        <f>""</f>
        <v/>
      </c>
      <c r="F1863" t="str">
        <f>""</f>
        <v/>
      </c>
      <c r="G1863" t="str">
        <f>""</f>
        <v/>
      </c>
      <c r="I1863" t="str">
        <f t="shared" si="31"/>
        <v>GUARDIAN</v>
      </c>
    </row>
    <row r="1864" spans="1:9" x14ac:dyDescent="0.3">
      <c r="A1864" t="str">
        <f>""</f>
        <v/>
      </c>
      <c r="F1864" t="str">
        <f>""</f>
        <v/>
      </c>
      <c r="G1864" t="str">
        <f>""</f>
        <v/>
      </c>
      <c r="I1864" t="str">
        <f t="shared" si="31"/>
        <v>GUARDIAN</v>
      </c>
    </row>
    <row r="1865" spans="1:9" x14ac:dyDescent="0.3">
      <c r="A1865" t="str">
        <f>""</f>
        <v/>
      </c>
      <c r="F1865" t="str">
        <f>""</f>
        <v/>
      </c>
      <c r="G1865" t="str">
        <f>""</f>
        <v/>
      </c>
      <c r="I1865" t="str">
        <f t="shared" si="31"/>
        <v>GUARDIAN</v>
      </c>
    </row>
    <row r="1866" spans="1:9" x14ac:dyDescent="0.3">
      <c r="A1866" t="str">
        <f>""</f>
        <v/>
      </c>
      <c r="F1866" t="str">
        <f>""</f>
        <v/>
      </c>
      <c r="G1866" t="str">
        <f>""</f>
        <v/>
      </c>
      <c r="I1866" t="str">
        <f t="shared" si="31"/>
        <v>GUARDIAN</v>
      </c>
    </row>
    <row r="1867" spans="1:9" x14ac:dyDescent="0.3">
      <c r="A1867" t="str">
        <f>""</f>
        <v/>
      </c>
      <c r="F1867" t="str">
        <f>""</f>
        <v/>
      </c>
      <c r="G1867" t="str">
        <f>""</f>
        <v/>
      </c>
      <c r="I1867" t="str">
        <f t="shared" si="31"/>
        <v>GUARDIAN</v>
      </c>
    </row>
    <row r="1868" spans="1:9" x14ac:dyDescent="0.3">
      <c r="A1868" t="str">
        <f>""</f>
        <v/>
      </c>
      <c r="F1868" t="str">
        <f>""</f>
        <v/>
      </c>
      <c r="G1868" t="str">
        <f>""</f>
        <v/>
      </c>
      <c r="I1868" t="str">
        <f t="shared" si="31"/>
        <v>GUARDIAN</v>
      </c>
    </row>
    <row r="1869" spans="1:9" x14ac:dyDescent="0.3">
      <c r="A1869" t="str">
        <f>""</f>
        <v/>
      </c>
      <c r="F1869" t="str">
        <f>""</f>
        <v/>
      </c>
      <c r="G1869" t="str">
        <f>""</f>
        <v/>
      </c>
      <c r="I1869" t="str">
        <f t="shared" si="31"/>
        <v>GUARDIAN</v>
      </c>
    </row>
    <row r="1870" spans="1:9" x14ac:dyDescent="0.3">
      <c r="A1870" t="str">
        <f>""</f>
        <v/>
      </c>
      <c r="F1870" t="str">
        <f>""</f>
        <v/>
      </c>
      <c r="G1870" t="str">
        <f>""</f>
        <v/>
      </c>
      <c r="I1870" t="str">
        <f t="shared" si="31"/>
        <v>GUARDIAN</v>
      </c>
    </row>
    <row r="1871" spans="1:9" x14ac:dyDescent="0.3">
      <c r="A1871" t="str">
        <f>""</f>
        <v/>
      </c>
      <c r="F1871" t="str">
        <f>""</f>
        <v/>
      </c>
      <c r="G1871" t="str">
        <f>""</f>
        <v/>
      </c>
      <c r="I1871" t="str">
        <f t="shared" si="31"/>
        <v>GUARDIAN</v>
      </c>
    </row>
    <row r="1872" spans="1:9" x14ac:dyDescent="0.3">
      <c r="A1872" t="str">
        <f>""</f>
        <v/>
      </c>
      <c r="F1872" t="str">
        <f>""</f>
        <v/>
      </c>
      <c r="G1872" t="str">
        <f>""</f>
        <v/>
      </c>
      <c r="I1872" t="str">
        <f t="shared" ref="I1872:I1907" si="32">"GUARDIAN"</f>
        <v>GUARDIAN</v>
      </c>
    </row>
    <row r="1873" spans="1:9" x14ac:dyDescent="0.3">
      <c r="A1873" t="str">
        <f>""</f>
        <v/>
      </c>
      <c r="F1873" t="str">
        <f>""</f>
        <v/>
      </c>
      <c r="G1873" t="str">
        <f>""</f>
        <v/>
      </c>
      <c r="I1873" t="str">
        <f t="shared" si="32"/>
        <v>GUARDIAN</v>
      </c>
    </row>
    <row r="1874" spans="1:9" x14ac:dyDescent="0.3">
      <c r="A1874" t="str">
        <f>""</f>
        <v/>
      </c>
      <c r="F1874" t="str">
        <f>""</f>
        <v/>
      </c>
      <c r="G1874" t="str">
        <f>""</f>
        <v/>
      </c>
      <c r="I1874" t="str">
        <f t="shared" si="32"/>
        <v>GUARDIAN</v>
      </c>
    </row>
    <row r="1875" spans="1:9" x14ac:dyDescent="0.3">
      <c r="A1875" t="str">
        <f>""</f>
        <v/>
      </c>
      <c r="F1875" t="str">
        <f>""</f>
        <v/>
      </c>
      <c r="G1875" t="str">
        <f>""</f>
        <v/>
      </c>
      <c r="I1875" t="str">
        <f t="shared" si="32"/>
        <v>GUARDIAN</v>
      </c>
    </row>
    <row r="1876" spans="1:9" x14ac:dyDescent="0.3">
      <c r="A1876" t="str">
        <f>""</f>
        <v/>
      </c>
      <c r="F1876" t="str">
        <f>""</f>
        <v/>
      </c>
      <c r="G1876" t="str">
        <f>""</f>
        <v/>
      </c>
      <c r="I1876" t="str">
        <f t="shared" si="32"/>
        <v>GUARDIAN</v>
      </c>
    </row>
    <row r="1877" spans="1:9" x14ac:dyDescent="0.3">
      <c r="A1877" t="str">
        <f>""</f>
        <v/>
      </c>
      <c r="F1877" t="str">
        <f>""</f>
        <v/>
      </c>
      <c r="G1877" t="str">
        <f>""</f>
        <v/>
      </c>
      <c r="I1877" t="str">
        <f t="shared" si="32"/>
        <v>GUARDIAN</v>
      </c>
    </row>
    <row r="1878" spans="1:9" x14ac:dyDescent="0.3">
      <c r="A1878" t="str">
        <f>""</f>
        <v/>
      </c>
      <c r="F1878" t="str">
        <f>""</f>
        <v/>
      </c>
      <c r="G1878" t="str">
        <f>""</f>
        <v/>
      </c>
      <c r="I1878" t="str">
        <f t="shared" si="32"/>
        <v>GUARDIAN</v>
      </c>
    </row>
    <row r="1879" spans="1:9" x14ac:dyDescent="0.3">
      <c r="A1879" t="str">
        <f>""</f>
        <v/>
      </c>
      <c r="F1879" t="str">
        <f>""</f>
        <v/>
      </c>
      <c r="G1879" t="str">
        <f>""</f>
        <v/>
      </c>
      <c r="I1879" t="str">
        <f t="shared" si="32"/>
        <v>GUARDIAN</v>
      </c>
    </row>
    <row r="1880" spans="1:9" x14ac:dyDescent="0.3">
      <c r="A1880" t="str">
        <f>""</f>
        <v/>
      </c>
      <c r="F1880" t="str">
        <f>""</f>
        <v/>
      </c>
      <c r="G1880" t="str">
        <f>""</f>
        <v/>
      </c>
      <c r="I1880" t="str">
        <f t="shared" si="32"/>
        <v>GUARDIAN</v>
      </c>
    </row>
    <row r="1881" spans="1:9" x14ac:dyDescent="0.3">
      <c r="A1881" t="str">
        <f>""</f>
        <v/>
      </c>
      <c r="F1881" t="str">
        <f>""</f>
        <v/>
      </c>
      <c r="G1881" t="str">
        <f>""</f>
        <v/>
      </c>
      <c r="I1881" t="str">
        <f t="shared" si="32"/>
        <v>GUARDIAN</v>
      </c>
    </row>
    <row r="1882" spans="1:9" x14ac:dyDescent="0.3">
      <c r="A1882" t="str">
        <f>""</f>
        <v/>
      </c>
      <c r="F1882" t="str">
        <f>""</f>
        <v/>
      </c>
      <c r="G1882" t="str">
        <f>""</f>
        <v/>
      </c>
      <c r="I1882" t="str">
        <f t="shared" si="32"/>
        <v>GUARDIAN</v>
      </c>
    </row>
    <row r="1883" spans="1:9" x14ac:dyDescent="0.3">
      <c r="A1883" t="str">
        <f>""</f>
        <v/>
      </c>
      <c r="F1883" t="str">
        <f>""</f>
        <v/>
      </c>
      <c r="G1883" t="str">
        <f>""</f>
        <v/>
      </c>
      <c r="I1883" t="str">
        <f t="shared" si="32"/>
        <v>GUARDIAN</v>
      </c>
    </row>
    <row r="1884" spans="1:9" x14ac:dyDescent="0.3">
      <c r="A1884" t="str">
        <f>""</f>
        <v/>
      </c>
      <c r="F1884" t="str">
        <f>""</f>
        <v/>
      </c>
      <c r="G1884" t="str">
        <f>""</f>
        <v/>
      </c>
      <c r="I1884" t="str">
        <f t="shared" si="32"/>
        <v>GUARDIAN</v>
      </c>
    </row>
    <row r="1885" spans="1:9" x14ac:dyDescent="0.3">
      <c r="A1885" t="str">
        <f>""</f>
        <v/>
      </c>
      <c r="F1885" t="str">
        <f>""</f>
        <v/>
      </c>
      <c r="G1885" t="str">
        <f>""</f>
        <v/>
      </c>
      <c r="I1885" t="str">
        <f t="shared" si="32"/>
        <v>GUARDIAN</v>
      </c>
    </row>
    <row r="1886" spans="1:9" x14ac:dyDescent="0.3">
      <c r="A1886" t="str">
        <f>""</f>
        <v/>
      </c>
      <c r="F1886" t="str">
        <f>""</f>
        <v/>
      </c>
      <c r="G1886" t="str">
        <f>""</f>
        <v/>
      </c>
      <c r="I1886" t="str">
        <f t="shared" si="32"/>
        <v>GUARDIAN</v>
      </c>
    </row>
    <row r="1887" spans="1:9" x14ac:dyDescent="0.3">
      <c r="A1887" t="str">
        <f>""</f>
        <v/>
      </c>
      <c r="F1887" t="str">
        <f>""</f>
        <v/>
      </c>
      <c r="G1887" t="str">
        <f>""</f>
        <v/>
      </c>
      <c r="I1887" t="str">
        <f t="shared" si="32"/>
        <v>GUARDIAN</v>
      </c>
    </row>
    <row r="1888" spans="1:9" x14ac:dyDescent="0.3">
      <c r="A1888" t="str">
        <f>""</f>
        <v/>
      </c>
      <c r="F1888" t="str">
        <f>""</f>
        <v/>
      </c>
      <c r="G1888" t="str">
        <f>""</f>
        <v/>
      </c>
      <c r="I1888" t="str">
        <f t="shared" si="32"/>
        <v>GUARDIAN</v>
      </c>
    </row>
    <row r="1889" spans="1:9" x14ac:dyDescent="0.3">
      <c r="A1889" t="str">
        <f>""</f>
        <v/>
      </c>
      <c r="F1889" t="str">
        <f>""</f>
        <v/>
      </c>
      <c r="G1889" t="str">
        <f>""</f>
        <v/>
      </c>
      <c r="I1889" t="str">
        <f t="shared" si="32"/>
        <v>GUARDIAN</v>
      </c>
    </row>
    <row r="1890" spans="1:9" x14ac:dyDescent="0.3">
      <c r="A1890" t="str">
        <f>""</f>
        <v/>
      </c>
      <c r="F1890" t="str">
        <f>""</f>
        <v/>
      </c>
      <c r="G1890" t="str">
        <f>""</f>
        <v/>
      </c>
      <c r="I1890" t="str">
        <f t="shared" si="32"/>
        <v>GUARDIAN</v>
      </c>
    </row>
    <row r="1891" spans="1:9" x14ac:dyDescent="0.3">
      <c r="A1891" t="str">
        <f>""</f>
        <v/>
      </c>
      <c r="F1891" t="str">
        <f>""</f>
        <v/>
      </c>
      <c r="G1891" t="str">
        <f>""</f>
        <v/>
      </c>
      <c r="I1891" t="str">
        <f t="shared" si="32"/>
        <v>GUARDIAN</v>
      </c>
    </row>
    <row r="1892" spans="1:9" x14ac:dyDescent="0.3">
      <c r="A1892" t="str">
        <f>""</f>
        <v/>
      </c>
      <c r="F1892" t="str">
        <f>""</f>
        <v/>
      </c>
      <c r="G1892" t="str">
        <f>""</f>
        <v/>
      </c>
      <c r="I1892" t="str">
        <f t="shared" si="32"/>
        <v>GUARDIAN</v>
      </c>
    </row>
    <row r="1893" spans="1:9" x14ac:dyDescent="0.3">
      <c r="A1893" t="str">
        <f>""</f>
        <v/>
      </c>
      <c r="F1893" t="str">
        <f>""</f>
        <v/>
      </c>
      <c r="G1893" t="str">
        <f>""</f>
        <v/>
      </c>
      <c r="I1893" t="str">
        <f t="shared" si="32"/>
        <v>GUARDIAN</v>
      </c>
    </row>
    <row r="1894" spans="1:9" x14ac:dyDescent="0.3">
      <c r="A1894" t="str">
        <f>""</f>
        <v/>
      </c>
      <c r="F1894" t="str">
        <f>"LIE201704191328"</f>
        <v>LIE201704191328</v>
      </c>
      <c r="G1894" t="str">
        <f>"GUARDIAN"</f>
        <v>GUARDIAN</v>
      </c>
      <c r="H1894" s="2">
        <v>134.1</v>
      </c>
      <c r="I1894" t="str">
        <f t="shared" si="32"/>
        <v>GUARDIAN</v>
      </c>
    </row>
    <row r="1895" spans="1:9" x14ac:dyDescent="0.3">
      <c r="A1895" t="str">
        <f>""</f>
        <v/>
      </c>
      <c r="F1895" t="str">
        <f>""</f>
        <v/>
      </c>
      <c r="G1895" t="str">
        <f>""</f>
        <v/>
      </c>
      <c r="I1895" t="str">
        <f t="shared" si="32"/>
        <v>GUARDIAN</v>
      </c>
    </row>
    <row r="1896" spans="1:9" x14ac:dyDescent="0.3">
      <c r="A1896" t="str">
        <f>""</f>
        <v/>
      </c>
      <c r="F1896" t="str">
        <f>"LIS201704050690"</f>
        <v>LIS201704050690</v>
      </c>
      <c r="G1896" t="str">
        <f t="shared" ref="G1896:G1907" si="33">"GUARDIAN"</f>
        <v>GUARDIAN</v>
      </c>
      <c r="H1896" s="2">
        <v>422.89</v>
      </c>
      <c r="I1896" t="str">
        <f t="shared" si="32"/>
        <v>GUARDIAN</v>
      </c>
    </row>
    <row r="1897" spans="1:9" x14ac:dyDescent="0.3">
      <c r="A1897" t="str">
        <f>""</f>
        <v/>
      </c>
      <c r="F1897" t="str">
        <f>"LIS201704050691"</f>
        <v>LIS201704050691</v>
      </c>
      <c r="G1897" t="str">
        <f t="shared" si="33"/>
        <v>GUARDIAN</v>
      </c>
      <c r="H1897" s="2">
        <v>33.33</v>
      </c>
      <c r="I1897" t="str">
        <f t="shared" si="32"/>
        <v>GUARDIAN</v>
      </c>
    </row>
    <row r="1898" spans="1:9" x14ac:dyDescent="0.3">
      <c r="A1898" t="str">
        <f>""</f>
        <v/>
      </c>
      <c r="F1898" t="str">
        <f>"LIS201704191327"</f>
        <v>LIS201704191327</v>
      </c>
      <c r="G1898" t="str">
        <f t="shared" si="33"/>
        <v>GUARDIAN</v>
      </c>
      <c r="H1898" s="2">
        <v>417.49</v>
      </c>
      <c r="I1898" t="str">
        <f t="shared" si="32"/>
        <v>GUARDIAN</v>
      </c>
    </row>
    <row r="1899" spans="1:9" x14ac:dyDescent="0.3">
      <c r="A1899" t="str">
        <f>""</f>
        <v/>
      </c>
      <c r="F1899" t="str">
        <f>"LIS201704191328"</f>
        <v>LIS201704191328</v>
      </c>
      <c r="G1899" t="str">
        <f t="shared" si="33"/>
        <v>GUARDIAN</v>
      </c>
      <c r="H1899" s="2">
        <v>33.33</v>
      </c>
      <c r="I1899" t="str">
        <f t="shared" si="32"/>
        <v>GUARDIAN</v>
      </c>
    </row>
    <row r="1900" spans="1:9" x14ac:dyDescent="0.3">
      <c r="A1900" t="str">
        <f>""</f>
        <v/>
      </c>
      <c r="F1900" t="str">
        <f>"LTD201704050690"</f>
        <v>LTD201704050690</v>
      </c>
      <c r="G1900" t="str">
        <f t="shared" si="33"/>
        <v>GUARDIAN</v>
      </c>
      <c r="H1900" s="2">
        <v>775.83</v>
      </c>
      <c r="I1900" t="str">
        <f t="shared" si="32"/>
        <v>GUARDIAN</v>
      </c>
    </row>
    <row r="1901" spans="1:9" x14ac:dyDescent="0.3">
      <c r="A1901" t="str">
        <f>""</f>
        <v/>
      </c>
      <c r="F1901" t="str">
        <f>"LTD201704050691"</f>
        <v>LTD201704050691</v>
      </c>
      <c r="G1901" t="str">
        <f t="shared" si="33"/>
        <v>GUARDIAN</v>
      </c>
      <c r="H1901" s="2">
        <v>62.54</v>
      </c>
      <c r="I1901" t="str">
        <f t="shared" si="32"/>
        <v>GUARDIAN</v>
      </c>
    </row>
    <row r="1902" spans="1:9" x14ac:dyDescent="0.3">
      <c r="A1902" t="str">
        <f>""</f>
        <v/>
      </c>
      <c r="F1902" t="str">
        <f>"LTD201704191327"</f>
        <v>LTD201704191327</v>
      </c>
      <c r="G1902" t="str">
        <f t="shared" si="33"/>
        <v>GUARDIAN</v>
      </c>
      <c r="H1902" s="2">
        <v>775.83</v>
      </c>
      <c r="I1902" t="str">
        <f t="shared" si="32"/>
        <v>GUARDIAN</v>
      </c>
    </row>
    <row r="1903" spans="1:9" x14ac:dyDescent="0.3">
      <c r="A1903" t="str">
        <f>""</f>
        <v/>
      </c>
      <c r="F1903" t="str">
        <f>"LTD201704191328"</f>
        <v>LTD201704191328</v>
      </c>
      <c r="G1903" t="str">
        <f t="shared" si="33"/>
        <v>GUARDIAN</v>
      </c>
      <c r="H1903" s="2">
        <v>62.54</v>
      </c>
      <c r="I1903" t="str">
        <f t="shared" si="32"/>
        <v>GUARDIAN</v>
      </c>
    </row>
    <row r="1904" spans="1:9" x14ac:dyDescent="0.3">
      <c r="A1904" t="str">
        <f>"GUARDI"</f>
        <v>GUARDI</v>
      </c>
      <c r="B1904" t="s">
        <v>460</v>
      </c>
      <c r="C1904">
        <v>0</v>
      </c>
      <c r="D1904" s="2">
        <v>126.32</v>
      </c>
      <c r="E1904" s="1">
        <v>42853</v>
      </c>
      <c r="F1904" t="str">
        <f>"AEG201704050690"</f>
        <v>AEG201704050690</v>
      </c>
      <c r="G1904" t="str">
        <f t="shared" si="33"/>
        <v>GUARDIAN</v>
      </c>
      <c r="H1904" s="2">
        <v>9.51</v>
      </c>
      <c r="I1904" t="str">
        <f t="shared" si="32"/>
        <v>GUARDIAN</v>
      </c>
    </row>
    <row r="1905" spans="1:9" x14ac:dyDescent="0.3">
      <c r="A1905" t="str">
        <f>""</f>
        <v/>
      </c>
      <c r="F1905" t="str">
        <f>"AEG201704191327"</f>
        <v>AEG201704191327</v>
      </c>
      <c r="G1905" t="str">
        <f t="shared" si="33"/>
        <v>GUARDIAN</v>
      </c>
      <c r="H1905" s="2">
        <v>9.51</v>
      </c>
      <c r="I1905" t="str">
        <f t="shared" si="32"/>
        <v>GUARDIAN</v>
      </c>
    </row>
    <row r="1906" spans="1:9" x14ac:dyDescent="0.3">
      <c r="A1906" t="str">
        <f>""</f>
        <v/>
      </c>
      <c r="F1906" t="str">
        <f>"AFG201704050690"</f>
        <v>AFG201704050690</v>
      </c>
      <c r="G1906" t="str">
        <f t="shared" si="33"/>
        <v>GUARDIAN</v>
      </c>
      <c r="H1906" s="2">
        <v>53.65</v>
      </c>
      <c r="I1906" t="str">
        <f t="shared" si="32"/>
        <v>GUARDIAN</v>
      </c>
    </row>
    <row r="1907" spans="1:9" x14ac:dyDescent="0.3">
      <c r="A1907" t="str">
        <f>""</f>
        <v/>
      </c>
      <c r="F1907" t="str">
        <f>"AFG201704191327"</f>
        <v>AFG201704191327</v>
      </c>
      <c r="G1907" t="str">
        <f t="shared" si="33"/>
        <v>GUARDIAN</v>
      </c>
      <c r="H1907" s="2">
        <v>53.65</v>
      </c>
      <c r="I1907" t="str">
        <f t="shared" si="32"/>
        <v>GUARDIAN</v>
      </c>
    </row>
    <row r="1908" spans="1:9" x14ac:dyDescent="0.3">
      <c r="A1908" t="str">
        <f>"IRSACS"</f>
        <v>IRSACS</v>
      </c>
      <c r="B1908" t="s">
        <v>461</v>
      </c>
      <c r="C1908">
        <v>45506</v>
      </c>
      <c r="D1908" s="2">
        <v>238.43</v>
      </c>
      <c r="E1908" s="1">
        <v>42832</v>
      </c>
      <c r="F1908" t="str">
        <f>"IJ2201704050690"</f>
        <v>IJ2201704050690</v>
      </c>
      <c r="G1908" t="str">
        <f>"LISA JACKSON 2 IRS LEVY"</f>
        <v>LISA JACKSON 2 IRS LEVY</v>
      </c>
      <c r="H1908" s="2">
        <v>238.43</v>
      </c>
      <c r="I1908" t="str">
        <f>"LISA JACKSON 2 IRS LEVY"</f>
        <v>LISA JACKSON 2 IRS LEVY</v>
      </c>
    </row>
    <row r="1909" spans="1:9" x14ac:dyDescent="0.3">
      <c r="A1909" t="str">
        <f>"IRSACS"</f>
        <v>IRSACS</v>
      </c>
      <c r="B1909" t="s">
        <v>461</v>
      </c>
      <c r="C1909">
        <v>45535</v>
      </c>
      <c r="D1909" s="2">
        <v>238.43</v>
      </c>
      <c r="E1909" s="1">
        <v>42846</v>
      </c>
      <c r="F1909" t="str">
        <f>"IJ2201704191327"</f>
        <v>IJ2201704191327</v>
      </c>
      <c r="G1909" t="str">
        <f>"LISA JACKSON 2 IRS LEVY"</f>
        <v>LISA JACKSON 2 IRS LEVY</v>
      </c>
      <c r="H1909" s="2">
        <v>238.43</v>
      </c>
      <c r="I1909" t="str">
        <f>"LISA JACKSON 2 IRS LEVY"</f>
        <v>LISA JACKSON 2 IRS LEVY</v>
      </c>
    </row>
    <row r="1910" spans="1:9" x14ac:dyDescent="0.3">
      <c r="A1910" t="str">
        <f>"IRSPY"</f>
        <v>IRSPY</v>
      </c>
      <c r="B1910" t="s">
        <v>462</v>
      </c>
      <c r="C1910">
        <v>0</v>
      </c>
      <c r="D1910" s="2">
        <v>218042.73</v>
      </c>
      <c r="E1910" s="1">
        <v>42832</v>
      </c>
      <c r="F1910" t="str">
        <f>"T1 201704050690"</f>
        <v>T1 201704050690</v>
      </c>
      <c r="G1910" t="str">
        <f>"FEDERAL WITHHOLDING"</f>
        <v>FEDERAL WITHHOLDING</v>
      </c>
      <c r="H1910" s="2">
        <v>78763.91</v>
      </c>
      <c r="I1910" t="str">
        <f>"FEDERAL WITHHOLDING"</f>
        <v>FEDERAL WITHHOLDING</v>
      </c>
    </row>
    <row r="1911" spans="1:9" x14ac:dyDescent="0.3">
      <c r="A1911" t="str">
        <f>""</f>
        <v/>
      </c>
      <c r="F1911" t="str">
        <f>"T1 201704050691"</f>
        <v>T1 201704050691</v>
      </c>
      <c r="G1911" t="str">
        <f>"FEDERAL WITHHOLDING"</f>
        <v>FEDERAL WITHHOLDING</v>
      </c>
      <c r="H1911" s="2">
        <v>3394.25</v>
      </c>
      <c r="I1911" t="str">
        <f>"FEDERAL WITHHOLDING"</f>
        <v>FEDERAL WITHHOLDING</v>
      </c>
    </row>
    <row r="1912" spans="1:9" x14ac:dyDescent="0.3">
      <c r="A1912" t="str">
        <f>""</f>
        <v/>
      </c>
      <c r="F1912" t="str">
        <f>"T1 201704050692"</f>
        <v>T1 201704050692</v>
      </c>
      <c r="G1912" t="str">
        <f>"FEDERAL WITHHOLDING"</f>
        <v>FEDERAL WITHHOLDING</v>
      </c>
      <c r="H1912" s="2">
        <v>4792.4799999999996</v>
      </c>
      <c r="I1912" t="str">
        <f>"FEDERAL WITHHOLDING"</f>
        <v>FEDERAL WITHHOLDING</v>
      </c>
    </row>
    <row r="1913" spans="1:9" x14ac:dyDescent="0.3">
      <c r="A1913" t="str">
        <f>""</f>
        <v/>
      </c>
      <c r="F1913" t="str">
        <f>"T1 201704071192"</f>
        <v>T1 201704071192</v>
      </c>
      <c r="G1913" t="str">
        <f>"FEDERAL WITHHOLDING"</f>
        <v>FEDERAL WITHHOLDING</v>
      </c>
      <c r="H1913" s="2">
        <v>132.27000000000001</v>
      </c>
      <c r="I1913" t="str">
        <f>"FEDERAL WITHHOLDING"</f>
        <v>FEDERAL WITHHOLDING</v>
      </c>
    </row>
    <row r="1914" spans="1:9" x14ac:dyDescent="0.3">
      <c r="A1914" t="str">
        <f>""</f>
        <v/>
      </c>
      <c r="F1914" t="str">
        <f>"T3 201704050690"</f>
        <v>T3 201704050690</v>
      </c>
      <c r="G1914" t="str">
        <f>"SOCIAL SECURITY TAXES"</f>
        <v>SOCIAL SECURITY TAXES</v>
      </c>
      <c r="H1914" s="2">
        <v>96179.06</v>
      </c>
      <c r="I1914" t="str">
        <f t="shared" ref="I1914:I1945" si="34">"SOCIAL SECURITY TAXES"</f>
        <v>SOCIAL SECURITY TAXES</v>
      </c>
    </row>
    <row r="1915" spans="1:9" x14ac:dyDescent="0.3">
      <c r="A1915" t="str">
        <f>""</f>
        <v/>
      </c>
      <c r="F1915" t="str">
        <f>""</f>
        <v/>
      </c>
      <c r="G1915" t="str">
        <f>""</f>
        <v/>
      </c>
      <c r="I1915" t="str">
        <f t="shared" si="34"/>
        <v>SOCIAL SECURITY TAXES</v>
      </c>
    </row>
    <row r="1916" spans="1:9" x14ac:dyDescent="0.3">
      <c r="A1916" t="str">
        <f>""</f>
        <v/>
      </c>
      <c r="F1916" t="str">
        <f>""</f>
        <v/>
      </c>
      <c r="G1916" t="str">
        <f>""</f>
        <v/>
      </c>
      <c r="I1916" t="str">
        <f t="shared" si="34"/>
        <v>SOCIAL SECURITY TAXES</v>
      </c>
    </row>
    <row r="1917" spans="1:9" x14ac:dyDescent="0.3">
      <c r="A1917" t="str">
        <f>""</f>
        <v/>
      </c>
      <c r="F1917" t="str">
        <f>""</f>
        <v/>
      </c>
      <c r="G1917" t="str">
        <f>""</f>
        <v/>
      </c>
      <c r="I1917" t="str">
        <f t="shared" si="34"/>
        <v>SOCIAL SECURITY TAXES</v>
      </c>
    </row>
    <row r="1918" spans="1:9" x14ac:dyDescent="0.3">
      <c r="A1918" t="str">
        <f>""</f>
        <v/>
      </c>
      <c r="F1918" t="str">
        <f>""</f>
        <v/>
      </c>
      <c r="G1918" t="str">
        <f>""</f>
        <v/>
      </c>
      <c r="I1918" t="str">
        <f t="shared" si="34"/>
        <v>SOCIAL SECURITY TAXES</v>
      </c>
    </row>
    <row r="1919" spans="1:9" x14ac:dyDescent="0.3">
      <c r="A1919" t="str">
        <f>""</f>
        <v/>
      </c>
      <c r="F1919" t="str">
        <f>""</f>
        <v/>
      </c>
      <c r="G1919" t="str">
        <f>""</f>
        <v/>
      </c>
      <c r="I1919" t="str">
        <f t="shared" si="34"/>
        <v>SOCIAL SECURITY TAXES</v>
      </c>
    </row>
    <row r="1920" spans="1:9" x14ac:dyDescent="0.3">
      <c r="A1920" t="str">
        <f>""</f>
        <v/>
      </c>
      <c r="F1920" t="str">
        <f>""</f>
        <v/>
      </c>
      <c r="G1920" t="str">
        <f>""</f>
        <v/>
      </c>
      <c r="I1920" t="str">
        <f t="shared" si="34"/>
        <v>SOCIAL SECURITY TAXES</v>
      </c>
    </row>
    <row r="1921" spans="1:9" x14ac:dyDescent="0.3">
      <c r="A1921" t="str">
        <f>""</f>
        <v/>
      </c>
      <c r="F1921" t="str">
        <f>""</f>
        <v/>
      </c>
      <c r="G1921" t="str">
        <f>""</f>
        <v/>
      </c>
      <c r="I1921" t="str">
        <f t="shared" si="34"/>
        <v>SOCIAL SECURITY TAXES</v>
      </c>
    </row>
    <row r="1922" spans="1:9" x14ac:dyDescent="0.3">
      <c r="A1922" t="str">
        <f>""</f>
        <v/>
      </c>
      <c r="F1922" t="str">
        <f>""</f>
        <v/>
      </c>
      <c r="G1922" t="str">
        <f>""</f>
        <v/>
      </c>
      <c r="I1922" t="str">
        <f t="shared" si="34"/>
        <v>SOCIAL SECURITY TAXES</v>
      </c>
    </row>
    <row r="1923" spans="1:9" x14ac:dyDescent="0.3">
      <c r="A1923" t="str">
        <f>""</f>
        <v/>
      </c>
      <c r="F1923" t="str">
        <f>""</f>
        <v/>
      </c>
      <c r="G1923" t="str">
        <f>""</f>
        <v/>
      </c>
      <c r="I1923" t="str">
        <f t="shared" si="34"/>
        <v>SOCIAL SECURITY TAXES</v>
      </c>
    </row>
    <row r="1924" spans="1:9" x14ac:dyDescent="0.3">
      <c r="A1924" t="str">
        <f>""</f>
        <v/>
      </c>
      <c r="F1924" t="str">
        <f>""</f>
        <v/>
      </c>
      <c r="G1924" t="str">
        <f>""</f>
        <v/>
      </c>
      <c r="I1924" t="str">
        <f t="shared" si="34"/>
        <v>SOCIAL SECURITY TAXES</v>
      </c>
    </row>
    <row r="1925" spans="1:9" x14ac:dyDescent="0.3">
      <c r="A1925" t="str">
        <f>""</f>
        <v/>
      </c>
      <c r="F1925" t="str">
        <f>""</f>
        <v/>
      </c>
      <c r="G1925" t="str">
        <f>""</f>
        <v/>
      </c>
      <c r="I1925" t="str">
        <f t="shared" si="34"/>
        <v>SOCIAL SECURITY TAXES</v>
      </c>
    </row>
    <row r="1926" spans="1:9" x14ac:dyDescent="0.3">
      <c r="A1926" t="str">
        <f>""</f>
        <v/>
      </c>
      <c r="F1926" t="str">
        <f>""</f>
        <v/>
      </c>
      <c r="G1926" t="str">
        <f>""</f>
        <v/>
      </c>
      <c r="I1926" t="str">
        <f t="shared" si="34"/>
        <v>SOCIAL SECURITY TAXES</v>
      </c>
    </row>
    <row r="1927" spans="1:9" x14ac:dyDescent="0.3">
      <c r="A1927" t="str">
        <f>""</f>
        <v/>
      </c>
      <c r="F1927" t="str">
        <f>""</f>
        <v/>
      </c>
      <c r="G1927" t="str">
        <f>""</f>
        <v/>
      </c>
      <c r="I1927" t="str">
        <f t="shared" si="34"/>
        <v>SOCIAL SECURITY TAXES</v>
      </c>
    </row>
    <row r="1928" spans="1:9" x14ac:dyDescent="0.3">
      <c r="A1928" t="str">
        <f>""</f>
        <v/>
      </c>
      <c r="F1928" t="str">
        <f>""</f>
        <v/>
      </c>
      <c r="G1928" t="str">
        <f>""</f>
        <v/>
      </c>
      <c r="I1928" t="str">
        <f t="shared" si="34"/>
        <v>SOCIAL SECURITY TAXES</v>
      </c>
    </row>
    <row r="1929" spans="1:9" x14ac:dyDescent="0.3">
      <c r="A1929" t="str">
        <f>""</f>
        <v/>
      </c>
      <c r="F1929" t="str">
        <f>""</f>
        <v/>
      </c>
      <c r="G1929" t="str">
        <f>""</f>
        <v/>
      </c>
      <c r="I1929" t="str">
        <f t="shared" si="34"/>
        <v>SOCIAL SECURITY TAXES</v>
      </c>
    </row>
    <row r="1930" spans="1:9" x14ac:dyDescent="0.3">
      <c r="A1930" t="str">
        <f>""</f>
        <v/>
      </c>
      <c r="F1930" t="str">
        <f>""</f>
        <v/>
      </c>
      <c r="G1930" t="str">
        <f>""</f>
        <v/>
      </c>
      <c r="I1930" t="str">
        <f t="shared" si="34"/>
        <v>SOCIAL SECURITY TAXES</v>
      </c>
    </row>
    <row r="1931" spans="1:9" x14ac:dyDescent="0.3">
      <c r="A1931" t="str">
        <f>""</f>
        <v/>
      </c>
      <c r="F1931" t="str">
        <f>""</f>
        <v/>
      </c>
      <c r="G1931" t="str">
        <f>""</f>
        <v/>
      </c>
      <c r="I1931" t="str">
        <f t="shared" si="34"/>
        <v>SOCIAL SECURITY TAXES</v>
      </c>
    </row>
    <row r="1932" spans="1:9" x14ac:dyDescent="0.3">
      <c r="A1932" t="str">
        <f>""</f>
        <v/>
      </c>
      <c r="F1932" t="str">
        <f>""</f>
        <v/>
      </c>
      <c r="G1932" t="str">
        <f>""</f>
        <v/>
      </c>
      <c r="I1932" t="str">
        <f t="shared" si="34"/>
        <v>SOCIAL SECURITY TAXES</v>
      </c>
    </row>
    <row r="1933" spans="1:9" x14ac:dyDescent="0.3">
      <c r="A1933" t="str">
        <f>""</f>
        <v/>
      </c>
      <c r="F1933" t="str">
        <f>""</f>
        <v/>
      </c>
      <c r="G1933" t="str">
        <f>""</f>
        <v/>
      </c>
      <c r="I1933" t="str">
        <f t="shared" si="34"/>
        <v>SOCIAL SECURITY TAXES</v>
      </c>
    </row>
    <row r="1934" spans="1:9" x14ac:dyDescent="0.3">
      <c r="A1934" t="str">
        <f>""</f>
        <v/>
      </c>
      <c r="F1934" t="str">
        <f>""</f>
        <v/>
      </c>
      <c r="G1934" t="str">
        <f>""</f>
        <v/>
      </c>
      <c r="I1934" t="str">
        <f t="shared" si="34"/>
        <v>SOCIAL SECURITY TAXES</v>
      </c>
    </row>
    <row r="1935" spans="1:9" x14ac:dyDescent="0.3">
      <c r="A1935" t="str">
        <f>""</f>
        <v/>
      </c>
      <c r="F1935" t="str">
        <f>""</f>
        <v/>
      </c>
      <c r="G1935" t="str">
        <f>""</f>
        <v/>
      </c>
      <c r="I1935" t="str">
        <f t="shared" si="34"/>
        <v>SOCIAL SECURITY TAXES</v>
      </c>
    </row>
    <row r="1936" spans="1:9" x14ac:dyDescent="0.3">
      <c r="A1936" t="str">
        <f>""</f>
        <v/>
      </c>
      <c r="F1936" t="str">
        <f>""</f>
        <v/>
      </c>
      <c r="G1936" t="str">
        <f>""</f>
        <v/>
      </c>
      <c r="I1936" t="str">
        <f t="shared" si="34"/>
        <v>SOCIAL SECURITY TAXES</v>
      </c>
    </row>
    <row r="1937" spans="1:9" x14ac:dyDescent="0.3">
      <c r="A1937" t="str">
        <f>""</f>
        <v/>
      </c>
      <c r="F1937" t="str">
        <f>""</f>
        <v/>
      </c>
      <c r="G1937" t="str">
        <f>""</f>
        <v/>
      </c>
      <c r="I1937" t="str">
        <f t="shared" si="34"/>
        <v>SOCIAL SECURITY TAXES</v>
      </c>
    </row>
    <row r="1938" spans="1:9" x14ac:dyDescent="0.3">
      <c r="A1938" t="str">
        <f>""</f>
        <v/>
      </c>
      <c r="F1938" t="str">
        <f>""</f>
        <v/>
      </c>
      <c r="G1938" t="str">
        <f>""</f>
        <v/>
      </c>
      <c r="I1938" t="str">
        <f t="shared" si="34"/>
        <v>SOCIAL SECURITY TAXES</v>
      </c>
    </row>
    <row r="1939" spans="1:9" x14ac:dyDescent="0.3">
      <c r="A1939" t="str">
        <f>""</f>
        <v/>
      </c>
      <c r="F1939" t="str">
        <f>""</f>
        <v/>
      </c>
      <c r="G1939" t="str">
        <f>""</f>
        <v/>
      </c>
      <c r="I1939" t="str">
        <f t="shared" si="34"/>
        <v>SOCIAL SECURITY TAXES</v>
      </c>
    </row>
    <row r="1940" spans="1:9" x14ac:dyDescent="0.3">
      <c r="A1940" t="str">
        <f>""</f>
        <v/>
      </c>
      <c r="F1940" t="str">
        <f>""</f>
        <v/>
      </c>
      <c r="G1940" t="str">
        <f>""</f>
        <v/>
      </c>
      <c r="I1940" t="str">
        <f t="shared" si="34"/>
        <v>SOCIAL SECURITY TAXES</v>
      </c>
    </row>
    <row r="1941" spans="1:9" x14ac:dyDescent="0.3">
      <c r="A1941" t="str">
        <f>""</f>
        <v/>
      </c>
      <c r="F1941" t="str">
        <f>""</f>
        <v/>
      </c>
      <c r="G1941" t="str">
        <f>""</f>
        <v/>
      </c>
      <c r="I1941" t="str">
        <f t="shared" si="34"/>
        <v>SOCIAL SECURITY TAXES</v>
      </c>
    </row>
    <row r="1942" spans="1:9" x14ac:dyDescent="0.3">
      <c r="A1942" t="str">
        <f>""</f>
        <v/>
      </c>
      <c r="F1942" t="str">
        <f>""</f>
        <v/>
      </c>
      <c r="G1942" t="str">
        <f>""</f>
        <v/>
      </c>
      <c r="I1942" t="str">
        <f t="shared" si="34"/>
        <v>SOCIAL SECURITY TAXES</v>
      </c>
    </row>
    <row r="1943" spans="1:9" x14ac:dyDescent="0.3">
      <c r="A1943" t="str">
        <f>""</f>
        <v/>
      </c>
      <c r="F1943" t="str">
        <f>""</f>
        <v/>
      </c>
      <c r="G1943" t="str">
        <f>""</f>
        <v/>
      </c>
      <c r="I1943" t="str">
        <f t="shared" si="34"/>
        <v>SOCIAL SECURITY TAXES</v>
      </c>
    </row>
    <row r="1944" spans="1:9" x14ac:dyDescent="0.3">
      <c r="A1944" t="str">
        <f>""</f>
        <v/>
      </c>
      <c r="F1944" t="str">
        <f>""</f>
        <v/>
      </c>
      <c r="G1944" t="str">
        <f>""</f>
        <v/>
      </c>
      <c r="I1944" t="str">
        <f t="shared" si="34"/>
        <v>SOCIAL SECURITY TAXES</v>
      </c>
    </row>
    <row r="1945" spans="1:9" x14ac:dyDescent="0.3">
      <c r="A1945" t="str">
        <f>""</f>
        <v/>
      </c>
      <c r="F1945" t="str">
        <f>""</f>
        <v/>
      </c>
      <c r="G1945" t="str">
        <f>""</f>
        <v/>
      </c>
      <c r="I1945" t="str">
        <f t="shared" si="34"/>
        <v>SOCIAL SECURITY TAXES</v>
      </c>
    </row>
    <row r="1946" spans="1:9" x14ac:dyDescent="0.3">
      <c r="A1946" t="str">
        <f>""</f>
        <v/>
      </c>
      <c r="F1946" t="str">
        <f>""</f>
        <v/>
      </c>
      <c r="G1946" t="str">
        <f>""</f>
        <v/>
      </c>
      <c r="I1946" t="str">
        <f t="shared" ref="I1946:I1971" si="35">"SOCIAL SECURITY TAXES"</f>
        <v>SOCIAL SECURITY TAXES</v>
      </c>
    </row>
    <row r="1947" spans="1:9" x14ac:dyDescent="0.3">
      <c r="A1947" t="str">
        <f>""</f>
        <v/>
      </c>
      <c r="F1947" t="str">
        <f>""</f>
        <v/>
      </c>
      <c r="G1947" t="str">
        <f>""</f>
        <v/>
      </c>
      <c r="I1947" t="str">
        <f t="shared" si="35"/>
        <v>SOCIAL SECURITY TAXES</v>
      </c>
    </row>
    <row r="1948" spans="1:9" x14ac:dyDescent="0.3">
      <c r="A1948" t="str">
        <f>""</f>
        <v/>
      </c>
      <c r="F1948" t="str">
        <f>""</f>
        <v/>
      </c>
      <c r="G1948" t="str">
        <f>""</f>
        <v/>
      </c>
      <c r="I1948" t="str">
        <f t="shared" si="35"/>
        <v>SOCIAL SECURITY TAXES</v>
      </c>
    </row>
    <row r="1949" spans="1:9" x14ac:dyDescent="0.3">
      <c r="A1949" t="str">
        <f>""</f>
        <v/>
      </c>
      <c r="F1949" t="str">
        <f>""</f>
        <v/>
      </c>
      <c r="G1949" t="str">
        <f>""</f>
        <v/>
      </c>
      <c r="I1949" t="str">
        <f t="shared" si="35"/>
        <v>SOCIAL SECURITY TAXES</v>
      </c>
    </row>
    <row r="1950" spans="1:9" x14ac:dyDescent="0.3">
      <c r="A1950" t="str">
        <f>""</f>
        <v/>
      </c>
      <c r="F1950" t="str">
        <f>""</f>
        <v/>
      </c>
      <c r="G1950" t="str">
        <f>""</f>
        <v/>
      </c>
      <c r="I1950" t="str">
        <f t="shared" si="35"/>
        <v>SOCIAL SECURITY TAXES</v>
      </c>
    </row>
    <row r="1951" spans="1:9" x14ac:dyDescent="0.3">
      <c r="A1951" t="str">
        <f>""</f>
        <v/>
      </c>
      <c r="F1951" t="str">
        <f>""</f>
        <v/>
      </c>
      <c r="G1951" t="str">
        <f>""</f>
        <v/>
      </c>
      <c r="I1951" t="str">
        <f t="shared" si="35"/>
        <v>SOCIAL SECURITY TAXES</v>
      </c>
    </row>
    <row r="1952" spans="1:9" x14ac:dyDescent="0.3">
      <c r="A1952" t="str">
        <f>""</f>
        <v/>
      </c>
      <c r="F1952" t="str">
        <f>""</f>
        <v/>
      </c>
      <c r="G1952" t="str">
        <f>""</f>
        <v/>
      </c>
      <c r="I1952" t="str">
        <f t="shared" si="35"/>
        <v>SOCIAL SECURITY TAXES</v>
      </c>
    </row>
    <row r="1953" spans="1:9" x14ac:dyDescent="0.3">
      <c r="A1953" t="str">
        <f>""</f>
        <v/>
      </c>
      <c r="F1953" t="str">
        <f>""</f>
        <v/>
      </c>
      <c r="G1953" t="str">
        <f>""</f>
        <v/>
      </c>
      <c r="I1953" t="str">
        <f t="shared" si="35"/>
        <v>SOCIAL SECURITY TAXES</v>
      </c>
    </row>
    <row r="1954" spans="1:9" x14ac:dyDescent="0.3">
      <c r="A1954" t="str">
        <f>""</f>
        <v/>
      </c>
      <c r="F1954" t="str">
        <f>""</f>
        <v/>
      </c>
      <c r="G1954" t="str">
        <f>""</f>
        <v/>
      </c>
      <c r="I1954" t="str">
        <f t="shared" si="35"/>
        <v>SOCIAL SECURITY TAXES</v>
      </c>
    </row>
    <row r="1955" spans="1:9" x14ac:dyDescent="0.3">
      <c r="A1955" t="str">
        <f>""</f>
        <v/>
      </c>
      <c r="F1955" t="str">
        <f>""</f>
        <v/>
      </c>
      <c r="G1955" t="str">
        <f>""</f>
        <v/>
      </c>
      <c r="I1955" t="str">
        <f t="shared" si="35"/>
        <v>SOCIAL SECURITY TAXES</v>
      </c>
    </row>
    <row r="1956" spans="1:9" x14ac:dyDescent="0.3">
      <c r="A1956" t="str">
        <f>""</f>
        <v/>
      </c>
      <c r="F1956" t="str">
        <f>""</f>
        <v/>
      </c>
      <c r="G1956" t="str">
        <f>""</f>
        <v/>
      </c>
      <c r="I1956" t="str">
        <f t="shared" si="35"/>
        <v>SOCIAL SECURITY TAXES</v>
      </c>
    </row>
    <row r="1957" spans="1:9" x14ac:dyDescent="0.3">
      <c r="A1957" t="str">
        <f>""</f>
        <v/>
      </c>
      <c r="F1957" t="str">
        <f>""</f>
        <v/>
      </c>
      <c r="G1957" t="str">
        <f>""</f>
        <v/>
      </c>
      <c r="I1957" t="str">
        <f t="shared" si="35"/>
        <v>SOCIAL SECURITY TAXES</v>
      </c>
    </row>
    <row r="1958" spans="1:9" x14ac:dyDescent="0.3">
      <c r="A1958" t="str">
        <f>""</f>
        <v/>
      </c>
      <c r="F1958" t="str">
        <f>""</f>
        <v/>
      </c>
      <c r="G1958" t="str">
        <f>""</f>
        <v/>
      </c>
      <c r="I1958" t="str">
        <f t="shared" si="35"/>
        <v>SOCIAL SECURITY TAXES</v>
      </c>
    </row>
    <row r="1959" spans="1:9" x14ac:dyDescent="0.3">
      <c r="A1959" t="str">
        <f>""</f>
        <v/>
      </c>
      <c r="F1959" t="str">
        <f>""</f>
        <v/>
      </c>
      <c r="G1959" t="str">
        <f>""</f>
        <v/>
      </c>
      <c r="I1959" t="str">
        <f t="shared" si="35"/>
        <v>SOCIAL SECURITY TAXES</v>
      </c>
    </row>
    <row r="1960" spans="1:9" x14ac:dyDescent="0.3">
      <c r="A1960" t="str">
        <f>""</f>
        <v/>
      </c>
      <c r="F1960" t="str">
        <f>""</f>
        <v/>
      </c>
      <c r="G1960" t="str">
        <f>""</f>
        <v/>
      </c>
      <c r="I1960" t="str">
        <f t="shared" si="35"/>
        <v>SOCIAL SECURITY TAXES</v>
      </c>
    </row>
    <row r="1961" spans="1:9" x14ac:dyDescent="0.3">
      <c r="A1961" t="str">
        <f>""</f>
        <v/>
      </c>
      <c r="F1961" t="str">
        <f>""</f>
        <v/>
      </c>
      <c r="G1961" t="str">
        <f>""</f>
        <v/>
      </c>
      <c r="I1961" t="str">
        <f t="shared" si="35"/>
        <v>SOCIAL SECURITY TAXES</v>
      </c>
    </row>
    <row r="1962" spans="1:9" x14ac:dyDescent="0.3">
      <c r="A1962" t="str">
        <f>""</f>
        <v/>
      </c>
      <c r="F1962" t="str">
        <f>""</f>
        <v/>
      </c>
      <c r="G1962" t="str">
        <f>""</f>
        <v/>
      </c>
      <c r="I1962" t="str">
        <f t="shared" si="35"/>
        <v>SOCIAL SECURITY TAXES</v>
      </c>
    </row>
    <row r="1963" spans="1:9" x14ac:dyDescent="0.3">
      <c r="A1963" t="str">
        <f>""</f>
        <v/>
      </c>
      <c r="F1963" t="str">
        <f>""</f>
        <v/>
      </c>
      <c r="G1963" t="str">
        <f>""</f>
        <v/>
      </c>
      <c r="I1963" t="str">
        <f t="shared" si="35"/>
        <v>SOCIAL SECURITY TAXES</v>
      </c>
    </row>
    <row r="1964" spans="1:9" x14ac:dyDescent="0.3">
      <c r="A1964" t="str">
        <f>""</f>
        <v/>
      </c>
      <c r="F1964" t="str">
        <f>""</f>
        <v/>
      </c>
      <c r="G1964" t="str">
        <f>""</f>
        <v/>
      </c>
      <c r="I1964" t="str">
        <f t="shared" si="35"/>
        <v>SOCIAL SECURITY TAXES</v>
      </c>
    </row>
    <row r="1965" spans="1:9" x14ac:dyDescent="0.3">
      <c r="A1965" t="str">
        <f>""</f>
        <v/>
      </c>
      <c r="F1965" t="str">
        <f>""</f>
        <v/>
      </c>
      <c r="G1965" t="str">
        <f>""</f>
        <v/>
      </c>
      <c r="I1965" t="str">
        <f t="shared" si="35"/>
        <v>SOCIAL SECURITY TAXES</v>
      </c>
    </row>
    <row r="1966" spans="1:9" x14ac:dyDescent="0.3">
      <c r="A1966" t="str">
        <f>""</f>
        <v/>
      </c>
      <c r="F1966" t="str">
        <f>"T3 201704050691"</f>
        <v>T3 201704050691</v>
      </c>
      <c r="G1966" t="str">
        <f>"SOCIAL SECURITY TAXES"</f>
        <v>SOCIAL SECURITY TAXES</v>
      </c>
      <c r="H1966" s="2">
        <v>3873.26</v>
      </c>
      <c r="I1966" t="str">
        <f t="shared" si="35"/>
        <v>SOCIAL SECURITY TAXES</v>
      </c>
    </row>
    <row r="1967" spans="1:9" x14ac:dyDescent="0.3">
      <c r="A1967" t="str">
        <f>""</f>
        <v/>
      </c>
      <c r="F1967" t="str">
        <f>""</f>
        <v/>
      </c>
      <c r="G1967" t="str">
        <f>""</f>
        <v/>
      </c>
      <c r="I1967" t="str">
        <f t="shared" si="35"/>
        <v>SOCIAL SECURITY TAXES</v>
      </c>
    </row>
    <row r="1968" spans="1:9" x14ac:dyDescent="0.3">
      <c r="A1968" t="str">
        <f>""</f>
        <v/>
      </c>
      <c r="F1968" t="str">
        <f>"T3 201704050692"</f>
        <v>T3 201704050692</v>
      </c>
      <c r="G1968" t="str">
        <f>"SOCIAL SECURITY TAXES"</f>
        <v>SOCIAL SECURITY TAXES</v>
      </c>
      <c r="H1968" s="2">
        <v>5870.48</v>
      </c>
      <c r="I1968" t="str">
        <f t="shared" si="35"/>
        <v>SOCIAL SECURITY TAXES</v>
      </c>
    </row>
    <row r="1969" spans="1:9" x14ac:dyDescent="0.3">
      <c r="A1969" t="str">
        <f>""</f>
        <v/>
      </c>
      <c r="F1969" t="str">
        <f>""</f>
        <v/>
      </c>
      <c r="G1969" t="str">
        <f>""</f>
        <v/>
      </c>
      <c r="I1969" t="str">
        <f t="shared" si="35"/>
        <v>SOCIAL SECURITY TAXES</v>
      </c>
    </row>
    <row r="1970" spans="1:9" x14ac:dyDescent="0.3">
      <c r="A1970" t="str">
        <f>""</f>
        <v/>
      </c>
      <c r="F1970" t="str">
        <f>"T3 201704071192"</f>
        <v>T3 201704071192</v>
      </c>
      <c r="G1970" t="str">
        <f>"SOCIAL SECURITY TAXES"</f>
        <v>SOCIAL SECURITY TAXES</v>
      </c>
      <c r="H1970" s="2">
        <v>214.58</v>
      </c>
      <c r="I1970" t="str">
        <f t="shared" si="35"/>
        <v>SOCIAL SECURITY TAXES</v>
      </c>
    </row>
    <row r="1971" spans="1:9" x14ac:dyDescent="0.3">
      <c r="A1971" t="str">
        <f>""</f>
        <v/>
      </c>
      <c r="F1971" t="str">
        <f>""</f>
        <v/>
      </c>
      <c r="G1971" t="str">
        <f>""</f>
        <v/>
      </c>
      <c r="I1971" t="str">
        <f t="shared" si="35"/>
        <v>SOCIAL SECURITY TAXES</v>
      </c>
    </row>
    <row r="1972" spans="1:9" x14ac:dyDescent="0.3">
      <c r="A1972" t="str">
        <f>""</f>
        <v/>
      </c>
      <c r="F1972" t="str">
        <f>"T4 201704050690"</f>
        <v>T4 201704050690</v>
      </c>
      <c r="G1972" t="str">
        <f>"MEDICARE TAXES"</f>
        <v>MEDICARE TAXES</v>
      </c>
      <c r="H1972" s="2">
        <v>22493.48</v>
      </c>
      <c r="I1972" t="str">
        <f t="shared" ref="I1972:I2003" si="36">"MEDICARE TAXES"</f>
        <v>MEDICARE TAXES</v>
      </c>
    </row>
    <row r="1973" spans="1:9" x14ac:dyDescent="0.3">
      <c r="A1973" t="str">
        <f>""</f>
        <v/>
      </c>
      <c r="F1973" t="str">
        <f>""</f>
        <v/>
      </c>
      <c r="G1973" t="str">
        <f>""</f>
        <v/>
      </c>
      <c r="I1973" t="str">
        <f t="shared" si="36"/>
        <v>MEDICARE TAXES</v>
      </c>
    </row>
    <row r="1974" spans="1:9" x14ac:dyDescent="0.3">
      <c r="A1974" t="str">
        <f>""</f>
        <v/>
      </c>
      <c r="F1974" t="str">
        <f>""</f>
        <v/>
      </c>
      <c r="G1974" t="str">
        <f>""</f>
        <v/>
      </c>
      <c r="I1974" t="str">
        <f t="shared" si="36"/>
        <v>MEDICARE TAXES</v>
      </c>
    </row>
    <row r="1975" spans="1:9" x14ac:dyDescent="0.3">
      <c r="A1975" t="str">
        <f>""</f>
        <v/>
      </c>
      <c r="F1975" t="str">
        <f>""</f>
        <v/>
      </c>
      <c r="G1975" t="str">
        <f>""</f>
        <v/>
      </c>
      <c r="I1975" t="str">
        <f t="shared" si="36"/>
        <v>MEDICARE TAXES</v>
      </c>
    </row>
    <row r="1976" spans="1:9" x14ac:dyDescent="0.3">
      <c r="A1976" t="str">
        <f>""</f>
        <v/>
      </c>
      <c r="F1976" t="str">
        <f>""</f>
        <v/>
      </c>
      <c r="G1976" t="str">
        <f>""</f>
        <v/>
      </c>
      <c r="I1976" t="str">
        <f t="shared" si="36"/>
        <v>MEDICARE TAXES</v>
      </c>
    </row>
    <row r="1977" spans="1:9" x14ac:dyDescent="0.3">
      <c r="A1977" t="str">
        <f>""</f>
        <v/>
      </c>
      <c r="F1977" t="str">
        <f>""</f>
        <v/>
      </c>
      <c r="G1977" t="str">
        <f>""</f>
        <v/>
      </c>
      <c r="I1977" t="str">
        <f t="shared" si="36"/>
        <v>MEDICARE TAXES</v>
      </c>
    </row>
    <row r="1978" spans="1:9" x14ac:dyDescent="0.3">
      <c r="A1978" t="str">
        <f>""</f>
        <v/>
      </c>
      <c r="F1978" t="str">
        <f>""</f>
        <v/>
      </c>
      <c r="G1978" t="str">
        <f>""</f>
        <v/>
      </c>
      <c r="I1978" t="str">
        <f t="shared" si="36"/>
        <v>MEDICARE TAXES</v>
      </c>
    </row>
    <row r="1979" spans="1:9" x14ac:dyDescent="0.3">
      <c r="A1979" t="str">
        <f>""</f>
        <v/>
      </c>
      <c r="F1979" t="str">
        <f>""</f>
        <v/>
      </c>
      <c r="G1979" t="str">
        <f>""</f>
        <v/>
      </c>
      <c r="I1979" t="str">
        <f t="shared" si="36"/>
        <v>MEDICARE TAXES</v>
      </c>
    </row>
    <row r="1980" spans="1:9" x14ac:dyDescent="0.3">
      <c r="A1980" t="str">
        <f>""</f>
        <v/>
      </c>
      <c r="F1980" t="str">
        <f>""</f>
        <v/>
      </c>
      <c r="G1980" t="str">
        <f>""</f>
        <v/>
      </c>
      <c r="I1980" t="str">
        <f t="shared" si="36"/>
        <v>MEDICARE TAXES</v>
      </c>
    </row>
    <row r="1981" spans="1:9" x14ac:dyDescent="0.3">
      <c r="A1981" t="str">
        <f>""</f>
        <v/>
      </c>
      <c r="F1981" t="str">
        <f>""</f>
        <v/>
      </c>
      <c r="G1981" t="str">
        <f>""</f>
        <v/>
      </c>
      <c r="I1981" t="str">
        <f t="shared" si="36"/>
        <v>MEDICARE TAXES</v>
      </c>
    </row>
    <row r="1982" spans="1:9" x14ac:dyDescent="0.3">
      <c r="A1982" t="str">
        <f>""</f>
        <v/>
      </c>
      <c r="F1982" t="str">
        <f>""</f>
        <v/>
      </c>
      <c r="G1982" t="str">
        <f>""</f>
        <v/>
      </c>
      <c r="I1982" t="str">
        <f t="shared" si="36"/>
        <v>MEDICARE TAXES</v>
      </c>
    </row>
    <row r="1983" spans="1:9" x14ac:dyDescent="0.3">
      <c r="A1983" t="str">
        <f>""</f>
        <v/>
      </c>
      <c r="F1983" t="str">
        <f>""</f>
        <v/>
      </c>
      <c r="G1983" t="str">
        <f>""</f>
        <v/>
      </c>
      <c r="I1983" t="str">
        <f t="shared" si="36"/>
        <v>MEDICARE TAXES</v>
      </c>
    </row>
    <row r="1984" spans="1:9" x14ac:dyDescent="0.3">
      <c r="A1984" t="str">
        <f>""</f>
        <v/>
      </c>
      <c r="F1984" t="str">
        <f>""</f>
        <v/>
      </c>
      <c r="G1984" t="str">
        <f>""</f>
        <v/>
      </c>
      <c r="I1984" t="str">
        <f t="shared" si="36"/>
        <v>MEDICARE TAXES</v>
      </c>
    </row>
    <row r="1985" spans="1:9" x14ac:dyDescent="0.3">
      <c r="A1985" t="str">
        <f>""</f>
        <v/>
      </c>
      <c r="F1985" t="str">
        <f>""</f>
        <v/>
      </c>
      <c r="G1985" t="str">
        <f>""</f>
        <v/>
      </c>
      <c r="I1985" t="str">
        <f t="shared" si="36"/>
        <v>MEDICARE TAXES</v>
      </c>
    </row>
    <row r="1986" spans="1:9" x14ac:dyDescent="0.3">
      <c r="A1986" t="str">
        <f>""</f>
        <v/>
      </c>
      <c r="F1986" t="str">
        <f>""</f>
        <v/>
      </c>
      <c r="G1986" t="str">
        <f>""</f>
        <v/>
      </c>
      <c r="I1986" t="str">
        <f t="shared" si="36"/>
        <v>MEDICARE TAXES</v>
      </c>
    </row>
    <row r="1987" spans="1:9" x14ac:dyDescent="0.3">
      <c r="A1987" t="str">
        <f>""</f>
        <v/>
      </c>
      <c r="F1987" t="str">
        <f>""</f>
        <v/>
      </c>
      <c r="G1987" t="str">
        <f>""</f>
        <v/>
      </c>
      <c r="I1987" t="str">
        <f t="shared" si="36"/>
        <v>MEDICARE TAXES</v>
      </c>
    </row>
    <row r="1988" spans="1:9" x14ac:dyDescent="0.3">
      <c r="A1988" t="str">
        <f>""</f>
        <v/>
      </c>
      <c r="F1988" t="str">
        <f>""</f>
        <v/>
      </c>
      <c r="G1988" t="str">
        <f>""</f>
        <v/>
      </c>
      <c r="I1988" t="str">
        <f t="shared" si="36"/>
        <v>MEDICARE TAXES</v>
      </c>
    </row>
    <row r="1989" spans="1:9" x14ac:dyDescent="0.3">
      <c r="A1989" t="str">
        <f>""</f>
        <v/>
      </c>
      <c r="F1989" t="str">
        <f>""</f>
        <v/>
      </c>
      <c r="G1989" t="str">
        <f>""</f>
        <v/>
      </c>
      <c r="I1989" t="str">
        <f t="shared" si="36"/>
        <v>MEDICARE TAXES</v>
      </c>
    </row>
    <row r="1990" spans="1:9" x14ac:dyDescent="0.3">
      <c r="A1990" t="str">
        <f>""</f>
        <v/>
      </c>
      <c r="F1990" t="str">
        <f>""</f>
        <v/>
      </c>
      <c r="G1990" t="str">
        <f>""</f>
        <v/>
      </c>
      <c r="I1990" t="str">
        <f t="shared" si="36"/>
        <v>MEDICARE TAXES</v>
      </c>
    </row>
    <row r="1991" spans="1:9" x14ac:dyDescent="0.3">
      <c r="A1991" t="str">
        <f>""</f>
        <v/>
      </c>
      <c r="F1991" t="str">
        <f>""</f>
        <v/>
      </c>
      <c r="G1991" t="str">
        <f>""</f>
        <v/>
      </c>
      <c r="I1991" t="str">
        <f t="shared" si="36"/>
        <v>MEDICARE TAXES</v>
      </c>
    </row>
    <row r="1992" spans="1:9" x14ac:dyDescent="0.3">
      <c r="A1992" t="str">
        <f>""</f>
        <v/>
      </c>
      <c r="F1992" t="str">
        <f>""</f>
        <v/>
      </c>
      <c r="G1992" t="str">
        <f>""</f>
        <v/>
      </c>
      <c r="I1992" t="str">
        <f t="shared" si="36"/>
        <v>MEDICARE TAXES</v>
      </c>
    </row>
    <row r="1993" spans="1:9" x14ac:dyDescent="0.3">
      <c r="A1993" t="str">
        <f>""</f>
        <v/>
      </c>
      <c r="F1993" t="str">
        <f>""</f>
        <v/>
      </c>
      <c r="G1993" t="str">
        <f>""</f>
        <v/>
      </c>
      <c r="I1993" t="str">
        <f t="shared" si="36"/>
        <v>MEDICARE TAXES</v>
      </c>
    </row>
    <row r="1994" spans="1:9" x14ac:dyDescent="0.3">
      <c r="A1994" t="str">
        <f>""</f>
        <v/>
      </c>
      <c r="F1994" t="str">
        <f>""</f>
        <v/>
      </c>
      <c r="G1994" t="str">
        <f>""</f>
        <v/>
      </c>
      <c r="I1994" t="str">
        <f t="shared" si="36"/>
        <v>MEDICARE TAXES</v>
      </c>
    </row>
    <row r="1995" spans="1:9" x14ac:dyDescent="0.3">
      <c r="A1995" t="str">
        <f>""</f>
        <v/>
      </c>
      <c r="F1995" t="str">
        <f>""</f>
        <v/>
      </c>
      <c r="G1995" t="str">
        <f>""</f>
        <v/>
      </c>
      <c r="I1995" t="str">
        <f t="shared" si="36"/>
        <v>MEDICARE TAXES</v>
      </c>
    </row>
    <row r="1996" spans="1:9" x14ac:dyDescent="0.3">
      <c r="A1996" t="str">
        <f>""</f>
        <v/>
      </c>
      <c r="F1996" t="str">
        <f>""</f>
        <v/>
      </c>
      <c r="G1996" t="str">
        <f>""</f>
        <v/>
      </c>
      <c r="I1996" t="str">
        <f t="shared" si="36"/>
        <v>MEDICARE TAXES</v>
      </c>
    </row>
    <row r="1997" spans="1:9" x14ac:dyDescent="0.3">
      <c r="A1997" t="str">
        <f>""</f>
        <v/>
      </c>
      <c r="F1997" t="str">
        <f>""</f>
        <v/>
      </c>
      <c r="G1997" t="str">
        <f>""</f>
        <v/>
      </c>
      <c r="I1997" t="str">
        <f t="shared" si="36"/>
        <v>MEDICARE TAXES</v>
      </c>
    </row>
    <row r="1998" spans="1:9" x14ac:dyDescent="0.3">
      <c r="A1998" t="str">
        <f>""</f>
        <v/>
      </c>
      <c r="F1998" t="str">
        <f>""</f>
        <v/>
      </c>
      <c r="G1998" t="str">
        <f>""</f>
        <v/>
      </c>
      <c r="I1998" t="str">
        <f t="shared" si="36"/>
        <v>MEDICARE TAXES</v>
      </c>
    </row>
    <row r="1999" spans="1:9" x14ac:dyDescent="0.3">
      <c r="A1999" t="str">
        <f>""</f>
        <v/>
      </c>
      <c r="F1999" t="str">
        <f>""</f>
        <v/>
      </c>
      <c r="G1999" t="str">
        <f>""</f>
        <v/>
      </c>
      <c r="I1999" t="str">
        <f t="shared" si="36"/>
        <v>MEDICARE TAXES</v>
      </c>
    </row>
    <row r="2000" spans="1:9" x14ac:dyDescent="0.3">
      <c r="A2000" t="str">
        <f>""</f>
        <v/>
      </c>
      <c r="F2000" t="str">
        <f>""</f>
        <v/>
      </c>
      <c r="G2000" t="str">
        <f>""</f>
        <v/>
      </c>
      <c r="I2000" t="str">
        <f t="shared" si="36"/>
        <v>MEDICARE TAXES</v>
      </c>
    </row>
    <row r="2001" spans="1:9" x14ac:dyDescent="0.3">
      <c r="A2001" t="str">
        <f>""</f>
        <v/>
      </c>
      <c r="F2001" t="str">
        <f>""</f>
        <v/>
      </c>
      <c r="G2001" t="str">
        <f>""</f>
        <v/>
      </c>
      <c r="I2001" t="str">
        <f t="shared" si="36"/>
        <v>MEDICARE TAXES</v>
      </c>
    </row>
    <row r="2002" spans="1:9" x14ac:dyDescent="0.3">
      <c r="A2002" t="str">
        <f>""</f>
        <v/>
      </c>
      <c r="F2002" t="str">
        <f>""</f>
        <v/>
      </c>
      <c r="G2002" t="str">
        <f>""</f>
        <v/>
      </c>
      <c r="I2002" t="str">
        <f t="shared" si="36"/>
        <v>MEDICARE TAXES</v>
      </c>
    </row>
    <row r="2003" spans="1:9" x14ac:dyDescent="0.3">
      <c r="A2003" t="str">
        <f>""</f>
        <v/>
      </c>
      <c r="F2003" t="str">
        <f>""</f>
        <v/>
      </c>
      <c r="G2003" t="str">
        <f>""</f>
        <v/>
      </c>
      <c r="I2003" t="str">
        <f t="shared" si="36"/>
        <v>MEDICARE TAXES</v>
      </c>
    </row>
    <row r="2004" spans="1:9" x14ac:dyDescent="0.3">
      <c r="A2004" t="str">
        <f>""</f>
        <v/>
      </c>
      <c r="F2004" t="str">
        <f>""</f>
        <v/>
      </c>
      <c r="G2004" t="str">
        <f>""</f>
        <v/>
      </c>
      <c r="I2004" t="str">
        <f t="shared" ref="I2004:I2029" si="37">"MEDICARE TAXES"</f>
        <v>MEDICARE TAXES</v>
      </c>
    </row>
    <row r="2005" spans="1:9" x14ac:dyDescent="0.3">
      <c r="A2005" t="str">
        <f>""</f>
        <v/>
      </c>
      <c r="F2005" t="str">
        <f>""</f>
        <v/>
      </c>
      <c r="G2005" t="str">
        <f>""</f>
        <v/>
      </c>
      <c r="I2005" t="str">
        <f t="shared" si="37"/>
        <v>MEDICARE TAXES</v>
      </c>
    </row>
    <row r="2006" spans="1:9" x14ac:dyDescent="0.3">
      <c r="A2006" t="str">
        <f>""</f>
        <v/>
      </c>
      <c r="F2006" t="str">
        <f>""</f>
        <v/>
      </c>
      <c r="G2006" t="str">
        <f>""</f>
        <v/>
      </c>
      <c r="I2006" t="str">
        <f t="shared" si="37"/>
        <v>MEDICARE TAXES</v>
      </c>
    </row>
    <row r="2007" spans="1:9" x14ac:dyDescent="0.3">
      <c r="A2007" t="str">
        <f>""</f>
        <v/>
      </c>
      <c r="F2007" t="str">
        <f>""</f>
        <v/>
      </c>
      <c r="G2007" t="str">
        <f>""</f>
        <v/>
      </c>
      <c r="I2007" t="str">
        <f t="shared" si="37"/>
        <v>MEDICARE TAXES</v>
      </c>
    </row>
    <row r="2008" spans="1:9" x14ac:dyDescent="0.3">
      <c r="A2008" t="str">
        <f>""</f>
        <v/>
      </c>
      <c r="F2008" t="str">
        <f>""</f>
        <v/>
      </c>
      <c r="G2008" t="str">
        <f>""</f>
        <v/>
      </c>
      <c r="I2008" t="str">
        <f t="shared" si="37"/>
        <v>MEDICARE TAXES</v>
      </c>
    </row>
    <row r="2009" spans="1:9" x14ac:dyDescent="0.3">
      <c r="A2009" t="str">
        <f>""</f>
        <v/>
      </c>
      <c r="F2009" t="str">
        <f>""</f>
        <v/>
      </c>
      <c r="G2009" t="str">
        <f>""</f>
        <v/>
      </c>
      <c r="I2009" t="str">
        <f t="shared" si="37"/>
        <v>MEDICARE TAXES</v>
      </c>
    </row>
    <row r="2010" spans="1:9" x14ac:dyDescent="0.3">
      <c r="A2010" t="str">
        <f>""</f>
        <v/>
      </c>
      <c r="F2010" t="str">
        <f>""</f>
        <v/>
      </c>
      <c r="G2010" t="str">
        <f>""</f>
        <v/>
      </c>
      <c r="I2010" t="str">
        <f t="shared" si="37"/>
        <v>MEDICARE TAXES</v>
      </c>
    </row>
    <row r="2011" spans="1:9" x14ac:dyDescent="0.3">
      <c r="A2011" t="str">
        <f>""</f>
        <v/>
      </c>
      <c r="F2011" t="str">
        <f>""</f>
        <v/>
      </c>
      <c r="G2011" t="str">
        <f>""</f>
        <v/>
      </c>
      <c r="I2011" t="str">
        <f t="shared" si="37"/>
        <v>MEDICARE TAXES</v>
      </c>
    </row>
    <row r="2012" spans="1:9" x14ac:dyDescent="0.3">
      <c r="A2012" t="str">
        <f>""</f>
        <v/>
      </c>
      <c r="F2012" t="str">
        <f>""</f>
        <v/>
      </c>
      <c r="G2012" t="str">
        <f>""</f>
        <v/>
      </c>
      <c r="I2012" t="str">
        <f t="shared" si="37"/>
        <v>MEDICARE TAXES</v>
      </c>
    </row>
    <row r="2013" spans="1:9" x14ac:dyDescent="0.3">
      <c r="A2013" t="str">
        <f>""</f>
        <v/>
      </c>
      <c r="F2013" t="str">
        <f>""</f>
        <v/>
      </c>
      <c r="G2013" t="str">
        <f>""</f>
        <v/>
      </c>
      <c r="I2013" t="str">
        <f t="shared" si="37"/>
        <v>MEDICARE TAXES</v>
      </c>
    </row>
    <row r="2014" spans="1:9" x14ac:dyDescent="0.3">
      <c r="A2014" t="str">
        <f>""</f>
        <v/>
      </c>
      <c r="F2014" t="str">
        <f>""</f>
        <v/>
      </c>
      <c r="G2014" t="str">
        <f>""</f>
        <v/>
      </c>
      <c r="I2014" t="str">
        <f t="shared" si="37"/>
        <v>MEDICARE TAXES</v>
      </c>
    </row>
    <row r="2015" spans="1:9" x14ac:dyDescent="0.3">
      <c r="A2015" t="str">
        <f>""</f>
        <v/>
      </c>
      <c r="F2015" t="str">
        <f>""</f>
        <v/>
      </c>
      <c r="G2015" t="str">
        <f>""</f>
        <v/>
      </c>
      <c r="I2015" t="str">
        <f t="shared" si="37"/>
        <v>MEDICARE TAXES</v>
      </c>
    </row>
    <row r="2016" spans="1:9" x14ac:dyDescent="0.3">
      <c r="A2016" t="str">
        <f>""</f>
        <v/>
      </c>
      <c r="F2016" t="str">
        <f>""</f>
        <v/>
      </c>
      <c r="G2016" t="str">
        <f>""</f>
        <v/>
      </c>
      <c r="I2016" t="str">
        <f t="shared" si="37"/>
        <v>MEDICARE TAXES</v>
      </c>
    </row>
    <row r="2017" spans="1:9" x14ac:dyDescent="0.3">
      <c r="A2017" t="str">
        <f>""</f>
        <v/>
      </c>
      <c r="F2017" t="str">
        <f>""</f>
        <v/>
      </c>
      <c r="G2017" t="str">
        <f>""</f>
        <v/>
      </c>
      <c r="I2017" t="str">
        <f t="shared" si="37"/>
        <v>MEDICARE TAXES</v>
      </c>
    </row>
    <row r="2018" spans="1:9" x14ac:dyDescent="0.3">
      <c r="A2018" t="str">
        <f>""</f>
        <v/>
      </c>
      <c r="F2018" t="str">
        <f>""</f>
        <v/>
      </c>
      <c r="G2018" t="str">
        <f>""</f>
        <v/>
      </c>
      <c r="I2018" t="str">
        <f t="shared" si="37"/>
        <v>MEDICARE TAXES</v>
      </c>
    </row>
    <row r="2019" spans="1:9" x14ac:dyDescent="0.3">
      <c r="A2019" t="str">
        <f>""</f>
        <v/>
      </c>
      <c r="F2019" t="str">
        <f>""</f>
        <v/>
      </c>
      <c r="G2019" t="str">
        <f>""</f>
        <v/>
      </c>
      <c r="I2019" t="str">
        <f t="shared" si="37"/>
        <v>MEDICARE TAXES</v>
      </c>
    </row>
    <row r="2020" spans="1:9" x14ac:dyDescent="0.3">
      <c r="A2020" t="str">
        <f>""</f>
        <v/>
      </c>
      <c r="F2020" t="str">
        <f>""</f>
        <v/>
      </c>
      <c r="G2020" t="str">
        <f>""</f>
        <v/>
      </c>
      <c r="I2020" t="str">
        <f t="shared" si="37"/>
        <v>MEDICARE TAXES</v>
      </c>
    </row>
    <row r="2021" spans="1:9" x14ac:dyDescent="0.3">
      <c r="A2021" t="str">
        <f>""</f>
        <v/>
      </c>
      <c r="F2021" t="str">
        <f>""</f>
        <v/>
      </c>
      <c r="G2021" t="str">
        <f>""</f>
        <v/>
      </c>
      <c r="I2021" t="str">
        <f t="shared" si="37"/>
        <v>MEDICARE TAXES</v>
      </c>
    </row>
    <row r="2022" spans="1:9" x14ac:dyDescent="0.3">
      <c r="A2022" t="str">
        <f>""</f>
        <v/>
      </c>
      <c r="F2022" t="str">
        <f>""</f>
        <v/>
      </c>
      <c r="G2022" t="str">
        <f>""</f>
        <v/>
      </c>
      <c r="I2022" t="str">
        <f t="shared" si="37"/>
        <v>MEDICARE TAXES</v>
      </c>
    </row>
    <row r="2023" spans="1:9" x14ac:dyDescent="0.3">
      <c r="A2023" t="str">
        <f>""</f>
        <v/>
      </c>
      <c r="F2023" t="str">
        <f>""</f>
        <v/>
      </c>
      <c r="G2023" t="str">
        <f>""</f>
        <v/>
      </c>
      <c r="I2023" t="str">
        <f t="shared" si="37"/>
        <v>MEDICARE TAXES</v>
      </c>
    </row>
    <row r="2024" spans="1:9" x14ac:dyDescent="0.3">
      <c r="A2024" t="str">
        <f>""</f>
        <v/>
      </c>
      <c r="F2024" t="str">
        <f>"T4 201704050691"</f>
        <v>T4 201704050691</v>
      </c>
      <c r="G2024" t="str">
        <f>"MEDICARE TAXES"</f>
        <v>MEDICARE TAXES</v>
      </c>
      <c r="H2024" s="2">
        <v>905.86</v>
      </c>
      <c r="I2024" t="str">
        <f t="shared" si="37"/>
        <v>MEDICARE TAXES</v>
      </c>
    </row>
    <row r="2025" spans="1:9" x14ac:dyDescent="0.3">
      <c r="A2025" t="str">
        <f>""</f>
        <v/>
      </c>
      <c r="F2025" t="str">
        <f>""</f>
        <v/>
      </c>
      <c r="G2025" t="str">
        <f>""</f>
        <v/>
      </c>
      <c r="I2025" t="str">
        <f t="shared" si="37"/>
        <v>MEDICARE TAXES</v>
      </c>
    </row>
    <row r="2026" spans="1:9" x14ac:dyDescent="0.3">
      <c r="A2026" t="str">
        <f>""</f>
        <v/>
      </c>
      <c r="F2026" t="str">
        <f>"T4 201704050692"</f>
        <v>T4 201704050692</v>
      </c>
      <c r="G2026" t="str">
        <f>"MEDICARE TAXES"</f>
        <v>MEDICARE TAXES</v>
      </c>
      <c r="H2026" s="2">
        <v>1372.92</v>
      </c>
      <c r="I2026" t="str">
        <f t="shared" si="37"/>
        <v>MEDICARE TAXES</v>
      </c>
    </row>
    <row r="2027" spans="1:9" x14ac:dyDescent="0.3">
      <c r="A2027" t="str">
        <f>""</f>
        <v/>
      </c>
      <c r="F2027" t="str">
        <f>""</f>
        <v/>
      </c>
      <c r="G2027" t="str">
        <f>""</f>
        <v/>
      </c>
      <c r="I2027" t="str">
        <f t="shared" si="37"/>
        <v>MEDICARE TAXES</v>
      </c>
    </row>
    <row r="2028" spans="1:9" x14ac:dyDescent="0.3">
      <c r="A2028" t="str">
        <f>""</f>
        <v/>
      </c>
      <c r="F2028" t="str">
        <f>"T4 201704071192"</f>
        <v>T4 201704071192</v>
      </c>
      <c r="G2028" t="str">
        <f>"MEDICARE TAXES"</f>
        <v>MEDICARE TAXES</v>
      </c>
      <c r="H2028" s="2">
        <v>50.18</v>
      </c>
      <c r="I2028" t="str">
        <f t="shared" si="37"/>
        <v>MEDICARE TAXES</v>
      </c>
    </row>
    <row r="2029" spans="1:9" x14ac:dyDescent="0.3">
      <c r="A2029" t="str">
        <f>""</f>
        <v/>
      </c>
      <c r="F2029" t="str">
        <f>""</f>
        <v/>
      </c>
      <c r="G2029" t="str">
        <f>""</f>
        <v/>
      </c>
      <c r="I2029" t="str">
        <f t="shared" si="37"/>
        <v>MEDICARE TAXES</v>
      </c>
    </row>
    <row r="2030" spans="1:9" x14ac:dyDescent="0.3">
      <c r="A2030" t="str">
        <f>"IRSPY"</f>
        <v>IRSPY</v>
      </c>
      <c r="B2030" t="s">
        <v>462</v>
      </c>
      <c r="C2030">
        <v>0</v>
      </c>
      <c r="D2030" s="2">
        <v>215580.9</v>
      </c>
      <c r="E2030" s="1">
        <v>42846</v>
      </c>
      <c r="F2030" t="str">
        <f>"T1 201704191339"</f>
        <v>T1 201704191339</v>
      </c>
      <c r="G2030" t="str">
        <f>"FEDERAL WITHHOLDING"</f>
        <v>FEDERAL WITHHOLDING</v>
      </c>
      <c r="H2030" s="2">
        <v>-237.38</v>
      </c>
      <c r="I2030" t="str">
        <f>"FEDERAL WITHHOLDING"</f>
        <v>FEDERAL WITHHOLDING</v>
      </c>
    </row>
    <row r="2031" spans="1:9" x14ac:dyDescent="0.3">
      <c r="A2031" t="str">
        <f>""</f>
        <v/>
      </c>
      <c r="F2031" t="str">
        <f>"T3 201704191339"</f>
        <v>T3 201704191339</v>
      </c>
      <c r="G2031" t="str">
        <f>"SOCIAL SECURITY TAXES"</f>
        <v>SOCIAL SECURITY TAXES</v>
      </c>
      <c r="H2031" s="2">
        <v>-128.88</v>
      </c>
      <c r="I2031" t="str">
        <f>"SOCIAL SECURITY TAXES"</f>
        <v>SOCIAL SECURITY TAXES</v>
      </c>
    </row>
    <row r="2032" spans="1:9" x14ac:dyDescent="0.3">
      <c r="A2032" t="str">
        <f>""</f>
        <v/>
      </c>
      <c r="F2032" t="str">
        <f>""</f>
        <v/>
      </c>
      <c r="G2032" t="str">
        <f>""</f>
        <v/>
      </c>
      <c r="I2032" t="str">
        <f>"SOCIAL SECURITY TAXES"</f>
        <v>SOCIAL SECURITY TAXES</v>
      </c>
    </row>
    <row r="2033" spans="1:9" x14ac:dyDescent="0.3">
      <c r="A2033" t="str">
        <f>""</f>
        <v/>
      </c>
      <c r="F2033" t="str">
        <f>"T4 201704191339"</f>
        <v>T4 201704191339</v>
      </c>
      <c r="G2033" t="str">
        <f>"MEDICARE TAXES"</f>
        <v>MEDICARE TAXES</v>
      </c>
      <c r="H2033" s="2">
        <v>-30.14</v>
      </c>
      <c r="I2033" t="str">
        <f>"MEDICARE TAXES"</f>
        <v>MEDICARE TAXES</v>
      </c>
    </row>
    <row r="2034" spans="1:9" x14ac:dyDescent="0.3">
      <c r="A2034" t="str">
        <f>""</f>
        <v/>
      </c>
      <c r="F2034" t="str">
        <f>""</f>
        <v/>
      </c>
      <c r="G2034" t="str">
        <f>""</f>
        <v/>
      </c>
      <c r="I2034" t="str">
        <f>"MEDICARE TAXES"</f>
        <v>MEDICARE TAXES</v>
      </c>
    </row>
    <row r="2035" spans="1:9" x14ac:dyDescent="0.3">
      <c r="A2035" t="str">
        <f>""</f>
        <v/>
      </c>
      <c r="F2035" t="str">
        <f>"T1 201704191327"</f>
        <v>T1 201704191327</v>
      </c>
      <c r="G2035" t="str">
        <f>"FEDERAL WITHHOLDING"</f>
        <v>FEDERAL WITHHOLDING</v>
      </c>
      <c r="H2035" s="2">
        <v>77568.22</v>
      </c>
      <c r="I2035" t="str">
        <f>"FEDERAL WITHHOLDING"</f>
        <v>FEDERAL WITHHOLDING</v>
      </c>
    </row>
    <row r="2036" spans="1:9" x14ac:dyDescent="0.3">
      <c r="A2036" t="str">
        <f>""</f>
        <v/>
      </c>
      <c r="F2036" t="str">
        <f>"T1 201704191328"</f>
        <v>T1 201704191328</v>
      </c>
      <c r="G2036" t="str">
        <f>"FEDERAL WITHHOLDING"</f>
        <v>FEDERAL WITHHOLDING</v>
      </c>
      <c r="H2036" s="2">
        <v>3403.55</v>
      </c>
      <c r="I2036" t="str">
        <f>"FEDERAL WITHHOLDING"</f>
        <v>FEDERAL WITHHOLDING</v>
      </c>
    </row>
    <row r="2037" spans="1:9" x14ac:dyDescent="0.3">
      <c r="A2037" t="str">
        <f>""</f>
        <v/>
      </c>
      <c r="F2037" t="str">
        <f>"T1 201704191329"</f>
        <v>T1 201704191329</v>
      </c>
      <c r="G2037" t="str">
        <f>"FEDERAL WITHHOLDING"</f>
        <v>FEDERAL WITHHOLDING</v>
      </c>
      <c r="H2037" s="2">
        <v>4880.05</v>
      </c>
      <c r="I2037" t="str">
        <f>"FEDERAL WITHHOLDING"</f>
        <v>FEDERAL WITHHOLDING</v>
      </c>
    </row>
    <row r="2038" spans="1:9" x14ac:dyDescent="0.3">
      <c r="A2038" t="str">
        <f>""</f>
        <v/>
      </c>
      <c r="F2038" t="str">
        <f>"T3 201704191327"</f>
        <v>T3 201704191327</v>
      </c>
      <c r="G2038" t="str">
        <f>"SOCIAL SECURITY TAXES"</f>
        <v>SOCIAL SECURITY TAXES</v>
      </c>
      <c r="H2038" s="2">
        <v>95825.1</v>
      </c>
      <c r="I2038" t="str">
        <f t="shared" ref="I2038:I2069" si="38">"SOCIAL SECURITY TAXES"</f>
        <v>SOCIAL SECURITY TAXES</v>
      </c>
    </row>
    <row r="2039" spans="1:9" x14ac:dyDescent="0.3">
      <c r="A2039" t="str">
        <f>""</f>
        <v/>
      </c>
      <c r="F2039" t="str">
        <f>""</f>
        <v/>
      </c>
      <c r="G2039" t="str">
        <f>""</f>
        <v/>
      </c>
      <c r="I2039" t="str">
        <f t="shared" si="38"/>
        <v>SOCIAL SECURITY TAXES</v>
      </c>
    </row>
    <row r="2040" spans="1:9" x14ac:dyDescent="0.3">
      <c r="A2040" t="str">
        <f>""</f>
        <v/>
      </c>
      <c r="F2040" t="str">
        <f>""</f>
        <v/>
      </c>
      <c r="G2040" t="str">
        <f>""</f>
        <v/>
      </c>
      <c r="I2040" t="str">
        <f t="shared" si="38"/>
        <v>SOCIAL SECURITY TAXES</v>
      </c>
    </row>
    <row r="2041" spans="1:9" x14ac:dyDescent="0.3">
      <c r="A2041" t="str">
        <f>""</f>
        <v/>
      </c>
      <c r="F2041" t="str">
        <f>""</f>
        <v/>
      </c>
      <c r="G2041" t="str">
        <f>""</f>
        <v/>
      </c>
      <c r="I2041" t="str">
        <f t="shared" si="38"/>
        <v>SOCIAL SECURITY TAXES</v>
      </c>
    </row>
    <row r="2042" spans="1:9" x14ac:dyDescent="0.3">
      <c r="A2042" t="str">
        <f>""</f>
        <v/>
      </c>
      <c r="F2042" t="str">
        <f>""</f>
        <v/>
      </c>
      <c r="G2042" t="str">
        <f>""</f>
        <v/>
      </c>
      <c r="I2042" t="str">
        <f t="shared" si="38"/>
        <v>SOCIAL SECURITY TAXES</v>
      </c>
    </row>
    <row r="2043" spans="1:9" x14ac:dyDescent="0.3">
      <c r="A2043" t="str">
        <f>""</f>
        <v/>
      </c>
      <c r="F2043" t="str">
        <f>""</f>
        <v/>
      </c>
      <c r="G2043" t="str">
        <f>""</f>
        <v/>
      </c>
      <c r="I2043" t="str">
        <f t="shared" si="38"/>
        <v>SOCIAL SECURITY TAXES</v>
      </c>
    </row>
    <row r="2044" spans="1:9" x14ac:dyDescent="0.3">
      <c r="A2044" t="str">
        <f>""</f>
        <v/>
      </c>
      <c r="F2044" t="str">
        <f>""</f>
        <v/>
      </c>
      <c r="G2044" t="str">
        <f>""</f>
        <v/>
      </c>
      <c r="I2044" t="str">
        <f t="shared" si="38"/>
        <v>SOCIAL SECURITY TAXES</v>
      </c>
    </row>
    <row r="2045" spans="1:9" x14ac:dyDescent="0.3">
      <c r="A2045" t="str">
        <f>""</f>
        <v/>
      </c>
      <c r="F2045" t="str">
        <f>""</f>
        <v/>
      </c>
      <c r="G2045" t="str">
        <f>""</f>
        <v/>
      </c>
      <c r="I2045" t="str">
        <f t="shared" si="38"/>
        <v>SOCIAL SECURITY TAXES</v>
      </c>
    </row>
    <row r="2046" spans="1:9" x14ac:dyDescent="0.3">
      <c r="A2046" t="str">
        <f>""</f>
        <v/>
      </c>
      <c r="F2046" t="str">
        <f>""</f>
        <v/>
      </c>
      <c r="G2046" t="str">
        <f>""</f>
        <v/>
      </c>
      <c r="I2046" t="str">
        <f t="shared" si="38"/>
        <v>SOCIAL SECURITY TAXES</v>
      </c>
    </row>
    <row r="2047" spans="1:9" x14ac:dyDescent="0.3">
      <c r="A2047" t="str">
        <f>""</f>
        <v/>
      </c>
      <c r="F2047" t="str">
        <f>""</f>
        <v/>
      </c>
      <c r="G2047" t="str">
        <f>""</f>
        <v/>
      </c>
      <c r="I2047" t="str">
        <f t="shared" si="38"/>
        <v>SOCIAL SECURITY TAXES</v>
      </c>
    </row>
    <row r="2048" spans="1:9" x14ac:dyDescent="0.3">
      <c r="A2048" t="str">
        <f>""</f>
        <v/>
      </c>
      <c r="F2048" t="str">
        <f>""</f>
        <v/>
      </c>
      <c r="G2048" t="str">
        <f>""</f>
        <v/>
      </c>
      <c r="I2048" t="str">
        <f t="shared" si="38"/>
        <v>SOCIAL SECURITY TAXES</v>
      </c>
    </row>
    <row r="2049" spans="1:9" x14ac:dyDescent="0.3">
      <c r="A2049" t="str">
        <f>""</f>
        <v/>
      </c>
      <c r="F2049" t="str">
        <f>""</f>
        <v/>
      </c>
      <c r="G2049" t="str">
        <f>""</f>
        <v/>
      </c>
      <c r="I2049" t="str">
        <f t="shared" si="38"/>
        <v>SOCIAL SECURITY TAXES</v>
      </c>
    </row>
    <row r="2050" spans="1:9" x14ac:dyDescent="0.3">
      <c r="A2050" t="str">
        <f>""</f>
        <v/>
      </c>
      <c r="F2050" t="str">
        <f>""</f>
        <v/>
      </c>
      <c r="G2050" t="str">
        <f>""</f>
        <v/>
      </c>
      <c r="I2050" t="str">
        <f t="shared" si="38"/>
        <v>SOCIAL SECURITY TAXES</v>
      </c>
    </row>
    <row r="2051" spans="1:9" x14ac:dyDescent="0.3">
      <c r="A2051" t="str">
        <f>""</f>
        <v/>
      </c>
      <c r="F2051" t="str">
        <f>""</f>
        <v/>
      </c>
      <c r="G2051" t="str">
        <f>""</f>
        <v/>
      </c>
      <c r="I2051" t="str">
        <f t="shared" si="38"/>
        <v>SOCIAL SECURITY TAXES</v>
      </c>
    </row>
    <row r="2052" spans="1:9" x14ac:dyDescent="0.3">
      <c r="A2052" t="str">
        <f>""</f>
        <v/>
      </c>
      <c r="F2052" t="str">
        <f>""</f>
        <v/>
      </c>
      <c r="G2052" t="str">
        <f>""</f>
        <v/>
      </c>
      <c r="I2052" t="str">
        <f t="shared" si="38"/>
        <v>SOCIAL SECURITY TAXES</v>
      </c>
    </row>
    <row r="2053" spans="1:9" x14ac:dyDescent="0.3">
      <c r="A2053" t="str">
        <f>""</f>
        <v/>
      </c>
      <c r="F2053" t="str">
        <f>""</f>
        <v/>
      </c>
      <c r="G2053" t="str">
        <f>""</f>
        <v/>
      </c>
      <c r="I2053" t="str">
        <f t="shared" si="38"/>
        <v>SOCIAL SECURITY TAXES</v>
      </c>
    </row>
    <row r="2054" spans="1:9" x14ac:dyDescent="0.3">
      <c r="A2054" t="str">
        <f>""</f>
        <v/>
      </c>
      <c r="F2054" t="str">
        <f>""</f>
        <v/>
      </c>
      <c r="G2054" t="str">
        <f>""</f>
        <v/>
      </c>
      <c r="I2054" t="str">
        <f t="shared" si="38"/>
        <v>SOCIAL SECURITY TAXES</v>
      </c>
    </row>
    <row r="2055" spans="1:9" x14ac:dyDescent="0.3">
      <c r="A2055" t="str">
        <f>""</f>
        <v/>
      </c>
      <c r="F2055" t="str">
        <f>""</f>
        <v/>
      </c>
      <c r="G2055" t="str">
        <f>""</f>
        <v/>
      </c>
      <c r="I2055" t="str">
        <f t="shared" si="38"/>
        <v>SOCIAL SECURITY TAXES</v>
      </c>
    </row>
    <row r="2056" spans="1:9" x14ac:dyDescent="0.3">
      <c r="A2056" t="str">
        <f>""</f>
        <v/>
      </c>
      <c r="F2056" t="str">
        <f>""</f>
        <v/>
      </c>
      <c r="G2056" t="str">
        <f>""</f>
        <v/>
      </c>
      <c r="I2056" t="str">
        <f t="shared" si="38"/>
        <v>SOCIAL SECURITY TAXES</v>
      </c>
    </row>
    <row r="2057" spans="1:9" x14ac:dyDescent="0.3">
      <c r="A2057" t="str">
        <f>""</f>
        <v/>
      </c>
      <c r="F2057" t="str">
        <f>""</f>
        <v/>
      </c>
      <c r="G2057" t="str">
        <f>""</f>
        <v/>
      </c>
      <c r="I2057" t="str">
        <f t="shared" si="38"/>
        <v>SOCIAL SECURITY TAXES</v>
      </c>
    </row>
    <row r="2058" spans="1:9" x14ac:dyDescent="0.3">
      <c r="A2058" t="str">
        <f>""</f>
        <v/>
      </c>
      <c r="F2058" t="str">
        <f>""</f>
        <v/>
      </c>
      <c r="G2058" t="str">
        <f>""</f>
        <v/>
      </c>
      <c r="I2058" t="str">
        <f t="shared" si="38"/>
        <v>SOCIAL SECURITY TAXES</v>
      </c>
    </row>
    <row r="2059" spans="1:9" x14ac:dyDescent="0.3">
      <c r="A2059" t="str">
        <f>""</f>
        <v/>
      </c>
      <c r="F2059" t="str">
        <f>""</f>
        <v/>
      </c>
      <c r="G2059" t="str">
        <f>""</f>
        <v/>
      </c>
      <c r="I2059" t="str">
        <f t="shared" si="38"/>
        <v>SOCIAL SECURITY TAXES</v>
      </c>
    </row>
    <row r="2060" spans="1:9" x14ac:dyDescent="0.3">
      <c r="A2060" t="str">
        <f>""</f>
        <v/>
      </c>
      <c r="F2060" t="str">
        <f>""</f>
        <v/>
      </c>
      <c r="G2060" t="str">
        <f>""</f>
        <v/>
      </c>
      <c r="I2060" t="str">
        <f t="shared" si="38"/>
        <v>SOCIAL SECURITY TAXES</v>
      </c>
    </row>
    <row r="2061" spans="1:9" x14ac:dyDescent="0.3">
      <c r="A2061" t="str">
        <f>""</f>
        <v/>
      </c>
      <c r="F2061" t="str">
        <f>""</f>
        <v/>
      </c>
      <c r="G2061" t="str">
        <f>""</f>
        <v/>
      </c>
      <c r="I2061" t="str">
        <f t="shared" si="38"/>
        <v>SOCIAL SECURITY TAXES</v>
      </c>
    </row>
    <row r="2062" spans="1:9" x14ac:dyDescent="0.3">
      <c r="A2062" t="str">
        <f>""</f>
        <v/>
      </c>
      <c r="F2062" t="str">
        <f>""</f>
        <v/>
      </c>
      <c r="G2062" t="str">
        <f>""</f>
        <v/>
      </c>
      <c r="I2062" t="str">
        <f t="shared" si="38"/>
        <v>SOCIAL SECURITY TAXES</v>
      </c>
    </row>
    <row r="2063" spans="1:9" x14ac:dyDescent="0.3">
      <c r="A2063" t="str">
        <f>""</f>
        <v/>
      </c>
      <c r="F2063" t="str">
        <f>""</f>
        <v/>
      </c>
      <c r="G2063" t="str">
        <f>""</f>
        <v/>
      </c>
      <c r="I2063" t="str">
        <f t="shared" si="38"/>
        <v>SOCIAL SECURITY TAXES</v>
      </c>
    </row>
    <row r="2064" spans="1:9" x14ac:dyDescent="0.3">
      <c r="A2064" t="str">
        <f>""</f>
        <v/>
      </c>
      <c r="F2064" t="str">
        <f>""</f>
        <v/>
      </c>
      <c r="G2064" t="str">
        <f>""</f>
        <v/>
      </c>
      <c r="I2064" t="str">
        <f t="shared" si="38"/>
        <v>SOCIAL SECURITY TAXES</v>
      </c>
    </row>
    <row r="2065" spans="1:9" x14ac:dyDescent="0.3">
      <c r="A2065" t="str">
        <f>""</f>
        <v/>
      </c>
      <c r="F2065" t="str">
        <f>""</f>
        <v/>
      </c>
      <c r="G2065" t="str">
        <f>""</f>
        <v/>
      </c>
      <c r="I2065" t="str">
        <f t="shared" si="38"/>
        <v>SOCIAL SECURITY TAXES</v>
      </c>
    </row>
    <row r="2066" spans="1:9" x14ac:dyDescent="0.3">
      <c r="A2066" t="str">
        <f>""</f>
        <v/>
      </c>
      <c r="F2066" t="str">
        <f>""</f>
        <v/>
      </c>
      <c r="G2066" t="str">
        <f>""</f>
        <v/>
      </c>
      <c r="I2066" t="str">
        <f t="shared" si="38"/>
        <v>SOCIAL SECURITY TAXES</v>
      </c>
    </row>
    <row r="2067" spans="1:9" x14ac:dyDescent="0.3">
      <c r="A2067" t="str">
        <f>""</f>
        <v/>
      </c>
      <c r="F2067" t="str">
        <f>""</f>
        <v/>
      </c>
      <c r="G2067" t="str">
        <f>""</f>
        <v/>
      </c>
      <c r="I2067" t="str">
        <f t="shared" si="38"/>
        <v>SOCIAL SECURITY TAXES</v>
      </c>
    </row>
    <row r="2068" spans="1:9" x14ac:dyDescent="0.3">
      <c r="A2068" t="str">
        <f>""</f>
        <v/>
      </c>
      <c r="F2068" t="str">
        <f>""</f>
        <v/>
      </c>
      <c r="G2068" t="str">
        <f>""</f>
        <v/>
      </c>
      <c r="I2068" t="str">
        <f t="shared" si="38"/>
        <v>SOCIAL SECURITY TAXES</v>
      </c>
    </row>
    <row r="2069" spans="1:9" x14ac:dyDescent="0.3">
      <c r="A2069" t="str">
        <f>""</f>
        <v/>
      </c>
      <c r="F2069" t="str">
        <f>""</f>
        <v/>
      </c>
      <c r="G2069" t="str">
        <f>""</f>
        <v/>
      </c>
      <c r="I2069" t="str">
        <f t="shared" si="38"/>
        <v>SOCIAL SECURITY TAXES</v>
      </c>
    </row>
    <row r="2070" spans="1:9" x14ac:dyDescent="0.3">
      <c r="A2070" t="str">
        <f>""</f>
        <v/>
      </c>
      <c r="F2070" t="str">
        <f>""</f>
        <v/>
      </c>
      <c r="G2070" t="str">
        <f>""</f>
        <v/>
      </c>
      <c r="I2070" t="str">
        <f t="shared" ref="I2070:I2093" si="39">"SOCIAL SECURITY TAXES"</f>
        <v>SOCIAL SECURITY TAXES</v>
      </c>
    </row>
    <row r="2071" spans="1:9" x14ac:dyDescent="0.3">
      <c r="A2071" t="str">
        <f>""</f>
        <v/>
      </c>
      <c r="F2071" t="str">
        <f>""</f>
        <v/>
      </c>
      <c r="G2071" t="str">
        <f>""</f>
        <v/>
      </c>
      <c r="I2071" t="str">
        <f t="shared" si="39"/>
        <v>SOCIAL SECURITY TAXES</v>
      </c>
    </row>
    <row r="2072" spans="1:9" x14ac:dyDescent="0.3">
      <c r="A2072" t="str">
        <f>""</f>
        <v/>
      </c>
      <c r="F2072" t="str">
        <f>""</f>
        <v/>
      </c>
      <c r="G2072" t="str">
        <f>""</f>
        <v/>
      </c>
      <c r="I2072" t="str">
        <f t="shared" si="39"/>
        <v>SOCIAL SECURITY TAXES</v>
      </c>
    </row>
    <row r="2073" spans="1:9" x14ac:dyDescent="0.3">
      <c r="A2073" t="str">
        <f>""</f>
        <v/>
      </c>
      <c r="F2073" t="str">
        <f>""</f>
        <v/>
      </c>
      <c r="G2073" t="str">
        <f>""</f>
        <v/>
      </c>
      <c r="I2073" t="str">
        <f t="shared" si="39"/>
        <v>SOCIAL SECURITY TAXES</v>
      </c>
    </row>
    <row r="2074" spans="1:9" x14ac:dyDescent="0.3">
      <c r="A2074" t="str">
        <f>""</f>
        <v/>
      </c>
      <c r="F2074" t="str">
        <f>""</f>
        <v/>
      </c>
      <c r="G2074" t="str">
        <f>""</f>
        <v/>
      </c>
      <c r="I2074" t="str">
        <f t="shared" si="39"/>
        <v>SOCIAL SECURITY TAXES</v>
      </c>
    </row>
    <row r="2075" spans="1:9" x14ac:dyDescent="0.3">
      <c r="A2075" t="str">
        <f>""</f>
        <v/>
      </c>
      <c r="F2075" t="str">
        <f>""</f>
        <v/>
      </c>
      <c r="G2075" t="str">
        <f>""</f>
        <v/>
      </c>
      <c r="I2075" t="str">
        <f t="shared" si="39"/>
        <v>SOCIAL SECURITY TAXES</v>
      </c>
    </row>
    <row r="2076" spans="1:9" x14ac:dyDescent="0.3">
      <c r="A2076" t="str">
        <f>""</f>
        <v/>
      </c>
      <c r="F2076" t="str">
        <f>""</f>
        <v/>
      </c>
      <c r="G2076" t="str">
        <f>""</f>
        <v/>
      </c>
      <c r="I2076" t="str">
        <f t="shared" si="39"/>
        <v>SOCIAL SECURITY TAXES</v>
      </c>
    </row>
    <row r="2077" spans="1:9" x14ac:dyDescent="0.3">
      <c r="A2077" t="str">
        <f>""</f>
        <v/>
      </c>
      <c r="F2077" t="str">
        <f>""</f>
        <v/>
      </c>
      <c r="G2077" t="str">
        <f>""</f>
        <v/>
      </c>
      <c r="I2077" t="str">
        <f t="shared" si="39"/>
        <v>SOCIAL SECURITY TAXES</v>
      </c>
    </row>
    <row r="2078" spans="1:9" x14ac:dyDescent="0.3">
      <c r="A2078" t="str">
        <f>""</f>
        <v/>
      </c>
      <c r="F2078" t="str">
        <f>""</f>
        <v/>
      </c>
      <c r="G2078" t="str">
        <f>""</f>
        <v/>
      </c>
      <c r="I2078" t="str">
        <f t="shared" si="39"/>
        <v>SOCIAL SECURITY TAXES</v>
      </c>
    </row>
    <row r="2079" spans="1:9" x14ac:dyDescent="0.3">
      <c r="A2079" t="str">
        <f>""</f>
        <v/>
      </c>
      <c r="F2079" t="str">
        <f>""</f>
        <v/>
      </c>
      <c r="G2079" t="str">
        <f>""</f>
        <v/>
      </c>
      <c r="I2079" t="str">
        <f t="shared" si="39"/>
        <v>SOCIAL SECURITY TAXES</v>
      </c>
    </row>
    <row r="2080" spans="1:9" x14ac:dyDescent="0.3">
      <c r="A2080" t="str">
        <f>""</f>
        <v/>
      </c>
      <c r="F2080" t="str">
        <f>""</f>
        <v/>
      </c>
      <c r="G2080" t="str">
        <f>""</f>
        <v/>
      </c>
      <c r="I2080" t="str">
        <f t="shared" si="39"/>
        <v>SOCIAL SECURITY TAXES</v>
      </c>
    </row>
    <row r="2081" spans="1:9" x14ac:dyDescent="0.3">
      <c r="A2081" t="str">
        <f>""</f>
        <v/>
      </c>
      <c r="F2081" t="str">
        <f>""</f>
        <v/>
      </c>
      <c r="G2081" t="str">
        <f>""</f>
        <v/>
      </c>
      <c r="I2081" t="str">
        <f t="shared" si="39"/>
        <v>SOCIAL SECURITY TAXES</v>
      </c>
    </row>
    <row r="2082" spans="1:9" x14ac:dyDescent="0.3">
      <c r="A2082" t="str">
        <f>""</f>
        <v/>
      </c>
      <c r="F2082" t="str">
        <f>""</f>
        <v/>
      </c>
      <c r="G2082" t="str">
        <f>""</f>
        <v/>
      </c>
      <c r="I2082" t="str">
        <f t="shared" si="39"/>
        <v>SOCIAL SECURITY TAXES</v>
      </c>
    </row>
    <row r="2083" spans="1:9" x14ac:dyDescent="0.3">
      <c r="A2083" t="str">
        <f>""</f>
        <v/>
      </c>
      <c r="F2083" t="str">
        <f>""</f>
        <v/>
      </c>
      <c r="G2083" t="str">
        <f>""</f>
        <v/>
      </c>
      <c r="I2083" t="str">
        <f t="shared" si="39"/>
        <v>SOCIAL SECURITY TAXES</v>
      </c>
    </row>
    <row r="2084" spans="1:9" x14ac:dyDescent="0.3">
      <c r="A2084" t="str">
        <f>""</f>
        <v/>
      </c>
      <c r="F2084" t="str">
        <f>""</f>
        <v/>
      </c>
      <c r="G2084" t="str">
        <f>""</f>
        <v/>
      </c>
      <c r="I2084" t="str">
        <f t="shared" si="39"/>
        <v>SOCIAL SECURITY TAXES</v>
      </c>
    </row>
    <row r="2085" spans="1:9" x14ac:dyDescent="0.3">
      <c r="A2085" t="str">
        <f>""</f>
        <v/>
      </c>
      <c r="F2085" t="str">
        <f>""</f>
        <v/>
      </c>
      <c r="G2085" t="str">
        <f>""</f>
        <v/>
      </c>
      <c r="I2085" t="str">
        <f t="shared" si="39"/>
        <v>SOCIAL SECURITY TAXES</v>
      </c>
    </row>
    <row r="2086" spans="1:9" x14ac:dyDescent="0.3">
      <c r="A2086" t="str">
        <f>""</f>
        <v/>
      </c>
      <c r="F2086" t="str">
        <f>""</f>
        <v/>
      </c>
      <c r="G2086" t="str">
        <f>""</f>
        <v/>
      </c>
      <c r="I2086" t="str">
        <f t="shared" si="39"/>
        <v>SOCIAL SECURITY TAXES</v>
      </c>
    </row>
    <row r="2087" spans="1:9" x14ac:dyDescent="0.3">
      <c r="A2087" t="str">
        <f>""</f>
        <v/>
      </c>
      <c r="F2087" t="str">
        <f>""</f>
        <v/>
      </c>
      <c r="G2087" t="str">
        <f>""</f>
        <v/>
      </c>
      <c r="I2087" t="str">
        <f t="shared" si="39"/>
        <v>SOCIAL SECURITY TAXES</v>
      </c>
    </row>
    <row r="2088" spans="1:9" x14ac:dyDescent="0.3">
      <c r="A2088" t="str">
        <f>""</f>
        <v/>
      </c>
      <c r="F2088" t="str">
        <f>""</f>
        <v/>
      </c>
      <c r="G2088" t="str">
        <f>""</f>
        <v/>
      </c>
      <c r="I2088" t="str">
        <f t="shared" si="39"/>
        <v>SOCIAL SECURITY TAXES</v>
      </c>
    </row>
    <row r="2089" spans="1:9" x14ac:dyDescent="0.3">
      <c r="A2089" t="str">
        <f>""</f>
        <v/>
      </c>
      <c r="F2089" t="str">
        <f>""</f>
        <v/>
      </c>
      <c r="G2089" t="str">
        <f>""</f>
        <v/>
      </c>
      <c r="I2089" t="str">
        <f t="shared" si="39"/>
        <v>SOCIAL SECURITY TAXES</v>
      </c>
    </row>
    <row r="2090" spans="1:9" x14ac:dyDescent="0.3">
      <c r="A2090" t="str">
        <f>""</f>
        <v/>
      </c>
      <c r="F2090" t="str">
        <f>"T3 201704191328"</f>
        <v>T3 201704191328</v>
      </c>
      <c r="G2090" t="str">
        <f>"SOCIAL SECURITY TAXES"</f>
        <v>SOCIAL SECURITY TAXES</v>
      </c>
      <c r="H2090" s="2">
        <v>3878.22</v>
      </c>
      <c r="I2090" t="str">
        <f t="shared" si="39"/>
        <v>SOCIAL SECURITY TAXES</v>
      </c>
    </row>
    <row r="2091" spans="1:9" x14ac:dyDescent="0.3">
      <c r="A2091" t="str">
        <f>""</f>
        <v/>
      </c>
      <c r="F2091" t="str">
        <f>""</f>
        <v/>
      </c>
      <c r="G2091" t="str">
        <f>""</f>
        <v/>
      </c>
      <c r="I2091" t="str">
        <f t="shared" si="39"/>
        <v>SOCIAL SECURITY TAXES</v>
      </c>
    </row>
    <row r="2092" spans="1:9" x14ac:dyDescent="0.3">
      <c r="A2092" t="str">
        <f>""</f>
        <v/>
      </c>
      <c r="F2092" t="str">
        <f>"T3 201704191329"</f>
        <v>T3 201704191329</v>
      </c>
      <c r="G2092" t="str">
        <f>"SOCIAL SECURITY TAXES"</f>
        <v>SOCIAL SECURITY TAXES</v>
      </c>
      <c r="H2092" s="2">
        <v>5757.86</v>
      </c>
      <c r="I2092" t="str">
        <f t="shared" si="39"/>
        <v>SOCIAL SECURITY TAXES</v>
      </c>
    </row>
    <row r="2093" spans="1:9" x14ac:dyDescent="0.3">
      <c r="A2093" t="str">
        <f>""</f>
        <v/>
      </c>
      <c r="F2093" t="str">
        <f>""</f>
        <v/>
      </c>
      <c r="G2093" t="str">
        <f>""</f>
        <v/>
      </c>
      <c r="I2093" t="str">
        <f t="shared" si="39"/>
        <v>SOCIAL SECURITY TAXES</v>
      </c>
    </row>
    <row r="2094" spans="1:9" x14ac:dyDescent="0.3">
      <c r="A2094" t="str">
        <f>""</f>
        <v/>
      </c>
      <c r="F2094" t="str">
        <f>"T4 201704191327"</f>
        <v>T4 201704191327</v>
      </c>
      <c r="G2094" t="str">
        <f>"MEDICARE TAXES"</f>
        <v>MEDICARE TAXES</v>
      </c>
      <c r="H2094" s="2">
        <v>22410.7</v>
      </c>
      <c r="I2094" t="str">
        <f t="shared" ref="I2094:I2125" si="40">"MEDICARE TAXES"</f>
        <v>MEDICARE TAXES</v>
      </c>
    </row>
    <row r="2095" spans="1:9" x14ac:dyDescent="0.3">
      <c r="A2095" t="str">
        <f>""</f>
        <v/>
      </c>
      <c r="F2095" t="str">
        <f>""</f>
        <v/>
      </c>
      <c r="G2095" t="str">
        <f>""</f>
        <v/>
      </c>
      <c r="I2095" t="str">
        <f t="shared" si="40"/>
        <v>MEDICARE TAXES</v>
      </c>
    </row>
    <row r="2096" spans="1:9" x14ac:dyDescent="0.3">
      <c r="A2096" t="str">
        <f>""</f>
        <v/>
      </c>
      <c r="F2096" t="str">
        <f>""</f>
        <v/>
      </c>
      <c r="G2096" t="str">
        <f>""</f>
        <v/>
      </c>
      <c r="I2096" t="str">
        <f t="shared" si="40"/>
        <v>MEDICARE TAXES</v>
      </c>
    </row>
    <row r="2097" spans="1:9" x14ac:dyDescent="0.3">
      <c r="A2097" t="str">
        <f>""</f>
        <v/>
      </c>
      <c r="F2097" t="str">
        <f>""</f>
        <v/>
      </c>
      <c r="G2097" t="str">
        <f>""</f>
        <v/>
      </c>
      <c r="I2097" t="str">
        <f t="shared" si="40"/>
        <v>MEDICARE TAXES</v>
      </c>
    </row>
    <row r="2098" spans="1:9" x14ac:dyDescent="0.3">
      <c r="A2098" t="str">
        <f>""</f>
        <v/>
      </c>
      <c r="F2098" t="str">
        <f>""</f>
        <v/>
      </c>
      <c r="G2098" t="str">
        <f>""</f>
        <v/>
      </c>
      <c r="I2098" t="str">
        <f t="shared" si="40"/>
        <v>MEDICARE TAXES</v>
      </c>
    </row>
    <row r="2099" spans="1:9" x14ac:dyDescent="0.3">
      <c r="A2099" t="str">
        <f>""</f>
        <v/>
      </c>
      <c r="F2099" t="str">
        <f>""</f>
        <v/>
      </c>
      <c r="G2099" t="str">
        <f>""</f>
        <v/>
      </c>
      <c r="I2099" t="str">
        <f t="shared" si="40"/>
        <v>MEDICARE TAXES</v>
      </c>
    </row>
    <row r="2100" spans="1:9" x14ac:dyDescent="0.3">
      <c r="A2100" t="str">
        <f>""</f>
        <v/>
      </c>
      <c r="F2100" t="str">
        <f>""</f>
        <v/>
      </c>
      <c r="G2100" t="str">
        <f>""</f>
        <v/>
      </c>
      <c r="I2100" t="str">
        <f t="shared" si="40"/>
        <v>MEDICARE TAXES</v>
      </c>
    </row>
    <row r="2101" spans="1:9" x14ac:dyDescent="0.3">
      <c r="A2101" t="str">
        <f>""</f>
        <v/>
      </c>
      <c r="F2101" t="str">
        <f>""</f>
        <v/>
      </c>
      <c r="G2101" t="str">
        <f>""</f>
        <v/>
      </c>
      <c r="I2101" t="str">
        <f t="shared" si="40"/>
        <v>MEDICARE TAXES</v>
      </c>
    </row>
    <row r="2102" spans="1:9" x14ac:dyDescent="0.3">
      <c r="A2102" t="str">
        <f>""</f>
        <v/>
      </c>
      <c r="F2102" t="str">
        <f>""</f>
        <v/>
      </c>
      <c r="G2102" t="str">
        <f>""</f>
        <v/>
      </c>
      <c r="I2102" t="str">
        <f t="shared" si="40"/>
        <v>MEDICARE TAXES</v>
      </c>
    </row>
    <row r="2103" spans="1:9" x14ac:dyDescent="0.3">
      <c r="A2103" t="str">
        <f>""</f>
        <v/>
      </c>
      <c r="F2103" t="str">
        <f>""</f>
        <v/>
      </c>
      <c r="G2103" t="str">
        <f>""</f>
        <v/>
      </c>
      <c r="I2103" t="str">
        <f t="shared" si="40"/>
        <v>MEDICARE TAXES</v>
      </c>
    </row>
    <row r="2104" spans="1:9" x14ac:dyDescent="0.3">
      <c r="A2104" t="str">
        <f>""</f>
        <v/>
      </c>
      <c r="F2104" t="str">
        <f>""</f>
        <v/>
      </c>
      <c r="G2104" t="str">
        <f>""</f>
        <v/>
      </c>
      <c r="I2104" t="str">
        <f t="shared" si="40"/>
        <v>MEDICARE TAXES</v>
      </c>
    </row>
    <row r="2105" spans="1:9" x14ac:dyDescent="0.3">
      <c r="A2105" t="str">
        <f>""</f>
        <v/>
      </c>
      <c r="F2105" t="str">
        <f>""</f>
        <v/>
      </c>
      <c r="G2105" t="str">
        <f>""</f>
        <v/>
      </c>
      <c r="I2105" t="str">
        <f t="shared" si="40"/>
        <v>MEDICARE TAXES</v>
      </c>
    </row>
    <row r="2106" spans="1:9" x14ac:dyDescent="0.3">
      <c r="A2106" t="str">
        <f>""</f>
        <v/>
      </c>
      <c r="F2106" t="str">
        <f>""</f>
        <v/>
      </c>
      <c r="G2106" t="str">
        <f>""</f>
        <v/>
      </c>
      <c r="I2106" t="str">
        <f t="shared" si="40"/>
        <v>MEDICARE TAXES</v>
      </c>
    </row>
    <row r="2107" spans="1:9" x14ac:dyDescent="0.3">
      <c r="A2107" t="str">
        <f>""</f>
        <v/>
      </c>
      <c r="F2107" t="str">
        <f>""</f>
        <v/>
      </c>
      <c r="G2107" t="str">
        <f>""</f>
        <v/>
      </c>
      <c r="I2107" t="str">
        <f t="shared" si="40"/>
        <v>MEDICARE TAXES</v>
      </c>
    </row>
    <row r="2108" spans="1:9" x14ac:dyDescent="0.3">
      <c r="A2108" t="str">
        <f>""</f>
        <v/>
      </c>
      <c r="F2108" t="str">
        <f>""</f>
        <v/>
      </c>
      <c r="G2108" t="str">
        <f>""</f>
        <v/>
      </c>
      <c r="I2108" t="str">
        <f t="shared" si="40"/>
        <v>MEDICARE TAXES</v>
      </c>
    </row>
    <row r="2109" spans="1:9" x14ac:dyDescent="0.3">
      <c r="A2109" t="str">
        <f>""</f>
        <v/>
      </c>
      <c r="F2109" t="str">
        <f>""</f>
        <v/>
      </c>
      <c r="G2109" t="str">
        <f>""</f>
        <v/>
      </c>
      <c r="I2109" t="str">
        <f t="shared" si="40"/>
        <v>MEDICARE TAXES</v>
      </c>
    </row>
    <row r="2110" spans="1:9" x14ac:dyDescent="0.3">
      <c r="A2110" t="str">
        <f>""</f>
        <v/>
      </c>
      <c r="F2110" t="str">
        <f>""</f>
        <v/>
      </c>
      <c r="G2110" t="str">
        <f>""</f>
        <v/>
      </c>
      <c r="I2110" t="str">
        <f t="shared" si="40"/>
        <v>MEDICARE TAXES</v>
      </c>
    </row>
    <row r="2111" spans="1:9" x14ac:dyDescent="0.3">
      <c r="A2111" t="str">
        <f>""</f>
        <v/>
      </c>
      <c r="F2111" t="str">
        <f>""</f>
        <v/>
      </c>
      <c r="G2111" t="str">
        <f>""</f>
        <v/>
      </c>
      <c r="I2111" t="str">
        <f t="shared" si="40"/>
        <v>MEDICARE TAXES</v>
      </c>
    </row>
    <row r="2112" spans="1:9" x14ac:dyDescent="0.3">
      <c r="A2112" t="str">
        <f>""</f>
        <v/>
      </c>
      <c r="F2112" t="str">
        <f>""</f>
        <v/>
      </c>
      <c r="G2112" t="str">
        <f>""</f>
        <v/>
      </c>
      <c r="I2112" t="str">
        <f t="shared" si="40"/>
        <v>MEDICARE TAXES</v>
      </c>
    </row>
    <row r="2113" spans="1:9" x14ac:dyDescent="0.3">
      <c r="A2113" t="str">
        <f>""</f>
        <v/>
      </c>
      <c r="F2113" t="str">
        <f>""</f>
        <v/>
      </c>
      <c r="G2113" t="str">
        <f>""</f>
        <v/>
      </c>
      <c r="I2113" t="str">
        <f t="shared" si="40"/>
        <v>MEDICARE TAXES</v>
      </c>
    </row>
    <row r="2114" spans="1:9" x14ac:dyDescent="0.3">
      <c r="A2114" t="str">
        <f>""</f>
        <v/>
      </c>
      <c r="F2114" t="str">
        <f>""</f>
        <v/>
      </c>
      <c r="G2114" t="str">
        <f>""</f>
        <v/>
      </c>
      <c r="I2114" t="str">
        <f t="shared" si="40"/>
        <v>MEDICARE TAXES</v>
      </c>
    </row>
    <row r="2115" spans="1:9" x14ac:dyDescent="0.3">
      <c r="A2115" t="str">
        <f>""</f>
        <v/>
      </c>
      <c r="F2115" t="str">
        <f>""</f>
        <v/>
      </c>
      <c r="G2115" t="str">
        <f>""</f>
        <v/>
      </c>
      <c r="I2115" t="str">
        <f t="shared" si="40"/>
        <v>MEDICARE TAXES</v>
      </c>
    </row>
    <row r="2116" spans="1:9" x14ac:dyDescent="0.3">
      <c r="A2116" t="str">
        <f>""</f>
        <v/>
      </c>
      <c r="F2116" t="str">
        <f>""</f>
        <v/>
      </c>
      <c r="G2116" t="str">
        <f>""</f>
        <v/>
      </c>
      <c r="I2116" t="str">
        <f t="shared" si="40"/>
        <v>MEDICARE TAXES</v>
      </c>
    </row>
    <row r="2117" spans="1:9" x14ac:dyDescent="0.3">
      <c r="A2117" t="str">
        <f>""</f>
        <v/>
      </c>
      <c r="F2117" t="str">
        <f>""</f>
        <v/>
      </c>
      <c r="G2117" t="str">
        <f>""</f>
        <v/>
      </c>
      <c r="I2117" t="str">
        <f t="shared" si="40"/>
        <v>MEDICARE TAXES</v>
      </c>
    </row>
    <row r="2118" spans="1:9" x14ac:dyDescent="0.3">
      <c r="A2118" t="str">
        <f>""</f>
        <v/>
      </c>
      <c r="F2118" t="str">
        <f>""</f>
        <v/>
      </c>
      <c r="G2118" t="str">
        <f>""</f>
        <v/>
      </c>
      <c r="I2118" t="str">
        <f t="shared" si="40"/>
        <v>MEDICARE TAXES</v>
      </c>
    </row>
    <row r="2119" spans="1:9" x14ac:dyDescent="0.3">
      <c r="A2119" t="str">
        <f>""</f>
        <v/>
      </c>
      <c r="F2119" t="str">
        <f>""</f>
        <v/>
      </c>
      <c r="G2119" t="str">
        <f>""</f>
        <v/>
      </c>
      <c r="I2119" t="str">
        <f t="shared" si="40"/>
        <v>MEDICARE TAXES</v>
      </c>
    </row>
    <row r="2120" spans="1:9" x14ac:dyDescent="0.3">
      <c r="A2120" t="str">
        <f>""</f>
        <v/>
      </c>
      <c r="F2120" t="str">
        <f>""</f>
        <v/>
      </c>
      <c r="G2120" t="str">
        <f>""</f>
        <v/>
      </c>
      <c r="I2120" t="str">
        <f t="shared" si="40"/>
        <v>MEDICARE TAXES</v>
      </c>
    </row>
    <row r="2121" spans="1:9" x14ac:dyDescent="0.3">
      <c r="A2121" t="str">
        <f>""</f>
        <v/>
      </c>
      <c r="F2121" t="str">
        <f>""</f>
        <v/>
      </c>
      <c r="G2121" t="str">
        <f>""</f>
        <v/>
      </c>
      <c r="I2121" t="str">
        <f t="shared" si="40"/>
        <v>MEDICARE TAXES</v>
      </c>
    </row>
    <row r="2122" spans="1:9" x14ac:dyDescent="0.3">
      <c r="A2122" t="str">
        <f>""</f>
        <v/>
      </c>
      <c r="F2122" t="str">
        <f>""</f>
        <v/>
      </c>
      <c r="G2122" t="str">
        <f>""</f>
        <v/>
      </c>
      <c r="I2122" t="str">
        <f t="shared" si="40"/>
        <v>MEDICARE TAXES</v>
      </c>
    </row>
    <row r="2123" spans="1:9" x14ac:dyDescent="0.3">
      <c r="A2123" t="str">
        <f>""</f>
        <v/>
      </c>
      <c r="F2123" t="str">
        <f>""</f>
        <v/>
      </c>
      <c r="G2123" t="str">
        <f>""</f>
        <v/>
      </c>
      <c r="I2123" t="str">
        <f t="shared" si="40"/>
        <v>MEDICARE TAXES</v>
      </c>
    </row>
    <row r="2124" spans="1:9" x14ac:dyDescent="0.3">
      <c r="A2124" t="str">
        <f>""</f>
        <v/>
      </c>
      <c r="F2124" t="str">
        <f>""</f>
        <v/>
      </c>
      <c r="G2124" t="str">
        <f>""</f>
        <v/>
      </c>
      <c r="I2124" t="str">
        <f t="shared" si="40"/>
        <v>MEDICARE TAXES</v>
      </c>
    </row>
    <row r="2125" spans="1:9" x14ac:dyDescent="0.3">
      <c r="A2125" t="str">
        <f>""</f>
        <v/>
      </c>
      <c r="F2125" t="str">
        <f>""</f>
        <v/>
      </c>
      <c r="G2125" t="str">
        <f>""</f>
        <v/>
      </c>
      <c r="I2125" t="str">
        <f t="shared" si="40"/>
        <v>MEDICARE TAXES</v>
      </c>
    </row>
    <row r="2126" spans="1:9" x14ac:dyDescent="0.3">
      <c r="A2126" t="str">
        <f>""</f>
        <v/>
      </c>
      <c r="F2126" t="str">
        <f>""</f>
        <v/>
      </c>
      <c r="G2126" t="str">
        <f>""</f>
        <v/>
      </c>
      <c r="I2126" t="str">
        <f t="shared" ref="I2126:I2149" si="41">"MEDICARE TAXES"</f>
        <v>MEDICARE TAXES</v>
      </c>
    </row>
    <row r="2127" spans="1:9" x14ac:dyDescent="0.3">
      <c r="A2127" t="str">
        <f>""</f>
        <v/>
      </c>
      <c r="F2127" t="str">
        <f>""</f>
        <v/>
      </c>
      <c r="G2127" t="str">
        <f>""</f>
        <v/>
      </c>
      <c r="I2127" t="str">
        <f t="shared" si="41"/>
        <v>MEDICARE TAXES</v>
      </c>
    </row>
    <row r="2128" spans="1:9" x14ac:dyDescent="0.3">
      <c r="A2128" t="str">
        <f>""</f>
        <v/>
      </c>
      <c r="F2128" t="str">
        <f>""</f>
        <v/>
      </c>
      <c r="G2128" t="str">
        <f>""</f>
        <v/>
      </c>
      <c r="I2128" t="str">
        <f t="shared" si="41"/>
        <v>MEDICARE TAXES</v>
      </c>
    </row>
    <row r="2129" spans="1:9" x14ac:dyDescent="0.3">
      <c r="A2129" t="str">
        <f>""</f>
        <v/>
      </c>
      <c r="F2129" t="str">
        <f>""</f>
        <v/>
      </c>
      <c r="G2129" t="str">
        <f>""</f>
        <v/>
      </c>
      <c r="I2129" t="str">
        <f t="shared" si="41"/>
        <v>MEDICARE TAXES</v>
      </c>
    </row>
    <row r="2130" spans="1:9" x14ac:dyDescent="0.3">
      <c r="A2130" t="str">
        <f>""</f>
        <v/>
      </c>
      <c r="F2130" t="str">
        <f>""</f>
        <v/>
      </c>
      <c r="G2130" t="str">
        <f>""</f>
        <v/>
      </c>
      <c r="I2130" t="str">
        <f t="shared" si="41"/>
        <v>MEDICARE TAXES</v>
      </c>
    </row>
    <row r="2131" spans="1:9" x14ac:dyDescent="0.3">
      <c r="A2131" t="str">
        <f>""</f>
        <v/>
      </c>
      <c r="F2131" t="str">
        <f>""</f>
        <v/>
      </c>
      <c r="G2131" t="str">
        <f>""</f>
        <v/>
      </c>
      <c r="I2131" t="str">
        <f t="shared" si="41"/>
        <v>MEDICARE TAXES</v>
      </c>
    </row>
    <row r="2132" spans="1:9" x14ac:dyDescent="0.3">
      <c r="A2132" t="str">
        <f>""</f>
        <v/>
      </c>
      <c r="F2132" t="str">
        <f>""</f>
        <v/>
      </c>
      <c r="G2132" t="str">
        <f>""</f>
        <v/>
      </c>
      <c r="I2132" t="str">
        <f t="shared" si="41"/>
        <v>MEDICARE TAXES</v>
      </c>
    </row>
    <row r="2133" spans="1:9" x14ac:dyDescent="0.3">
      <c r="A2133" t="str">
        <f>""</f>
        <v/>
      </c>
      <c r="F2133" t="str">
        <f>""</f>
        <v/>
      </c>
      <c r="G2133" t="str">
        <f>""</f>
        <v/>
      </c>
      <c r="I2133" t="str">
        <f t="shared" si="41"/>
        <v>MEDICARE TAXES</v>
      </c>
    </row>
    <row r="2134" spans="1:9" x14ac:dyDescent="0.3">
      <c r="A2134" t="str">
        <f>""</f>
        <v/>
      </c>
      <c r="F2134" t="str">
        <f>""</f>
        <v/>
      </c>
      <c r="G2134" t="str">
        <f>""</f>
        <v/>
      </c>
      <c r="I2134" t="str">
        <f t="shared" si="41"/>
        <v>MEDICARE TAXES</v>
      </c>
    </row>
    <row r="2135" spans="1:9" x14ac:dyDescent="0.3">
      <c r="A2135" t="str">
        <f>""</f>
        <v/>
      </c>
      <c r="F2135" t="str">
        <f>""</f>
        <v/>
      </c>
      <c r="G2135" t="str">
        <f>""</f>
        <v/>
      </c>
      <c r="I2135" t="str">
        <f t="shared" si="41"/>
        <v>MEDICARE TAXES</v>
      </c>
    </row>
    <row r="2136" spans="1:9" x14ac:dyDescent="0.3">
      <c r="A2136" t="str">
        <f>""</f>
        <v/>
      </c>
      <c r="F2136" t="str">
        <f>""</f>
        <v/>
      </c>
      <c r="G2136" t="str">
        <f>""</f>
        <v/>
      </c>
      <c r="I2136" t="str">
        <f t="shared" si="41"/>
        <v>MEDICARE TAXES</v>
      </c>
    </row>
    <row r="2137" spans="1:9" x14ac:dyDescent="0.3">
      <c r="A2137" t="str">
        <f>""</f>
        <v/>
      </c>
      <c r="F2137" t="str">
        <f>""</f>
        <v/>
      </c>
      <c r="G2137" t="str">
        <f>""</f>
        <v/>
      </c>
      <c r="I2137" t="str">
        <f t="shared" si="41"/>
        <v>MEDICARE TAXES</v>
      </c>
    </row>
    <row r="2138" spans="1:9" x14ac:dyDescent="0.3">
      <c r="A2138" t="str">
        <f>""</f>
        <v/>
      </c>
      <c r="F2138" t="str">
        <f>""</f>
        <v/>
      </c>
      <c r="G2138" t="str">
        <f>""</f>
        <v/>
      </c>
      <c r="I2138" t="str">
        <f t="shared" si="41"/>
        <v>MEDICARE TAXES</v>
      </c>
    </row>
    <row r="2139" spans="1:9" x14ac:dyDescent="0.3">
      <c r="A2139" t="str">
        <f>""</f>
        <v/>
      </c>
      <c r="F2139" t="str">
        <f>""</f>
        <v/>
      </c>
      <c r="G2139" t="str">
        <f>""</f>
        <v/>
      </c>
      <c r="I2139" t="str">
        <f t="shared" si="41"/>
        <v>MEDICARE TAXES</v>
      </c>
    </row>
    <row r="2140" spans="1:9" x14ac:dyDescent="0.3">
      <c r="A2140" t="str">
        <f>""</f>
        <v/>
      </c>
      <c r="F2140" t="str">
        <f>""</f>
        <v/>
      </c>
      <c r="G2140" t="str">
        <f>""</f>
        <v/>
      </c>
      <c r="I2140" t="str">
        <f t="shared" si="41"/>
        <v>MEDICARE TAXES</v>
      </c>
    </row>
    <row r="2141" spans="1:9" x14ac:dyDescent="0.3">
      <c r="A2141" t="str">
        <f>""</f>
        <v/>
      </c>
      <c r="F2141" t="str">
        <f>""</f>
        <v/>
      </c>
      <c r="G2141" t="str">
        <f>""</f>
        <v/>
      </c>
      <c r="I2141" t="str">
        <f t="shared" si="41"/>
        <v>MEDICARE TAXES</v>
      </c>
    </row>
    <row r="2142" spans="1:9" x14ac:dyDescent="0.3">
      <c r="A2142" t="str">
        <f>""</f>
        <v/>
      </c>
      <c r="F2142" t="str">
        <f>""</f>
        <v/>
      </c>
      <c r="G2142" t="str">
        <f>""</f>
        <v/>
      </c>
      <c r="I2142" t="str">
        <f t="shared" si="41"/>
        <v>MEDICARE TAXES</v>
      </c>
    </row>
    <row r="2143" spans="1:9" x14ac:dyDescent="0.3">
      <c r="A2143" t="str">
        <f>""</f>
        <v/>
      </c>
      <c r="F2143" t="str">
        <f>""</f>
        <v/>
      </c>
      <c r="G2143" t="str">
        <f>""</f>
        <v/>
      </c>
      <c r="I2143" t="str">
        <f t="shared" si="41"/>
        <v>MEDICARE TAXES</v>
      </c>
    </row>
    <row r="2144" spans="1:9" x14ac:dyDescent="0.3">
      <c r="A2144" t="str">
        <f>""</f>
        <v/>
      </c>
      <c r="F2144" t="str">
        <f>""</f>
        <v/>
      </c>
      <c r="G2144" t="str">
        <f>""</f>
        <v/>
      </c>
      <c r="I2144" t="str">
        <f t="shared" si="41"/>
        <v>MEDICARE TAXES</v>
      </c>
    </row>
    <row r="2145" spans="1:9" x14ac:dyDescent="0.3">
      <c r="A2145" t="str">
        <f>""</f>
        <v/>
      </c>
      <c r="F2145" t="str">
        <f>""</f>
        <v/>
      </c>
      <c r="G2145" t="str">
        <f>""</f>
        <v/>
      </c>
      <c r="I2145" t="str">
        <f t="shared" si="41"/>
        <v>MEDICARE TAXES</v>
      </c>
    </row>
    <row r="2146" spans="1:9" x14ac:dyDescent="0.3">
      <c r="A2146" t="str">
        <f>""</f>
        <v/>
      </c>
      <c r="F2146" t="str">
        <f>"T4 201704191328"</f>
        <v>T4 201704191328</v>
      </c>
      <c r="G2146" t="str">
        <f>"MEDICARE TAXES"</f>
        <v>MEDICARE TAXES</v>
      </c>
      <c r="H2146" s="2">
        <v>907.02</v>
      </c>
      <c r="I2146" t="str">
        <f t="shared" si="41"/>
        <v>MEDICARE TAXES</v>
      </c>
    </row>
    <row r="2147" spans="1:9" x14ac:dyDescent="0.3">
      <c r="A2147" t="str">
        <f>""</f>
        <v/>
      </c>
      <c r="F2147" t="str">
        <f>""</f>
        <v/>
      </c>
      <c r="G2147" t="str">
        <f>""</f>
        <v/>
      </c>
      <c r="I2147" t="str">
        <f t="shared" si="41"/>
        <v>MEDICARE TAXES</v>
      </c>
    </row>
    <row r="2148" spans="1:9" x14ac:dyDescent="0.3">
      <c r="A2148" t="str">
        <f>""</f>
        <v/>
      </c>
      <c r="F2148" t="str">
        <f>"T4 201704191329"</f>
        <v>T4 201704191329</v>
      </c>
      <c r="G2148" t="str">
        <f>"MEDICARE TAXES"</f>
        <v>MEDICARE TAXES</v>
      </c>
      <c r="H2148" s="2">
        <v>1346.58</v>
      </c>
      <c r="I2148" t="str">
        <f t="shared" si="41"/>
        <v>MEDICARE TAXES</v>
      </c>
    </row>
    <row r="2149" spans="1:9" x14ac:dyDescent="0.3">
      <c r="A2149" t="str">
        <f>""</f>
        <v/>
      </c>
      <c r="F2149" t="str">
        <f>""</f>
        <v/>
      </c>
      <c r="G2149" t="str">
        <f>""</f>
        <v/>
      </c>
      <c r="I2149" t="str">
        <f t="shared" si="41"/>
        <v>MEDICARE TAXES</v>
      </c>
    </row>
    <row r="2150" spans="1:9" x14ac:dyDescent="0.3">
      <c r="A2150" t="str">
        <f>"004638"</f>
        <v>004638</v>
      </c>
      <c r="B2150" t="s">
        <v>463</v>
      </c>
      <c r="C2150">
        <v>45505</v>
      </c>
      <c r="D2150" s="2">
        <v>72.41</v>
      </c>
      <c r="E2150" s="1">
        <v>42832</v>
      </c>
      <c r="F2150" t="str">
        <f>"C64201704050690"</f>
        <v>C64201704050690</v>
      </c>
      <c r="G2150" t="str">
        <f>"CASE #912745322"</f>
        <v>CASE #912745322</v>
      </c>
      <c r="H2150" s="2">
        <v>72.41</v>
      </c>
      <c r="I2150" t="str">
        <f>"CASE #912745322"</f>
        <v>CASE #912745322</v>
      </c>
    </row>
    <row r="2151" spans="1:9" x14ac:dyDescent="0.3">
      <c r="A2151" t="str">
        <f>"004638"</f>
        <v>004638</v>
      </c>
      <c r="B2151" t="s">
        <v>463</v>
      </c>
      <c r="C2151">
        <v>45534</v>
      </c>
      <c r="D2151" s="2">
        <v>72.41</v>
      </c>
      <c r="E2151" s="1">
        <v>42846</v>
      </c>
      <c r="F2151" t="str">
        <f>"C64201704191327"</f>
        <v>C64201704191327</v>
      </c>
      <c r="G2151" t="str">
        <f>"CASE #912745322"</f>
        <v>CASE #912745322</v>
      </c>
      <c r="H2151" s="2">
        <v>72.41</v>
      </c>
      <c r="I2151" t="str">
        <f>"CASE #912745322"</f>
        <v>CASE #912745322</v>
      </c>
    </row>
    <row r="2152" spans="1:9" x14ac:dyDescent="0.3">
      <c r="A2152" t="str">
        <f>"001507"</f>
        <v>001507</v>
      </c>
      <c r="B2152" t="s">
        <v>464</v>
      </c>
      <c r="C2152">
        <v>0</v>
      </c>
      <c r="D2152" s="2">
        <v>26411.18</v>
      </c>
      <c r="E2152" s="1">
        <v>42853</v>
      </c>
      <c r="F2152" t="str">
        <f>"201704281578"</f>
        <v>201704281578</v>
      </c>
      <c r="G2152" t="str">
        <f>"MONUMENTAL LIFE INS CO"</f>
        <v>MONUMENTAL LIFE INS CO</v>
      </c>
      <c r="H2152" s="2">
        <v>26411.18</v>
      </c>
      <c r="I2152" t="str">
        <f>"MONUMENTAL LIFE INS CO"</f>
        <v>MONUMENTAL LIFE INS CO</v>
      </c>
    </row>
    <row r="2153" spans="1:9" x14ac:dyDescent="0.3">
      <c r="A2153" t="str">
        <f>"002456"</f>
        <v>002456</v>
      </c>
      <c r="B2153" t="s">
        <v>465</v>
      </c>
      <c r="C2153">
        <v>0</v>
      </c>
      <c r="D2153" s="2">
        <v>796.52</v>
      </c>
      <c r="E2153" s="1">
        <v>42853</v>
      </c>
      <c r="F2153" t="str">
        <f>"LIX201704050690"</f>
        <v>LIX201704050690</v>
      </c>
      <c r="G2153" t="str">
        <f>"TEXAS LIFE/OLIVO GROUP"</f>
        <v>TEXAS LIFE/OLIVO GROUP</v>
      </c>
      <c r="H2153" s="2">
        <v>398.26</v>
      </c>
      <c r="I2153" t="str">
        <f>"TEXAS LIFE/OLIVO GROUP"</f>
        <v>TEXAS LIFE/OLIVO GROUP</v>
      </c>
    </row>
    <row r="2154" spans="1:9" x14ac:dyDescent="0.3">
      <c r="A2154" t="str">
        <f>""</f>
        <v/>
      </c>
      <c r="F2154" t="str">
        <f>"LIX201704191327"</f>
        <v>LIX201704191327</v>
      </c>
      <c r="G2154" t="str">
        <f>"TEXAS LIFE/OLIVO GROUP"</f>
        <v>TEXAS LIFE/OLIVO GROUP</v>
      </c>
      <c r="H2154" s="2">
        <v>398.26</v>
      </c>
      <c r="I2154" t="str">
        <f>"TEXAS LIFE/OLIVO GROUP"</f>
        <v>TEXAS LIFE/OLIVO GROUP</v>
      </c>
    </row>
    <row r="2155" spans="1:9" x14ac:dyDescent="0.3">
      <c r="A2155" t="str">
        <f>"TACHEB"</f>
        <v>TACHEB</v>
      </c>
      <c r="B2155" t="s">
        <v>466</v>
      </c>
      <c r="C2155">
        <v>45541</v>
      </c>
      <c r="D2155" s="2">
        <v>313495.15999999997</v>
      </c>
      <c r="E2155" s="1">
        <v>42853</v>
      </c>
      <c r="F2155" t="str">
        <f>"201704281579"</f>
        <v>201704281579</v>
      </c>
      <c r="G2155" t="str">
        <f>"Retiree April 2017"</f>
        <v>Retiree April 2017</v>
      </c>
      <c r="H2155" s="2">
        <v>16262.22</v>
      </c>
      <c r="I2155" t="str">
        <f>"TAC HEALTH BENEFITS POOL"</f>
        <v>TAC HEALTH BENEFITS POOL</v>
      </c>
    </row>
    <row r="2156" spans="1:9" x14ac:dyDescent="0.3">
      <c r="A2156" t="str">
        <f>""</f>
        <v/>
      </c>
      <c r="F2156" t="str">
        <f>"201704281580"</f>
        <v>201704281580</v>
      </c>
      <c r="G2156" t="str">
        <f>"COBRA Jennifer Lehmann"</f>
        <v>COBRA Jennifer Lehmann</v>
      </c>
      <c r="H2156" s="2">
        <v>621.96</v>
      </c>
      <c r="I2156" t="str">
        <f>"COBRA Jennifer Lehmann"</f>
        <v>COBRA Jennifer Lehmann</v>
      </c>
    </row>
    <row r="2157" spans="1:9" x14ac:dyDescent="0.3">
      <c r="A2157" t="str">
        <f>""</f>
        <v/>
      </c>
      <c r="F2157" t="str">
        <f>"2EC201704050690"</f>
        <v>2EC201704050690</v>
      </c>
      <c r="G2157" t="str">
        <f>"BCBS PAYABLE"</f>
        <v>BCBS PAYABLE</v>
      </c>
      <c r="H2157" s="2">
        <v>38469.599999999999</v>
      </c>
      <c r="I2157" t="str">
        <f t="shared" ref="I2157:I2220" si="42">"BCBS PAYABLE"</f>
        <v>BCBS PAYABLE</v>
      </c>
    </row>
    <row r="2158" spans="1:9" x14ac:dyDescent="0.3">
      <c r="A2158" t="str">
        <f>""</f>
        <v/>
      </c>
      <c r="F2158" t="str">
        <f>""</f>
        <v/>
      </c>
      <c r="G2158" t="str">
        <f>""</f>
        <v/>
      </c>
      <c r="I2158" t="str">
        <f t="shared" si="42"/>
        <v>BCBS PAYABLE</v>
      </c>
    </row>
    <row r="2159" spans="1:9" x14ac:dyDescent="0.3">
      <c r="A2159" t="str">
        <f>""</f>
        <v/>
      </c>
      <c r="F2159" t="str">
        <f>""</f>
        <v/>
      </c>
      <c r="G2159" t="str">
        <f>""</f>
        <v/>
      </c>
      <c r="I2159" t="str">
        <f t="shared" si="42"/>
        <v>BCBS PAYABLE</v>
      </c>
    </row>
    <row r="2160" spans="1:9" x14ac:dyDescent="0.3">
      <c r="A2160" t="str">
        <f>""</f>
        <v/>
      </c>
      <c r="F2160" t="str">
        <f>""</f>
        <v/>
      </c>
      <c r="G2160" t="str">
        <f>""</f>
        <v/>
      </c>
      <c r="I2160" t="str">
        <f t="shared" si="42"/>
        <v>BCBS PAYABLE</v>
      </c>
    </row>
    <row r="2161" spans="1:9" x14ac:dyDescent="0.3">
      <c r="A2161" t="str">
        <f>""</f>
        <v/>
      </c>
      <c r="F2161" t="str">
        <f>""</f>
        <v/>
      </c>
      <c r="G2161" t="str">
        <f>""</f>
        <v/>
      </c>
      <c r="I2161" t="str">
        <f t="shared" si="42"/>
        <v>BCBS PAYABLE</v>
      </c>
    </row>
    <row r="2162" spans="1:9" x14ac:dyDescent="0.3">
      <c r="A2162" t="str">
        <f>""</f>
        <v/>
      </c>
      <c r="F2162" t="str">
        <f>""</f>
        <v/>
      </c>
      <c r="G2162" t="str">
        <f>""</f>
        <v/>
      </c>
      <c r="I2162" t="str">
        <f t="shared" si="42"/>
        <v>BCBS PAYABLE</v>
      </c>
    </row>
    <row r="2163" spans="1:9" x14ac:dyDescent="0.3">
      <c r="A2163" t="str">
        <f>""</f>
        <v/>
      </c>
      <c r="F2163" t="str">
        <f>""</f>
        <v/>
      </c>
      <c r="G2163" t="str">
        <f>""</f>
        <v/>
      </c>
      <c r="I2163" t="str">
        <f t="shared" si="42"/>
        <v>BCBS PAYABLE</v>
      </c>
    </row>
    <row r="2164" spans="1:9" x14ac:dyDescent="0.3">
      <c r="A2164" t="str">
        <f>""</f>
        <v/>
      </c>
      <c r="F2164" t="str">
        <f>""</f>
        <v/>
      </c>
      <c r="G2164" t="str">
        <f>""</f>
        <v/>
      </c>
      <c r="I2164" t="str">
        <f t="shared" si="42"/>
        <v>BCBS PAYABLE</v>
      </c>
    </row>
    <row r="2165" spans="1:9" x14ac:dyDescent="0.3">
      <c r="A2165" t="str">
        <f>""</f>
        <v/>
      </c>
      <c r="F2165" t="str">
        <f>""</f>
        <v/>
      </c>
      <c r="G2165" t="str">
        <f>""</f>
        <v/>
      </c>
      <c r="I2165" t="str">
        <f t="shared" si="42"/>
        <v>BCBS PAYABLE</v>
      </c>
    </row>
    <row r="2166" spans="1:9" x14ac:dyDescent="0.3">
      <c r="A2166" t="str">
        <f>""</f>
        <v/>
      </c>
      <c r="F2166" t="str">
        <f>""</f>
        <v/>
      </c>
      <c r="G2166" t="str">
        <f>""</f>
        <v/>
      </c>
      <c r="I2166" t="str">
        <f t="shared" si="42"/>
        <v>BCBS PAYABLE</v>
      </c>
    </row>
    <row r="2167" spans="1:9" x14ac:dyDescent="0.3">
      <c r="A2167" t="str">
        <f>""</f>
        <v/>
      </c>
      <c r="F2167" t="str">
        <f>""</f>
        <v/>
      </c>
      <c r="G2167" t="str">
        <f>""</f>
        <v/>
      </c>
      <c r="I2167" t="str">
        <f t="shared" si="42"/>
        <v>BCBS PAYABLE</v>
      </c>
    </row>
    <row r="2168" spans="1:9" x14ac:dyDescent="0.3">
      <c r="A2168" t="str">
        <f>""</f>
        <v/>
      </c>
      <c r="F2168" t="str">
        <f>""</f>
        <v/>
      </c>
      <c r="G2168" t="str">
        <f>""</f>
        <v/>
      </c>
      <c r="I2168" t="str">
        <f t="shared" si="42"/>
        <v>BCBS PAYABLE</v>
      </c>
    </row>
    <row r="2169" spans="1:9" x14ac:dyDescent="0.3">
      <c r="A2169" t="str">
        <f>""</f>
        <v/>
      </c>
      <c r="F2169" t="str">
        <f>""</f>
        <v/>
      </c>
      <c r="G2169" t="str">
        <f>""</f>
        <v/>
      </c>
      <c r="I2169" t="str">
        <f t="shared" si="42"/>
        <v>BCBS PAYABLE</v>
      </c>
    </row>
    <row r="2170" spans="1:9" x14ac:dyDescent="0.3">
      <c r="A2170" t="str">
        <f>""</f>
        <v/>
      </c>
      <c r="F2170" t="str">
        <f>""</f>
        <v/>
      </c>
      <c r="G2170" t="str">
        <f>""</f>
        <v/>
      </c>
      <c r="I2170" t="str">
        <f t="shared" si="42"/>
        <v>BCBS PAYABLE</v>
      </c>
    </row>
    <row r="2171" spans="1:9" x14ac:dyDescent="0.3">
      <c r="A2171" t="str">
        <f>""</f>
        <v/>
      </c>
      <c r="F2171" t="str">
        <f>""</f>
        <v/>
      </c>
      <c r="G2171" t="str">
        <f>""</f>
        <v/>
      </c>
      <c r="I2171" t="str">
        <f t="shared" si="42"/>
        <v>BCBS PAYABLE</v>
      </c>
    </row>
    <row r="2172" spans="1:9" x14ac:dyDescent="0.3">
      <c r="A2172" t="str">
        <f>""</f>
        <v/>
      </c>
      <c r="F2172" t="str">
        <f>""</f>
        <v/>
      </c>
      <c r="G2172" t="str">
        <f>""</f>
        <v/>
      </c>
      <c r="I2172" t="str">
        <f t="shared" si="42"/>
        <v>BCBS PAYABLE</v>
      </c>
    </row>
    <row r="2173" spans="1:9" x14ac:dyDescent="0.3">
      <c r="A2173" t="str">
        <f>""</f>
        <v/>
      </c>
      <c r="F2173" t="str">
        <f>""</f>
        <v/>
      </c>
      <c r="G2173" t="str">
        <f>""</f>
        <v/>
      </c>
      <c r="I2173" t="str">
        <f t="shared" si="42"/>
        <v>BCBS PAYABLE</v>
      </c>
    </row>
    <row r="2174" spans="1:9" x14ac:dyDescent="0.3">
      <c r="A2174" t="str">
        <f>""</f>
        <v/>
      </c>
      <c r="F2174" t="str">
        <f>""</f>
        <v/>
      </c>
      <c r="G2174" t="str">
        <f>""</f>
        <v/>
      </c>
      <c r="I2174" t="str">
        <f t="shared" si="42"/>
        <v>BCBS PAYABLE</v>
      </c>
    </row>
    <row r="2175" spans="1:9" x14ac:dyDescent="0.3">
      <c r="A2175" t="str">
        <f>""</f>
        <v/>
      </c>
      <c r="F2175" t="str">
        <f>""</f>
        <v/>
      </c>
      <c r="G2175" t="str">
        <f>""</f>
        <v/>
      </c>
      <c r="I2175" t="str">
        <f t="shared" si="42"/>
        <v>BCBS PAYABLE</v>
      </c>
    </row>
    <row r="2176" spans="1:9" x14ac:dyDescent="0.3">
      <c r="A2176" t="str">
        <f>""</f>
        <v/>
      </c>
      <c r="F2176" t="str">
        <f>""</f>
        <v/>
      </c>
      <c r="G2176" t="str">
        <f>""</f>
        <v/>
      </c>
      <c r="I2176" t="str">
        <f t="shared" si="42"/>
        <v>BCBS PAYABLE</v>
      </c>
    </row>
    <row r="2177" spans="1:9" x14ac:dyDescent="0.3">
      <c r="A2177" t="str">
        <f>""</f>
        <v/>
      </c>
      <c r="F2177" t="str">
        <f>""</f>
        <v/>
      </c>
      <c r="G2177" t="str">
        <f>""</f>
        <v/>
      </c>
      <c r="I2177" t="str">
        <f t="shared" si="42"/>
        <v>BCBS PAYABLE</v>
      </c>
    </row>
    <row r="2178" spans="1:9" x14ac:dyDescent="0.3">
      <c r="A2178" t="str">
        <f>""</f>
        <v/>
      </c>
      <c r="F2178" t="str">
        <f>""</f>
        <v/>
      </c>
      <c r="G2178" t="str">
        <f>""</f>
        <v/>
      </c>
      <c r="I2178" t="str">
        <f t="shared" si="42"/>
        <v>BCBS PAYABLE</v>
      </c>
    </row>
    <row r="2179" spans="1:9" x14ac:dyDescent="0.3">
      <c r="A2179" t="str">
        <f>""</f>
        <v/>
      </c>
      <c r="F2179" t="str">
        <f>""</f>
        <v/>
      </c>
      <c r="G2179" t="str">
        <f>""</f>
        <v/>
      </c>
      <c r="I2179" t="str">
        <f t="shared" si="42"/>
        <v>BCBS PAYABLE</v>
      </c>
    </row>
    <row r="2180" spans="1:9" x14ac:dyDescent="0.3">
      <c r="A2180" t="str">
        <f>""</f>
        <v/>
      </c>
      <c r="F2180" t="str">
        <f>""</f>
        <v/>
      </c>
      <c r="G2180" t="str">
        <f>""</f>
        <v/>
      </c>
      <c r="I2180" t="str">
        <f t="shared" si="42"/>
        <v>BCBS PAYABLE</v>
      </c>
    </row>
    <row r="2181" spans="1:9" x14ac:dyDescent="0.3">
      <c r="A2181" t="str">
        <f>""</f>
        <v/>
      </c>
      <c r="F2181" t="str">
        <f>""</f>
        <v/>
      </c>
      <c r="G2181" t="str">
        <f>""</f>
        <v/>
      </c>
      <c r="I2181" t="str">
        <f t="shared" si="42"/>
        <v>BCBS PAYABLE</v>
      </c>
    </row>
    <row r="2182" spans="1:9" x14ac:dyDescent="0.3">
      <c r="A2182" t="str">
        <f>""</f>
        <v/>
      </c>
      <c r="F2182" t="str">
        <f>""</f>
        <v/>
      </c>
      <c r="G2182" t="str">
        <f>""</f>
        <v/>
      </c>
      <c r="I2182" t="str">
        <f t="shared" si="42"/>
        <v>BCBS PAYABLE</v>
      </c>
    </row>
    <row r="2183" spans="1:9" x14ac:dyDescent="0.3">
      <c r="A2183" t="str">
        <f>""</f>
        <v/>
      </c>
      <c r="F2183" t="str">
        <f>""</f>
        <v/>
      </c>
      <c r="G2183" t="str">
        <f>""</f>
        <v/>
      </c>
      <c r="I2183" t="str">
        <f t="shared" si="42"/>
        <v>BCBS PAYABLE</v>
      </c>
    </row>
    <row r="2184" spans="1:9" x14ac:dyDescent="0.3">
      <c r="A2184" t="str">
        <f>""</f>
        <v/>
      </c>
      <c r="F2184" t="str">
        <f>""</f>
        <v/>
      </c>
      <c r="G2184" t="str">
        <f>""</f>
        <v/>
      </c>
      <c r="I2184" t="str">
        <f t="shared" si="42"/>
        <v>BCBS PAYABLE</v>
      </c>
    </row>
    <row r="2185" spans="1:9" x14ac:dyDescent="0.3">
      <c r="A2185" t="str">
        <f>""</f>
        <v/>
      </c>
      <c r="F2185" t="str">
        <f>""</f>
        <v/>
      </c>
      <c r="G2185" t="str">
        <f>""</f>
        <v/>
      </c>
      <c r="I2185" t="str">
        <f t="shared" si="42"/>
        <v>BCBS PAYABLE</v>
      </c>
    </row>
    <row r="2186" spans="1:9" x14ac:dyDescent="0.3">
      <c r="A2186" t="str">
        <f>""</f>
        <v/>
      </c>
      <c r="F2186" t="str">
        <f>""</f>
        <v/>
      </c>
      <c r="G2186" t="str">
        <f>""</f>
        <v/>
      </c>
      <c r="I2186" t="str">
        <f t="shared" si="42"/>
        <v>BCBS PAYABLE</v>
      </c>
    </row>
    <row r="2187" spans="1:9" x14ac:dyDescent="0.3">
      <c r="A2187" t="str">
        <f>""</f>
        <v/>
      </c>
      <c r="F2187" t="str">
        <f>""</f>
        <v/>
      </c>
      <c r="G2187" t="str">
        <f>""</f>
        <v/>
      </c>
      <c r="I2187" t="str">
        <f t="shared" si="42"/>
        <v>BCBS PAYABLE</v>
      </c>
    </row>
    <row r="2188" spans="1:9" x14ac:dyDescent="0.3">
      <c r="A2188" t="str">
        <f>""</f>
        <v/>
      </c>
      <c r="F2188" t="str">
        <f>"2EC201704050691"</f>
        <v>2EC201704050691</v>
      </c>
      <c r="G2188" t="str">
        <f>"BCBS PAYABLE"</f>
        <v>BCBS PAYABLE</v>
      </c>
      <c r="H2188" s="2">
        <v>1709.76</v>
      </c>
      <c r="I2188" t="str">
        <f t="shared" si="42"/>
        <v>BCBS PAYABLE</v>
      </c>
    </row>
    <row r="2189" spans="1:9" x14ac:dyDescent="0.3">
      <c r="A2189" t="str">
        <f>""</f>
        <v/>
      </c>
      <c r="F2189" t="str">
        <f>""</f>
        <v/>
      </c>
      <c r="G2189" t="str">
        <f>""</f>
        <v/>
      </c>
      <c r="I2189" t="str">
        <f t="shared" si="42"/>
        <v>BCBS PAYABLE</v>
      </c>
    </row>
    <row r="2190" spans="1:9" x14ac:dyDescent="0.3">
      <c r="A2190" t="str">
        <f>""</f>
        <v/>
      </c>
      <c r="F2190" t="str">
        <f>"2EC201704191327"</f>
        <v>2EC201704191327</v>
      </c>
      <c r="G2190" t="str">
        <f>"BCBS PAYABLE"</f>
        <v>BCBS PAYABLE</v>
      </c>
      <c r="H2190" s="2">
        <v>39013.5</v>
      </c>
      <c r="I2190" t="str">
        <f t="shared" si="42"/>
        <v>BCBS PAYABLE</v>
      </c>
    </row>
    <row r="2191" spans="1:9" x14ac:dyDescent="0.3">
      <c r="A2191" t="str">
        <f>""</f>
        <v/>
      </c>
      <c r="F2191" t="str">
        <f>""</f>
        <v/>
      </c>
      <c r="G2191" t="str">
        <f>""</f>
        <v/>
      </c>
      <c r="I2191" t="str">
        <f t="shared" si="42"/>
        <v>BCBS PAYABLE</v>
      </c>
    </row>
    <row r="2192" spans="1:9" x14ac:dyDescent="0.3">
      <c r="A2192" t="str">
        <f>""</f>
        <v/>
      </c>
      <c r="F2192" t="str">
        <f>""</f>
        <v/>
      </c>
      <c r="G2192" t="str">
        <f>""</f>
        <v/>
      </c>
      <c r="I2192" t="str">
        <f t="shared" si="42"/>
        <v>BCBS PAYABLE</v>
      </c>
    </row>
    <row r="2193" spans="1:9" x14ac:dyDescent="0.3">
      <c r="A2193" t="str">
        <f>""</f>
        <v/>
      </c>
      <c r="F2193" t="str">
        <f>""</f>
        <v/>
      </c>
      <c r="G2193" t="str">
        <f>""</f>
        <v/>
      </c>
      <c r="I2193" t="str">
        <f t="shared" si="42"/>
        <v>BCBS PAYABLE</v>
      </c>
    </row>
    <row r="2194" spans="1:9" x14ac:dyDescent="0.3">
      <c r="A2194" t="str">
        <f>""</f>
        <v/>
      </c>
      <c r="F2194" t="str">
        <f>""</f>
        <v/>
      </c>
      <c r="G2194" t="str">
        <f>""</f>
        <v/>
      </c>
      <c r="I2194" t="str">
        <f t="shared" si="42"/>
        <v>BCBS PAYABLE</v>
      </c>
    </row>
    <row r="2195" spans="1:9" x14ac:dyDescent="0.3">
      <c r="A2195" t="str">
        <f>""</f>
        <v/>
      </c>
      <c r="F2195" t="str">
        <f>""</f>
        <v/>
      </c>
      <c r="G2195" t="str">
        <f>""</f>
        <v/>
      </c>
      <c r="I2195" t="str">
        <f t="shared" si="42"/>
        <v>BCBS PAYABLE</v>
      </c>
    </row>
    <row r="2196" spans="1:9" x14ac:dyDescent="0.3">
      <c r="A2196" t="str">
        <f>""</f>
        <v/>
      </c>
      <c r="F2196" t="str">
        <f>""</f>
        <v/>
      </c>
      <c r="G2196" t="str">
        <f>""</f>
        <v/>
      </c>
      <c r="I2196" t="str">
        <f t="shared" si="42"/>
        <v>BCBS PAYABLE</v>
      </c>
    </row>
    <row r="2197" spans="1:9" x14ac:dyDescent="0.3">
      <c r="A2197" t="str">
        <f>""</f>
        <v/>
      </c>
      <c r="F2197" t="str">
        <f>""</f>
        <v/>
      </c>
      <c r="G2197" t="str">
        <f>""</f>
        <v/>
      </c>
      <c r="I2197" t="str">
        <f t="shared" si="42"/>
        <v>BCBS PAYABLE</v>
      </c>
    </row>
    <row r="2198" spans="1:9" x14ac:dyDescent="0.3">
      <c r="A2198" t="str">
        <f>""</f>
        <v/>
      </c>
      <c r="F2198" t="str">
        <f>""</f>
        <v/>
      </c>
      <c r="G2198" t="str">
        <f>""</f>
        <v/>
      </c>
      <c r="I2198" t="str">
        <f t="shared" si="42"/>
        <v>BCBS PAYABLE</v>
      </c>
    </row>
    <row r="2199" spans="1:9" x14ac:dyDescent="0.3">
      <c r="A2199" t="str">
        <f>""</f>
        <v/>
      </c>
      <c r="F2199" t="str">
        <f>""</f>
        <v/>
      </c>
      <c r="G2199" t="str">
        <f>""</f>
        <v/>
      </c>
      <c r="I2199" t="str">
        <f t="shared" si="42"/>
        <v>BCBS PAYABLE</v>
      </c>
    </row>
    <row r="2200" spans="1:9" x14ac:dyDescent="0.3">
      <c r="A2200" t="str">
        <f>""</f>
        <v/>
      </c>
      <c r="F2200" t="str">
        <f>""</f>
        <v/>
      </c>
      <c r="G2200" t="str">
        <f>""</f>
        <v/>
      </c>
      <c r="I2200" t="str">
        <f t="shared" si="42"/>
        <v>BCBS PAYABLE</v>
      </c>
    </row>
    <row r="2201" spans="1:9" x14ac:dyDescent="0.3">
      <c r="A2201" t="str">
        <f>""</f>
        <v/>
      </c>
      <c r="F2201" t="str">
        <f>""</f>
        <v/>
      </c>
      <c r="G2201" t="str">
        <f>""</f>
        <v/>
      </c>
      <c r="I2201" t="str">
        <f t="shared" si="42"/>
        <v>BCBS PAYABLE</v>
      </c>
    </row>
    <row r="2202" spans="1:9" x14ac:dyDescent="0.3">
      <c r="A2202" t="str">
        <f>""</f>
        <v/>
      </c>
      <c r="F2202" t="str">
        <f>""</f>
        <v/>
      </c>
      <c r="G2202" t="str">
        <f>""</f>
        <v/>
      </c>
      <c r="I2202" t="str">
        <f t="shared" si="42"/>
        <v>BCBS PAYABLE</v>
      </c>
    </row>
    <row r="2203" spans="1:9" x14ac:dyDescent="0.3">
      <c r="A2203" t="str">
        <f>""</f>
        <v/>
      </c>
      <c r="F2203" t="str">
        <f>""</f>
        <v/>
      </c>
      <c r="G2203" t="str">
        <f>""</f>
        <v/>
      </c>
      <c r="I2203" t="str">
        <f t="shared" si="42"/>
        <v>BCBS PAYABLE</v>
      </c>
    </row>
    <row r="2204" spans="1:9" x14ac:dyDescent="0.3">
      <c r="A2204" t="str">
        <f>""</f>
        <v/>
      </c>
      <c r="F2204" t="str">
        <f>""</f>
        <v/>
      </c>
      <c r="G2204" t="str">
        <f>""</f>
        <v/>
      </c>
      <c r="I2204" t="str">
        <f t="shared" si="42"/>
        <v>BCBS PAYABLE</v>
      </c>
    </row>
    <row r="2205" spans="1:9" x14ac:dyDescent="0.3">
      <c r="A2205" t="str">
        <f>""</f>
        <v/>
      </c>
      <c r="F2205" t="str">
        <f>""</f>
        <v/>
      </c>
      <c r="G2205" t="str">
        <f>""</f>
        <v/>
      </c>
      <c r="I2205" t="str">
        <f t="shared" si="42"/>
        <v>BCBS PAYABLE</v>
      </c>
    </row>
    <row r="2206" spans="1:9" x14ac:dyDescent="0.3">
      <c r="A2206" t="str">
        <f>""</f>
        <v/>
      </c>
      <c r="F2206" t="str">
        <f>""</f>
        <v/>
      </c>
      <c r="G2206" t="str">
        <f>""</f>
        <v/>
      </c>
      <c r="I2206" t="str">
        <f t="shared" si="42"/>
        <v>BCBS PAYABLE</v>
      </c>
    </row>
    <row r="2207" spans="1:9" x14ac:dyDescent="0.3">
      <c r="A2207" t="str">
        <f>""</f>
        <v/>
      </c>
      <c r="F2207" t="str">
        <f>""</f>
        <v/>
      </c>
      <c r="G2207" t="str">
        <f>""</f>
        <v/>
      </c>
      <c r="I2207" t="str">
        <f t="shared" si="42"/>
        <v>BCBS PAYABLE</v>
      </c>
    </row>
    <row r="2208" spans="1:9" x14ac:dyDescent="0.3">
      <c r="A2208" t="str">
        <f>""</f>
        <v/>
      </c>
      <c r="F2208" t="str">
        <f>""</f>
        <v/>
      </c>
      <c r="G2208" t="str">
        <f>""</f>
        <v/>
      </c>
      <c r="I2208" t="str">
        <f t="shared" si="42"/>
        <v>BCBS PAYABLE</v>
      </c>
    </row>
    <row r="2209" spans="1:9" x14ac:dyDescent="0.3">
      <c r="A2209" t="str">
        <f>""</f>
        <v/>
      </c>
      <c r="F2209" t="str">
        <f>""</f>
        <v/>
      </c>
      <c r="G2209" t="str">
        <f>""</f>
        <v/>
      </c>
      <c r="I2209" t="str">
        <f t="shared" si="42"/>
        <v>BCBS PAYABLE</v>
      </c>
    </row>
    <row r="2210" spans="1:9" x14ac:dyDescent="0.3">
      <c r="A2210" t="str">
        <f>""</f>
        <v/>
      </c>
      <c r="F2210" t="str">
        <f>""</f>
        <v/>
      </c>
      <c r="G2210" t="str">
        <f>""</f>
        <v/>
      </c>
      <c r="I2210" t="str">
        <f t="shared" si="42"/>
        <v>BCBS PAYABLE</v>
      </c>
    </row>
    <row r="2211" spans="1:9" x14ac:dyDescent="0.3">
      <c r="A2211" t="str">
        <f>""</f>
        <v/>
      </c>
      <c r="F2211" t="str">
        <f>""</f>
        <v/>
      </c>
      <c r="G2211" t="str">
        <f>""</f>
        <v/>
      </c>
      <c r="I2211" t="str">
        <f t="shared" si="42"/>
        <v>BCBS PAYABLE</v>
      </c>
    </row>
    <row r="2212" spans="1:9" x14ac:dyDescent="0.3">
      <c r="A2212" t="str">
        <f>""</f>
        <v/>
      </c>
      <c r="F2212" t="str">
        <f>""</f>
        <v/>
      </c>
      <c r="G2212" t="str">
        <f>""</f>
        <v/>
      </c>
      <c r="I2212" t="str">
        <f t="shared" si="42"/>
        <v>BCBS PAYABLE</v>
      </c>
    </row>
    <row r="2213" spans="1:9" x14ac:dyDescent="0.3">
      <c r="A2213" t="str">
        <f>""</f>
        <v/>
      </c>
      <c r="F2213" t="str">
        <f>""</f>
        <v/>
      </c>
      <c r="G2213" t="str">
        <f>""</f>
        <v/>
      </c>
      <c r="I2213" t="str">
        <f t="shared" si="42"/>
        <v>BCBS PAYABLE</v>
      </c>
    </row>
    <row r="2214" spans="1:9" x14ac:dyDescent="0.3">
      <c r="A2214" t="str">
        <f>""</f>
        <v/>
      </c>
      <c r="F2214" t="str">
        <f>""</f>
        <v/>
      </c>
      <c r="G2214" t="str">
        <f>""</f>
        <v/>
      </c>
      <c r="I2214" t="str">
        <f t="shared" si="42"/>
        <v>BCBS PAYABLE</v>
      </c>
    </row>
    <row r="2215" spans="1:9" x14ac:dyDescent="0.3">
      <c r="A2215" t="str">
        <f>""</f>
        <v/>
      </c>
      <c r="F2215" t="str">
        <f>""</f>
        <v/>
      </c>
      <c r="G2215" t="str">
        <f>""</f>
        <v/>
      </c>
      <c r="I2215" t="str">
        <f t="shared" si="42"/>
        <v>BCBS PAYABLE</v>
      </c>
    </row>
    <row r="2216" spans="1:9" x14ac:dyDescent="0.3">
      <c r="A2216" t="str">
        <f>""</f>
        <v/>
      </c>
      <c r="F2216" t="str">
        <f>""</f>
        <v/>
      </c>
      <c r="G2216" t="str">
        <f>""</f>
        <v/>
      </c>
      <c r="I2216" t="str">
        <f t="shared" si="42"/>
        <v>BCBS PAYABLE</v>
      </c>
    </row>
    <row r="2217" spans="1:9" x14ac:dyDescent="0.3">
      <c r="A2217" t="str">
        <f>""</f>
        <v/>
      </c>
      <c r="F2217" t="str">
        <f>""</f>
        <v/>
      </c>
      <c r="G2217" t="str">
        <f>""</f>
        <v/>
      </c>
      <c r="I2217" t="str">
        <f t="shared" si="42"/>
        <v>BCBS PAYABLE</v>
      </c>
    </row>
    <row r="2218" spans="1:9" x14ac:dyDescent="0.3">
      <c r="A2218" t="str">
        <f>""</f>
        <v/>
      </c>
      <c r="F2218" t="str">
        <f>""</f>
        <v/>
      </c>
      <c r="G2218" t="str">
        <f>""</f>
        <v/>
      </c>
      <c r="I2218" t="str">
        <f t="shared" si="42"/>
        <v>BCBS PAYABLE</v>
      </c>
    </row>
    <row r="2219" spans="1:9" x14ac:dyDescent="0.3">
      <c r="A2219" t="str">
        <f>""</f>
        <v/>
      </c>
      <c r="F2219" t="str">
        <f>""</f>
        <v/>
      </c>
      <c r="G2219" t="str">
        <f>""</f>
        <v/>
      </c>
      <c r="I2219" t="str">
        <f t="shared" si="42"/>
        <v>BCBS PAYABLE</v>
      </c>
    </row>
    <row r="2220" spans="1:9" x14ac:dyDescent="0.3">
      <c r="A2220" t="str">
        <f>""</f>
        <v/>
      </c>
      <c r="F2220" t="str">
        <f>"2EC201704191328"</f>
        <v>2EC201704191328</v>
      </c>
      <c r="G2220" t="str">
        <f>"BCBS PAYABLE"</f>
        <v>BCBS PAYABLE</v>
      </c>
      <c r="H2220" s="2">
        <v>1709.76</v>
      </c>
      <c r="I2220" t="str">
        <f t="shared" si="42"/>
        <v>BCBS PAYABLE</v>
      </c>
    </row>
    <row r="2221" spans="1:9" x14ac:dyDescent="0.3">
      <c r="A2221" t="str">
        <f>""</f>
        <v/>
      </c>
      <c r="F2221" t="str">
        <f>""</f>
        <v/>
      </c>
      <c r="G2221" t="str">
        <f>""</f>
        <v/>
      </c>
      <c r="I2221" t="str">
        <f t="shared" ref="I2221:I2284" si="43">"BCBS PAYABLE"</f>
        <v>BCBS PAYABLE</v>
      </c>
    </row>
    <row r="2222" spans="1:9" x14ac:dyDescent="0.3">
      <c r="A2222" t="str">
        <f>""</f>
        <v/>
      </c>
      <c r="F2222" t="str">
        <f>"2EF201704050690"</f>
        <v>2EF201704050690</v>
      </c>
      <c r="G2222" t="str">
        <f>"BCBS PAYABLE"</f>
        <v>BCBS PAYABLE</v>
      </c>
      <c r="H2222" s="2">
        <v>1698.8</v>
      </c>
      <c r="I2222" t="str">
        <f t="shared" si="43"/>
        <v>BCBS PAYABLE</v>
      </c>
    </row>
    <row r="2223" spans="1:9" x14ac:dyDescent="0.3">
      <c r="A2223" t="str">
        <f>""</f>
        <v/>
      </c>
      <c r="F2223" t="str">
        <f>""</f>
        <v/>
      </c>
      <c r="G2223" t="str">
        <f>""</f>
        <v/>
      </c>
      <c r="I2223" t="str">
        <f t="shared" si="43"/>
        <v>BCBS PAYABLE</v>
      </c>
    </row>
    <row r="2224" spans="1:9" x14ac:dyDescent="0.3">
      <c r="A2224" t="str">
        <f>""</f>
        <v/>
      </c>
      <c r="F2224" t="str">
        <f>""</f>
        <v/>
      </c>
      <c r="G2224" t="str">
        <f>""</f>
        <v/>
      </c>
      <c r="I2224" t="str">
        <f t="shared" si="43"/>
        <v>BCBS PAYABLE</v>
      </c>
    </row>
    <row r="2225" spans="1:9" x14ac:dyDescent="0.3">
      <c r="A2225" t="str">
        <f>""</f>
        <v/>
      </c>
      <c r="F2225" t="str">
        <f>"2EF201704191327"</f>
        <v>2EF201704191327</v>
      </c>
      <c r="G2225" t="str">
        <f>"BCBS PAYABLE"</f>
        <v>BCBS PAYABLE</v>
      </c>
      <c r="H2225" s="2">
        <v>1698.8</v>
      </c>
      <c r="I2225" t="str">
        <f t="shared" si="43"/>
        <v>BCBS PAYABLE</v>
      </c>
    </row>
    <row r="2226" spans="1:9" x14ac:dyDescent="0.3">
      <c r="A2226" t="str">
        <f>""</f>
        <v/>
      </c>
      <c r="F2226" t="str">
        <f>""</f>
        <v/>
      </c>
      <c r="G2226" t="str">
        <f>""</f>
        <v/>
      </c>
      <c r="I2226" t="str">
        <f t="shared" si="43"/>
        <v>BCBS PAYABLE</v>
      </c>
    </row>
    <row r="2227" spans="1:9" x14ac:dyDescent="0.3">
      <c r="A2227" t="str">
        <f>""</f>
        <v/>
      </c>
      <c r="F2227" t="str">
        <f>""</f>
        <v/>
      </c>
      <c r="G2227" t="str">
        <f>""</f>
        <v/>
      </c>
      <c r="I2227" t="str">
        <f t="shared" si="43"/>
        <v>BCBS PAYABLE</v>
      </c>
    </row>
    <row r="2228" spans="1:9" x14ac:dyDescent="0.3">
      <c r="A2228" t="str">
        <f>""</f>
        <v/>
      </c>
      <c r="F2228" t="str">
        <f>"2EO201704050690"</f>
        <v>2EO201704050690</v>
      </c>
      <c r="G2228" t="str">
        <f>"BCBS PAYABLE"</f>
        <v>BCBS PAYABLE</v>
      </c>
      <c r="H2228" s="2">
        <v>83964.6</v>
      </c>
      <c r="I2228" t="str">
        <f t="shared" si="43"/>
        <v>BCBS PAYABLE</v>
      </c>
    </row>
    <row r="2229" spans="1:9" x14ac:dyDescent="0.3">
      <c r="A2229" t="str">
        <f>""</f>
        <v/>
      </c>
      <c r="F2229" t="str">
        <f>""</f>
        <v/>
      </c>
      <c r="G2229" t="str">
        <f>""</f>
        <v/>
      </c>
      <c r="I2229" t="str">
        <f t="shared" si="43"/>
        <v>BCBS PAYABLE</v>
      </c>
    </row>
    <row r="2230" spans="1:9" x14ac:dyDescent="0.3">
      <c r="A2230" t="str">
        <f>""</f>
        <v/>
      </c>
      <c r="F2230" t="str">
        <f>""</f>
        <v/>
      </c>
      <c r="G2230" t="str">
        <f>""</f>
        <v/>
      </c>
      <c r="I2230" t="str">
        <f t="shared" si="43"/>
        <v>BCBS PAYABLE</v>
      </c>
    </row>
    <row r="2231" spans="1:9" x14ac:dyDescent="0.3">
      <c r="A2231" t="str">
        <f>""</f>
        <v/>
      </c>
      <c r="F2231" t="str">
        <f>""</f>
        <v/>
      </c>
      <c r="G2231" t="str">
        <f>""</f>
        <v/>
      </c>
      <c r="I2231" t="str">
        <f t="shared" si="43"/>
        <v>BCBS PAYABLE</v>
      </c>
    </row>
    <row r="2232" spans="1:9" x14ac:dyDescent="0.3">
      <c r="A2232" t="str">
        <f>""</f>
        <v/>
      </c>
      <c r="F2232" t="str">
        <f>""</f>
        <v/>
      </c>
      <c r="G2232" t="str">
        <f>""</f>
        <v/>
      </c>
      <c r="I2232" t="str">
        <f t="shared" si="43"/>
        <v>BCBS PAYABLE</v>
      </c>
    </row>
    <row r="2233" spans="1:9" x14ac:dyDescent="0.3">
      <c r="A2233" t="str">
        <f>""</f>
        <v/>
      </c>
      <c r="F2233" t="str">
        <f>""</f>
        <v/>
      </c>
      <c r="G2233" t="str">
        <f>""</f>
        <v/>
      </c>
      <c r="I2233" t="str">
        <f t="shared" si="43"/>
        <v>BCBS PAYABLE</v>
      </c>
    </row>
    <row r="2234" spans="1:9" x14ac:dyDescent="0.3">
      <c r="A2234" t="str">
        <f>""</f>
        <v/>
      </c>
      <c r="F2234" t="str">
        <f>""</f>
        <v/>
      </c>
      <c r="G2234" t="str">
        <f>""</f>
        <v/>
      </c>
      <c r="I2234" t="str">
        <f t="shared" si="43"/>
        <v>BCBS PAYABLE</v>
      </c>
    </row>
    <row r="2235" spans="1:9" x14ac:dyDescent="0.3">
      <c r="A2235" t="str">
        <f>""</f>
        <v/>
      </c>
      <c r="F2235" t="str">
        <f>""</f>
        <v/>
      </c>
      <c r="G2235" t="str">
        <f>""</f>
        <v/>
      </c>
      <c r="I2235" t="str">
        <f t="shared" si="43"/>
        <v>BCBS PAYABLE</v>
      </c>
    </row>
    <row r="2236" spans="1:9" x14ac:dyDescent="0.3">
      <c r="A2236" t="str">
        <f>""</f>
        <v/>
      </c>
      <c r="F2236" t="str">
        <f>""</f>
        <v/>
      </c>
      <c r="G2236" t="str">
        <f>""</f>
        <v/>
      </c>
      <c r="I2236" t="str">
        <f t="shared" si="43"/>
        <v>BCBS PAYABLE</v>
      </c>
    </row>
    <row r="2237" spans="1:9" x14ac:dyDescent="0.3">
      <c r="A2237" t="str">
        <f>""</f>
        <v/>
      </c>
      <c r="F2237" t="str">
        <f>""</f>
        <v/>
      </c>
      <c r="G2237" t="str">
        <f>""</f>
        <v/>
      </c>
      <c r="I2237" t="str">
        <f t="shared" si="43"/>
        <v>BCBS PAYABLE</v>
      </c>
    </row>
    <row r="2238" spans="1:9" x14ac:dyDescent="0.3">
      <c r="A2238" t="str">
        <f>""</f>
        <v/>
      </c>
      <c r="F2238" t="str">
        <f>""</f>
        <v/>
      </c>
      <c r="G2238" t="str">
        <f>""</f>
        <v/>
      </c>
      <c r="I2238" t="str">
        <f t="shared" si="43"/>
        <v>BCBS PAYABLE</v>
      </c>
    </row>
    <row r="2239" spans="1:9" x14ac:dyDescent="0.3">
      <c r="A2239" t="str">
        <f>""</f>
        <v/>
      </c>
      <c r="F2239" t="str">
        <f>""</f>
        <v/>
      </c>
      <c r="G2239" t="str">
        <f>""</f>
        <v/>
      </c>
      <c r="I2239" t="str">
        <f t="shared" si="43"/>
        <v>BCBS PAYABLE</v>
      </c>
    </row>
    <row r="2240" spans="1:9" x14ac:dyDescent="0.3">
      <c r="A2240" t="str">
        <f>""</f>
        <v/>
      </c>
      <c r="F2240" t="str">
        <f>""</f>
        <v/>
      </c>
      <c r="G2240" t="str">
        <f>""</f>
        <v/>
      </c>
      <c r="I2240" t="str">
        <f t="shared" si="43"/>
        <v>BCBS PAYABLE</v>
      </c>
    </row>
    <row r="2241" spans="1:9" x14ac:dyDescent="0.3">
      <c r="A2241" t="str">
        <f>""</f>
        <v/>
      </c>
      <c r="F2241" t="str">
        <f>""</f>
        <v/>
      </c>
      <c r="G2241" t="str">
        <f>""</f>
        <v/>
      </c>
      <c r="I2241" t="str">
        <f t="shared" si="43"/>
        <v>BCBS PAYABLE</v>
      </c>
    </row>
    <row r="2242" spans="1:9" x14ac:dyDescent="0.3">
      <c r="A2242" t="str">
        <f>""</f>
        <v/>
      </c>
      <c r="F2242" t="str">
        <f>""</f>
        <v/>
      </c>
      <c r="G2242" t="str">
        <f>""</f>
        <v/>
      </c>
      <c r="I2242" t="str">
        <f t="shared" si="43"/>
        <v>BCBS PAYABLE</v>
      </c>
    </row>
    <row r="2243" spans="1:9" x14ac:dyDescent="0.3">
      <c r="A2243" t="str">
        <f>""</f>
        <v/>
      </c>
      <c r="F2243" t="str">
        <f>""</f>
        <v/>
      </c>
      <c r="G2243" t="str">
        <f>""</f>
        <v/>
      </c>
      <c r="I2243" t="str">
        <f t="shared" si="43"/>
        <v>BCBS PAYABLE</v>
      </c>
    </row>
    <row r="2244" spans="1:9" x14ac:dyDescent="0.3">
      <c r="A2244" t="str">
        <f>""</f>
        <v/>
      </c>
      <c r="F2244" t="str">
        <f>""</f>
        <v/>
      </c>
      <c r="G2244" t="str">
        <f>""</f>
        <v/>
      </c>
      <c r="I2244" t="str">
        <f t="shared" si="43"/>
        <v>BCBS PAYABLE</v>
      </c>
    </row>
    <row r="2245" spans="1:9" x14ac:dyDescent="0.3">
      <c r="A2245" t="str">
        <f>""</f>
        <v/>
      </c>
      <c r="F2245" t="str">
        <f>""</f>
        <v/>
      </c>
      <c r="G2245" t="str">
        <f>""</f>
        <v/>
      </c>
      <c r="I2245" t="str">
        <f t="shared" si="43"/>
        <v>BCBS PAYABLE</v>
      </c>
    </row>
    <row r="2246" spans="1:9" x14ac:dyDescent="0.3">
      <c r="A2246" t="str">
        <f>""</f>
        <v/>
      </c>
      <c r="F2246" t="str">
        <f>""</f>
        <v/>
      </c>
      <c r="G2246" t="str">
        <f>""</f>
        <v/>
      </c>
      <c r="I2246" t="str">
        <f t="shared" si="43"/>
        <v>BCBS PAYABLE</v>
      </c>
    </row>
    <row r="2247" spans="1:9" x14ac:dyDescent="0.3">
      <c r="A2247" t="str">
        <f>""</f>
        <v/>
      </c>
      <c r="F2247" t="str">
        <f>""</f>
        <v/>
      </c>
      <c r="G2247" t="str">
        <f>""</f>
        <v/>
      </c>
      <c r="I2247" t="str">
        <f t="shared" si="43"/>
        <v>BCBS PAYABLE</v>
      </c>
    </row>
    <row r="2248" spans="1:9" x14ac:dyDescent="0.3">
      <c r="A2248" t="str">
        <f>""</f>
        <v/>
      </c>
      <c r="F2248" t="str">
        <f>""</f>
        <v/>
      </c>
      <c r="G2248" t="str">
        <f>""</f>
        <v/>
      </c>
      <c r="I2248" t="str">
        <f t="shared" si="43"/>
        <v>BCBS PAYABLE</v>
      </c>
    </row>
    <row r="2249" spans="1:9" x14ac:dyDescent="0.3">
      <c r="A2249" t="str">
        <f>""</f>
        <v/>
      </c>
      <c r="F2249" t="str">
        <f>""</f>
        <v/>
      </c>
      <c r="G2249" t="str">
        <f>""</f>
        <v/>
      </c>
      <c r="I2249" t="str">
        <f t="shared" si="43"/>
        <v>BCBS PAYABLE</v>
      </c>
    </row>
    <row r="2250" spans="1:9" x14ac:dyDescent="0.3">
      <c r="A2250" t="str">
        <f>""</f>
        <v/>
      </c>
      <c r="F2250" t="str">
        <f>""</f>
        <v/>
      </c>
      <c r="G2250" t="str">
        <f>""</f>
        <v/>
      </c>
      <c r="I2250" t="str">
        <f t="shared" si="43"/>
        <v>BCBS PAYABLE</v>
      </c>
    </row>
    <row r="2251" spans="1:9" x14ac:dyDescent="0.3">
      <c r="A2251" t="str">
        <f>""</f>
        <v/>
      </c>
      <c r="F2251" t="str">
        <f>""</f>
        <v/>
      </c>
      <c r="G2251" t="str">
        <f>""</f>
        <v/>
      </c>
      <c r="I2251" t="str">
        <f t="shared" si="43"/>
        <v>BCBS PAYABLE</v>
      </c>
    </row>
    <row r="2252" spans="1:9" x14ac:dyDescent="0.3">
      <c r="A2252" t="str">
        <f>""</f>
        <v/>
      </c>
      <c r="F2252" t="str">
        <f>""</f>
        <v/>
      </c>
      <c r="G2252" t="str">
        <f>""</f>
        <v/>
      </c>
      <c r="I2252" t="str">
        <f t="shared" si="43"/>
        <v>BCBS PAYABLE</v>
      </c>
    </row>
    <row r="2253" spans="1:9" x14ac:dyDescent="0.3">
      <c r="A2253" t="str">
        <f>""</f>
        <v/>
      </c>
      <c r="F2253" t="str">
        <f>""</f>
        <v/>
      </c>
      <c r="G2253" t="str">
        <f>""</f>
        <v/>
      </c>
      <c r="I2253" t="str">
        <f t="shared" si="43"/>
        <v>BCBS PAYABLE</v>
      </c>
    </row>
    <row r="2254" spans="1:9" x14ac:dyDescent="0.3">
      <c r="A2254" t="str">
        <f>""</f>
        <v/>
      </c>
      <c r="F2254" t="str">
        <f>""</f>
        <v/>
      </c>
      <c r="G2254" t="str">
        <f>""</f>
        <v/>
      </c>
      <c r="I2254" t="str">
        <f t="shared" si="43"/>
        <v>BCBS PAYABLE</v>
      </c>
    </row>
    <row r="2255" spans="1:9" x14ac:dyDescent="0.3">
      <c r="A2255" t="str">
        <f>""</f>
        <v/>
      </c>
      <c r="F2255" t="str">
        <f>""</f>
        <v/>
      </c>
      <c r="G2255" t="str">
        <f>""</f>
        <v/>
      </c>
      <c r="I2255" t="str">
        <f t="shared" si="43"/>
        <v>BCBS PAYABLE</v>
      </c>
    </row>
    <row r="2256" spans="1:9" x14ac:dyDescent="0.3">
      <c r="A2256" t="str">
        <f>""</f>
        <v/>
      </c>
      <c r="F2256" t="str">
        <f>""</f>
        <v/>
      </c>
      <c r="G2256" t="str">
        <f>""</f>
        <v/>
      </c>
      <c r="I2256" t="str">
        <f t="shared" si="43"/>
        <v>BCBS PAYABLE</v>
      </c>
    </row>
    <row r="2257" spans="1:9" x14ac:dyDescent="0.3">
      <c r="A2257" t="str">
        <f>""</f>
        <v/>
      </c>
      <c r="F2257" t="str">
        <f>""</f>
        <v/>
      </c>
      <c r="G2257" t="str">
        <f>""</f>
        <v/>
      </c>
      <c r="I2257" t="str">
        <f t="shared" si="43"/>
        <v>BCBS PAYABLE</v>
      </c>
    </row>
    <row r="2258" spans="1:9" x14ac:dyDescent="0.3">
      <c r="A2258" t="str">
        <f>""</f>
        <v/>
      </c>
      <c r="F2258" t="str">
        <f>""</f>
        <v/>
      </c>
      <c r="G2258" t="str">
        <f>""</f>
        <v/>
      </c>
      <c r="I2258" t="str">
        <f t="shared" si="43"/>
        <v>BCBS PAYABLE</v>
      </c>
    </row>
    <row r="2259" spans="1:9" x14ac:dyDescent="0.3">
      <c r="A2259" t="str">
        <f>""</f>
        <v/>
      </c>
      <c r="F2259" t="str">
        <f>""</f>
        <v/>
      </c>
      <c r="G2259" t="str">
        <f>""</f>
        <v/>
      </c>
      <c r="I2259" t="str">
        <f t="shared" si="43"/>
        <v>BCBS PAYABLE</v>
      </c>
    </row>
    <row r="2260" spans="1:9" x14ac:dyDescent="0.3">
      <c r="A2260" t="str">
        <f>""</f>
        <v/>
      </c>
      <c r="F2260" t="str">
        <f>""</f>
        <v/>
      </c>
      <c r="G2260" t="str">
        <f>""</f>
        <v/>
      </c>
      <c r="I2260" t="str">
        <f t="shared" si="43"/>
        <v>BCBS PAYABLE</v>
      </c>
    </row>
    <row r="2261" spans="1:9" x14ac:dyDescent="0.3">
      <c r="A2261" t="str">
        <f>""</f>
        <v/>
      </c>
      <c r="F2261" t="str">
        <f>""</f>
        <v/>
      </c>
      <c r="G2261" t="str">
        <f>""</f>
        <v/>
      </c>
      <c r="I2261" t="str">
        <f t="shared" si="43"/>
        <v>BCBS PAYABLE</v>
      </c>
    </row>
    <row r="2262" spans="1:9" x14ac:dyDescent="0.3">
      <c r="A2262" t="str">
        <f>""</f>
        <v/>
      </c>
      <c r="F2262" t="str">
        <f>""</f>
        <v/>
      </c>
      <c r="G2262" t="str">
        <f>""</f>
        <v/>
      </c>
      <c r="I2262" t="str">
        <f t="shared" si="43"/>
        <v>BCBS PAYABLE</v>
      </c>
    </row>
    <row r="2263" spans="1:9" x14ac:dyDescent="0.3">
      <c r="A2263" t="str">
        <f>""</f>
        <v/>
      </c>
      <c r="F2263" t="str">
        <f>""</f>
        <v/>
      </c>
      <c r="G2263" t="str">
        <f>""</f>
        <v/>
      </c>
      <c r="I2263" t="str">
        <f t="shared" si="43"/>
        <v>BCBS PAYABLE</v>
      </c>
    </row>
    <row r="2264" spans="1:9" x14ac:dyDescent="0.3">
      <c r="A2264" t="str">
        <f>""</f>
        <v/>
      </c>
      <c r="F2264" t="str">
        <f>""</f>
        <v/>
      </c>
      <c r="G2264" t="str">
        <f>""</f>
        <v/>
      </c>
      <c r="I2264" t="str">
        <f t="shared" si="43"/>
        <v>BCBS PAYABLE</v>
      </c>
    </row>
    <row r="2265" spans="1:9" x14ac:dyDescent="0.3">
      <c r="A2265" t="str">
        <f>""</f>
        <v/>
      </c>
      <c r="F2265" t="str">
        <f>""</f>
        <v/>
      </c>
      <c r="G2265" t="str">
        <f>""</f>
        <v/>
      </c>
      <c r="I2265" t="str">
        <f t="shared" si="43"/>
        <v>BCBS PAYABLE</v>
      </c>
    </row>
    <row r="2266" spans="1:9" x14ac:dyDescent="0.3">
      <c r="A2266" t="str">
        <f>""</f>
        <v/>
      </c>
      <c r="F2266" t="str">
        <f>""</f>
        <v/>
      </c>
      <c r="G2266" t="str">
        <f>""</f>
        <v/>
      </c>
      <c r="I2266" t="str">
        <f t="shared" si="43"/>
        <v>BCBS PAYABLE</v>
      </c>
    </row>
    <row r="2267" spans="1:9" x14ac:dyDescent="0.3">
      <c r="A2267" t="str">
        <f>""</f>
        <v/>
      </c>
      <c r="F2267" t="str">
        <f>""</f>
        <v/>
      </c>
      <c r="G2267" t="str">
        <f>""</f>
        <v/>
      </c>
      <c r="I2267" t="str">
        <f t="shared" si="43"/>
        <v>BCBS PAYABLE</v>
      </c>
    </row>
    <row r="2268" spans="1:9" x14ac:dyDescent="0.3">
      <c r="A2268" t="str">
        <f>""</f>
        <v/>
      </c>
      <c r="F2268" t="str">
        <f>""</f>
        <v/>
      </c>
      <c r="G2268" t="str">
        <f>""</f>
        <v/>
      </c>
      <c r="I2268" t="str">
        <f t="shared" si="43"/>
        <v>BCBS PAYABLE</v>
      </c>
    </row>
    <row r="2269" spans="1:9" x14ac:dyDescent="0.3">
      <c r="A2269" t="str">
        <f>""</f>
        <v/>
      </c>
      <c r="F2269" t="str">
        <f>""</f>
        <v/>
      </c>
      <c r="G2269" t="str">
        <f>""</f>
        <v/>
      </c>
      <c r="I2269" t="str">
        <f t="shared" si="43"/>
        <v>BCBS PAYABLE</v>
      </c>
    </row>
    <row r="2270" spans="1:9" x14ac:dyDescent="0.3">
      <c r="A2270" t="str">
        <f>""</f>
        <v/>
      </c>
      <c r="F2270" t="str">
        <f>"2EO201704050691"</f>
        <v>2EO201704050691</v>
      </c>
      <c r="G2270" t="str">
        <f>"BCBS PAYABLE"</f>
        <v>BCBS PAYABLE</v>
      </c>
      <c r="H2270" s="2">
        <v>3731.76</v>
      </c>
      <c r="I2270" t="str">
        <f t="shared" si="43"/>
        <v>BCBS PAYABLE</v>
      </c>
    </row>
    <row r="2271" spans="1:9" x14ac:dyDescent="0.3">
      <c r="A2271" t="str">
        <f>""</f>
        <v/>
      </c>
      <c r="F2271" t="str">
        <f>"2EO201704191327"</f>
        <v>2EO201704191327</v>
      </c>
      <c r="G2271" t="str">
        <f>"BCBS PAYABLE"</f>
        <v>BCBS PAYABLE</v>
      </c>
      <c r="H2271" s="2">
        <v>84275.58</v>
      </c>
      <c r="I2271" t="str">
        <f t="shared" si="43"/>
        <v>BCBS PAYABLE</v>
      </c>
    </row>
    <row r="2272" spans="1:9" x14ac:dyDescent="0.3">
      <c r="A2272" t="str">
        <f>""</f>
        <v/>
      </c>
      <c r="F2272" t="str">
        <f>""</f>
        <v/>
      </c>
      <c r="G2272" t="str">
        <f>""</f>
        <v/>
      </c>
      <c r="I2272" t="str">
        <f t="shared" si="43"/>
        <v>BCBS PAYABLE</v>
      </c>
    </row>
    <row r="2273" spans="1:9" x14ac:dyDescent="0.3">
      <c r="A2273" t="str">
        <f>""</f>
        <v/>
      </c>
      <c r="F2273" t="str">
        <f>""</f>
        <v/>
      </c>
      <c r="G2273" t="str">
        <f>""</f>
        <v/>
      </c>
      <c r="I2273" t="str">
        <f t="shared" si="43"/>
        <v>BCBS PAYABLE</v>
      </c>
    </row>
    <row r="2274" spans="1:9" x14ac:dyDescent="0.3">
      <c r="A2274" t="str">
        <f>""</f>
        <v/>
      </c>
      <c r="F2274" t="str">
        <f>""</f>
        <v/>
      </c>
      <c r="G2274" t="str">
        <f>""</f>
        <v/>
      </c>
      <c r="I2274" t="str">
        <f t="shared" si="43"/>
        <v>BCBS PAYABLE</v>
      </c>
    </row>
    <row r="2275" spans="1:9" x14ac:dyDescent="0.3">
      <c r="A2275" t="str">
        <f>""</f>
        <v/>
      </c>
      <c r="F2275" t="str">
        <f>""</f>
        <v/>
      </c>
      <c r="G2275" t="str">
        <f>""</f>
        <v/>
      </c>
      <c r="I2275" t="str">
        <f t="shared" si="43"/>
        <v>BCBS PAYABLE</v>
      </c>
    </row>
    <row r="2276" spans="1:9" x14ac:dyDescent="0.3">
      <c r="A2276" t="str">
        <f>""</f>
        <v/>
      </c>
      <c r="F2276" t="str">
        <f>""</f>
        <v/>
      </c>
      <c r="G2276" t="str">
        <f>""</f>
        <v/>
      </c>
      <c r="I2276" t="str">
        <f t="shared" si="43"/>
        <v>BCBS PAYABLE</v>
      </c>
    </row>
    <row r="2277" spans="1:9" x14ac:dyDescent="0.3">
      <c r="A2277" t="str">
        <f>""</f>
        <v/>
      </c>
      <c r="F2277" t="str">
        <f>""</f>
        <v/>
      </c>
      <c r="G2277" t="str">
        <f>""</f>
        <v/>
      </c>
      <c r="I2277" t="str">
        <f t="shared" si="43"/>
        <v>BCBS PAYABLE</v>
      </c>
    </row>
    <row r="2278" spans="1:9" x14ac:dyDescent="0.3">
      <c r="A2278" t="str">
        <f>""</f>
        <v/>
      </c>
      <c r="F2278" t="str">
        <f>""</f>
        <v/>
      </c>
      <c r="G2278" t="str">
        <f>""</f>
        <v/>
      </c>
      <c r="I2278" t="str">
        <f t="shared" si="43"/>
        <v>BCBS PAYABLE</v>
      </c>
    </row>
    <row r="2279" spans="1:9" x14ac:dyDescent="0.3">
      <c r="A2279" t="str">
        <f>""</f>
        <v/>
      </c>
      <c r="F2279" t="str">
        <f>""</f>
        <v/>
      </c>
      <c r="G2279" t="str">
        <f>""</f>
        <v/>
      </c>
      <c r="I2279" t="str">
        <f t="shared" si="43"/>
        <v>BCBS PAYABLE</v>
      </c>
    </row>
    <row r="2280" spans="1:9" x14ac:dyDescent="0.3">
      <c r="A2280" t="str">
        <f>""</f>
        <v/>
      </c>
      <c r="F2280" t="str">
        <f>""</f>
        <v/>
      </c>
      <c r="G2280" t="str">
        <f>""</f>
        <v/>
      </c>
      <c r="I2280" t="str">
        <f t="shared" si="43"/>
        <v>BCBS PAYABLE</v>
      </c>
    </row>
    <row r="2281" spans="1:9" x14ac:dyDescent="0.3">
      <c r="A2281" t="str">
        <f>""</f>
        <v/>
      </c>
      <c r="F2281" t="str">
        <f>""</f>
        <v/>
      </c>
      <c r="G2281" t="str">
        <f>""</f>
        <v/>
      </c>
      <c r="I2281" t="str">
        <f t="shared" si="43"/>
        <v>BCBS PAYABLE</v>
      </c>
    </row>
    <row r="2282" spans="1:9" x14ac:dyDescent="0.3">
      <c r="A2282" t="str">
        <f>""</f>
        <v/>
      </c>
      <c r="F2282" t="str">
        <f>""</f>
        <v/>
      </c>
      <c r="G2282" t="str">
        <f>""</f>
        <v/>
      </c>
      <c r="I2282" t="str">
        <f t="shared" si="43"/>
        <v>BCBS PAYABLE</v>
      </c>
    </row>
    <row r="2283" spans="1:9" x14ac:dyDescent="0.3">
      <c r="A2283" t="str">
        <f>""</f>
        <v/>
      </c>
      <c r="F2283" t="str">
        <f>""</f>
        <v/>
      </c>
      <c r="G2283" t="str">
        <f>""</f>
        <v/>
      </c>
      <c r="I2283" t="str">
        <f t="shared" si="43"/>
        <v>BCBS PAYABLE</v>
      </c>
    </row>
    <row r="2284" spans="1:9" x14ac:dyDescent="0.3">
      <c r="A2284" t="str">
        <f>""</f>
        <v/>
      </c>
      <c r="F2284" t="str">
        <f>""</f>
        <v/>
      </c>
      <c r="G2284" t="str">
        <f>""</f>
        <v/>
      </c>
      <c r="I2284" t="str">
        <f t="shared" si="43"/>
        <v>BCBS PAYABLE</v>
      </c>
    </row>
    <row r="2285" spans="1:9" x14ac:dyDescent="0.3">
      <c r="A2285" t="str">
        <f>""</f>
        <v/>
      </c>
      <c r="F2285" t="str">
        <f>""</f>
        <v/>
      </c>
      <c r="G2285" t="str">
        <f>""</f>
        <v/>
      </c>
      <c r="I2285" t="str">
        <f t="shared" ref="I2285:I2348" si="44">"BCBS PAYABLE"</f>
        <v>BCBS PAYABLE</v>
      </c>
    </row>
    <row r="2286" spans="1:9" x14ac:dyDescent="0.3">
      <c r="A2286" t="str">
        <f>""</f>
        <v/>
      </c>
      <c r="F2286" t="str">
        <f>""</f>
        <v/>
      </c>
      <c r="G2286" t="str">
        <f>""</f>
        <v/>
      </c>
      <c r="I2286" t="str">
        <f t="shared" si="44"/>
        <v>BCBS PAYABLE</v>
      </c>
    </row>
    <row r="2287" spans="1:9" x14ac:dyDescent="0.3">
      <c r="A2287" t="str">
        <f>""</f>
        <v/>
      </c>
      <c r="F2287" t="str">
        <f>""</f>
        <v/>
      </c>
      <c r="G2287" t="str">
        <f>""</f>
        <v/>
      </c>
      <c r="I2287" t="str">
        <f t="shared" si="44"/>
        <v>BCBS PAYABLE</v>
      </c>
    </row>
    <row r="2288" spans="1:9" x14ac:dyDescent="0.3">
      <c r="A2288" t="str">
        <f>""</f>
        <v/>
      </c>
      <c r="F2288" t="str">
        <f>""</f>
        <v/>
      </c>
      <c r="G2288" t="str">
        <f>""</f>
        <v/>
      </c>
      <c r="I2288" t="str">
        <f t="shared" si="44"/>
        <v>BCBS PAYABLE</v>
      </c>
    </row>
    <row r="2289" spans="1:9" x14ac:dyDescent="0.3">
      <c r="A2289" t="str">
        <f>""</f>
        <v/>
      </c>
      <c r="F2289" t="str">
        <f>""</f>
        <v/>
      </c>
      <c r="G2289" t="str">
        <f>""</f>
        <v/>
      </c>
      <c r="I2289" t="str">
        <f t="shared" si="44"/>
        <v>BCBS PAYABLE</v>
      </c>
    </row>
    <row r="2290" spans="1:9" x14ac:dyDescent="0.3">
      <c r="A2290" t="str">
        <f>""</f>
        <v/>
      </c>
      <c r="F2290" t="str">
        <f>""</f>
        <v/>
      </c>
      <c r="G2290" t="str">
        <f>""</f>
        <v/>
      </c>
      <c r="I2290" t="str">
        <f t="shared" si="44"/>
        <v>BCBS PAYABLE</v>
      </c>
    </row>
    <row r="2291" spans="1:9" x14ac:dyDescent="0.3">
      <c r="A2291" t="str">
        <f>""</f>
        <v/>
      </c>
      <c r="F2291" t="str">
        <f>""</f>
        <v/>
      </c>
      <c r="G2291" t="str">
        <f>""</f>
        <v/>
      </c>
      <c r="I2291" t="str">
        <f t="shared" si="44"/>
        <v>BCBS PAYABLE</v>
      </c>
    </row>
    <row r="2292" spans="1:9" x14ac:dyDescent="0.3">
      <c r="A2292" t="str">
        <f>""</f>
        <v/>
      </c>
      <c r="F2292" t="str">
        <f>""</f>
        <v/>
      </c>
      <c r="G2292" t="str">
        <f>""</f>
        <v/>
      </c>
      <c r="I2292" t="str">
        <f t="shared" si="44"/>
        <v>BCBS PAYABLE</v>
      </c>
    </row>
    <row r="2293" spans="1:9" x14ac:dyDescent="0.3">
      <c r="A2293" t="str">
        <f>""</f>
        <v/>
      </c>
      <c r="F2293" t="str">
        <f>""</f>
        <v/>
      </c>
      <c r="G2293" t="str">
        <f>""</f>
        <v/>
      </c>
      <c r="I2293" t="str">
        <f t="shared" si="44"/>
        <v>BCBS PAYABLE</v>
      </c>
    </row>
    <row r="2294" spans="1:9" x14ac:dyDescent="0.3">
      <c r="A2294" t="str">
        <f>""</f>
        <v/>
      </c>
      <c r="F2294" t="str">
        <f>""</f>
        <v/>
      </c>
      <c r="G2294" t="str">
        <f>""</f>
        <v/>
      </c>
      <c r="I2294" t="str">
        <f t="shared" si="44"/>
        <v>BCBS PAYABLE</v>
      </c>
    </row>
    <row r="2295" spans="1:9" x14ac:dyDescent="0.3">
      <c r="A2295" t="str">
        <f>""</f>
        <v/>
      </c>
      <c r="F2295" t="str">
        <f>""</f>
        <v/>
      </c>
      <c r="G2295" t="str">
        <f>""</f>
        <v/>
      </c>
      <c r="I2295" t="str">
        <f t="shared" si="44"/>
        <v>BCBS PAYABLE</v>
      </c>
    </row>
    <row r="2296" spans="1:9" x14ac:dyDescent="0.3">
      <c r="A2296" t="str">
        <f>""</f>
        <v/>
      </c>
      <c r="F2296" t="str">
        <f>""</f>
        <v/>
      </c>
      <c r="G2296" t="str">
        <f>""</f>
        <v/>
      </c>
      <c r="I2296" t="str">
        <f t="shared" si="44"/>
        <v>BCBS PAYABLE</v>
      </c>
    </row>
    <row r="2297" spans="1:9" x14ac:dyDescent="0.3">
      <c r="A2297" t="str">
        <f>""</f>
        <v/>
      </c>
      <c r="F2297" t="str">
        <f>""</f>
        <v/>
      </c>
      <c r="G2297" t="str">
        <f>""</f>
        <v/>
      </c>
      <c r="I2297" t="str">
        <f t="shared" si="44"/>
        <v>BCBS PAYABLE</v>
      </c>
    </row>
    <row r="2298" spans="1:9" x14ac:dyDescent="0.3">
      <c r="A2298" t="str">
        <f>""</f>
        <v/>
      </c>
      <c r="F2298" t="str">
        <f>""</f>
        <v/>
      </c>
      <c r="G2298" t="str">
        <f>""</f>
        <v/>
      </c>
      <c r="I2298" t="str">
        <f t="shared" si="44"/>
        <v>BCBS PAYABLE</v>
      </c>
    </row>
    <row r="2299" spans="1:9" x14ac:dyDescent="0.3">
      <c r="A2299" t="str">
        <f>""</f>
        <v/>
      </c>
      <c r="F2299" t="str">
        <f>""</f>
        <v/>
      </c>
      <c r="G2299" t="str">
        <f>""</f>
        <v/>
      </c>
      <c r="I2299" t="str">
        <f t="shared" si="44"/>
        <v>BCBS PAYABLE</v>
      </c>
    </row>
    <row r="2300" spans="1:9" x14ac:dyDescent="0.3">
      <c r="A2300" t="str">
        <f>""</f>
        <v/>
      </c>
      <c r="F2300" t="str">
        <f>""</f>
        <v/>
      </c>
      <c r="G2300" t="str">
        <f>""</f>
        <v/>
      </c>
      <c r="I2300" t="str">
        <f t="shared" si="44"/>
        <v>BCBS PAYABLE</v>
      </c>
    </row>
    <row r="2301" spans="1:9" x14ac:dyDescent="0.3">
      <c r="A2301" t="str">
        <f>""</f>
        <v/>
      </c>
      <c r="F2301" t="str">
        <f>""</f>
        <v/>
      </c>
      <c r="G2301" t="str">
        <f>""</f>
        <v/>
      </c>
      <c r="I2301" t="str">
        <f t="shared" si="44"/>
        <v>BCBS PAYABLE</v>
      </c>
    </row>
    <row r="2302" spans="1:9" x14ac:dyDescent="0.3">
      <c r="A2302" t="str">
        <f>""</f>
        <v/>
      </c>
      <c r="F2302" t="str">
        <f>""</f>
        <v/>
      </c>
      <c r="G2302" t="str">
        <f>""</f>
        <v/>
      </c>
      <c r="I2302" t="str">
        <f t="shared" si="44"/>
        <v>BCBS PAYABLE</v>
      </c>
    </row>
    <row r="2303" spans="1:9" x14ac:dyDescent="0.3">
      <c r="A2303" t="str">
        <f>""</f>
        <v/>
      </c>
      <c r="F2303" t="str">
        <f>""</f>
        <v/>
      </c>
      <c r="G2303" t="str">
        <f>""</f>
        <v/>
      </c>
      <c r="I2303" t="str">
        <f t="shared" si="44"/>
        <v>BCBS PAYABLE</v>
      </c>
    </row>
    <row r="2304" spans="1:9" x14ac:dyDescent="0.3">
      <c r="A2304" t="str">
        <f>""</f>
        <v/>
      </c>
      <c r="F2304" t="str">
        <f>""</f>
        <v/>
      </c>
      <c r="G2304" t="str">
        <f>""</f>
        <v/>
      </c>
      <c r="I2304" t="str">
        <f t="shared" si="44"/>
        <v>BCBS PAYABLE</v>
      </c>
    </row>
    <row r="2305" spans="1:9" x14ac:dyDescent="0.3">
      <c r="A2305" t="str">
        <f>""</f>
        <v/>
      </c>
      <c r="F2305" t="str">
        <f>""</f>
        <v/>
      </c>
      <c r="G2305" t="str">
        <f>""</f>
        <v/>
      </c>
      <c r="I2305" t="str">
        <f t="shared" si="44"/>
        <v>BCBS PAYABLE</v>
      </c>
    </row>
    <row r="2306" spans="1:9" x14ac:dyDescent="0.3">
      <c r="A2306" t="str">
        <f>""</f>
        <v/>
      </c>
      <c r="F2306" t="str">
        <f>""</f>
        <v/>
      </c>
      <c r="G2306" t="str">
        <f>""</f>
        <v/>
      </c>
      <c r="I2306" t="str">
        <f t="shared" si="44"/>
        <v>BCBS PAYABLE</v>
      </c>
    </row>
    <row r="2307" spans="1:9" x14ac:dyDescent="0.3">
      <c r="A2307" t="str">
        <f>""</f>
        <v/>
      </c>
      <c r="F2307" t="str">
        <f>""</f>
        <v/>
      </c>
      <c r="G2307" t="str">
        <f>""</f>
        <v/>
      </c>
      <c r="I2307" t="str">
        <f t="shared" si="44"/>
        <v>BCBS PAYABLE</v>
      </c>
    </row>
    <row r="2308" spans="1:9" x14ac:dyDescent="0.3">
      <c r="A2308" t="str">
        <f>""</f>
        <v/>
      </c>
      <c r="F2308" t="str">
        <f>""</f>
        <v/>
      </c>
      <c r="G2308" t="str">
        <f>""</f>
        <v/>
      </c>
      <c r="I2308" t="str">
        <f t="shared" si="44"/>
        <v>BCBS PAYABLE</v>
      </c>
    </row>
    <row r="2309" spans="1:9" x14ac:dyDescent="0.3">
      <c r="A2309" t="str">
        <f>""</f>
        <v/>
      </c>
      <c r="F2309" t="str">
        <f>""</f>
        <v/>
      </c>
      <c r="G2309" t="str">
        <f>""</f>
        <v/>
      </c>
      <c r="I2309" t="str">
        <f t="shared" si="44"/>
        <v>BCBS PAYABLE</v>
      </c>
    </row>
    <row r="2310" spans="1:9" x14ac:dyDescent="0.3">
      <c r="A2310" t="str">
        <f>""</f>
        <v/>
      </c>
      <c r="F2310" t="str">
        <f>""</f>
        <v/>
      </c>
      <c r="G2310" t="str">
        <f>""</f>
        <v/>
      </c>
      <c r="I2310" t="str">
        <f t="shared" si="44"/>
        <v>BCBS PAYABLE</v>
      </c>
    </row>
    <row r="2311" spans="1:9" x14ac:dyDescent="0.3">
      <c r="A2311" t="str">
        <f>""</f>
        <v/>
      </c>
      <c r="F2311" t="str">
        <f>""</f>
        <v/>
      </c>
      <c r="G2311" t="str">
        <f>""</f>
        <v/>
      </c>
      <c r="I2311" t="str">
        <f t="shared" si="44"/>
        <v>BCBS PAYABLE</v>
      </c>
    </row>
    <row r="2312" spans="1:9" x14ac:dyDescent="0.3">
      <c r="A2312" t="str">
        <f>""</f>
        <v/>
      </c>
      <c r="F2312" t="str">
        <f>""</f>
        <v/>
      </c>
      <c r="G2312" t="str">
        <f>""</f>
        <v/>
      </c>
      <c r="I2312" t="str">
        <f t="shared" si="44"/>
        <v>BCBS PAYABLE</v>
      </c>
    </row>
    <row r="2313" spans="1:9" x14ac:dyDescent="0.3">
      <c r="A2313" t="str">
        <f>""</f>
        <v/>
      </c>
      <c r="F2313" t="str">
        <f>"2EO201704191328"</f>
        <v>2EO201704191328</v>
      </c>
      <c r="G2313" t="str">
        <f>"BCBS PAYABLE"</f>
        <v>BCBS PAYABLE</v>
      </c>
      <c r="H2313" s="2">
        <v>3731.76</v>
      </c>
      <c r="I2313" t="str">
        <f t="shared" si="44"/>
        <v>BCBS PAYABLE</v>
      </c>
    </row>
    <row r="2314" spans="1:9" x14ac:dyDescent="0.3">
      <c r="A2314" t="str">
        <f>""</f>
        <v/>
      </c>
      <c r="F2314" t="str">
        <f>"2ES201704050690"</f>
        <v>2ES201704050690</v>
      </c>
      <c r="G2314" t="str">
        <f>"BCBS PAYABLE"</f>
        <v>BCBS PAYABLE</v>
      </c>
      <c r="H2314" s="2">
        <v>18303.53</v>
      </c>
      <c r="I2314" t="str">
        <f t="shared" si="44"/>
        <v>BCBS PAYABLE</v>
      </c>
    </row>
    <row r="2315" spans="1:9" x14ac:dyDescent="0.3">
      <c r="A2315" t="str">
        <f>""</f>
        <v/>
      </c>
      <c r="F2315" t="str">
        <f>""</f>
        <v/>
      </c>
      <c r="G2315" t="str">
        <f>""</f>
        <v/>
      </c>
      <c r="I2315" t="str">
        <f t="shared" si="44"/>
        <v>BCBS PAYABLE</v>
      </c>
    </row>
    <row r="2316" spans="1:9" x14ac:dyDescent="0.3">
      <c r="A2316" t="str">
        <f>""</f>
        <v/>
      </c>
      <c r="F2316" t="str">
        <f>""</f>
        <v/>
      </c>
      <c r="G2316" t="str">
        <f>""</f>
        <v/>
      </c>
      <c r="I2316" t="str">
        <f t="shared" si="44"/>
        <v>BCBS PAYABLE</v>
      </c>
    </row>
    <row r="2317" spans="1:9" x14ac:dyDescent="0.3">
      <c r="A2317" t="str">
        <f>""</f>
        <v/>
      </c>
      <c r="F2317" t="str">
        <f>""</f>
        <v/>
      </c>
      <c r="G2317" t="str">
        <f>""</f>
        <v/>
      </c>
      <c r="I2317" t="str">
        <f t="shared" si="44"/>
        <v>BCBS PAYABLE</v>
      </c>
    </row>
    <row r="2318" spans="1:9" x14ac:dyDescent="0.3">
      <c r="A2318" t="str">
        <f>""</f>
        <v/>
      </c>
      <c r="F2318" t="str">
        <f>""</f>
        <v/>
      </c>
      <c r="G2318" t="str">
        <f>""</f>
        <v/>
      </c>
      <c r="I2318" t="str">
        <f t="shared" si="44"/>
        <v>BCBS PAYABLE</v>
      </c>
    </row>
    <row r="2319" spans="1:9" x14ac:dyDescent="0.3">
      <c r="A2319" t="str">
        <f>""</f>
        <v/>
      </c>
      <c r="F2319" t="str">
        <f>""</f>
        <v/>
      </c>
      <c r="G2319" t="str">
        <f>""</f>
        <v/>
      </c>
      <c r="I2319" t="str">
        <f t="shared" si="44"/>
        <v>BCBS PAYABLE</v>
      </c>
    </row>
    <row r="2320" spans="1:9" x14ac:dyDescent="0.3">
      <c r="A2320" t="str">
        <f>""</f>
        <v/>
      </c>
      <c r="F2320" t="str">
        <f>""</f>
        <v/>
      </c>
      <c r="G2320" t="str">
        <f>""</f>
        <v/>
      </c>
      <c r="I2320" t="str">
        <f t="shared" si="44"/>
        <v>BCBS PAYABLE</v>
      </c>
    </row>
    <row r="2321" spans="1:9" x14ac:dyDescent="0.3">
      <c r="A2321" t="str">
        <f>""</f>
        <v/>
      </c>
      <c r="F2321" t="str">
        <f>""</f>
        <v/>
      </c>
      <c r="G2321" t="str">
        <f>""</f>
        <v/>
      </c>
      <c r="I2321" t="str">
        <f t="shared" si="44"/>
        <v>BCBS PAYABLE</v>
      </c>
    </row>
    <row r="2322" spans="1:9" x14ac:dyDescent="0.3">
      <c r="A2322" t="str">
        <f>""</f>
        <v/>
      </c>
      <c r="F2322" t="str">
        <f>""</f>
        <v/>
      </c>
      <c r="G2322" t="str">
        <f>""</f>
        <v/>
      </c>
      <c r="I2322" t="str">
        <f t="shared" si="44"/>
        <v>BCBS PAYABLE</v>
      </c>
    </row>
    <row r="2323" spans="1:9" x14ac:dyDescent="0.3">
      <c r="A2323" t="str">
        <f>""</f>
        <v/>
      </c>
      <c r="F2323" t="str">
        <f>""</f>
        <v/>
      </c>
      <c r="G2323" t="str">
        <f>""</f>
        <v/>
      </c>
      <c r="I2323" t="str">
        <f t="shared" si="44"/>
        <v>BCBS PAYABLE</v>
      </c>
    </row>
    <row r="2324" spans="1:9" x14ac:dyDescent="0.3">
      <c r="A2324" t="str">
        <f>""</f>
        <v/>
      </c>
      <c r="F2324" t="str">
        <f>""</f>
        <v/>
      </c>
      <c r="G2324" t="str">
        <f>""</f>
        <v/>
      </c>
      <c r="I2324" t="str">
        <f t="shared" si="44"/>
        <v>BCBS PAYABLE</v>
      </c>
    </row>
    <row r="2325" spans="1:9" x14ac:dyDescent="0.3">
      <c r="A2325" t="str">
        <f>""</f>
        <v/>
      </c>
      <c r="F2325" t="str">
        <f>""</f>
        <v/>
      </c>
      <c r="G2325" t="str">
        <f>""</f>
        <v/>
      </c>
      <c r="I2325" t="str">
        <f t="shared" si="44"/>
        <v>BCBS PAYABLE</v>
      </c>
    </row>
    <row r="2326" spans="1:9" x14ac:dyDescent="0.3">
      <c r="A2326" t="str">
        <f>""</f>
        <v/>
      </c>
      <c r="F2326" t="str">
        <f>""</f>
        <v/>
      </c>
      <c r="G2326" t="str">
        <f>""</f>
        <v/>
      </c>
      <c r="I2326" t="str">
        <f t="shared" si="44"/>
        <v>BCBS PAYABLE</v>
      </c>
    </row>
    <row r="2327" spans="1:9" x14ac:dyDescent="0.3">
      <c r="A2327" t="str">
        <f>""</f>
        <v/>
      </c>
      <c r="F2327" t="str">
        <f>""</f>
        <v/>
      </c>
      <c r="G2327" t="str">
        <f>""</f>
        <v/>
      </c>
      <c r="I2327" t="str">
        <f t="shared" si="44"/>
        <v>BCBS PAYABLE</v>
      </c>
    </row>
    <row r="2328" spans="1:9" x14ac:dyDescent="0.3">
      <c r="A2328" t="str">
        <f>""</f>
        <v/>
      </c>
      <c r="F2328" t="str">
        <f>""</f>
        <v/>
      </c>
      <c r="G2328" t="str">
        <f>""</f>
        <v/>
      </c>
      <c r="I2328" t="str">
        <f t="shared" si="44"/>
        <v>BCBS PAYABLE</v>
      </c>
    </row>
    <row r="2329" spans="1:9" x14ac:dyDescent="0.3">
      <c r="A2329" t="str">
        <f>""</f>
        <v/>
      </c>
      <c r="F2329" t="str">
        <f>""</f>
        <v/>
      </c>
      <c r="G2329" t="str">
        <f>""</f>
        <v/>
      </c>
      <c r="I2329" t="str">
        <f t="shared" si="44"/>
        <v>BCBS PAYABLE</v>
      </c>
    </row>
    <row r="2330" spans="1:9" x14ac:dyDescent="0.3">
      <c r="A2330" t="str">
        <f>""</f>
        <v/>
      </c>
      <c r="F2330" t="str">
        <f>""</f>
        <v/>
      </c>
      <c r="G2330" t="str">
        <f>""</f>
        <v/>
      </c>
      <c r="I2330" t="str">
        <f t="shared" si="44"/>
        <v>BCBS PAYABLE</v>
      </c>
    </row>
    <row r="2331" spans="1:9" x14ac:dyDescent="0.3">
      <c r="A2331" t="str">
        <f>""</f>
        <v/>
      </c>
      <c r="F2331" t="str">
        <f>""</f>
        <v/>
      </c>
      <c r="G2331" t="str">
        <f>""</f>
        <v/>
      </c>
      <c r="I2331" t="str">
        <f t="shared" si="44"/>
        <v>BCBS PAYABLE</v>
      </c>
    </row>
    <row r="2332" spans="1:9" x14ac:dyDescent="0.3">
      <c r="A2332" t="str">
        <f>""</f>
        <v/>
      </c>
      <c r="F2332" t="str">
        <f>""</f>
        <v/>
      </c>
      <c r="G2332" t="str">
        <f>""</f>
        <v/>
      </c>
      <c r="I2332" t="str">
        <f t="shared" si="44"/>
        <v>BCBS PAYABLE</v>
      </c>
    </row>
    <row r="2333" spans="1:9" x14ac:dyDescent="0.3">
      <c r="A2333" t="str">
        <f>""</f>
        <v/>
      </c>
      <c r="F2333" t="str">
        <f>""</f>
        <v/>
      </c>
      <c r="G2333" t="str">
        <f>""</f>
        <v/>
      </c>
      <c r="I2333" t="str">
        <f t="shared" si="44"/>
        <v>BCBS PAYABLE</v>
      </c>
    </row>
    <row r="2334" spans="1:9" x14ac:dyDescent="0.3">
      <c r="A2334" t="str">
        <f>""</f>
        <v/>
      </c>
      <c r="F2334" t="str">
        <f>""</f>
        <v/>
      </c>
      <c r="G2334" t="str">
        <f>""</f>
        <v/>
      </c>
      <c r="I2334" t="str">
        <f t="shared" si="44"/>
        <v>BCBS PAYABLE</v>
      </c>
    </row>
    <row r="2335" spans="1:9" x14ac:dyDescent="0.3">
      <c r="A2335" t="str">
        <f>""</f>
        <v/>
      </c>
      <c r="F2335" t="str">
        <f>""</f>
        <v/>
      </c>
      <c r="G2335" t="str">
        <f>""</f>
        <v/>
      </c>
      <c r="I2335" t="str">
        <f t="shared" si="44"/>
        <v>BCBS PAYABLE</v>
      </c>
    </row>
    <row r="2336" spans="1:9" x14ac:dyDescent="0.3">
      <c r="A2336" t="str">
        <f>""</f>
        <v/>
      </c>
      <c r="F2336" t="str">
        <f>"2ES201704191327"</f>
        <v>2ES201704191327</v>
      </c>
      <c r="G2336" t="str">
        <f>"BCBS PAYABLE"</f>
        <v>BCBS PAYABLE</v>
      </c>
      <c r="H2336" s="2">
        <v>18303.53</v>
      </c>
      <c r="I2336" t="str">
        <f t="shared" si="44"/>
        <v>BCBS PAYABLE</v>
      </c>
    </row>
    <row r="2337" spans="1:9" x14ac:dyDescent="0.3">
      <c r="A2337" t="str">
        <f>""</f>
        <v/>
      </c>
      <c r="F2337" t="str">
        <f>""</f>
        <v/>
      </c>
      <c r="G2337" t="str">
        <f>""</f>
        <v/>
      </c>
      <c r="I2337" t="str">
        <f t="shared" si="44"/>
        <v>BCBS PAYABLE</v>
      </c>
    </row>
    <row r="2338" spans="1:9" x14ac:dyDescent="0.3">
      <c r="A2338" t="str">
        <f>""</f>
        <v/>
      </c>
      <c r="F2338" t="str">
        <f>""</f>
        <v/>
      </c>
      <c r="G2338" t="str">
        <f>""</f>
        <v/>
      </c>
      <c r="I2338" t="str">
        <f t="shared" si="44"/>
        <v>BCBS PAYABLE</v>
      </c>
    </row>
    <row r="2339" spans="1:9" x14ac:dyDescent="0.3">
      <c r="A2339" t="str">
        <f>""</f>
        <v/>
      </c>
      <c r="F2339" t="str">
        <f>""</f>
        <v/>
      </c>
      <c r="G2339" t="str">
        <f>""</f>
        <v/>
      </c>
      <c r="I2339" t="str">
        <f t="shared" si="44"/>
        <v>BCBS PAYABLE</v>
      </c>
    </row>
    <row r="2340" spans="1:9" x14ac:dyDescent="0.3">
      <c r="A2340" t="str">
        <f>""</f>
        <v/>
      </c>
      <c r="F2340" t="str">
        <f>""</f>
        <v/>
      </c>
      <c r="G2340" t="str">
        <f>""</f>
        <v/>
      </c>
      <c r="I2340" t="str">
        <f t="shared" si="44"/>
        <v>BCBS PAYABLE</v>
      </c>
    </row>
    <row r="2341" spans="1:9" x14ac:dyDescent="0.3">
      <c r="A2341" t="str">
        <f>""</f>
        <v/>
      </c>
      <c r="F2341" t="str">
        <f>""</f>
        <v/>
      </c>
      <c r="G2341" t="str">
        <f>""</f>
        <v/>
      </c>
      <c r="I2341" t="str">
        <f t="shared" si="44"/>
        <v>BCBS PAYABLE</v>
      </c>
    </row>
    <row r="2342" spans="1:9" x14ac:dyDescent="0.3">
      <c r="A2342" t="str">
        <f>""</f>
        <v/>
      </c>
      <c r="F2342" t="str">
        <f>""</f>
        <v/>
      </c>
      <c r="G2342" t="str">
        <f>""</f>
        <v/>
      </c>
      <c r="I2342" t="str">
        <f t="shared" si="44"/>
        <v>BCBS PAYABLE</v>
      </c>
    </row>
    <row r="2343" spans="1:9" x14ac:dyDescent="0.3">
      <c r="A2343" t="str">
        <f>""</f>
        <v/>
      </c>
      <c r="F2343" t="str">
        <f>""</f>
        <v/>
      </c>
      <c r="G2343" t="str">
        <f>""</f>
        <v/>
      </c>
      <c r="I2343" t="str">
        <f t="shared" si="44"/>
        <v>BCBS PAYABLE</v>
      </c>
    </row>
    <row r="2344" spans="1:9" x14ac:dyDescent="0.3">
      <c r="A2344" t="str">
        <f>""</f>
        <v/>
      </c>
      <c r="F2344" t="str">
        <f>""</f>
        <v/>
      </c>
      <c r="G2344" t="str">
        <f>""</f>
        <v/>
      </c>
      <c r="I2344" t="str">
        <f t="shared" si="44"/>
        <v>BCBS PAYABLE</v>
      </c>
    </row>
    <row r="2345" spans="1:9" x14ac:dyDescent="0.3">
      <c r="A2345" t="str">
        <f>""</f>
        <v/>
      </c>
      <c r="F2345" t="str">
        <f>""</f>
        <v/>
      </c>
      <c r="G2345" t="str">
        <f>""</f>
        <v/>
      </c>
      <c r="I2345" t="str">
        <f t="shared" si="44"/>
        <v>BCBS PAYABLE</v>
      </c>
    </row>
    <row r="2346" spans="1:9" x14ac:dyDescent="0.3">
      <c r="A2346" t="str">
        <f>""</f>
        <v/>
      </c>
      <c r="F2346" t="str">
        <f>""</f>
        <v/>
      </c>
      <c r="G2346" t="str">
        <f>""</f>
        <v/>
      </c>
      <c r="I2346" t="str">
        <f t="shared" si="44"/>
        <v>BCBS PAYABLE</v>
      </c>
    </row>
    <row r="2347" spans="1:9" x14ac:dyDescent="0.3">
      <c r="A2347" t="str">
        <f>""</f>
        <v/>
      </c>
      <c r="F2347" t="str">
        <f>""</f>
        <v/>
      </c>
      <c r="G2347" t="str">
        <f>""</f>
        <v/>
      </c>
      <c r="I2347" t="str">
        <f t="shared" si="44"/>
        <v>BCBS PAYABLE</v>
      </c>
    </row>
    <row r="2348" spans="1:9" x14ac:dyDescent="0.3">
      <c r="A2348" t="str">
        <f>""</f>
        <v/>
      </c>
      <c r="F2348" t="str">
        <f>""</f>
        <v/>
      </c>
      <c r="G2348" t="str">
        <f>""</f>
        <v/>
      </c>
      <c r="I2348" t="str">
        <f t="shared" si="44"/>
        <v>BCBS PAYABLE</v>
      </c>
    </row>
    <row r="2349" spans="1:9" x14ac:dyDescent="0.3">
      <c r="A2349" t="str">
        <f>""</f>
        <v/>
      </c>
      <c r="F2349" t="str">
        <f>""</f>
        <v/>
      </c>
      <c r="G2349" t="str">
        <f>""</f>
        <v/>
      </c>
      <c r="I2349" t="str">
        <f t="shared" ref="I2349:I2357" si="45">"BCBS PAYABLE"</f>
        <v>BCBS PAYABLE</v>
      </c>
    </row>
    <row r="2350" spans="1:9" x14ac:dyDescent="0.3">
      <c r="A2350" t="str">
        <f>""</f>
        <v/>
      </c>
      <c r="F2350" t="str">
        <f>""</f>
        <v/>
      </c>
      <c r="G2350" t="str">
        <f>""</f>
        <v/>
      </c>
      <c r="I2350" t="str">
        <f t="shared" si="45"/>
        <v>BCBS PAYABLE</v>
      </c>
    </row>
    <row r="2351" spans="1:9" x14ac:dyDescent="0.3">
      <c r="A2351" t="str">
        <f>""</f>
        <v/>
      </c>
      <c r="F2351" t="str">
        <f>""</f>
        <v/>
      </c>
      <c r="G2351" t="str">
        <f>""</f>
        <v/>
      </c>
      <c r="I2351" t="str">
        <f t="shared" si="45"/>
        <v>BCBS PAYABLE</v>
      </c>
    </row>
    <row r="2352" spans="1:9" x14ac:dyDescent="0.3">
      <c r="A2352" t="str">
        <f>""</f>
        <v/>
      </c>
      <c r="F2352" t="str">
        <f>""</f>
        <v/>
      </c>
      <c r="G2352" t="str">
        <f>""</f>
        <v/>
      </c>
      <c r="I2352" t="str">
        <f t="shared" si="45"/>
        <v>BCBS PAYABLE</v>
      </c>
    </row>
    <row r="2353" spans="1:9" x14ac:dyDescent="0.3">
      <c r="A2353" t="str">
        <f>""</f>
        <v/>
      </c>
      <c r="F2353" t="str">
        <f>""</f>
        <v/>
      </c>
      <c r="G2353" t="str">
        <f>""</f>
        <v/>
      </c>
      <c r="I2353" t="str">
        <f t="shared" si="45"/>
        <v>BCBS PAYABLE</v>
      </c>
    </row>
    <row r="2354" spans="1:9" x14ac:dyDescent="0.3">
      <c r="A2354" t="str">
        <f>""</f>
        <v/>
      </c>
      <c r="F2354" t="str">
        <f>""</f>
        <v/>
      </c>
      <c r="G2354" t="str">
        <f>""</f>
        <v/>
      </c>
      <c r="I2354" t="str">
        <f t="shared" si="45"/>
        <v>BCBS PAYABLE</v>
      </c>
    </row>
    <row r="2355" spans="1:9" x14ac:dyDescent="0.3">
      <c r="A2355" t="str">
        <f>""</f>
        <v/>
      </c>
      <c r="F2355" t="str">
        <f>""</f>
        <v/>
      </c>
      <c r="G2355" t="str">
        <f>""</f>
        <v/>
      </c>
      <c r="I2355" t="str">
        <f t="shared" si="45"/>
        <v>BCBS PAYABLE</v>
      </c>
    </row>
    <row r="2356" spans="1:9" x14ac:dyDescent="0.3">
      <c r="A2356" t="str">
        <f>""</f>
        <v/>
      </c>
      <c r="F2356" t="str">
        <f>""</f>
        <v/>
      </c>
      <c r="G2356" t="str">
        <f>""</f>
        <v/>
      </c>
      <c r="I2356" t="str">
        <f t="shared" si="45"/>
        <v>BCBS PAYABLE</v>
      </c>
    </row>
    <row r="2357" spans="1:9" x14ac:dyDescent="0.3">
      <c r="A2357" t="str">
        <f>""</f>
        <v/>
      </c>
      <c r="F2357" t="str">
        <f>""</f>
        <v/>
      </c>
      <c r="G2357" t="str">
        <f>""</f>
        <v/>
      </c>
      <c r="I2357" t="str">
        <f t="shared" si="45"/>
        <v>BCBS PAYABLE</v>
      </c>
    </row>
    <row r="2358" spans="1:9" x14ac:dyDescent="0.3">
      <c r="A2358" t="str">
        <f>"TAGO"</f>
        <v>TAGO</v>
      </c>
      <c r="B2358" t="s">
        <v>467</v>
      </c>
      <c r="C2358">
        <v>0</v>
      </c>
      <c r="D2358" s="2">
        <v>3999.15</v>
      </c>
      <c r="E2358" s="1">
        <v>42832</v>
      </c>
      <c r="F2358" t="str">
        <f>"C18201704050691"</f>
        <v>C18201704050691</v>
      </c>
      <c r="G2358" t="str">
        <f>"CAUSE# 0011635329"</f>
        <v>CAUSE# 0011635329</v>
      </c>
      <c r="H2358" s="2">
        <v>603.23</v>
      </c>
      <c r="I2358" t="str">
        <f>"CAUSE# 0011635329"</f>
        <v>CAUSE# 0011635329</v>
      </c>
    </row>
    <row r="2359" spans="1:9" x14ac:dyDescent="0.3">
      <c r="A2359" t="str">
        <f>""</f>
        <v/>
      </c>
      <c r="F2359" t="str">
        <f>"C2 201704050691"</f>
        <v>C2 201704050691</v>
      </c>
      <c r="G2359" t="str">
        <f>"0012982132CCL7445"</f>
        <v>0012982132CCL7445</v>
      </c>
      <c r="H2359" s="2">
        <v>692.31</v>
      </c>
      <c r="I2359" t="str">
        <f>"0012982132CCL7445"</f>
        <v>0012982132CCL7445</v>
      </c>
    </row>
    <row r="2360" spans="1:9" x14ac:dyDescent="0.3">
      <c r="A2360" t="str">
        <f>""</f>
        <v/>
      </c>
      <c r="F2360" t="str">
        <f>"C20201704050690"</f>
        <v>C20201704050690</v>
      </c>
      <c r="G2360" t="str">
        <f>"001003981107-12252"</f>
        <v>001003981107-12252</v>
      </c>
      <c r="H2360" s="2">
        <v>115.39</v>
      </c>
      <c r="I2360" t="str">
        <f>"001003981107-12252"</f>
        <v>001003981107-12252</v>
      </c>
    </row>
    <row r="2361" spans="1:9" x14ac:dyDescent="0.3">
      <c r="A2361" t="str">
        <f>""</f>
        <v/>
      </c>
      <c r="F2361" t="str">
        <f>"C39201704050690"</f>
        <v>C39201704050690</v>
      </c>
      <c r="G2361" t="str">
        <f>"0012352184423-1520"</f>
        <v>0012352184423-1520</v>
      </c>
      <c r="H2361" s="2">
        <v>273.23</v>
      </c>
      <c r="I2361" t="str">
        <f>"0012352184423-1520"</f>
        <v>0012352184423-1520</v>
      </c>
    </row>
    <row r="2362" spans="1:9" x14ac:dyDescent="0.3">
      <c r="A2362" t="str">
        <f>""</f>
        <v/>
      </c>
      <c r="F2362" t="str">
        <f>"C42201704050690"</f>
        <v>C42201704050690</v>
      </c>
      <c r="G2362" t="str">
        <f>"001236769211-14410"</f>
        <v>001236769211-14410</v>
      </c>
      <c r="H2362" s="2">
        <v>230.31</v>
      </c>
      <c r="I2362" t="str">
        <f>"001236769211-14410"</f>
        <v>001236769211-14410</v>
      </c>
    </row>
    <row r="2363" spans="1:9" x14ac:dyDescent="0.3">
      <c r="A2363" t="str">
        <f>""</f>
        <v/>
      </c>
      <c r="F2363" t="str">
        <f>"C46201704050690"</f>
        <v>C46201704050690</v>
      </c>
      <c r="G2363" t="str">
        <f>"CAUSE# 11-14911"</f>
        <v>CAUSE# 11-14911</v>
      </c>
      <c r="H2363" s="2">
        <v>238.62</v>
      </c>
      <c r="I2363" t="str">
        <f>"CAUSE# 11-14911"</f>
        <v>CAUSE# 11-14911</v>
      </c>
    </row>
    <row r="2364" spans="1:9" x14ac:dyDescent="0.3">
      <c r="A2364" t="str">
        <f>""</f>
        <v/>
      </c>
      <c r="F2364" t="str">
        <f>"C53201704050690"</f>
        <v>C53201704050690</v>
      </c>
      <c r="G2364" t="str">
        <f>"0012453366"</f>
        <v>0012453366</v>
      </c>
      <c r="H2364" s="2">
        <v>207.69</v>
      </c>
      <c r="I2364" t="str">
        <f>"0012453366"</f>
        <v>0012453366</v>
      </c>
    </row>
    <row r="2365" spans="1:9" x14ac:dyDescent="0.3">
      <c r="A2365" t="str">
        <f>""</f>
        <v/>
      </c>
      <c r="F2365" t="str">
        <f>"C59201704050690"</f>
        <v>C59201704050690</v>
      </c>
      <c r="G2365" t="str">
        <f>"0012936495140043"</f>
        <v>0012936495140043</v>
      </c>
      <c r="H2365" s="2">
        <v>226.15</v>
      </c>
      <c r="I2365" t="str">
        <f>"0012936495140043"</f>
        <v>0012936495140043</v>
      </c>
    </row>
    <row r="2366" spans="1:9" x14ac:dyDescent="0.3">
      <c r="A2366" t="str">
        <f>""</f>
        <v/>
      </c>
      <c r="F2366" t="str">
        <f>"C60201704050690"</f>
        <v>C60201704050690</v>
      </c>
      <c r="G2366" t="str">
        <f>"00130730762012V300"</f>
        <v>00130730762012V300</v>
      </c>
      <c r="H2366" s="2">
        <v>399.32</v>
      </c>
      <c r="I2366" t="str">
        <f>"00130730762012V300"</f>
        <v>00130730762012V300</v>
      </c>
    </row>
    <row r="2367" spans="1:9" x14ac:dyDescent="0.3">
      <c r="A2367" t="str">
        <f>""</f>
        <v/>
      </c>
      <c r="F2367" t="str">
        <f>"C61201704050690"</f>
        <v>C61201704050690</v>
      </c>
      <c r="G2367" t="str">
        <f>"001174398213713"</f>
        <v>001174398213713</v>
      </c>
      <c r="H2367" s="2">
        <v>143.96</v>
      </c>
      <c r="I2367" t="str">
        <f>"001174398213713"</f>
        <v>001174398213713</v>
      </c>
    </row>
    <row r="2368" spans="1:9" x14ac:dyDescent="0.3">
      <c r="A2368" t="str">
        <f>""</f>
        <v/>
      </c>
      <c r="F2368" t="str">
        <f>"C62201704050690"</f>
        <v>C62201704050690</v>
      </c>
      <c r="G2368" t="str">
        <f>"# 0012128865"</f>
        <v># 0012128865</v>
      </c>
      <c r="H2368" s="2">
        <v>243.23</v>
      </c>
      <c r="I2368" t="str">
        <f>"# 0012128865"</f>
        <v># 0012128865</v>
      </c>
    </row>
    <row r="2369" spans="1:9" x14ac:dyDescent="0.3">
      <c r="A2369" t="str">
        <f>""</f>
        <v/>
      </c>
      <c r="F2369" t="str">
        <f>"C63201704050690"</f>
        <v>C63201704050690</v>
      </c>
      <c r="G2369" t="str">
        <f>"00132751231517246"</f>
        <v>00132751231517246</v>
      </c>
      <c r="H2369" s="2">
        <v>46.15</v>
      </c>
      <c r="I2369" t="str">
        <f>"00132751231517246"</f>
        <v>00132751231517246</v>
      </c>
    </row>
    <row r="2370" spans="1:9" x14ac:dyDescent="0.3">
      <c r="A2370" t="str">
        <f>""</f>
        <v/>
      </c>
      <c r="F2370" t="str">
        <f>"C65201704050690"</f>
        <v>C65201704050690</v>
      </c>
      <c r="G2370" t="str">
        <f>"12-14956"</f>
        <v>12-14956</v>
      </c>
      <c r="H2370" s="2">
        <v>351.1</v>
      </c>
      <c r="I2370" t="str">
        <f>"12-14956"</f>
        <v>12-14956</v>
      </c>
    </row>
    <row r="2371" spans="1:9" x14ac:dyDescent="0.3">
      <c r="A2371" t="str">
        <f>""</f>
        <v/>
      </c>
      <c r="F2371" t="str">
        <f>"C66201704050690"</f>
        <v>C66201704050690</v>
      </c>
      <c r="G2371" t="str">
        <f>"# 0012871801"</f>
        <v># 0012871801</v>
      </c>
      <c r="H2371" s="2">
        <v>90</v>
      </c>
      <c r="I2371" t="str">
        <f>"# 0012871801"</f>
        <v># 0012871801</v>
      </c>
    </row>
    <row r="2372" spans="1:9" x14ac:dyDescent="0.3">
      <c r="A2372" t="str">
        <f>""</f>
        <v/>
      </c>
      <c r="F2372" t="str">
        <f>"C66201704050692"</f>
        <v>C66201704050692</v>
      </c>
      <c r="G2372" t="str">
        <f>"CAUSE#D1FM13007058"</f>
        <v>CAUSE#D1FM13007058</v>
      </c>
      <c r="H2372" s="2">
        <v>138.46</v>
      </c>
      <c r="I2372" t="str">
        <f>"CAUSE#D1FM13007058"</f>
        <v>CAUSE#D1FM13007058</v>
      </c>
    </row>
    <row r="2373" spans="1:9" x14ac:dyDescent="0.3">
      <c r="A2373" t="str">
        <f>"TAGO"</f>
        <v>TAGO</v>
      </c>
      <c r="B2373" t="s">
        <v>467</v>
      </c>
      <c r="C2373">
        <v>0</v>
      </c>
      <c r="D2373" s="2">
        <v>4101.1400000000003</v>
      </c>
      <c r="E2373" s="1">
        <v>42846</v>
      </c>
      <c r="F2373" t="str">
        <f>"C18201704191328"</f>
        <v>C18201704191328</v>
      </c>
      <c r="G2373" t="str">
        <f>"CAUSE# 0011635329"</f>
        <v>CAUSE# 0011635329</v>
      </c>
      <c r="H2373" s="2">
        <v>603.23</v>
      </c>
      <c r="I2373" t="str">
        <f>"CAUSE# 0011635329"</f>
        <v>CAUSE# 0011635329</v>
      </c>
    </row>
    <row r="2374" spans="1:9" x14ac:dyDescent="0.3">
      <c r="A2374" t="str">
        <f>""</f>
        <v/>
      </c>
      <c r="F2374" t="str">
        <f>"C2 201704191328"</f>
        <v>C2 201704191328</v>
      </c>
      <c r="G2374" t="str">
        <f>"0012982132CCL7445"</f>
        <v>0012982132CCL7445</v>
      </c>
      <c r="H2374" s="2">
        <v>692.31</v>
      </c>
      <c r="I2374" t="str">
        <f>"0012982132CCL7445"</f>
        <v>0012982132CCL7445</v>
      </c>
    </row>
    <row r="2375" spans="1:9" x14ac:dyDescent="0.3">
      <c r="A2375" t="str">
        <f>""</f>
        <v/>
      </c>
      <c r="F2375" t="str">
        <f>"C20201704191327"</f>
        <v>C20201704191327</v>
      </c>
      <c r="G2375" t="str">
        <f>"001003981107-12252"</f>
        <v>001003981107-12252</v>
      </c>
      <c r="H2375" s="2">
        <v>115.39</v>
      </c>
      <c r="I2375" t="str">
        <f>"001003981107-12252"</f>
        <v>001003981107-12252</v>
      </c>
    </row>
    <row r="2376" spans="1:9" x14ac:dyDescent="0.3">
      <c r="A2376" t="str">
        <f>""</f>
        <v/>
      </c>
      <c r="F2376" t="str">
        <f>"C39201704191327"</f>
        <v>C39201704191327</v>
      </c>
      <c r="G2376" t="str">
        <f>"0012352184423-1520"</f>
        <v>0012352184423-1520</v>
      </c>
      <c r="H2376" s="2">
        <v>273.23</v>
      </c>
      <c r="I2376" t="str">
        <f>"0012352184423-1520"</f>
        <v>0012352184423-1520</v>
      </c>
    </row>
    <row r="2377" spans="1:9" x14ac:dyDescent="0.3">
      <c r="A2377" t="str">
        <f>""</f>
        <v/>
      </c>
      <c r="F2377" t="str">
        <f>"C42201704191327"</f>
        <v>C42201704191327</v>
      </c>
      <c r="G2377" t="str">
        <f>"001236769211-14410"</f>
        <v>001236769211-14410</v>
      </c>
      <c r="H2377" s="2">
        <v>230.31</v>
      </c>
      <c r="I2377" t="str">
        <f>"001236769211-14410"</f>
        <v>001236769211-14410</v>
      </c>
    </row>
    <row r="2378" spans="1:9" x14ac:dyDescent="0.3">
      <c r="A2378" t="str">
        <f>""</f>
        <v/>
      </c>
      <c r="F2378" t="str">
        <f>"C46201704191327"</f>
        <v>C46201704191327</v>
      </c>
      <c r="G2378" t="str">
        <f>"CAUSE# 11-14911"</f>
        <v>CAUSE# 11-14911</v>
      </c>
      <c r="H2378" s="2">
        <v>238.62</v>
      </c>
      <c r="I2378" t="str">
        <f>"CAUSE# 11-14911"</f>
        <v>CAUSE# 11-14911</v>
      </c>
    </row>
    <row r="2379" spans="1:9" x14ac:dyDescent="0.3">
      <c r="A2379" t="str">
        <f>""</f>
        <v/>
      </c>
      <c r="F2379" t="str">
        <f>"C53201704191327"</f>
        <v>C53201704191327</v>
      </c>
      <c r="G2379" t="str">
        <f>"0012453366"</f>
        <v>0012453366</v>
      </c>
      <c r="H2379" s="2">
        <v>207.69</v>
      </c>
      <c r="I2379" t="str">
        <f>"0012453366"</f>
        <v>0012453366</v>
      </c>
    </row>
    <row r="2380" spans="1:9" x14ac:dyDescent="0.3">
      <c r="A2380" t="str">
        <f>""</f>
        <v/>
      </c>
      <c r="F2380" t="str">
        <f>"C59201704191327"</f>
        <v>C59201704191327</v>
      </c>
      <c r="G2380" t="str">
        <f>"0012936495140043"</f>
        <v>0012936495140043</v>
      </c>
      <c r="H2380" s="2">
        <v>226.15</v>
      </c>
      <c r="I2380" t="str">
        <f>"0012936495140043"</f>
        <v>0012936495140043</v>
      </c>
    </row>
    <row r="2381" spans="1:9" x14ac:dyDescent="0.3">
      <c r="A2381" t="str">
        <f>""</f>
        <v/>
      </c>
      <c r="F2381" t="str">
        <f>"C60201704191327"</f>
        <v>C60201704191327</v>
      </c>
      <c r="G2381" t="str">
        <f>"00130730762012V300"</f>
        <v>00130730762012V300</v>
      </c>
      <c r="H2381" s="2">
        <v>399.32</v>
      </c>
      <c r="I2381" t="str">
        <f>"00130730762012V300"</f>
        <v>00130730762012V300</v>
      </c>
    </row>
    <row r="2382" spans="1:9" x14ac:dyDescent="0.3">
      <c r="A2382" t="str">
        <f>""</f>
        <v/>
      </c>
      <c r="F2382" t="str">
        <f>"C61201704191327"</f>
        <v>C61201704191327</v>
      </c>
      <c r="G2382" t="str">
        <f>"001174398213713"</f>
        <v>001174398213713</v>
      </c>
      <c r="H2382" s="2">
        <v>143.96</v>
      </c>
      <c r="I2382" t="str">
        <f>"001174398213713"</f>
        <v>001174398213713</v>
      </c>
    </row>
    <row r="2383" spans="1:9" x14ac:dyDescent="0.3">
      <c r="A2383" t="str">
        <f>""</f>
        <v/>
      </c>
      <c r="F2383" t="str">
        <f>"C62201704191327"</f>
        <v>C62201704191327</v>
      </c>
      <c r="G2383" t="str">
        <f>"# 0012128865"</f>
        <v># 0012128865</v>
      </c>
      <c r="H2383" s="2">
        <v>243.23</v>
      </c>
      <c r="I2383" t="str">
        <f>"# 0012128865"</f>
        <v># 0012128865</v>
      </c>
    </row>
    <row r="2384" spans="1:9" x14ac:dyDescent="0.3">
      <c r="A2384" t="str">
        <f>""</f>
        <v/>
      </c>
      <c r="F2384" t="str">
        <f>"C63201704191327"</f>
        <v>C63201704191327</v>
      </c>
      <c r="G2384" t="str">
        <f>"00132751231517246"</f>
        <v>00132751231517246</v>
      </c>
      <c r="H2384" s="2">
        <v>46.15</v>
      </c>
      <c r="I2384" t="str">
        <f>"00132751231517246"</f>
        <v>00132751231517246</v>
      </c>
    </row>
    <row r="2385" spans="1:9" x14ac:dyDescent="0.3">
      <c r="A2385" t="str">
        <f>""</f>
        <v/>
      </c>
      <c r="F2385" t="str">
        <f>"C65201704191327"</f>
        <v>C65201704191327</v>
      </c>
      <c r="G2385" t="str">
        <f>"12-14956"</f>
        <v>12-14956</v>
      </c>
      <c r="H2385" s="2">
        <v>351.1</v>
      </c>
      <c r="I2385" t="str">
        <f>"12-14956"</f>
        <v>12-14956</v>
      </c>
    </row>
    <row r="2386" spans="1:9" x14ac:dyDescent="0.3">
      <c r="A2386" t="str">
        <f>""</f>
        <v/>
      </c>
      <c r="F2386" t="str">
        <f>"C66201704191327"</f>
        <v>C66201704191327</v>
      </c>
      <c r="G2386" t="str">
        <f>"# 0012871801"</f>
        <v># 0012871801</v>
      </c>
      <c r="H2386" s="2">
        <v>90</v>
      </c>
      <c r="I2386" t="str">
        <f>"# 0012871801"</f>
        <v># 0012871801</v>
      </c>
    </row>
    <row r="2387" spans="1:9" x14ac:dyDescent="0.3">
      <c r="A2387" t="str">
        <f>""</f>
        <v/>
      </c>
      <c r="F2387" t="str">
        <f>"C66201704191329"</f>
        <v>C66201704191329</v>
      </c>
      <c r="G2387" t="str">
        <f>"CAUSE#D1FM13007058"</f>
        <v>CAUSE#D1FM13007058</v>
      </c>
      <c r="H2387" s="2">
        <v>138.46</v>
      </c>
      <c r="I2387" t="str">
        <f>"CAUSE#D1FM13007058"</f>
        <v>CAUSE#D1FM13007058</v>
      </c>
    </row>
    <row r="2388" spans="1:9" x14ac:dyDescent="0.3">
      <c r="A2388" t="str">
        <f>""</f>
        <v/>
      </c>
      <c r="F2388" t="str">
        <f>"C67201704191327"</f>
        <v>C67201704191327</v>
      </c>
      <c r="G2388" t="str">
        <f>"13154657"</f>
        <v>13154657</v>
      </c>
      <c r="H2388" s="2">
        <v>101.99</v>
      </c>
      <c r="I2388" t="str">
        <f>"13154657"</f>
        <v>13154657</v>
      </c>
    </row>
    <row r="2389" spans="1:9" x14ac:dyDescent="0.3">
      <c r="A2389" t="str">
        <f>"TCDRS"</f>
        <v>TCDRS</v>
      </c>
      <c r="B2389" t="s">
        <v>468</v>
      </c>
      <c r="C2389">
        <v>0</v>
      </c>
      <c r="D2389" s="2">
        <v>302368.03000000003</v>
      </c>
      <c r="E2389" s="1">
        <v>42846</v>
      </c>
      <c r="F2389" t="str">
        <f>"RET201704191339"</f>
        <v>RET201704191339</v>
      </c>
      <c r="G2389" t="str">
        <f>"TEXAS COUNTY &amp; DISTRICT RET"</f>
        <v>TEXAS COUNTY &amp; DISTRICT RET</v>
      </c>
      <c r="H2389" s="2">
        <v>-177.55</v>
      </c>
      <c r="I2389" t="str">
        <f t="shared" ref="I2389:I2420" si="46">"TEXAS COUNTY &amp; DISTRICT RET"</f>
        <v>TEXAS COUNTY &amp; DISTRICT RET</v>
      </c>
    </row>
    <row r="2390" spans="1:9" x14ac:dyDescent="0.3">
      <c r="A2390" t="str">
        <f>""</f>
        <v/>
      </c>
      <c r="F2390" t="str">
        <f>""</f>
        <v/>
      </c>
      <c r="G2390" t="str">
        <f>""</f>
        <v/>
      </c>
      <c r="I2390" t="str">
        <f t="shared" si="46"/>
        <v>TEXAS COUNTY &amp; DISTRICT RET</v>
      </c>
    </row>
    <row r="2391" spans="1:9" x14ac:dyDescent="0.3">
      <c r="A2391" t="str">
        <f>""</f>
        <v/>
      </c>
      <c r="F2391" t="str">
        <f>"RET201704050690"</f>
        <v>RET201704050690</v>
      </c>
      <c r="G2391" t="str">
        <f>"TEXAS COUNTY &amp; DISTRICT RET"</f>
        <v>TEXAS COUNTY &amp; DISTRICT RET</v>
      </c>
      <c r="H2391" s="2">
        <v>137515.06</v>
      </c>
      <c r="I2391" t="str">
        <f t="shared" si="46"/>
        <v>TEXAS COUNTY &amp; DISTRICT RET</v>
      </c>
    </row>
    <row r="2392" spans="1:9" x14ac:dyDescent="0.3">
      <c r="A2392" t="str">
        <f>""</f>
        <v/>
      </c>
      <c r="F2392" t="str">
        <f>""</f>
        <v/>
      </c>
      <c r="G2392" t="str">
        <f>""</f>
        <v/>
      </c>
      <c r="I2392" t="str">
        <f t="shared" si="46"/>
        <v>TEXAS COUNTY &amp; DISTRICT RET</v>
      </c>
    </row>
    <row r="2393" spans="1:9" x14ac:dyDescent="0.3">
      <c r="A2393" t="str">
        <f>""</f>
        <v/>
      </c>
      <c r="F2393" t="str">
        <f>""</f>
        <v/>
      </c>
      <c r="G2393" t="str">
        <f>""</f>
        <v/>
      </c>
      <c r="I2393" t="str">
        <f t="shared" si="46"/>
        <v>TEXAS COUNTY &amp; DISTRICT RET</v>
      </c>
    </row>
    <row r="2394" spans="1:9" x14ac:dyDescent="0.3">
      <c r="A2394" t="str">
        <f>""</f>
        <v/>
      </c>
      <c r="F2394" t="str">
        <f>""</f>
        <v/>
      </c>
      <c r="G2394" t="str">
        <f>""</f>
        <v/>
      </c>
      <c r="I2394" t="str">
        <f t="shared" si="46"/>
        <v>TEXAS COUNTY &amp; DISTRICT RET</v>
      </c>
    </row>
    <row r="2395" spans="1:9" x14ac:dyDescent="0.3">
      <c r="A2395" t="str">
        <f>""</f>
        <v/>
      </c>
      <c r="F2395" t="str">
        <f>""</f>
        <v/>
      </c>
      <c r="G2395" t="str">
        <f>""</f>
        <v/>
      </c>
      <c r="I2395" t="str">
        <f t="shared" si="46"/>
        <v>TEXAS COUNTY &amp; DISTRICT RET</v>
      </c>
    </row>
    <row r="2396" spans="1:9" x14ac:dyDescent="0.3">
      <c r="A2396" t="str">
        <f>""</f>
        <v/>
      </c>
      <c r="F2396" t="str">
        <f>""</f>
        <v/>
      </c>
      <c r="G2396" t="str">
        <f>""</f>
        <v/>
      </c>
      <c r="I2396" t="str">
        <f t="shared" si="46"/>
        <v>TEXAS COUNTY &amp; DISTRICT RET</v>
      </c>
    </row>
    <row r="2397" spans="1:9" x14ac:dyDescent="0.3">
      <c r="A2397" t="str">
        <f>""</f>
        <v/>
      </c>
      <c r="F2397" t="str">
        <f>""</f>
        <v/>
      </c>
      <c r="G2397" t="str">
        <f>""</f>
        <v/>
      </c>
      <c r="I2397" t="str">
        <f t="shared" si="46"/>
        <v>TEXAS COUNTY &amp; DISTRICT RET</v>
      </c>
    </row>
    <row r="2398" spans="1:9" x14ac:dyDescent="0.3">
      <c r="A2398" t="str">
        <f>""</f>
        <v/>
      </c>
      <c r="F2398" t="str">
        <f>""</f>
        <v/>
      </c>
      <c r="G2398" t="str">
        <f>""</f>
        <v/>
      </c>
      <c r="I2398" t="str">
        <f t="shared" si="46"/>
        <v>TEXAS COUNTY &amp; DISTRICT RET</v>
      </c>
    </row>
    <row r="2399" spans="1:9" x14ac:dyDescent="0.3">
      <c r="A2399" t="str">
        <f>""</f>
        <v/>
      </c>
      <c r="F2399" t="str">
        <f>""</f>
        <v/>
      </c>
      <c r="G2399" t="str">
        <f>""</f>
        <v/>
      </c>
      <c r="I2399" t="str">
        <f t="shared" si="46"/>
        <v>TEXAS COUNTY &amp; DISTRICT RET</v>
      </c>
    </row>
    <row r="2400" spans="1:9" x14ac:dyDescent="0.3">
      <c r="A2400" t="str">
        <f>""</f>
        <v/>
      </c>
      <c r="F2400" t="str">
        <f>""</f>
        <v/>
      </c>
      <c r="G2400" t="str">
        <f>""</f>
        <v/>
      </c>
      <c r="I2400" t="str">
        <f t="shared" si="46"/>
        <v>TEXAS COUNTY &amp; DISTRICT RET</v>
      </c>
    </row>
    <row r="2401" spans="1:9" x14ac:dyDescent="0.3">
      <c r="A2401" t="str">
        <f>""</f>
        <v/>
      </c>
      <c r="F2401" t="str">
        <f>""</f>
        <v/>
      </c>
      <c r="G2401" t="str">
        <f>""</f>
        <v/>
      </c>
      <c r="I2401" t="str">
        <f t="shared" si="46"/>
        <v>TEXAS COUNTY &amp; DISTRICT RET</v>
      </c>
    </row>
    <row r="2402" spans="1:9" x14ac:dyDescent="0.3">
      <c r="A2402" t="str">
        <f>""</f>
        <v/>
      </c>
      <c r="F2402" t="str">
        <f>""</f>
        <v/>
      </c>
      <c r="G2402" t="str">
        <f>""</f>
        <v/>
      </c>
      <c r="I2402" t="str">
        <f t="shared" si="46"/>
        <v>TEXAS COUNTY &amp; DISTRICT RET</v>
      </c>
    </row>
    <row r="2403" spans="1:9" x14ac:dyDescent="0.3">
      <c r="A2403" t="str">
        <f>""</f>
        <v/>
      </c>
      <c r="F2403" t="str">
        <f>""</f>
        <v/>
      </c>
      <c r="G2403" t="str">
        <f>""</f>
        <v/>
      </c>
      <c r="I2403" t="str">
        <f t="shared" si="46"/>
        <v>TEXAS COUNTY &amp; DISTRICT RET</v>
      </c>
    </row>
    <row r="2404" spans="1:9" x14ac:dyDescent="0.3">
      <c r="A2404" t="str">
        <f>""</f>
        <v/>
      </c>
      <c r="F2404" t="str">
        <f>""</f>
        <v/>
      </c>
      <c r="G2404" t="str">
        <f>""</f>
        <v/>
      </c>
      <c r="I2404" t="str">
        <f t="shared" si="46"/>
        <v>TEXAS COUNTY &amp; DISTRICT RET</v>
      </c>
    </row>
    <row r="2405" spans="1:9" x14ac:dyDescent="0.3">
      <c r="A2405" t="str">
        <f>""</f>
        <v/>
      </c>
      <c r="F2405" t="str">
        <f>""</f>
        <v/>
      </c>
      <c r="G2405" t="str">
        <f>""</f>
        <v/>
      </c>
      <c r="I2405" t="str">
        <f t="shared" si="46"/>
        <v>TEXAS COUNTY &amp; DISTRICT RET</v>
      </c>
    </row>
    <row r="2406" spans="1:9" x14ac:dyDescent="0.3">
      <c r="A2406" t="str">
        <f>""</f>
        <v/>
      </c>
      <c r="F2406" t="str">
        <f>""</f>
        <v/>
      </c>
      <c r="G2406" t="str">
        <f>""</f>
        <v/>
      </c>
      <c r="I2406" t="str">
        <f t="shared" si="46"/>
        <v>TEXAS COUNTY &amp; DISTRICT RET</v>
      </c>
    </row>
    <row r="2407" spans="1:9" x14ac:dyDescent="0.3">
      <c r="A2407" t="str">
        <f>""</f>
        <v/>
      </c>
      <c r="F2407" t="str">
        <f>""</f>
        <v/>
      </c>
      <c r="G2407" t="str">
        <f>""</f>
        <v/>
      </c>
      <c r="I2407" t="str">
        <f t="shared" si="46"/>
        <v>TEXAS COUNTY &amp; DISTRICT RET</v>
      </c>
    </row>
    <row r="2408" spans="1:9" x14ac:dyDescent="0.3">
      <c r="A2408" t="str">
        <f>""</f>
        <v/>
      </c>
      <c r="F2408" t="str">
        <f>""</f>
        <v/>
      </c>
      <c r="G2408" t="str">
        <f>""</f>
        <v/>
      </c>
      <c r="I2408" t="str">
        <f t="shared" si="46"/>
        <v>TEXAS COUNTY &amp; DISTRICT RET</v>
      </c>
    </row>
    <row r="2409" spans="1:9" x14ac:dyDescent="0.3">
      <c r="A2409" t="str">
        <f>""</f>
        <v/>
      </c>
      <c r="F2409" t="str">
        <f>""</f>
        <v/>
      </c>
      <c r="G2409" t="str">
        <f>""</f>
        <v/>
      </c>
      <c r="I2409" t="str">
        <f t="shared" si="46"/>
        <v>TEXAS COUNTY &amp; DISTRICT RET</v>
      </c>
    </row>
    <row r="2410" spans="1:9" x14ac:dyDescent="0.3">
      <c r="A2410" t="str">
        <f>""</f>
        <v/>
      </c>
      <c r="F2410" t="str">
        <f>""</f>
        <v/>
      </c>
      <c r="G2410" t="str">
        <f>""</f>
        <v/>
      </c>
      <c r="I2410" t="str">
        <f t="shared" si="46"/>
        <v>TEXAS COUNTY &amp; DISTRICT RET</v>
      </c>
    </row>
    <row r="2411" spans="1:9" x14ac:dyDescent="0.3">
      <c r="A2411" t="str">
        <f>""</f>
        <v/>
      </c>
      <c r="F2411" t="str">
        <f>""</f>
        <v/>
      </c>
      <c r="G2411" t="str">
        <f>""</f>
        <v/>
      </c>
      <c r="I2411" t="str">
        <f t="shared" si="46"/>
        <v>TEXAS COUNTY &amp; DISTRICT RET</v>
      </c>
    </row>
    <row r="2412" spans="1:9" x14ac:dyDescent="0.3">
      <c r="A2412" t="str">
        <f>""</f>
        <v/>
      </c>
      <c r="F2412" t="str">
        <f>""</f>
        <v/>
      </c>
      <c r="G2412" t="str">
        <f>""</f>
        <v/>
      </c>
      <c r="I2412" t="str">
        <f t="shared" si="46"/>
        <v>TEXAS COUNTY &amp; DISTRICT RET</v>
      </c>
    </row>
    <row r="2413" spans="1:9" x14ac:dyDescent="0.3">
      <c r="A2413" t="str">
        <f>""</f>
        <v/>
      </c>
      <c r="F2413" t="str">
        <f>""</f>
        <v/>
      </c>
      <c r="G2413" t="str">
        <f>""</f>
        <v/>
      </c>
      <c r="I2413" t="str">
        <f t="shared" si="46"/>
        <v>TEXAS COUNTY &amp; DISTRICT RET</v>
      </c>
    </row>
    <row r="2414" spans="1:9" x14ac:dyDescent="0.3">
      <c r="A2414" t="str">
        <f>""</f>
        <v/>
      </c>
      <c r="F2414" t="str">
        <f>""</f>
        <v/>
      </c>
      <c r="G2414" t="str">
        <f>""</f>
        <v/>
      </c>
      <c r="I2414" t="str">
        <f t="shared" si="46"/>
        <v>TEXAS COUNTY &amp; DISTRICT RET</v>
      </c>
    </row>
    <row r="2415" spans="1:9" x14ac:dyDescent="0.3">
      <c r="A2415" t="str">
        <f>""</f>
        <v/>
      </c>
      <c r="F2415" t="str">
        <f>""</f>
        <v/>
      </c>
      <c r="G2415" t="str">
        <f>""</f>
        <v/>
      </c>
      <c r="I2415" t="str">
        <f t="shared" si="46"/>
        <v>TEXAS COUNTY &amp; DISTRICT RET</v>
      </c>
    </row>
    <row r="2416" spans="1:9" x14ac:dyDescent="0.3">
      <c r="A2416" t="str">
        <f>""</f>
        <v/>
      </c>
      <c r="F2416" t="str">
        <f>""</f>
        <v/>
      </c>
      <c r="G2416" t="str">
        <f>""</f>
        <v/>
      </c>
      <c r="I2416" t="str">
        <f t="shared" si="46"/>
        <v>TEXAS COUNTY &amp; DISTRICT RET</v>
      </c>
    </row>
    <row r="2417" spans="1:9" x14ac:dyDescent="0.3">
      <c r="A2417" t="str">
        <f>""</f>
        <v/>
      </c>
      <c r="F2417" t="str">
        <f>""</f>
        <v/>
      </c>
      <c r="G2417" t="str">
        <f>""</f>
        <v/>
      </c>
      <c r="I2417" t="str">
        <f t="shared" si="46"/>
        <v>TEXAS COUNTY &amp; DISTRICT RET</v>
      </c>
    </row>
    <row r="2418" spans="1:9" x14ac:dyDescent="0.3">
      <c r="A2418" t="str">
        <f>""</f>
        <v/>
      </c>
      <c r="F2418" t="str">
        <f>""</f>
        <v/>
      </c>
      <c r="G2418" t="str">
        <f>""</f>
        <v/>
      </c>
      <c r="I2418" t="str">
        <f t="shared" si="46"/>
        <v>TEXAS COUNTY &amp; DISTRICT RET</v>
      </c>
    </row>
    <row r="2419" spans="1:9" x14ac:dyDescent="0.3">
      <c r="A2419" t="str">
        <f>""</f>
        <v/>
      </c>
      <c r="F2419" t="str">
        <f>""</f>
        <v/>
      </c>
      <c r="G2419" t="str">
        <f>""</f>
        <v/>
      </c>
      <c r="I2419" t="str">
        <f t="shared" si="46"/>
        <v>TEXAS COUNTY &amp; DISTRICT RET</v>
      </c>
    </row>
    <row r="2420" spans="1:9" x14ac:dyDescent="0.3">
      <c r="A2420" t="str">
        <f>""</f>
        <v/>
      </c>
      <c r="F2420" t="str">
        <f>""</f>
        <v/>
      </c>
      <c r="G2420" t="str">
        <f>""</f>
        <v/>
      </c>
      <c r="I2420" t="str">
        <f t="shared" si="46"/>
        <v>TEXAS COUNTY &amp; DISTRICT RET</v>
      </c>
    </row>
    <row r="2421" spans="1:9" x14ac:dyDescent="0.3">
      <c r="A2421" t="str">
        <f>""</f>
        <v/>
      </c>
      <c r="F2421" t="str">
        <f>""</f>
        <v/>
      </c>
      <c r="G2421" t="str">
        <f>""</f>
        <v/>
      </c>
      <c r="I2421" t="str">
        <f t="shared" ref="I2421:I2441" si="47">"TEXAS COUNTY &amp; DISTRICT RET"</f>
        <v>TEXAS COUNTY &amp; DISTRICT RET</v>
      </c>
    </row>
    <row r="2422" spans="1:9" x14ac:dyDescent="0.3">
      <c r="A2422" t="str">
        <f>""</f>
        <v/>
      </c>
      <c r="F2422" t="str">
        <f>""</f>
        <v/>
      </c>
      <c r="G2422" t="str">
        <f>""</f>
        <v/>
      </c>
      <c r="I2422" t="str">
        <f t="shared" si="47"/>
        <v>TEXAS COUNTY &amp; DISTRICT RET</v>
      </c>
    </row>
    <row r="2423" spans="1:9" x14ac:dyDescent="0.3">
      <c r="A2423" t="str">
        <f>""</f>
        <v/>
      </c>
      <c r="F2423" t="str">
        <f>""</f>
        <v/>
      </c>
      <c r="G2423" t="str">
        <f>""</f>
        <v/>
      </c>
      <c r="I2423" t="str">
        <f t="shared" si="47"/>
        <v>TEXAS COUNTY &amp; DISTRICT RET</v>
      </c>
    </row>
    <row r="2424" spans="1:9" x14ac:dyDescent="0.3">
      <c r="A2424" t="str">
        <f>""</f>
        <v/>
      </c>
      <c r="F2424" t="str">
        <f>""</f>
        <v/>
      </c>
      <c r="G2424" t="str">
        <f>""</f>
        <v/>
      </c>
      <c r="I2424" t="str">
        <f t="shared" si="47"/>
        <v>TEXAS COUNTY &amp; DISTRICT RET</v>
      </c>
    </row>
    <row r="2425" spans="1:9" x14ac:dyDescent="0.3">
      <c r="A2425" t="str">
        <f>""</f>
        <v/>
      </c>
      <c r="F2425" t="str">
        <f>""</f>
        <v/>
      </c>
      <c r="G2425" t="str">
        <f>""</f>
        <v/>
      </c>
      <c r="I2425" t="str">
        <f t="shared" si="47"/>
        <v>TEXAS COUNTY &amp; DISTRICT RET</v>
      </c>
    </row>
    <row r="2426" spans="1:9" x14ac:dyDescent="0.3">
      <c r="A2426" t="str">
        <f>""</f>
        <v/>
      </c>
      <c r="F2426" t="str">
        <f>""</f>
        <v/>
      </c>
      <c r="G2426" t="str">
        <f>""</f>
        <v/>
      </c>
      <c r="I2426" t="str">
        <f t="shared" si="47"/>
        <v>TEXAS COUNTY &amp; DISTRICT RET</v>
      </c>
    </row>
    <row r="2427" spans="1:9" x14ac:dyDescent="0.3">
      <c r="A2427" t="str">
        <f>""</f>
        <v/>
      </c>
      <c r="F2427" t="str">
        <f>""</f>
        <v/>
      </c>
      <c r="G2427" t="str">
        <f>""</f>
        <v/>
      </c>
      <c r="I2427" t="str">
        <f t="shared" si="47"/>
        <v>TEXAS COUNTY &amp; DISTRICT RET</v>
      </c>
    </row>
    <row r="2428" spans="1:9" x14ac:dyDescent="0.3">
      <c r="A2428" t="str">
        <f>""</f>
        <v/>
      </c>
      <c r="F2428" t="str">
        <f>""</f>
        <v/>
      </c>
      <c r="G2428" t="str">
        <f>""</f>
        <v/>
      </c>
      <c r="I2428" t="str">
        <f t="shared" si="47"/>
        <v>TEXAS COUNTY &amp; DISTRICT RET</v>
      </c>
    </row>
    <row r="2429" spans="1:9" x14ac:dyDescent="0.3">
      <c r="A2429" t="str">
        <f>""</f>
        <v/>
      </c>
      <c r="F2429" t="str">
        <f>""</f>
        <v/>
      </c>
      <c r="G2429" t="str">
        <f>""</f>
        <v/>
      </c>
      <c r="I2429" t="str">
        <f t="shared" si="47"/>
        <v>TEXAS COUNTY &amp; DISTRICT RET</v>
      </c>
    </row>
    <row r="2430" spans="1:9" x14ac:dyDescent="0.3">
      <c r="A2430" t="str">
        <f>""</f>
        <v/>
      </c>
      <c r="F2430" t="str">
        <f>""</f>
        <v/>
      </c>
      <c r="G2430" t="str">
        <f>""</f>
        <v/>
      </c>
      <c r="I2430" t="str">
        <f t="shared" si="47"/>
        <v>TEXAS COUNTY &amp; DISTRICT RET</v>
      </c>
    </row>
    <row r="2431" spans="1:9" x14ac:dyDescent="0.3">
      <c r="A2431" t="str">
        <f>""</f>
        <v/>
      </c>
      <c r="F2431" t="str">
        <f>""</f>
        <v/>
      </c>
      <c r="G2431" t="str">
        <f>""</f>
        <v/>
      </c>
      <c r="I2431" t="str">
        <f t="shared" si="47"/>
        <v>TEXAS COUNTY &amp; DISTRICT RET</v>
      </c>
    </row>
    <row r="2432" spans="1:9" x14ac:dyDescent="0.3">
      <c r="A2432" t="str">
        <f>""</f>
        <v/>
      </c>
      <c r="F2432" t="str">
        <f>""</f>
        <v/>
      </c>
      <c r="G2432" t="str">
        <f>""</f>
        <v/>
      </c>
      <c r="I2432" t="str">
        <f t="shared" si="47"/>
        <v>TEXAS COUNTY &amp; DISTRICT RET</v>
      </c>
    </row>
    <row r="2433" spans="1:9" x14ac:dyDescent="0.3">
      <c r="A2433" t="str">
        <f>""</f>
        <v/>
      </c>
      <c r="F2433" t="str">
        <f>""</f>
        <v/>
      </c>
      <c r="G2433" t="str">
        <f>""</f>
        <v/>
      </c>
      <c r="I2433" t="str">
        <f t="shared" si="47"/>
        <v>TEXAS COUNTY &amp; DISTRICT RET</v>
      </c>
    </row>
    <row r="2434" spans="1:9" x14ac:dyDescent="0.3">
      <c r="A2434" t="str">
        <f>""</f>
        <v/>
      </c>
      <c r="F2434" t="str">
        <f>""</f>
        <v/>
      </c>
      <c r="G2434" t="str">
        <f>""</f>
        <v/>
      </c>
      <c r="I2434" t="str">
        <f t="shared" si="47"/>
        <v>TEXAS COUNTY &amp; DISTRICT RET</v>
      </c>
    </row>
    <row r="2435" spans="1:9" x14ac:dyDescent="0.3">
      <c r="A2435" t="str">
        <f>""</f>
        <v/>
      </c>
      <c r="F2435" t="str">
        <f>""</f>
        <v/>
      </c>
      <c r="G2435" t="str">
        <f>""</f>
        <v/>
      </c>
      <c r="I2435" t="str">
        <f t="shared" si="47"/>
        <v>TEXAS COUNTY &amp; DISTRICT RET</v>
      </c>
    </row>
    <row r="2436" spans="1:9" x14ac:dyDescent="0.3">
      <c r="A2436" t="str">
        <f>""</f>
        <v/>
      </c>
      <c r="F2436" t="str">
        <f>""</f>
        <v/>
      </c>
      <c r="G2436" t="str">
        <f>""</f>
        <v/>
      </c>
      <c r="I2436" t="str">
        <f t="shared" si="47"/>
        <v>TEXAS COUNTY &amp; DISTRICT RET</v>
      </c>
    </row>
    <row r="2437" spans="1:9" x14ac:dyDescent="0.3">
      <c r="A2437" t="str">
        <f>""</f>
        <v/>
      </c>
      <c r="F2437" t="str">
        <f>""</f>
        <v/>
      </c>
      <c r="G2437" t="str">
        <f>""</f>
        <v/>
      </c>
      <c r="I2437" t="str">
        <f t="shared" si="47"/>
        <v>TEXAS COUNTY &amp; DISTRICT RET</v>
      </c>
    </row>
    <row r="2438" spans="1:9" x14ac:dyDescent="0.3">
      <c r="A2438" t="str">
        <f>""</f>
        <v/>
      </c>
      <c r="F2438" t="str">
        <f>""</f>
        <v/>
      </c>
      <c r="G2438" t="str">
        <f>""</f>
        <v/>
      </c>
      <c r="I2438" t="str">
        <f t="shared" si="47"/>
        <v>TEXAS COUNTY &amp; DISTRICT RET</v>
      </c>
    </row>
    <row r="2439" spans="1:9" x14ac:dyDescent="0.3">
      <c r="A2439" t="str">
        <f>""</f>
        <v/>
      </c>
      <c r="F2439" t="str">
        <f>""</f>
        <v/>
      </c>
      <c r="G2439" t="str">
        <f>""</f>
        <v/>
      </c>
      <c r="I2439" t="str">
        <f t="shared" si="47"/>
        <v>TEXAS COUNTY &amp; DISTRICT RET</v>
      </c>
    </row>
    <row r="2440" spans="1:9" x14ac:dyDescent="0.3">
      <c r="A2440" t="str">
        <f>""</f>
        <v/>
      </c>
      <c r="F2440" t="str">
        <f>""</f>
        <v/>
      </c>
      <c r="G2440" t="str">
        <f>""</f>
        <v/>
      </c>
      <c r="I2440" t="str">
        <f t="shared" si="47"/>
        <v>TEXAS COUNTY &amp; DISTRICT RET</v>
      </c>
    </row>
    <row r="2441" spans="1:9" x14ac:dyDescent="0.3">
      <c r="A2441" t="str">
        <f>""</f>
        <v/>
      </c>
      <c r="F2441" t="str">
        <f>""</f>
        <v/>
      </c>
      <c r="G2441" t="str">
        <f>""</f>
        <v/>
      </c>
      <c r="I2441" t="str">
        <f t="shared" si="47"/>
        <v>TEXAS COUNTY &amp; DISTRICT RET</v>
      </c>
    </row>
    <row r="2442" spans="1:9" x14ac:dyDescent="0.3">
      <c r="A2442" t="str">
        <f>""</f>
        <v/>
      </c>
      <c r="F2442" t="str">
        <f>"RET201704050691"</f>
        <v>RET201704050691</v>
      </c>
      <c r="G2442" t="str">
        <f>"TEXAS COUNTY  DISTRICT RET"</f>
        <v>TEXAS COUNTY  DISTRICT RET</v>
      </c>
      <c r="H2442" s="2">
        <v>5546.51</v>
      </c>
      <c r="I2442" t="str">
        <f>"TEXAS COUNTY  DISTRICT RET"</f>
        <v>TEXAS COUNTY  DISTRICT RET</v>
      </c>
    </row>
    <row r="2443" spans="1:9" x14ac:dyDescent="0.3">
      <c r="A2443" t="str">
        <f>""</f>
        <v/>
      </c>
      <c r="F2443" t="str">
        <f>""</f>
        <v/>
      </c>
      <c r="G2443" t="str">
        <f>""</f>
        <v/>
      </c>
      <c r="I2443" t="str">
        <f>"TEXAS COUNTY  DISTRICT RET"</f>
        <v>TEXAS COUNTY  DISTRICT RET</v>
      </c>
    </row>
    <row r="2444" spans="1:9" x14ac:dyDescent="0.3">
      <c r="A2444" t="str">
        <f>""</f>
        <v/>
      </c>
      <c r="F2444" t="str">
        <f>"RET201704050692"</f>
        <v>RET201704050692</v>
      </c>
      <c r="G2444" t="str">
        <f>"TEXAS COUNTY &amp; DISTRICT RET"</f>
        <v>TEXAS COUNTY &amp; DISTRICT RET</v>
      </c>
      <c r="H2444" s="2">
        <v>8306.4500000000007</v>
      </c>
      <c r="I2444" t="str">
        <f t="shared" ref="I2444:I2475" si="48">"TEXAS COUNTY &amp; DISTRICT RET"</f>
        <v>TEXAS COUNTY &amp; DISTRICT RET</v>
      </c>
    </row>
    <row r="2445" spans="1:9" x14ac:dyDescent="0.3">
      <c r="A2445" t="str">
        <f>""</f>
        <v/>
      </c>
      <c r="F2445" t="str">
        <f>""</f>
        <v/>
      </c>
      <c r="G2445" t="str">
        <f>""</f>
        <v/>
      </c>
      <c r="I2445" t="str">
        <f t="shared" si="48"/>
        <v>TEXAS COUNTY &amp; DISTRICT RET</v>
      </c>
    </row>
    <row r="2446" spans="1:9" x14ac:dyDescent="0.3">
      <c r="A2446" t="str">
        <f>""</f>
        <v/>
      </c>
      <c r="F2446" t="str">
        <f>"RET201704071192"</f>
        <v>RET201704071192</v>
      </c>
      <c r="G2446" t="str">
        <f>"TEXAS COUNTY &amp; DISTRICT RET"</f>
        <v>TEXAS COUNTY &amp; DISTRICT RET</v>
      </c>
      <c r="H2446" s="2">
        <v>295.56</v>
      </c>
      <c r="I2446" t="str">
        <f t="shared" si="48"/>
        <v>TEXAS COUNTY &amp; DISTRICT RET</v>
      </c>
    </row>
    <row r="2447" spans="1:9" x14ac:dyDescent="0.3">
      <c r="A2447" t="str">
        <f>""</f>
        <v/>
      </c>
      <c r="F2447" t="str">
        <f>""</f>
        <v/>
      </c>
      <c r="G2447" t="str">
        <f>""</f>
        <v/>
      </c>
      <c r="I2447" t="str">
        <f t="shared" si="48"/>
        <v>TEXAS COUNTY &amp; DISTRICT RET</v>
      </c>
    </row>
    <row r="2448" spans="1:9" x14ac:dyDescent="0.3">
      <c r="A2448" t="str">
        <f>""</f>
        <v/>
      </c>
      <c r="F2448" t="str">
        <f>"RET201704191327"</f>
        <v>RET201704191327</v>
      </c>
      <c r="G2448" t="str">
        <f>"TEXAS COUNTY &amp; DISTRICT RET"</f>
        <v>TEXAS COUNTY &amp; DISTRICT RET</v>
      </c>
      <c r="H2448" s="2">
        <v>136935.72</v>
      </c>
      <c r="I2448" t="str">
        <f t="shared" si="48"/>
        <v>TEXAS COUNTY &amp; DISTRICT RET</v>
      </c>
    </row>
    <row r="2449" spans="1:9" x14ac:dyDescent="0.3">
      <c r="A2449" t="str">
        <f>""</f>
        <v/>
      </c>
      <c r="F2449" t="str">
        <f>""</f>
        <v/>
      </c>
      <c r="G2449" t="str">
        <f>""</f>
        <v/>
      </c>
      <c r="I2449" t="str">
        <f t="shared" si="48"/>
        <v>TEXAS COUNTY &amp; DISTRICT RET</v>
      </c>
    </row>
    <row r="2450" spans="1:9" x14ac:dyDescent="0.3">
      <c r="A2450" t="str">
        <f>""</f>
        <v/>
      </c>
      <c r="F2450" t="str">
        <f>""</f>
        <v/>
      </c>
      <c r="G2450" t="str">
        <f>""</f>
        <v/>
      </c>
      <c r="I2450" t="str">
        <f t="shared" si="48"/>
        <v>TEXAS COUNTY &amp; DISTRICT RET</v>
      </c>
    </row>
    <row r="2451" spans="1:9" x14ac:dyDescent="0.3">
      <c r="A2451" t="str">
        <f>""</f>
        <v/>
      </c>
      <c r="F2451" t="str">
        <f>""</f>
        <v/>
      </c>
      <c r="G2451" t="str">
        <f>""</f>
        <v/>
      </c>
      <c r="I2451" t="str">
        <f t="shared" si="48"/>
        <v>TEXAS COUNTY &amp; DISTRICT RET</v>
      </c>
    </row>
    <row r="2452" spans="1:9" x14ac:dyDescent="0.3">
      <c r="A2452" t="str">
        <f>""</f>
        <v/>
      </c>
      <c r="F2452" t="str">
        <f>""</f>
        <v/>
      </c>
      <c r="G2452" t="str">
        <f>""</f>
        <v/>
      </c>
      <c r="I2452" t="str">
        <f t="shared" si="48"/>
        <v>TEXAS COUNTY &amp; DISTRICT RET</v>
      </c>
    </row>
    <row r="2453" spans="1:9" x14ac:dyDescent="0.3">
      <c r="A2453" t="str">
        <f>""</f>
        <v/>
      </c>
      <c r="F2453" t="str">
        <f>""</f>
        <v/>
      </c>
      <c r="G2453" t="str">
        <f>""</f>
        <v/>
      </c>
      <c r="I2453" t="str">
        <f t="shared" si="48"/>
        <v>TEXAS COUNTY &amp; DISTRICT RET</v>
      </c>
    </row>
    <row r="2454" spans="1:9" x14ac:dyDescent="0.3">
      <c r="A2454" t="str">
        <f>""</f>
        <v/>
      </c>
      <c r="F2454" t="str">
        <f>""</f>
        <v/>
      </c>
      <c r="G2454" t="str">
        <f>""</f>
        <v/>
      </c>
      <c r="I2454" t="str">
        <f t="shared" si="48"/>
        <v>TEXAS COUNTY &amp; DISTRICT RET</v>
      </c>
    </row>
    <row r="2455" spans="1:9" x14ac:dyDescent="0.3">
      <c r="A2455" t="str">
        <f>""</f>
        <v/>
      </c>
      <c r="F2455" t="str">
        <f>""</f>
        <v/>
      </c>
      <c r="G2455" t="str">
        <f>""</f>
        <v/>
      </c>
      <c r="I2455" t="str">
        <f t="shared" si="48"/>
        <v>TEXAS COUNTY &amp; DISTRICT RET</v>
      </c>
    </row>
    <row r="2456" spans="1:9" x14ac:dyDescent="0.3">
      <c r="A2456" t="str">
        <f>""</f>
        <v/>
      </c>
      <c r="F2456" t="str">
        <f>""</f>
        <v/>
      </c>
      <c r="G2456" t="str">
        <f>""</f>
        <v/>
      </c>
      <c r="I2456" t="str">
        <f t="shared" si="48"/>
        <v>TEXAS COUNTY &amp; DISTRICT RET</v>
      </c>
    </row>
    <row r="2457" spans="1:9" x14ac:dyDescent="0.3">
      <c r="A2457" t="str">
        <f>""</f>
        <v/>
      </c>
      <c r="F2457" t="str">
        <f>""</f>
        <v/>
      </c>
      <c r="G2457" t="str">
        <f>""</f>
        <v/>
      </c>
      <c r="I2457" t="str">
        <f t="shared" si="48"/>
        <v>TEXAS COUNTY &amp; DISTRICT RET</v>
      </c>
    </row>
    <row r="2458" spans="1:9" x14ac:dyDescent="0.3">
      <c r="A2458" t="str">
        <f>""</f>
        <v/>
      </c>
      <c r="F2458" t="str">
        <f>""</f>
        <v/>
      </c>
      <c r="G2458" t="str">
        <f>""</f>
        <v/>
      </c>
      <c r="I2458" t="str">
        <f t="shared" si="48"/>
        <v>TEXAS COUNTY &amp; DISTRICT RET</v>
      </c>
    </row>
    <row r="2459" spans="1:9" x14ac:dyDescent="0.3">
      <c r="A2459" t="str">
        <f>""</f>
        <v/>
      </c>
      <c r="F2459" t="str">
        <f>""</f>
        <v/>
      </c>
      <c r="G2459" t="str">
        <f>""</f>
        <v/>
      </c>
      <c r="I2459" t="str">
        <f t="shared" si="48"/>
        <v>TEXAS COUNTY &amp; DISTRICT RET</v>
      </c>
    </row>
    <row r="2460" spans="1:9" x14ac:dyDescent="0.3">
      <c r="A2460" t="str">
        <f>""</f>
        <v/>
      </c>
      <c r="F2460" t="str">
        <f>""</f>
        <v/>
      </c>
      <c r="G2460" t="str">
        <f>""</f>
        <v/>
      </c>
      <c r="I2460" t="str">
        <f t="shared" si="48"/>
        <v>TEXAS COUNTY &amp; DISTRICT RET</v>
      </c>
    </row>
    <row r="2461" spans="1:9" x14ac:dyDescent="0.3">
      <c r="A2461" t="str">
        <f>""</f>
        <v/>
      </c>
      <c r="F2461" t="str">
        <f>""</f>
        <v/>
      </c>
      <c r="G2461" t="str">
        <f>""</f>
        <v/>
      </c>
      <c r="I2461" t="str">
        <f t="shared" si="48"/>
        <v>TEXAS COUNTY &amp; DISTRICT RET</v>
      </c>
    </row>
    <row r="2462" spans="1:9" x14ac:dyDescent="0.3">
      <c r="A2462" t="str">
        <f>""</f>
        <v/>
      </c>
      <c r="F2462" t="str">
        <f>""</f>
        <v/>
      </c>
      <c r="G2462" t="str">
        <f>""</f>
        <v/>
      </c>
      <c r="I2462" t="str">
        <f t="shared" si="48"/>
        <v>TEXAS COUNTY &amp; DISTRICT RET</v>
      </c>
    </row>
    <row r="2463" spans="1:9" x14ac:dyDescent="0.3">
      <c r="A2463" t="str">
        <f>""</f>
        <v/>
      </c>
      <c r="F2463" t="str">
        <f>""</f>
        <v/>
      </c>
      <c r="G2463" t="str">
        <f>""</f>
        <v/>
      </c>
      <c r="I2463" t="str">
        <f t="shared" si="48"/>
        <v>TEXAS COUNTY &amp; DISTRICT RET</v>
      </c>
    </row>
    <row r="2464" spans="1:9" x14ac:dyDescent="0.3">
      <c r="A2464" t="str">
        <f>""</f>
        <v/>
      </c>
      <c r="F2464" t="str">
        <f>""</f>
        <v/>
      </c>
      <c r="G2464" t="str">
        <f>""</f>
        <v/>
      </c>
      <c r="I2464" t="str">
        <f t="shared" si="48"/>
        <v>TEXAS COUNTY &amp; DISTRICT RET</v>
      </c>
    </row>
    <row r="2465" spans="1:9" x14ac:dyDescent="0.3">
      <c r="A2465" t="str">
        <f>""</f>
        <v/>
      </c>
      <c r="F2465" t="str">
        <f>""</f>
        <v/>
      </c>
      <c r="G2465" t="str">
        <f>""</f>
        <v/>
      </c>
      <c r="I2465" t="str">
        <f t="shared" si="48"/>
        <v>TEXAS COUNTY &amp; DISTRICT RET</v>
      </c>
    </row>
    <row r="2466" spans="1:9" x14ac:dyDescent="0.3">
      <c r="A2466" t="str">
        <f>""</f>
        <v/>
      </c>
      <c r="F2466" t="str">
        <f>""</f>
        <v/>
      </c>
      <c r="G2466" t="str">
        <f>""</f>
        <v/>
      </c>
      <c r="I2466" t="str">
        <f t="shared" si="48"/>
        <v>TEXAS COUNTY &amp; DISTRICT RET</v>
      </c>
    </row>
    <row r="2467" spans="1:9" x14ac:dyDescent="0.3">
      <c r="A2467" t="str">
        <f>""</f>
        <v/>
      </c>
      <c r="F2467" t="str">
        <f>""</f>
        <v/>
      </c>
      <c r="G2467" t="str">
        <f>""</f>
        <v/>
      </c>
      <c r="I2467" t="str">
        <f t="shared" si="48"/>
        <v>TEXAS COUNTY &amp; DISTRICT RET</v>
      </c>
    </row>
    <row r="2468" spans="1:9" x14ac:dyDescent="0.3">
      <c r="A2468" t="str">
        <f>""</f>
        <v/>
      </c>
      <c r="F2468" t="str">
        <f>""</f>
        <v/>
      </c>
      <c r="G2468" t="str">
        <f>""</f>
        <v/>
      </c>
      <c r="I2468" t="str">
        <f t="shared" si="48"/>
        <v>TEXAS COUNTY &amp; DISTRICT RET</v>
      </c>
    </row>
    <row r="2469" spans="1:9" x14ac:dyDescent="0.3">
      <c r="A2469" t="str">
        <f>""</f>
        <v/>
      </c>
      <c r="F2469" t="str">
        <f>""</f>
        <v/>
      </c>
      <c r="G2469" t="str">
        <f>""</f>
        <v/>
      </c>
      <c r="I2469" t="str">
        <f t="shared" si="48"/>
        <v>TEXAS COUNTY &amp; DISTRICT RET</v>
      </c>
    </row>
    <row r="2470" spans="1:9" x14ac:dyDescent="0.3">
      <c r="A2470" t="str">
        <f>""</f>
        <v/>
      </c>
      <c r="F2470" t="str">
        <f>""</f>
        <v/>
      </c>
      <c r="G2470" t="str">
        <f>""</f>
        <v/>
      </c>
      <c r="I2470" t="str">
        <f t="shared" si="48"/>
        <v>TEXAS COUNTY &amp; DISTRICT RET</v>
      </c>
    </row>
    <row r="2471" spans="1:9" x14ac:dyDescent="0.3">
      <c r="A2471" t="str">
        <f>""</f>
        <v/>
      </c>
      <c r="F2471" t="str">
        <f>""</f>
        <v/>
      </c>
      <c r="G2471" t="str">
        <f>""</f>
        <v/>
      </c>
      <c r="I2471" t="str">
        <f t="shared" si="48"/>
        <v>TEXAS COUNTY &amp; DISTRICT RET</v>
      </c>
    </row>
    <row r="2472" spans="1:9" x14ac:dyDescent="0.3">
      <c r="A2472" t="str">
        <f>""</f>
        <v/>
      </c>
      <c r="F2472" t="str">
        <f>""</f>
        <v/>
      </c>
      <c r="G2472" t="str">
        <f>""</f>
        <v/>
      </c>
      <c r="I2472" t="str">
        <f t="shared" si="48"/>
        <v>TEXAS COUNTY &amp; DISTRICT RET</v>
      </c>
    </row>
    <row r="2473" spans="1:9" x14ac:dyDescent="0.3">
      <c r="A2473" t="str">
        <f>""</f>
        <v/>
      </c>
      <c r="F2473" t="str">
        <f>""</f>
        <v/>
      </c>
      <c r="G2473" t="str">
        <f>""</f>
        <v/>
      </c>
      <c r="I2473" t="str">
        <f t="shared" si="48"/>
        <v>TEXAS COUNTY &amp; DISTRICT RET</v>
      </c>
    </row>
    <row r="2474" spans="1:9" x14ac:dyDescent="0.3">
      <c r="A2474" t="str">
        <f>""</f>
        <v/>
      </c>
      <c r="F2474" t="str">
        <f>""</f>
        <v/>
      </c>
      <c r="G2474" t="str">
        <f>""</f>
        <v/>
      </c>
      <c r="I2474" t="str">
        <f t="shared" si="48"/>
        <v>TEXAS COUNTY &amp; DISTRICT RET</v>
      </c>
    </row>
    <row r="2475" spans="1:9" x14ac:dyDescent="0.3">
      <c r="A2475" t="str">
        <f>""</f>
        <v/>
      </c>
      <c r="F2475" t="str">
        <f>""</f>
        <v/>
      </c>
      <c r="G2475" t="str">
        <f>""</f>
        <v/>
      </c>
      <c r="I2475" t="str">
        <f t="shared" si="48"/>
        <v>TEXAS COUNTY &amp; DISTRICT RET</v>
      </c>
    </row>
    <row r="2476" spans="1:9" x14ac:dyDescent="0.3">
      <c r="A2476" t="str">
        <f>""</f>
        <v/>
      </c>
      <c r="F2476" t="str">
        <f>""</f>
        <v/>
      </c>
      <c r="G2476" t="str">
        <f>""</f>
        <v/>
      </c>
      <c r="I2476" t="str">
        <f t="shared" ref="I2476:I2498" si="49">"TEXAS COUNTY &amp; DISTRICT RET"</f>
        <v>TEXAS COUNTY &amp; DISTRICT RET</v>
      </c>
    </row>
    <row r="2477" spans="1:9" x14ac:dyDescent="0.3">
      <c r="A2477" t="str">
        <f>""</f>
        <v/>
      </c>
      <c r="F2477" t="str">
        <f>""</f>
        <v/>
      </c>
      <c r="G2477" t="str">
        <f>""</f>
        <v/>
      </c>
      <c r="I2477" t="str">
        <f t="shared" si="49"/>
        <v>TEXAS COUNTY &amp; DISTRICT RET</v>
      </c>
    </row>
    <row r="2478" spans="1:9" x14ac:dyDescent="0.3">
      <c r="A2478" t="str">
        <f>""</f>
        <v/>
      </c>
      <c r="F2478" t="str">
        <f>""</f>
        <v/>
      </c>
      <c r="G2478" t="str">
        <f>""</f>
        <v/>
      </c>
      <c r="I2478" t="str">
        <f t="shared" si="49"/>
        <v>TEXAS COUNTY &amp; DISTRICT RET</v>
      </c>
    </row>
    <row r="2479" spans="1:9" x14ac:dyDescent="0.3">
      <c r="A2479" t="str">
        <f>""</f>
        <v/>
      </c>
      <c r="F2479" t="str">
        <f>""</f>
        <v/>
      </c>
      <c r="G2479" t="str">
        <f>""</f>
        <v/>
      </c>
      <c r="I2479" t="str">
        <f t="shared" si="49"/>
        <v>TEXAS COUNTY &amp; DISTRICT RET</v>
      </c>
    </row>
    <row r="2480" spans="1:9" x14ac:dyDescent="0.3">
      <c r="A2480" t="str">
        <f>""</f>
        <v/>
      </c>
      <c r="F2480" t="str">
        <f>""</f>
        <v/>
      </c>
      <c r="G2480" t="str">
        <f>""</f>
        <v/>
      </c>
      <c r="I2480" t="str">
        <f t="shared" si="49"/>
        <v>TEXAS COUNTY &amp; DISTRICT RET</v>
      </c>
    </row>
    <row r="2481" spans="1:9" x14ac:dyDescent="0.3">
      <c r="A2481" t="str">
        <f>""</f>
        <v/>
      </c>
      <c r="F2481" t="str">
        <f>""</f>
        <v/>
      </c>
      <c r="G2481" t="str">
        <f>""</f>
        <v/>
      </c>
      <c r="I2481" t="str">
        <f t="shared" si="49"/>
        <v>TEXAS COUNTY &amp; DISTRICT RET</v>
      </c>
    </row>
    <row r="2482" spans="1:9" x14ac:dyDescent="0.3">
      <c r="A2482" t="str">
        <f>""</f>
        <v/>
      </c>
      <c r="F2482" t="str">
        <f>""</f>
        <v/>
      </c>
      <c r="G2482" t="str">
        <f>""</f>
        <v/>
      </c>
      <c r="I2482" t="str">
        <f t="shared" si="49"/>
        <v>TEXAS COUNTY &amp; DISTRICT RET</v>
      </c>
    </row>
    <row r="2483" spans="1:9" x14ac:dyDescent="0.3">
      <c r="A2483" t="str">
        <f>""</f>
        <v/>
      </c>
      <c r="F2483" t="str">
        <f>""</f>
        <v/>
      </c>
      <c r="G2483" t="str">
        <f>""</f>
        <v/>
      </c>
      <c r="I2483" t="str">
        <f t="shared" si="49"/>
        <v>TEXAS COUNTY &amp; DISTRICT RET</v>
      </c>
    </row>
    <row r="2484" spans="1:9" x14ac:dyDescent="0.3">
      <c r="A2484" t="str">
        <f>""</f>
        <v/>
      </c>
      <c r="F2484" t="str">
        <f>""</f>
        <v/>
      </c>
      <c r="G2484" t="str">
        <f>""</f>
        <v/>
      </c>
      <c r="I2484" t="str">
        <f t="shared" si="49"/>
        <v>TEXAS COUNTY &amp; DISTRICT RET</v>
      </c>
    </row>
    <row r="2485" spans="1:9" x14ac:dyDescent="0.3">
      <c r="A2485" t="str">
        <f>""</f>
        <v/>
      </c>
      <c r="F2485" t="str">
        <f>""</f>
        <v/>
      </c>
      <c r="G2485" t="str">
        <f>""</f>
        <v/>
      </c>
      <c r="I2485" t="str">
        <f t="shared" si="49"/>
        <v>TEXAS COUNTY &amp; DISTRICT RET</v>
      </c>
    </row>
    <row r="2486" spans="1:9" x14ac:dyDescent="0.3">
      <c r="A2486" t="str">
        <f>""</f>
        <v/>
      </c>
      <c r="F2486" t="str">
        <f>""</f>
        <v/>
      </c>
      <c r="G2486" t="str">
        <f>""</f>
        <v/>
      </c>
      <c r="I2486" t="str">
        <f t="shared" si="49"/>
        <v>TEXAS COUNTY &amp; DISTRICT RET</v>
      </c>
    </row>
    <row r="2487" spans="1:9" x14ac:dyDescent="0.3">
      <c r="A2487" t="str">
        <f>""</f>
        <v/>
      </c>
      <c r="F2487" t="str">
        <f>""</f>
        <v/>
      </c>
      <c r="G2487" t="str">
        <f>""</f>
        <v/>
      </c>
      <c r="I2487" t="str">
        <f t="shared" si="49"/>
        <v>TEXAS COUNTY &amp; DISTRICT RET</v>
      </c>
    </row>
    <row r="2488" spans="1:9" x14ac:dyDescent="0.3">
      <c r="A2488" t="str">
        <f>""</f>
        <v/>
      </c>
      <c r="F2488" t="str">
        <f>""</f>
        <v/>
      </c>
      <c r="G2488" t="str">
        <f>""</f>
        <v/>
      </c>
      <c r="I2488" t="str">
        <f t="shared" si="49"/>
        <v>TEXAS COUNTY &amp; DISTRICT RET</v>
      </c>
    </row>
    <row r="2489" spans="1:9" x14ac:dyDescent="0.3">
      <c r="A2489" t="str">
        <f>""</f>
        <v/>
      </c>
      <c r="F2489" t="str">
        <f>""</f>
        <v/>
      </c>
      <c r="G2489" t="str">
        <f>""</f>
        <v/>
      </c>
      <c r="I2489" t="str">
        <f t="shared" si="49"/>
        <v>TEXAS COUNTY &amp; DISTRICT RET</v>
      </c>
    </row>
    <row r="2490" spans="1:9" x14ac:dyDescent="0.3">
      <c r="A2490" t="str">
        <f>""</f>
        <v/>
      </c>
      <c r="F2490" t="str">
        <f>""</f>
        <v/>
      </c>
      <c r="G2490" t="str">
        <f>""</f>
        <v/>
      </c>
      <c r="I2490" t="str">
        <f t="shared" si="49"/>
        <v>TEXAS COUNTY &amp; DISTRICT RET</v>
      </c>
    </row>
    <row r="2491" spans="1:9" x14ac:dyDescent="0.3">
      <c r="A2491" t="str">
        <f>""</f>
        <v/>
      </c>
      <c r="F2491" t="str">
        <f>""</f>
        <v/>
      </c>
      <c r="G2491" t="str">
        <f>""</f>
        <v/>
      </c>
      <c r="I2491" t="str">
        <f t="shared" si="49"/>
        <v>TEXAS COUNTY &amp; DISTRICT RET</v>
      </c>
    </row>
    <row r="2492" spans="1:9" x14ac:dyDescent="0.3">
      <c r="A2492" t="str">
        <f>""</f>
        <v/>
      </c>
      <c r="F2492" t="str">
        <f>""</f>
        <v/>
      </c>
      <c r="G2492" t="str">
        <f>""</f>
        <v/>
      </c>
      <c r="I2492" t="str">
        <f t="shared" si="49"/>
        <v>TEXAS COUNTY &amp; DISTRICT RET</v>
      </c>
    </row>
    <row r="2493" spans="1:9" x14ac:dyDescent="0.3">
      <c r="A2493" t="str">
        <f>""</f>
        <v/>
      </c>
      <c r="F2493" t="str">
        <f>""</f>
        <v/>
      </c>
      <c r="G2493" t="str">
        <f>""</f>
        <v/>
      </c>
      <c r="I2493" t="str">
        <f t="shared" si="49"/>
        <v>TEXAS COUNTY &amp; DISTRICT RET</v>
      </c>
    </row>
    <row r="2494" spans="1:9" x14ac:dyDescent="0.3">
      <c r="A2494" t="str">
        <f>""</f>
        <v/>
      </c>
      <c r="F2494" t="str">
        <f>""</f>
        <v/>
      </c>
      <c r="G2494" t="str">
        <f>""</f>
        <v/>
      </c>
      <c r="I2494" t="str">
        <f t="shared" si="49"/>
        <v>TEXAS COUNTY &amp; DISTRICT RET</v>
      </c>
    </row>
    <row r="2495" spans="1:9" x14ac:dyDescent="0.3">
      <c r="A2495" t="str">
        <f>""</f>
        <v/>
      </c>
      <c r="F2495" t="str">
        <f>""</f>
        <v/>
      </c>
      <c r="G2495" t="str">
        <f>""</f>
        <v/>
      </c>
      <c r="I2495" t="str">
        <f t="shared" si="49"/>
        <v>TEXAS COUNTY &amp; DISTRICT RET</v>
      </c>
    </row>
    <row r="2496" spans="1:9" x14ac:dyDescent="0.3">
      <c r="A2496" t="str">
        <f>""</f>
        <v/>
      </c>
      <c r="F2496" t="str">
        <f>""</f>
        <v/>
      </c>
      <c r="G2496" t="str">
        <f>""</f>
        <v/>
      </c>
      <c r="I2496" t="str">
        <f t="shared" si="49"/>
        <v>TEXAS COUNTY &amp; DISTRICT RET</v>
      </c>
    </row>
    <row r="2497" spans="1:9" x14ac:dyDescent="0.3">
      <c r="A2497" t="str">
        <f>""</f>
        <v/>
      </c>
      <c r="F2497" t="str">
        <f>""</f>
        <v/>
      </c>
      <c r="G2497" t="str">
        <f>""</f>
        <v/>
      </c>
      <c r="I2497" t="str">
        <f t="shared" si="49"/>
        <v>TEXAS COUNTY &amp; DISTRICT RET</v>
      </c>
    </row>
    <row r="2498" spans="1:9" x14ac:dyDescent="0.3">
      <c r="A2498" t="str">
        <f>""</f>
        <v/>
      </c>
      <c r="F2498" t="str">
        <f>""</f>
        <v/>
      </c>
      <c r="G2498" t="str">
        <f>""</f>
        <v/>
      </c>
      <c r="I2498" t="str">
        <f t="shared" si="49"/>
        <v>TEXAS COUNTY &amp; DISTRICT RET</v>
      </c>
    </row>
    <row r="2499" spans="1:9" x14ac:dyDescent="0.3">
      <c r="A2499" t="str">
        <f>""</f>
        <v/>
      </c>
      <c r="F2499" t="str">
        <f>"RET201704191328"</f>
        <v>RET201704191328</v>
      </c>
      <c r="G2499" t="str">
        <f>"TEXAS COUNTY  DISTRICT RET"</f>
        <v>TEXAS COUNTY  DISTRICT RET</v>
      </c>
      <c r="H2499" s="2">
        <v>5553.33</v>
      </c>
      <c r="I2499" t="str">
        <f>"TEXAS COUNTY  DISTRICT RET"</f>
        <v>TEXAS COUNTY  DISTRICT RET</v>
      </c>
    </row>
    <row r="2500" spans="1:9" x14ac:dyDescent="0.3">
      <c r="A2500" t="str">
        <f>""</f>
        <v/>
      </c>
      <c r="F2500" t="str">
        <f>""</f>
        <v/>
      </c>
      <c r="G2500" t="str">
        <f>""</f>
        <v/>
      </c>
      <c r="I2500" t="str">
        <f>"TEXAS COUNTY  DISTRICT RET"</f>
        <v>TEXAS COUNTY  DISTRICT RET</v>
      </c>
    </row>
    <row r="2501" spans="1:9" x14ac:dyDescent="0.3">
      <c r="A2501" t="str">
        <f>""</f>
        <v/>
      </c>
      <c r="F2501" t="str">
        <f>"RET201704191329"</f>
        <v>RET201704191329</v>
      </c>
      <c r="G2501" t="str">
        <f>"TEXAS COUNTY &amp; DISTRICT RET"</f>
        <v>TEXAS COUNTY &amp; DISTRICT RET</v>
      </c>
      <c r="H2501" s="2">
        <v>8392.9500000000007</v>
      </c>
      <c r="I2501" t="str">
        <f>"TEXAS COUNTY &amp; DISTRICT RET"</f>
        <v>TEXAS COUNTY &amp; DISTRICT RET</v>
      </c>
    </row>
    <row r="2502" spans="1:9" x14ac:dyDescent="0.3">
      <c r="A2502" t="str">
        <f>""</f>
        <v/>
      </c>
      <c r="F2502" t="str">
        <f>""</f>
        <v/>
      </c>
      <c r="G2502" t="str">
        <f>""</f>
        <v/>
      </c>
      <c r="I2502" t="str">
        <f>"TEXAS COUNTY &amp; DISTRICT RET"</f>
        <v>TEXAS COUNTY &amp; DISTRICT RET</v>
      </c>
    </row>
    <row r="2503" spans="1:9" x14ac:dyDescent="0.3">
      <c r="A2503" t="str">
        <f>"002457"</f>
        <v>002457</v>
      </c>
      <c r="B2503" t="s">
        <v>469</v>
      </c>
      <c r="C2503">
        <v>45540</v>
      </c>
      <c r="D2503" s="2">
        <v>1290</v>
      </c>
      <c r="E2503" s="1">
        <v>42853</v>
      </c>
      <c r="F2503" t="str">
        <f>"LEG201704050690"</f>
        <v>LEG201704050690</v>
      </c>
      <c r="G2503" t="str">
        <f>"TEXAS LEGAL PROTECTION PLAN"</f>
        <v>TEXAS LEGAL PROTECTION PLAN</v>
      </c>
      <c r="H2503" s="2">
        <v>645</v>
      </c>
      <c r="I2503" t="str">
        <f>"TEXAS LEGAL PROTECTION PLAN"</f>
        <v>TEXAS LEGAL PROTECTION PLAN</v>
      </c>
    </row>
    <row r="2504" spans="1:9" x14ac:dyDescent="0.3">
      <c r="A2504" t="str">
        <f>""</f>
        <v/>
      </c>
      <c r="F2504" t="str">
        <f>"LEG201704050691"</f>
        <v>LEG201704050691</v>
      </c>
      <c r="G2504" t="str">
        <f>"TEXAS LEGAL PROTECTION PLAN"</f>
        <v>TEXAS LEGAL PROTECTION PLAN</v>
      </c>
      <c r="H2504" s="2">
        <v>10</v>
      </c>
      <c r="I2504" t="str">
        <f>"TEXAS LEGAL PROTECTION PLAN"</f>
        <v>TEXAS LEGAL PROTECTION PLAN</v>
      </c>
    </row>
    <row r="2505" spans="1:9" x14ac:dyDescent="0.3">
      <c r="A2505" t="str">
        <f>""</f>
        <v/>
      </c>
      <c r="F2505" t="str">
        <f>"LEG201704191327"</f>
        <v>LEG201704191327</v>
      </c>
      <c r="G2505" t="str">
        <f>"TEXAS LEGAL PROTECTION PLAN"</f>
        <v>TEXAS LEGAL PROTECTION PLAN</v>
      </c>
      <c r="H2505" s="2">
        <v>625</v>
      </c>
      <c r="I2505" t="str">
        <f>"TEXAS LEGAL PROTECTION PLAN"</f>
        <v>TEXAS LEGAL PROTECTION PLAN</v>
      </c>
    </row>
    <row r="2506" spans="1:9" x14ac:dyDescent="0.3">
      <c r="A2506" t="str">
        <f>""</f>
        <v/>
      </c>
      <c r="F2506" t="str">
        <f>"LEG201704191328"</f>
        <v>LEG201704191328</v>
      </c>
      <c r="G2506" t="str">
        <f>"TEXAS LEGAL PROTECTION PLAN"</f>
        <v>TEXAS LEGAL PROTECTION PLAN</v>
      </c>
      <c r="H2506" s="2">
        <v>10</v>
      </c>
      <c r="I2506" t="str">
        <f>"TEXAS LEGAL PROTECTION PLAN"</f>
        <v>TEXAS LEGAL PROTECTION PLAN</v>
      </c>
    </row>
    <row r="2507" spans="1:9" x14ac:dyDescent="0.3">
      <c r="A2507" t="str">
        <f>"T14362"</f>
        <v>T14362</v>
      </c>
      <c r="B2507" t="s">
        <v>470</v>
      </c>
      <c r="C2507">
        <v>45508</v>
      </c>
      <c r="D2507" s="2">
        <v>186</v>
      </c>
      <c r="E2507" s="1">
        <v>42832</v>
      </c>
      <c r="F2507" t="str">
        <f>"SL6201704050690"</f>
        <v>SL6201704050690</v>
      </c>
      <c r="G2507" t="str">
        <f>"TG STUDENT LOAN - P CROUCH"</f>
        <v>TG STUDENT LOAN - P CROUCH</v>
      </c>
      <c r="H2507" s="2">
        <v>186</v>
      </c>
      <c r="I2507" t="str">
        <f>"TG STUDENT LOAN - P CROUCH"</f>
        <v>TG STUDENT LOAN - P CROUCH</v>
      </c>
    </row>
    <row r="2508" spans="1:9" x14ac:dyDescent="0.3">
      <c r="A2508" t="str">
        <f>"T14362"</f>
        <v>T14362</v>
      </c>
      <c r="B2508" t="s">
        <v>470</v>
      </c>
      <c r="C2508">
        <v>45537</v>
      </c>
      <c r="D2508" s="2">
        <v>186</v>
      </c>
      <c r="E2508" s="1">
        <v>42846</v>
      </c>
      <c r="F2508" t="str">
        <f>"SL6201704191327"</f>
        <v>SL6201704191327</v>
      </c>
      <c r="G2508" t="str">
        <f>"TG STUDENT LOAN - P CROUCH"</f>
        <v>TG STUDENT LOAN - P CROUCH</v>
      </c>
      <c r="H2508" s="2">
        <v>186</v>
      </c>
      <c r="I2508" t="str">
        <f>"TG STUDENT LOAN - P CROUCH"</f>
        <v>TG STUDENT LOAN - P CROUCH</v>
      </c>
    </row>
    <row r="2509" spans="1:9" x14ac:dyDescent="0.3">
      <c r="A2509" t="str">
        <f>"VERITY"</f>
        <v>VERITY</v>
      </c>
      <c r="B2509" t="s">
        <v>471</v>
      </c>
      <c r="C2509">
        <v>0</v>
      </c>
      <c r="D2509" s="2">
        <v>17570.439999999999</v>
      </c>
      <c r="E2509" s="1">
        <v>42832</v>
      </c>
      <c r="F2509" t="str">
        <f>"FSA201704050690"</f>
        <v>FSA201704050690</v>
      </c>
      <c r="G2509" t="str">
        <f>"VERITY NAT 125 VENDOR"</f>
        <v>VERITY NAT 125 VENDOR</v>
      </c>
      <c r="H2509" s="2">
        <v>8305.5300000000007</v>
      </c>
      <c r="I2509" t="str">
        <f>"VERITY NAT 125 VENDOR"</f>
        <v>VERITY NAT 125 VENDOR</v>
      </c>
    </row>
    <row r="2510" spans="1:9" x14ac:dyDescent="0.3">
      <c r="A2510" t="str">
        <f>""</f>
        <v/>
      </c>
      <c r="F2510" t="str">
        <f>"FSA201704050691"</f>
        <v>FSA201704050691</v>
      </c>
      <c r="G2510" t="str">
        <f>"VERITY NAT 125 VENDOR"</f>
        <v>VERITY NAT 125 VENDOR</v>
      </c>
      <c r="H2510" s="2">
        <v>528.16999999999996</v>
      </c>
      <c r="I2510" t="str">
        <f>"VERITY NAT 125 VENDOR"</f>
        <v>VERITY NAT 125 VENDOR</v>
      </c>
    </row>
    <row r="2511" spans="1:9" x14ac:dyDescent="0.3">
      <c r="A2511" t="str">
        <f>""</f>
        <v/>
      </c>
      <c r="F2511" t="str">
        <f>"FSC201704050690"</f>
        <v>FSC201704050690</v>
      </c>
      <c r="G2511" t="str">
        <f>"VERITY NAT 125 DEP CARE"</f>
        <v>VERITY NAT 125 DEP CARE</v>
      </c>
      <c r="H2511" s="2">
        <v>416.66</v>
      </c>
      <c r="I2511" t="str">
        <f>"VERITY NAT 125 DEP CARE"</f>
        <v>VERITY NAT 125 DEP CARE</v>
      </c>
    </row>
    <row r="2512" spans="1:9" x14ac:dyDescent="0.3">
      <c r="A2512" t="str">
        <f>""</f>
        <v/>
      </c>
      <c r="F2512" t="str">
        <f>"FSF201704050690"</f>
        <v>FSF201704050690</v>
      </c>
      <c r="G2512" t="str">
        <f>"VERITY NAT 125 VENDOR"</f>
        <v>VERITY NAT 125 VENDOR</v>
      </c>
      <c r="H2512" s="2">
        <v>633.25</v>
      </c>
      <c r="I2512" t="str">
        <f t="shared" ref="I2512:I2551" si="50">"VERITY NAT 125 VENDOR"</f>
        <v>VERITY NAT 125 VENDOR</v>
      </c>
    </row>
    <row r="2513" spans="1:9" x14ac:dyDescent="0.3">
      <c r="A2513" t="str">
        <f>""</f>
        <v/>
      </c>
      <c r="F2513" t="str">
        <f>""</f>
        <v/>
      </c>
      <c r="G2513" t="str">
        <f>""</f>
        <v/>
      </c>
      <c r="I2513" t="str">
        <f t="shared" si="50"/>
        <v>VERITY NAT 125 VENDOR</v>
      </c>
    </row>
    <row r="2514" spans="1:9" x14ac:dyDescent="0.3">
      <c r="A2514" t="str">
        <f>""</f>
        <v/>
      </c>
      <c r="F2514" t="str">
        <f>""</f>
        <v/>
      </c>
      <c r="G2514" t="str">
        <f>""</f>
        <v/>
      </c>
      <c r="I2514" t="str">
        <f t="shared" si="50"/>
        <v>VERITY NAT 125 VENDOR</v>
      </c>
    </row>
    <row r="2515" spans="1:9" x14ac:dyDescent="0.3">
      <c r="A2515" t="str">
        <f>""</f>
        <v/>
      </c>
      <c r="F2515" t="str">
        <f>""</f>
        <v/>
      </c>
      <c r="G2515" t="str">
        <f>""</f>
        <v/>
      </c>
      <c r="I2515" t="str">
        <f t="shared" si="50"/>
        <v>VERITY NAT 125 VENDOR</v>
      </c>
    </row>
    <row r="2516" spans="1:9" x14ac:dyDescent="0.3">
      <c r="A2516" t="str">
        <f>""</f>
        <v/>
      </c>
      <c r="F2516" t="str">
        <f>""</f>
        <v/>
      </c>
      <c r="G2516" t="str">
        <f>""</f>
        <v/>
      </c>
      <c r="I2516" t="str">
        <f t="shared" si="50"/>
        <v>VERITY NAT 125 VENDOR</v>
      </c>
    </row>
    <row r="2517" spans="1:9" x14ac:dyDescent="0.3">
      <c r="A2517" t="str">
        <f>""</f>
        <v/>
      </c>
      <c r="F2517" t="str">
        <f>""</f>
        <v/>
      </c>
      <c r="G2517" t="str">
        <f>""</f>
        <v/>
      </c>
      <c r="I2517" t="str">
        <f t="shared" si="50"/>
        <v>VERITY NAT 125 VENDOR</v>
      </c>
    </row>
    <row r="2518" spans="1:9" x14ac:dyDescent="0.3">
      <c r="A2518" t="str">
        <f>""</f>
        <v/>
      </c>
      <c r="F2518" t="str">
        <f>""</f>
        <v/>
      </c>
      <c r="G2518" t="str">
        <f>""</f>
        <v/>
      </c>
      <c r="I2518" t="str">
        <f t="shared" si="50"/>
        <v>VERITY NAT 125 VENDOR</v>
      </c>
    </row>
    <row r="2519" spans="1:9" x14ac:dyDescent="0.3">
      <c r="A2519" t="str">
        <f>""</f>
        <v/>
      </c>
      <c r="F2519" t="str">
        <f>""</f>
        <v/>
      </c>
      <c r="G2519" t="str">
        <f>""</f>
        <v/>
      </c>
      <c r="I2519" t="str">
        <f t="shared" si="50"/>
        <v>VERITY NAT 125 VENDOR</v>
      </c>
    </row>
    <row r="2520" spans="1:9" x14ac:dyDescent="0.3">
      <c r="A2520" t="str">
        <f>""</f>
        <v/>
      </c>
      <c r="F2520" t="str">
        <f>""</f>
        <v/>
      </c>
      <c r="G2520" t="str">
        <f>""</f>
        <v/>
      </c>
      <c r="I2520" t="str">
        <f t="shared" si="50"/>
        <v>VERITY NAT 125 VENDOR</v>
      </c>
    </row>
    <row r="2521" spans="1:9" x14ac:dyDescent="0.3">
      <c r="A2521" t="str">
        <f>""</f>
        <v/>
      </c>
      <c r="F2521" t="str">
        <f>""</f>
        <v/>
      </c>
      <c r="G2521" t="str">
        <f>""</f>
        <v/>
      </c>
      <c r="I2521" t="str">
        <f t="shared" si="50"/>
        <v>VERITY NAT 125 VENDOR</v>
      </c>
    </row>
    <row r="2522" spans="1:9" x14ac:dyDescent="0.3">
      <c r="A2522" t="str">
        <f>""</f>
        <v/>
      </c>
      <c r="F2522" t="str">
        <f>""</f>
        <v/>
      </c>
      <c r="G2522" t="str">
        <f>""</f>
        <v/>
      </c>
      <c r="I2522" t="str">
        <f t="shared" si="50"/>
        <v>VERITY NAT 125 VENDOR</v>
      </c>
    </row>
    <row r="2523" spans="1:9" x14ac:dyDescent="0.3">
      <c r="A2523" t="str">
        <f>""</f>
        <v/>
      </c>
      <c r="F2523" t="str">
        <f>""</f>
        <v/>
      </c>
      <c r="G2523" t="str">
        <f>""</f>
        <v/>
      </c>
      <c r="I2523" t="str">
        <f t="shared" si="50"/>
        <v>VERITY NAT 125 VENDOR</v>
      </c>
    </row>
    <row r="2524" spans="1:9" x14ac:dyDescent="0.3">
      <c r="A2524" t="str">
        <f>""</f>
        <v/>
      </c>
      <c r="F2524" t="str">
        <f>""</f>
        <v/>
      </c>
      <c r="G2524" t="str">
        <f>""</f>
        <v/>
      </c>
      <c r="I2524" t="str">
        <f t="shared" si="50"/>
        <v>VERITY NAT 125 VENDOR</v>
      </c>
    </row>
    <row r="2525" spans="1:9" x14ac:dyDescent="0.3">
      <c r="A2525" t="str">
        <f>""</f>
        <v/>
      </c>
      <c r="F2525" t="str">
        <f>""</f>
        <v/>
      </c>
      <c r="G2525" t="str">
        <f>""</f>
        <v/>
      </c>
      <c r="I2525" t="str">
        <f t="shared" si="50"/>
        <v>VERITY NAT 125 VENDOR</v>
      </c>
    </row>
    <row r="2526" spans="1:9" x14ac:dyDescent="0.3">
      <c r="A2526" t="str">
        <f>""</f>
        <v/>
      </c>
      <c r="F2526" t="str">
        <f>""</f>
        <v/>
      </c>
      <c r="G2526" t="str">
        <f>""</f>
        <v/>
      </c>
      <c r="I2526" t="str">
        <f t="shared" si="50"/>
        <v>VERITY NAT 125 VENDOR</v>
      </c>
    </row>
    <row r="2527" spans="1:9" x14ac:dyDescent="0.3">
      <c r="A2527" t="str">
        <f>""</f>
        <v/>
      </c>
      <c r="F2527" t="str">
        <f>""</f>
        <v/>
      </c>
      <c r="G2527" t="str">
        <f>""</f>
        <v/>
      </c>
      <c r="I2527" t="str">
        <f t="shared" si="50"/>
        <v>VERITY NAT 125 VENDOR</v>
      </c>
    </row>
    <row r="2528" spans="1:9" x14ac:dyDescent="0.3">
      <c r="A2528" t="str">
        <f>""</f>
        <v/>
      </c>
      <c r="F2528" t="str">
        <f>""</f>
        <v/>
      </c>
      <c r="G2528" t="str">
        <f>""</f>
        <v/>
      </c>
      <c r="I2528" t="str">
        <f t="shared" si="50"/>
        <v>VERITY NAT 125 VENDOR</v>
      </c>
    </row>
    <row r="2529" spans="1:9" x14ac:dyDescent="0.3">
      <c r="A2529" t="str">
        <f>""</f>
        <v/>
      </c>
      <c r="F2529" t="str">
        <f>""</f>
        <v/>
      </c>
      <c r="G2529" t="str">
        <f>""</f>
        <v/>
      </c>
      <c r="I2529" t="str">
        <f t="shared" si="50"/>
        <v>VERITY NAT 125 VENDOR</v>
      </c>
    </row>
    <row r="2530" spans="1:9" x14ac:dyDescent="0.3">
      <c r="A2530" t="str">
        <f>""</f>
        <v/>
      </c>
      <c r="F2530" t="str">
        <f>""</f>
        <v/>
      </c>
      <c r="G2530" t="str">
        <f>""</f>
        <v/>
      </c>
      <c r="I2530" t="str">
        <f t="shared" si="50"/>
        <v>VERITY NAT 125 VENDOR</v>
      </c>
    </row>
    <row r="2531" spans="1:9" x14ac:dyDescent="0.3">
      <c r="A2531" t="str">
        <f>""</f>
        <v/>
      </c>
      <c r="F2531" t="str">
        <f>""</f>
        <v/>
      </c>
      <c r="G2531" t="str">
        <f>""</f>
        <v/>
      </c>
      <c r="I2531" t="str">
        <f t="shared" si="50"/>
        <v>VERITY NAT 125 VENDOR</v>
      </c>
    </row>
    <row r="2532" spans="1:9" x14ac:dyDescent="0.3">
      <c r="A2532" t="str">
        <f>""</f>
        <v/>
      </c>
      <c r="F2532" t="str">
        <f>""</f>
        <v/>
      </c>
      <c r="G2532" t="str">
        <f>""</f>
        <v/>
      </c>
      <c r="I2532" t="str">
        <f t="shared" si="50"/>
        <v>VERITY NAT 125 VENDOR</v>
      </c>
    </row>
    <row r="2533" spans="1:9" x14ac:dyDescent="0.3">
      <c r="A2533" t="str">
        <f>""</f>
        <v/>
      </c>
      <c r="F2533" t="str">
        <f>""</f>
        <v/>
      </c>
      <c r="G2533" t="str">
        <f>""</f>
        <v/>
      </c>
      <c r="I2533" t="str">
        <f t="shared" si="50"/>
        <v>VERITY NAT 125 VENDOR</v>
      </c>
    </row>
    <row r="2534" spans="1:9" x14ac:dyDescent="0.3">
      <c r="A2534" t="str">
        <f>""</f>
        <v/>
      </c>
      <c r="F2534" t="str">
        <f>""</f>
        <v/>
      </c>
      <c r="G2534" t="str">
        <f>""</f>
        <v/>
      </c>
      <c r="I2534" t="str">
        <f t="shared" si="50"/>
        <v>VERITY NAT 125 VENDOR</v>
      </c>
    </row>
    <row r="2535" spans="1:9" x14ac:dyDescent="0.3">
      <c r="A2535" t="str">
        <f>""</f>
        <v/>
      </c>
      <c r="F2535" t="str">
        <f>""</f>
        <v/>
      </c>
      <c r="G2535" t="str">
        <f>""</f>
        <v/>
      </c>
      <c r="I2535" t="str">
        <f t="shared" si="50"/>
        <v>VERITY NAT 125 VENDOR</v>
      </c>
    </row>
    <row r="2536" spans="1:9" x14ac:dyDescent="0.3">
      <c r="A2536" t="str">
        <f>""</f>
        <v/>
      </c>
      <c r="F2536" t="str">
        <f>""</f>
        <v/>
      </c>
      <c r="G2536" t="str">
        <f>""</f>
        <v/>
      </c>
      <c r="I2536" t="str">
        <f t="shared" si="50"/>
        <v>VERITY NAT 125 VENDOR</v>
      </c>
    </row>
    <row r="2537" spans="1:9" x14ac:dyDescent="0.3">
      <c r="A2537" t="str">
        <f>""</f>
        <v/>
      </c>
      <c r="F2537" t="str">
        <f>""</f>
        <v/>
      </c>
      <c r="G2537" t="str">
        <f>""</f>
        <v/>
      </c>
      <c r="I2537" t="str">
        <f t="shared" si="50"/>
        <v>VERITY NAT 125 VENDOR</v>
      </c>
    </row>
    <row r="2538" spans="1:9" x14ac:dyDescent="0.3">
      <c r="A2538" t="str">
        <f>""</f>
        <v/>
      </c>
      <c r="F2538" t="str">
        <f>""</f>
        <v/>
      </c>
      <c r="G2538" t="str">
        <f>""</f>
        <v/>
      </c>
      <c r="I2538" t="str">
        <f t="shared" si="50"/>
        <v>VERITY NAT 125 VENDOR</v>
      </c>
    </row>
    <row r="2539" spans="1:9" x14ac:dyDescent="0.3">
      <c r="A2539" t="str">
        <f>""</f>
        <v/>
      </c>
      <c r="F2539" t="str">
        <f>""</f>
        <v/>
      </c>
      <c r="G2539" t="str">
        <f>""</f>
        <v/>
      </c>
      <c r="I2539" t="str">
        <f t="shared" si="50"/>
        <v>VERITY NAT 125 VENDOR</v>
      </c>
    </row>
    <row r="2540" spans="1:9" x14ac:dyDescent="0.3">
      <c r="A2540" t="str">
        <f>""</f>
        <v/>
      </c>
      <c r="F2540" t="str">
        <f>""</f>
        <v/>
      </c>
      <c r="G2540" t="str">
        <f>""</f>
        <v/>
      </c>
      <c r="I2540" t="str">
        <f t="shared" si="50"/>
        <v>VERITY NAT 125 VENDOR</v>
      </c>
    </row>
    <row r="2541" spans="1:9" x14ac:dyDescent="0.3">
      <c r="A2541" t="str">
        <f>""</f>
        <v/>
      </c>
      <c r="F2541" t="str">
        <f>""</f>
        <v/>
      </c>
      <c r="G2541" t="str">
        <f>""</f>
        <v/>
      </c>
      <c r="I2541" t="str">
        <f t="shared" si="50"/>
        <v>VERITY NAT 125 VENDOR</v>
      </c>
    </row>
    <row r="2542" spans="1:9" x14ac:dyDescent="0.3">
      <c r="A2542" t="str">
        <f>""</f>
        <v/>
      </c>
      <c r="F2542" t="str">
        <f>""</f>
        <v/>
      </c>
      <c r="G2542" t="str">
        <f>""</f>
        <v/>
      </c>
      <c r="I2542" t="str">
        <f t="shared" si="50"/>
        <v>VERITY NAT 125 VENDOR</v>
      </c>
    </row>
    <row r="2543" spans="1:9" x14ac:dyDescent="0.3">
      <c r="A2543" t="str">
        <f>""</f>
        <v/>
      </c>
      <c r="F2543" t="str">
        <f>""</f>
        <v/>
      </c>
      <c r="G2543" t="str">
        <f>""</f>
        <v/>
      </c>
      <c r="I2543" t="str">
        <f t="shared" si="50"/>
        <v>VERITY NAT 125 VENDOR</v>
      </c>
    </row>
    <row r="2544" spans="1:9" x14ac:dyDescent="0.3">
      <c r="A2544" t="str">
        <f>""</f>
        <v/>
      </c>
      <c r="F2544" t="str">
        <f>""</f>
        <v/>
      </c>
      <c r="G2544" t="str">
        <f>""</f>
        <v/>
      </c>
      <c r="I2544" t="str">
        <f t="shared" si="50"/>
        <v>VERITY NAT 125 VENDOR</v>
      </c>
    </row>
    <row r="2545" spans="1:9" x14ac:dyDescent="0.3">
      <c r="A2545" t="str">
        <f>""</f>
        <v/>
      </c>
      <c r="F2545" t="str">
        <f>""</f>
        <v/>
      </c>
      <c r="G2545" t="str">
        <f>""</f>
        <v/>
      </c>
      <c r="I2545" t="str">
        <f t="shared" si="50"/>
        <v>VERITY NAT 125 VENDOR</v>
      </c>
    </row>
    <row r="2546" spans="1:9" x14ac:dyDescent="0.3">
      <c r="A2546" t="str">
        <f>""</f>
        <v/>
      </c>
      <c r="F2546" t="str">
        <f>""</f>
        <v/>
      </c>
      <c r="G2546" t="str">
        <f>""</f>
        <v/>
      </c>
      <c r="I2546" t="str">
        <f t="shared" si="50"/>
        <v>VERITY NAT 125 VENDOR</v>
      </c>
    </row>
    <row r="2547" spans="1:9" x14ac:dyDescent="0.3">
      <c r="A2547" t="str">
        <f>""</f>
        <v/>
      </c>
      <c r="F2547" t="str">
        <f>""</f>
        <v/>
      </c>
      <c r="G2547" t="str">
        <f>""</f>
        <v/>
      </c>
      <c r="I2547" t="str">
        <f t="shared" si="50"/>
        <v>VERITY NAT 125 VENDOR</v>
      </c>
    </row>
    <row r="2548" spans="1:9" x14ac:dyDescent="0.3">
      <c r="A2548" t="str">
        <f>""</f>
        <v/>
      </c>
      <c r="F2548" t="str">
        <f>""</f>
        <v/>
      </c>
      <c r="G2548" t="str">
        <f>""</f>
        <v/>
      </c>
      <c r="I2548" t="str">
        <f t="shared" si="50"/>
        <v>VERITY NAT 125 VENDOR</v>
      </c>
    </row>
    <row r="2549" spans="1:9" x14ac:dyDescent="0.3">
      <c r="A2549" t="str">
        <f>""</f>
        <v/>
      </c>
      <c r="F2549" t="str">
        <f>""</f>
        <v/>
      </c>
      <c r="G2549" t="str">
        <f>""</f>
        <v/>
      </c>
      <c r="I2549" t="str">
        <f t="shared" si="50"/>
        <v>VERITY NAT 125 VENDOR</v>
      </c>
    </row>
    <row r="2550" spans="1:9" x14ac:dyDescent="0.3">
      <c r="A2550" t="str">
        <f>""</f>
        <v/>
      </c>
      <c r="F2550" t="str">
        <f>"FSF201704050691"</f>
        <v>FSF201704050691</v>
      </c>
      <c r="G2550" t="str">
        <f>"VERITY NAT 125 VENDOR"</f>
        <v>VERITY NAT 125 VENDOR</v>
      </c>
      <c r="H2550" s="2">
        <v>25.5</v>
      </c>
      <c r="I2550" t="str">
        <f t="shared" si="50"/>
        <v>VERITY NAT 125 VENDOR</v>
      </c>
    </row>
    <row r="2551" spans="1:9" x14ac:dyDescent="0.3">
      <c r="A2551" t="str">
        <f>""</f>
        <v/>
      </c>
      <c r="F2551" t="str">
        <f>""</f>
        <v/>
      </c>
      <c r="G2551" t="str">
        <f>""</f>
        <v/>
      </c>
      <c r="I2551" t="str">
        <f t="shared" si="50"/>
        <v>VERITY NAT 125 VENDOR</v>
      </c>
    </row>
    <row r="2552" spans="1:9" x14ac:dyDescent="0.3">
      <c r="A2552" t="str">
        <f>""</f>
        <v/>
      </c>
      <c r="F2552" t="str">
        <f>"FSO201704050690"</f>
        <v>FSO201704050690</v>
      </c>
      <c r="G2552" t="str">
        <f>"VERITY FSA ONLY FEE"</f>
        <v>VERITY FSA ONLY FEE</v>
      </c>
      <c r="H2552" s="2">
        <v>27</v>
      </c>
      <c r="I2552" t="str">
        <f t="shared" ref="I2552:I2562" si="51">"VERITY FSA ONLY FEE"</f>
        <v>VERITY FSA ONLY FEE</v>
      </c>
    </row>
    <row r="2553" spans="1:9" x14ac:dyDescent="0.3">
      <c r="A2553" t="str">
        <f>""</f>
        <v/>
      </c>
      <c r="F2553" t="str">
        <f>""</f>
        <v/>
      </c>
      <c r="G2553" t="str">
        <f>""</f>
        <v/>
      </c>
      <c r="I2553" t="str">
        <f t="shared" si="51"/>
        <v>VERITY FSA ONLY FEE</v>
      </c>
    </row>
    <row r="2554" spans="1:9" x14ac:dyDescent="0.3">
      <c r="A2554" t="str">
        <f>""</f>
        <v/>
      </c>
      <c r="F2554" t="str">
        <f>""</f>
        <v/>
      </c>
      <c r="G2554" t="str">
        <f>""</f>
        <v/>
      </c>
      <c r="I2554" t="str">
        <f t="shared" si="51"/>
        <v>VERITY FSA ONLY FEE</v>
      </c>
    </row>
    <row r="2555" spans="1:9" x14ac:dyDescent="0.3">
      <c r="A2555" t="str">
        <f>""</f>
        <v/>
      </c>
      <c r="F2555" t="str">
        <f>""</f>
        <v/>
      </c>
      <c r="G2555" t="str">
        <f>""</f>
        <v/>
      </c>
      <c r="I2555" t="str">
        <f t="shared" si="51"/>
        <v>VERITY FSA ONLY FEE</v>
      </c>
    </row>
    <row r="2556" spans="1:9" x14ac:dyDescent="0.3">
      <c r="A2556" t="str">
        <f>""</f>
        <v/>
      </c>
      <c r="F2556" t="str">
        <f>""</f>
        <v/>
      </c>
      <c r="G2556" t="str">
        <f>""</f>
        <v/>
      </c>
      <c r="I2556" t="str">
        <f t="shared" si="51"/>
        <v>VERITY FSA ONLY FEE</v>
      </c>
    </row>
    <row r="2557" spans="1:9" x14ac:dyDescent="0.3">
      <c r="A2557" t="str">
        <f>""</f>
        <v/>
      </c>
      <c r="F2557" t="str">
        <f>""</f>
        <v/>
      </c>
      <c r="G2557" t="str">
        <f>""</f>
        <v/>
      </c>
      <c r="I2557" t="str">
        <f t="shared" si="51"/>
        <v>VERITY FSA ONLY FEE</v>
      </c>
    </row>
    <row r="2558" spans="1:9" x14ac:dyDescent="0.3">
      <c r="A2558" t="str">
        <f>""</f>
        <v/>
      </c>
      <c r="F2558" t="str">
        <f>""</f>
        <v/>
      </c>
      <c r="G2558" t="str">
        <f>""</f>
        <v/>
      </c>
      <c r="I2558" t="str">
        <f t="shared" si="51"/>
        <v>VERITY FSA ONLY FEE</v>
      </c>
    </row>
    <row r="2559" spans="1:9" x14ac:dyDescent="0.3">
      <c r="A2559" t="str">
        <f>""</f>
        <v/>
      </c>
      <c r="F2559" t="str">
        <f>""</f>
        <v/>
      </c>
      <c r="G2559" t="str">
        <f>""</f>
        <v/>
      </c>
      <c r="I2559" t="str">
        <f t="shared" si="51"/>
        <v>VERITY FSA ONLY FEE</v>
      </c>
    </row>
    <row r="2560" spans="1:9" x14ac:dyDescent="0.3">
      <c r="A2560" t="str">
        <f>""</f>
        <v/>
      </c>
      <c r="F2560" t="str">
        <f>""</f>
        <v/>
      </c>
      <c r="G2560" t="str">
        <f>""</f>
        <v/>
      </c>
      <c r="I2560" t="str">
        <f t="shared" si="51"/>
        <v>VERITY FSA ONLY FEE</v>
      </c>
    </row>
    <row r="2561" spans="1:9" x14ac:dyDescent="0.3">
      <c r="A2561" t="str">
        <f>""</f>
        <v/>
      </c>
      <c r="F2561" t="str">
        <f>""</f>
        <v/>
      </c>
      <c r="G2561" t="str">
        <f>""</f>
        <v/>
      </c>
      <c r="I2561" t="str">
        <f t="shared" si="51"/>
        <v>VERITY FSA ONLY FEE</v>
      </c>
    </row>
    <row r="2562" spans="1:9" x14ac:dyDescent="0.3">
      <c r="A2562" t="str">
        <f>""</f>
        <v/>
      </c>
      <c r="F2562" t="str">
        <f>""</f>
        <v/>
      </c>
      <c r="G2562" t="str">
        <f>""</f>
        <v/>
      </c>
      <c r="I2562" t="str">
        <f t="shared" si="51"/>
        <v>VERITY FSA ONLY FEE</v>
      </c>
    </row>
    <row r="2563" spans="1:9" x14ac:dyDescent="0.3">
      <c r="A2563" t="str">
        <f>""</f>
        <v/>
      </c>
      <c r="F2563" t="str">
        <f>"FSO201704050691"</f>
        <v>FSO201704050691</v>
      </c>
      <c r="G2563" t="str">
        <f>"VERITY FSA ONLY"</f>
        <v>VERITY FSA ONLY</v>
      </c>
      <c r="H2563" s="2">
        <v>3</v>
      </c>
      <c r="I2563" t="str">
        <f>"VERITY FSA ONLY"</f>
        <v>VERITY FSA ONLY</v>
      </c>
    </row>
    <row r="2564" spans="1:9" x14ac:dyDescent="0.3">
      <c r="A2564" t="str">
        <f>""</f>
        <v/>
      </c>
      <c r="F2564" t="str">
        <f>""</f>
        <v/>
      </c>
      <c r="G2564" t="str">
        <f>""</f>
        <v/>
      </c>
      <c r="I2564" t="str">
        <f>"VERITY FSA ONLY"</f>
        <v>VERITY FSA ONLY</v>
      </c>
    </row>
    <row r="2565" spans="1:9" x14ac:dyDescent="0.3">
      <c r="A2565" t="str">
        <f>""</f>
        <v/>
      </c>
      <c r="F2565" t="str">
        <f>"HRA201704050690"</f>
        <v>HRA201704050690</v>
      </c>
      <c r="G2565" t="str">
        <f>"VERITY HRA FEES"</f>
        <v>VERITY HRA FEES</v>
      </c>
      <c r="H2565" s="2">
        <v>6651.33</v>
      </c>
      <c r="I2565" t="str">
        <f t="shared" ref="I2565:I2612" si="52">"VERITY HRA FEES"</f>
        <v>VERITY HRA FEES</v>
      </c>
    </row>
    <row r="2566" spans="1:9" x14ac:dyDescent="0.3">
      <c r="A2566" t="str">
        <f>""</f>
        <v/>
      </c>
      <c r="F2566" t="str">
        <f>""</f>
        <v/>
      </c>
      <c r="G2566" t="str">
        <f>""</f>
        <v/>
      </c>
      <c r="I2566" t="str">
        <f t="shared" si="52"/>
        <v>VERITY HRA FEES</v>
      </c>
    </row>
    <row r="2567" spans="1:9" x14ac:dyDescent="0.3">
      <c r="A2567" t="str">
        <f>""</f>
        <v/>
      </c>
      <c r="F2567" t="str">
        <f>""</f>
        <v/>
      </c>
      <c r="G2567" t="str">
        <f>""</f>
        <v/>
      </c>
      <c r="I2567" t="str">
        <f t="shared" si="52"/>
        <v>VERITY HRA FEES</v>
      </c>
    </row>
    <row r="2568" spans="1:9" x14ac:dyDescent="0.3">
      <c r="A2568" t="str">
        <f>""</f>
        <v/>
      </c>
      <c r="F2568" t="str">
        <f>""</f>
        <v/>
      </c>
      <c r="G2568" t="str">
        <f>""</f>
        <v/>
      </c>
      <c r="I2568" t="str">
        <f t="shared" si="52"/>
        <v>VERITY HRA FEES</v>
      </c>
    </row>
    <row r="2569" spans="1:9" x14ac:dyDescent="0.3">
      <c r="A2569" t="str">
        <f>""</f>
        <v/>
      </c>
      <c r="F2569" t="str">
        <f>""</f>
        <v/>
      </c>
      <c r="G2569" t="str">
        <f>""</f>
        <v/>
      </c>
      <c r="I2569" t="str">
        <f t="shared" si="52"/>
        <v>VERITY HRA FEES</v>
      </c>
    </row>
    <row r="2570" spans="1:9" x14ac:dyDescent="0.3">
      <c r="A2570" t="str">
        <f>""</f>
        <v/>
      </c>
      <c r="F2570" t="str">
        <f>""</f>
        <v/>
      </c>
      <c r="G2570" t="str">
        <f>""</f>
        <v/>
      </c>
      <c r="I2570" t="str">
        <f t="shared" si="52"/>
        <v>VERITY HRA FEES</v>
      </c>
    </row>
    <row r="2571" spans="1:9" x14ac:dyDescent="0.3">
      <c r="A2571" t="str">
        <f>""</f>
        <v/>
      </c>
      <c r="F2571" t="str">
        <f>""</f>
        <v/>
      </c>
      <c r="G2571" t="str">
        <f>""</f>
        <v/>
      </c>
      <c r="I2571" t="str">
        <f t="shared" si="52"/>
        <v>VERITY HRA FEES</v>
      </c>
    </row>
    <row r="2572" spans="1:9" x14ac:dyDescent="0.3">
      <c r="A2572" t="str">
        <f>""</f>
        <v/>
      </c>
      <c r="F2572" t="str">
        <f>""</f>
        <v/>
      </c>
      <c r="G2572" t="str">
        <f>""</f>
        <v/>
      </c>
      <c r="I2572" t="str">
        <f t="shared" si="52"/>
        <v>VERITY HRA FEES</v>
      </c>
    </row>
    <row r="2573" spans="1:9" x14ac:dyDescent="0.3">
      <c r="A2573" t="str">
        <f>""</f>
        <v/>
      </c>
      <c r="F2573" t="str">
        <f>""</f>
        <v/>
      </c>
      <c r="G2573" t="str">
        <f>""</f>
        <v/>
      </c>
      <c r="I2573" t="str">
        <f t="shared" si="52"/>
        <v>VERITY HRA FEES</v>
      </c>
    </row>
    <row r="2574" spans="1:9" x14ac:dyDescent="0.3">
      <c r="A2574" t="str">
        <f>""</f>
        <v/>
      </c>
      <c r="F2574" t="str">
        <f>""</f>
        <v/>
      </c>
      <c r="G2574" t="str">
        <f>""</f>
        <v/>
      </c>
      <c r="I2574" t="str">
        <f t="shared" si="52"/>
        <v>VERITY HRA FEES</v>
      </c>
    </row>
    <row r="2575" spans="1:9" x14ac:dyDescent="0.3">
      <c r="A2575" t="str">
        <f>""</f>
        <v/>
      </c>
      <c r="F2575" t="str">
        <f>""</f>
        <v/>
      </c>
      <c r="G2575" t="str">
        <f>""</f>
        <v/>
      </c>
      <c r="I2575" t="str">
        <f t="shared" si="52"/>
        <v>VERITY HRA FEES</v>
      </c>
    </row>
    <row r="2576" spans="1:9" x14ac:dyDescent="0.3">
      <c r="A2576" t="str">
        <f>""</f>
        <v/>
      </c>
      <c r="F2576" t="str">
        <f>""</f>
        <v/>
      </c>
      <c r="G2576" t="str">
        <f>""</f>
        <v/>
      </c>
      <c r="I2576" t="str">
        <f t="shared" si="52"/>
        <v>VERITY HRA FEES</v>
      </c>
    </row>
    <row r="2577" spans="1:9" x14ac:dyDescent="0.3">
      <c r="A2577" t="str">
        <f>""</f>
        <v/>
      </c>
      <c r="F2577" t="str">
        <f>""</f>
        <v/>
      </c>
      <c r="G2577" t="str">
        <f>""</f>
        <v/>
      </c>
      <c r="I2577" t="str">
        <f t="shared" si="52"/>
        <v>VERITY HRA FEES</v>
      </c>
    </row>
    <row r="2578" spans="1:9" x14ac:dyDescent="0.3">
      <c r="A2578" t="str">
        <f>""</f>
        <v/>
      </c>
      <c r="F2578" t="str">
        <f>""</f>
        <v/>
      </c>
      <c r="G2578" t="str">
        <f>""</f>
        <v/>
      </c>
      <c r="I2578" t="str">
        <f t="shared" si="52"/>
        <v>VERITY HRA FEES</v>
      </c>
    </row>
    <row r="2579" spans="1:9" x14ac:dyDescent="0.3">
      <c r="A2579" t="str">
        <f>""</f>
        <v/>
      </c>
      <c r="F2579" t="str">
        <f>""</f>
        <v/>
      </c>
      <c r="G2579" t="str">
        <f>""</f>
        <v/>
      </c>
      <c r="I2579" t="str">
        <f t="shared" si="52"/>
        <v>VERITY HRA FEES</v>
      </c>
    </row>
    <row r="2580" spans="1:9" x14ac:dyDescent="0.3">
      <c r="A2580" t="str">
        <f>""</f>
        <v/>
      </c>
      <c r="F2580" t="str">
        <f>""</f>
        <v/>
      </c>
      <c r="G2580" t="str">
        <f>""</f>
        <v/>
      </c>
      <c r="I2580" t="str">
        <f t="shared" si="52"/>
        <v>VERITY HRA FEES</v>
      </c>
    </row>
    <row r="2581" spans="1:9" x14ac:dyDescent="0.3">
      <c r="A2581" t="str">
        <f>""</f>
        <v/>
      </c>
      <c r="F2581" t="str">
        <f>""</f>
        <v/>
      </c>
      <c r="G2581" t="str">
        <f>""</f>
        <v/>
      </c>
      <c r="I2581" t="str">
        <f t="shared" si="52"/>
        <v>VERITY HRA FEES</v>
      </c>
    </row>
    <row r="2582" spans="1:9" x14ac:dyDescent="0.3">
      <c r="A2582" t="str">
        <f>""</f>
        <v/>
      </c>
      <c r="F2582" t="str">
        <f>""</f>
        <v/>
      </c>
      <c r="G2582" t="str">
        <f>""</f>
        <v/>
      </c>
      <c r="I2582" t="str">
        <f t="shared" si="52"/>
        <v>VERITY HRA FEES</v>
      </c>
    </row>
    <row r="2583" spans="1:9" x14ac:dyDescent="0.3">
      <c r="A2583" t="str">
        <f>""</f>
        <v/>
      </c>
      <c r="F2583" t="str">
        <f>""</f>
        <v/>
      </c>
      <c r="G2583" t="str">
        <f>""</f>
        <v/>
      </c>
      <c r="I2583" t="str">
        <f t="shared" si="52"/>
        <v>VERITY HRA FEES</v>
      </c>
    </row>
    <row r="2584" spans="1:9" x14ac:dyDescent="0.3">
      <c r="A2584" t="str">
        <f>""</f>
        <v/>
      </c>
      <c r="F2584" t="str">
        <f>""</f>
        <v/>
      </c>
      <c r="G2584" t="str">
        <f>""</f>
        <v/>
      </c>
      <c r="I2584" t="str">
        <f t="shared" si="52"/>
        <v>VERITY HRA FEES</v>
      </c>
    </row>
    <row r="2585" spans="1:9" x14ac:dyDescent="0.3">
      <c r="A2585" t="str">
        <f>""</f>
        <v/>
      </c>
      <c r="F2585" t="str">
        <f>""</f>
        <v/>
      </c>
      <c r="G2585" t="str">
        <f>""</f>
        <v/>
      </c>
      <c r="I2585" t="str">
        <f t="shared" si="52"/>
        <v>VERITY HRA FEES</v>
      </c>
    </row>
    <row r="2586" spans="1:9" x14ac:dyDescent="0.3">
      <c r="A2586" t="str">
        <f>""</f>
        <v/>
      </c>
      <c r="F2586" t="str">
        <f>""</f>
        <v/>
      </c>
      <c r="G2586" t="str">
        <f>""</f>
        <v/>
      </c>
      <c r="I2586" t="str">
        <f t="shared" si="52"/>
        <v>VERITY HRA FEES</v>
      </c>
    </row>
    <row r="2587" spans="1:9" x14ac:dyDescent="0.3">
      <c r="A2587" t="str">
        <f>""</f>
        <v/>
      </c>
      <c r="F2587" t="str">
        <f>""</f>
        <v/>
      </c>
      <c r="G2587" t="str">
        <f>""</f>
        <v/>
      </c>
      <c r="I2587" t="str">
        <f t="shared" si="52"/>
        <v>VERITY HRA FEES</v>
      </c>
    </row>
    <row r="2588" spans="1:9" x14ac:dyDescent="0.3">
      <c r="A2588" t="str">
        <f>""</f>
        <v/>
      </c>
      <c r="F2588" t="str">
        <f>""</f>
        <v/>
      </c>
      <c r="G2588" t="str">
        <f>""</f>
        <v/>
      </c>
      <c r="I2588" t="str">
        <f t="shared" si="52"/>
        <v>VERITY HRA FEES</v>
      </c>
    </row>
    <row r="2589" spans="1:9" x14ac:dyDescent="0.3">
      <c r="A2589" t="str">
        <f>""</f>
        <v/>
      </c>
      <c r="F2589" t="str">
        <f>""</f>
        <v/>
      </c>
      <c r="G2589" t="str">
        <f>""</f>
        <v/>
      </c>
      <c r="I2589" t="str">
        <f t="shared" si="52"/>
        <v>VERITY HRA FEES</v>
      </c>
    </row>
    <row r="2590" spans="1:9" x14ac:dyDescent="0.3">
      <c r="A2590" t="str">
        <f>""</f>
        <v/>
      </c>
      <c r="F2590" t="str">
        <f>""</f>
        <v/>
      </c>
      <c r="G2590" t="str">
        <f>""</f>
        <v/>
      </c>
      <c r="I2590" t="str">
        <f t="shared" si="52"/>
        <v>VERITY HRA FEES</v>
      </c>
    </row>
    <row r="2591" spans="1:9" x14ac:dyDescent="0.3">
      <c r="A2591" t="str">
        <f>""</f>
        <v/>
      </c>
      <c r="F2591" t="str">
        <f>""</f>
        <v/>
      </c>
      <c r="G2591" t="str">
        <f>""</f>
        <v/>
      </c>
      <c r="I2591" t="str">
        <f t="shared" si="52"/>
        <v>VERITY HRA FEES</v>
      </c>
    </row>
    <row r="2592" spans="1:9" x14ac:dyDescent="0.3">
      <c r="A2592" t="str">
        <f>""</f>
        <v/>
      </c>
      <c r="F2592" t="str">
        <f>""</f>
        <v/>
      </c>
      <c r="G2592" t="str">
        <f>""</f>
        <v/>
      </c>
      <c r="I2592" t="str">
        <f t="shared" si="52"/>
        <v>VERITY HRA FEES</v>
      </c>
    </row>
    <row r="2593" spans="1:9" x14ac:dyDescent="0.3">
      <c r="A2593" t="str">
        <f>""</f>
        <v/>
      </c>
      <c r="F2593" t="str">
        <f>""</f>
        <v/>
      </c>
      <c r="G2593" t="str">
        <f>""</f>
        <v/>
      </c>
      <c r="I2593" t="str">
        <f t="shared" si="52"/>
        <v>VERITY HRA FEES</v>
      </c>
    </row>
    <row r="2594" spans="1:9" x14ac:dyDescent="0.3">
      <c r="A2594" t="str">
        <f>""</f>
        <v/>
      </c>
      <c r="F2594" t="str">
        <f>""</f>
        <v/>
      </c>
      <c r="G2594" t="str">
        <f>""</f>
        <v/>
      </c>
      <c r="I2594" t="str">
        <f t="shared" si="52"/>
        <v>VERITY HRA FEES</v>
      </c>
    </row>
    <row r="2595" spans="1:9" x14ac:dyDescent="0.3">
      <c r="A2595" t="str">
        <f>""</f>
        <v/>
      </c>
      <c r="F2595" t="str">
        <f>""</f>
        <v/>
      </c>
      <c r="G2595" t="str">
        <f>""</f>
        <v/>
      </c>
      <c r="I2595" t="str">
        <f t="shared" si="52"/>
        <v>VERITY HRA FEES</v>
      </c>
    </row>
    <row r="2596" spans="1:9" x14ac:dyDescent="0.3">
      <c r="A2596" t="str">
        <f>""</f>
        <v/>
      </c>
      <c r="F2596" t="str">
        <f>""</f>
        <v/>
      </c>
      <c r="G2596" t="str">
        <f>""</f>
        <v/>
      </c>
      <c r="I2596" t="str">
        <f t="shared" si="52"/>
        <v>VERITY HRA FEES</v>
      </c>
    </row>
    <row r="2597" spans="1:9" x14ac:dyDescent="0.3">
      <c r="A2597" t="str">
        <f>""</f>
        <v/>
      </c>
      <c r="F2597" t="str">
        <f>""</f>
        <v/>
      </c>
      <c r="G2597" t="str">
        <f>""</f>
        <v/>
      </c>
      <c r="I2597" t="str">
        <f t="shared" si="52"/>
        <v>VERITY HRA FEES</v>
      </c>
    </row>
    <row r="2598" spans="1:9" x14ac:dyDescent="0.3">
      <c r="A2598" t="str">
        <f>""</f>
        <v/>
      </c>
      <c r="F2598" t="str">
        <f>""</f>
        <v/>
      </c>
      <c r="G2598" t="str">
        <f>""</f>
        <v/>
      </c>
      <c r="I2598" t="str">
        <f t="shared" si="52"/>
        <v>VERITY HRA FEES</v>
      </c>
    </row>
    <row r="2599" spans="1:9" x14ac:dyDescent="0.3">
      <c r="A2599" t="str">
        <f>""</f>
        <v/>
      </c>
      <c r="F2599" t="str">
        <f>""</f>
        <v/>
      </c>
      <c r="G2599" t="str">
        <f>""</f>
        <v/>
      </c>
      <c r="I2599" t="str">
        <f t="shared" si="52"/>
        <v>VERITY HRA FEES</v>
      </c>
    </row>
    <row r="2600" spans="1:9" x14ac:dyDescent="0.3">
      <c r="A2600" t="str">
        <f>""</f>
        <v/>
      </c>
      <c r="F2600" t="str">
        <f>""</f>
        <v/>
      </c>
      <c r="G2600" t="str">
        <f>""</f>
        <v/>
      </c>
      <c r="I2600" t="str">
        <f t="shared" si="52"/>
        <v>VERITY HRA FEES</v>
      </c>
    </row>
    <row r="2601" spans="1:9" x14ac:dyDescent="0.3">
      <c r="A2601" t="str">
        <f>""</f>
        <v/>
      </c>
      <c r="F2601" t="str">
        <f>""</f>
        <v/>
      </c>
      <c r="G2601" t="str">
        <f>""</f>
        <v/>
      </c>
      <c r="I2601" t="str">
        <f t="shared" si="52"/>
        <v>VERITY HRA FEES</v>
      </c>
    </row>
    <row r="2602" spans="1:9" x14ac:dyDescent="0.3">
      <c r="A2602" t="str">
        <f>""</f>
        <v/>
      </c>
      <c r="F2602" t="str">
        <f>""</f>
        <v/>
      </c>
      <c r="G2602" t="str">
        <f>""</f>
        <v/>
      </c>
      <c r="I2602" t="str">
        <f t="shared" si="52"/>
        <v>VERITY HRA FEES</v>
      </c>
    </row>
    <row r="2603" spans="1:9" x14ac:dyDescent="0.3">
      <c r="A2603" t="str">
        <f>""</f>
        <v/>
      </c>
      <c r="F2603" t="str">
        <f>""</f>
        <v/>
      </c>
      <c r="G2603" t="str">
        <f>""</f>
        <v/>
      </c>
      <c r="I2603" t="str">
        <f t="shared" si="52"/>
        <v>VERITY HRA FEES</v>
      </c>
    </row>
    <row r="2604" spans="1:9" x14ac:dyDescent="0.3">
      <c r="A2604" t="str">
        <f>""</f>
        <v/>
      </c>
      <c r="F2604" t="str">
        <f>""</f>
        <v/>
      </c>
      <c r="G2604" t="str">
        <f>""</f>
        <v/>
      </c>
      <c r="I2604" t="str">
        <f t="shared" si="52"/>
        <v>VERITY HRA FEES</v>
      </c>
    </row>
    <row r="2605" spans="1:9" x14ac:dyDescent="0.3">
      <c r="A2605" t="str">
        <f>""</f>
        <v/>
      </c>
      <c r="F2605" t="str">
        <f>""</f>
        <v/>
      </c>
      <c r="G2605" t="str">
        <f>""</f>
        <v/>
      </c>
      <c r="I2605" t="str">
        <f t="shared" si="52"/>
        <v>VERITY HRA FEES</v>
      </c>
    </row>
    <row r="2606" spans="1:9" x14ac:dyDescent="0.3">
      <c r="A2606" t="str">
        <f>""</f>
        <v/>
      </c>
      <c r="F2606" t="str">
        <f>""</f>
        <v/>
      </c>
      <c r="G2606" t="str">
        <f>""</f>
        <v/>
      </c>
      <c r="I2606" t="str">
        <f t="shared" si="52"/>
        <v>VERITY HRA FEES</v>
      </c>
    </row>
    <row r="2607" spans="1:9" x14ac:dyDescent="0.3">
      <c r="A2607" t="str">
        <f>""</f>
        <v/>
      </c>
      <c r="F2607" t="str">
        <f>""</f>
        <v/>
      </c>
      <c r="G2607" t="str">
        <f>""</f>
        <v/>
      </c>
      <c r="I2607" t="str">
        <f t="shared" si="52"/>
        <v>VERITY HRA FEES</v>
      </c>
    </row>
    <row r="2608" spans="1:9" x14ac:dyDescent="0.3">
      <c r="A2608" t="str">
        <f>""</f>
        <v/>
      </c>
      <c r="F2608" t="str">
        <f>""</f>
        <v/>
      </c>
      <c r="G2608" t="str">
        <f>""</f>
        <v/>
      </c>
      <c r="I2608" t="str">
        <f t="shared" si="52"/>
        <v>VERITY HRA FEES</v>
      </c>
    </row>
    <row r="2609" spans="1:9" x14ac:dyDescent="0.3">
      <c r="A2609" t="str">
        <f>""</f>
        <v/>
      </c>
      <c r="F2609" t="str">
        <f>""</f>
        <v/>
      </c>
      <c r="G2609" t="str">
        <f>""</f>
        <v/>
      </c>
      <c r="I2609" t="str">
        <f t="shared" si="52"/>
        <v>VERITY HRA FEES</v>
      </c>
    </row>
    <row r="2610" spans="1:9" x14ac:dyDescent="0.3">
      <c r="A2610" t="str">
        <f>""</f>
        <v/>
      </c>
      <c r="F2610" t="str">
        <f>""</f>
        <v/>
      </c>
      <c r="G2610" t="str">
        <f>""</f>
        <v/>
      </c>
      <c r="I2610" t="str">
        <f t="shared" si="52"/>
        <v>VERITY HRA FEES</v>
      </c>
    </row>
    <row r="2611" spans="1:9" x14ac:dyDescent="0.3">
      <c r="A2611" t="str">
        <f>""</f>
        <v/>
      </c>
      <c r="F2611" t="str">
        <f>""</f>
        <v/>
      </c>
      <c r="G2611" t="str">
        <f>""</f>
        <v/>
      </c>
      <c r="I2611" t="str">
        <f t="shared" si="52"/>
        <v>VERITY HRA FEES</v>
      </c>
    </row>
    <row r="2612" spans="1:9" x14ac:dyDescent="0.3">
      <c r="A2612" t="str">
        <f>""</f>
        <v/>
      </c>
      <c r="F2612" t="str">
        <f>"HRA201704050691"</f>
        <v>HRA201704050691</v>
      </c>
      <c r="G2612" t="str">
        <f>"VERITY HRA FEES"</f>
        <v>VERITY HRA FEES</v>
      </c>
      <c r="H2612" s="2">
        <v>200</v>
      </c>
      <c r="I2612" t="str">
        <f t="shared" si="52"/>
        <v>VERITY HRA FEES</v>
      </c>
    </row>
    <row r="2613" spans="1:9" x14ac:dyDescent="0.3">
      <c r="A2613" t="str">
        <f>""</f>
        <v/>
      </c>
      <c r="F2613" t="str">
        <f>"HRF201704050690"</f>
        <v>HRF201704050690</v>
      </c>
      <c r="G2613" t="str">
        <f>"VERITY HRA FEE"</f>
        <v>VERITY HRA FEE</v>
      </c>
      <c r="H2613" s="2">
        <v>750</v>
      </c>
      <c r="I2613" t="str">
        <f t="shared" ref="I2613:I2651" si="53">"VERITY HRA FEE"</f>
        <v>VERITY HRA FEE</v>
      </c>
    </row>
    <row r="2614" spans="1:9" x14ac:dyDescent="0.3">
      <c r="A2614" t="str">
        <f>""</f>
        <v/>
      </c>
      <c r="F2614" t="str">
        <f>""</f>
        <v/>
      </c>
      <c r="G2614" t="str">
        <f>""</f>
        <v/>
      </c>
      <c r="I2614" t="str">
        <f t="shared" si="53"/>
        <v>VERITY HRA FEE</v>
      </c>
    </row>
    <row r="2615" spans="1:9" x14ac:dyDescent="0.3">
      <c r="A2615" t="str">
        <f>""</f>
        <v/>
      </c>
      <c r="F2615" t="str">
        <f>""</f>
        <v/>
      </c>
      <c r="G2615" t="str">
        <f>""</f>
        <v/>
      </c>
      <c r="I2615" t="str">
        <f t="shared" si="53"/>
        <v>VERITY HRA FEE</v>
      </c>
    </row>
    <row r="2616" spans="1:9" x14ac:dyDescent="0.3">
      <c r="A2616" t="str">
        <f>""</f>
        <v/>
      </c>
      <c r="F2616" t="str">
        <f>""</f>
        <v/>
      </c>
      <c r="G2616" t="str">
        <f>""</f>
        <v/>
      </c>
      <c r="I2616" t="str">
        <f t="shared" si="53"/>
        <v>VERITY HRA FEE</v>
      </c>
    </row>
    <row r="2617" spans="1:9" x14ac:dyDescent="0.3">
      <c r="A2617" t="str">
        <f>""</f>
        <v/>
      </c>
      <c r="F2617" t="str">
        <f>""</f>
        <v/>
      </c>
      <c r="G2617" t="str">
        <f>""</f>
        <v/>
      </c>
      <c r="I2617" t="str">
        <f t="shared" si="53"/>
        <v>VERITY HRA FEE</v>
      </c>
    </row>
    <row r="2618" spans="1:9" x14ac:dyDescent="0.3">
      <c r="A2618" t="str">
        <f>""</f>
        <v/>
      </c>
      <c r="F2618" t="str">
        <f>""</f>
        <v/>
      </c>
      <c r="G2618" t="str">
        <f>""</f>
        <v/>
      </c>
      <c r="I2618" t="str">
        <f t="shared" si="53"/>
        <v>VERITY HRA FEE</v>
      </c>
    </row>
    <row r="2619" spans="1:9" x14ac:dyDescent="0.3">
      <c r="A2619" t="str">
        <f>""</f>
        <v/>
      </c>
      <c r="F2619" t="str">
        <f>""</f>
        <v/>
      </c>
      <c r="G2619" t="str">
        <f>""</f>
        <v/>
      </c>
      <c r="I2619" t="str">
        <f t="shared" si="53"/>
        <v>VERITY HRA FEE</v>
      </c>
    </row>
    <row r="2620" spans="1:9" x14ac:dyDescent="0.3">
      <c r="A2620" t="str">
        <f>""</f>
        <v/>
      </c>
      <c r="F2620" t="str">
        <f>""</f>
        <v/>
      </c>
      <c r="G2620" t="str">
        <f>""</f>
        <v/>
      </c>
      <c r="I2620" t="str">
        <f t="shared" si="53"/>
        <v>VERITY HRA FEE</v>
      </c>
    </row>
    <row r="2621" spans="1:9" x14ac:dyDescent="0.3">
      <c r="A2621" t="str">
        <f>""</f>
        <v/>
      </c>
      <c r="F2621" t="str">
        <f>""</f>
        <v/>
      </c>
      <c r="G2621" t="str">
        <f>""</f>
        <v/>
      </c>
      <c r="I2621" t="str">
        <f t="shared" si="53"/>
        <v>VERITY HRA FEE</v>
      </c>
    </row>
    <row r="2622" spans="1:9" x14ac:dyDescent="0.3">
      <c r="A2622" t="str">
        <f>""</f>
        <v/>
      </c>
      <c r="F2622" t="str">
        <f>""</f>
        <v/>
      </c>
      <c r="G2622" t="str">
        <f>""</f>
        <v/>
      </c>
      <c r="I2622" t="str">
        <f t="shared" si="53"/>
        <v>VERITY HRA FEE</v>
      </c>
    </row>
    <row r="2623" spans="1:9" x14ac:dyDescent="0.3">
      <c r="A2623" t="str">
        <f>""</f>
        <v/>
      </c>
      <c r="F2623" t="str">
        <f>""</f>
        <v/>
      </c>
      <c r="G2623" t="str">
        <f>""</f>
        <v/>
      </c>
      <c r="I2623" t="str">
        <f t="shared" si="53"/>
        <v>VERITY HRA FEE</v>
      </c>
    </row>
    <row r="2624" spans="1:9" x14ac:dyDescent="0.3">
      <c r="A2624" t="str">
        <f>""</f>
        <v/>
      </c>
      <c r="F2624" t="str">
        <f>""</f>
        <v/>
      </c>
      <c r="G2624" t="str">
        <f>""</f>
        <v/>
      </c>
      <c r="I2624" t="str">
        <f t="shared" si="53"/>
        <v>VERITY HRA FEE</v>
      </c>
    </row>
    <row r="2625" spans="1:9" x14ac:dyDescent="0.3">
      <c r="A2625" t="str">
        <f>""</f>
        <v/>
      </c>
      <c r="F2625" t="str">
        <f>""</f>
        <v/>
      </c>
      <c r="G2625" t="str">
        <f>""</f>
        <v/>
      </c>
      <c r="I2625" t="str">
        <f t="shared" si="53"/>
        <v>VERITY HRA FEE</v>
      </c>
    </row>
    <row r="2626" spans="1:9" x14ac:dyDescent="0.3">
      <c r="A2626" t="str">
        <f>""</f>
        <v/>
      </c>
      <c r="F2626" t="str">
        <f>""</f>
        <v/>
      </c>
      <c r="G2626" t="str">
        <f>""</f>
        <v/>
      </c>
      <c r="I2626" t="str">
        <f t="shared" si="53"/>
        <v>VERITY HRA FEE</v>
      </c>
    </row>
    <row r="2627" spans="1:9" x14ac:dyDescent="0.3">
      <c r="A2627" t="str">
        <f>""</f>
        <v/>
      </c>
      <c r="F2627" t="str">
        <f>""</f>
        <v/>
      </c>
      <c r="G2627" t="str">
        <f>""</f>
        <v/>
      </c>
      <c r="I2627" t="str">
        <f t="shared" si="53"/>
        <v>VERITY HRA FEE</v>
      </c>
    </row>
    <row r="2628" spans="1:9" x14ac:dyDescent="0.3">
      <c r="A2628" t="str">
        <f>""</f>
        <v/>
      </c>
      <c r="F2628" t="str">
        <f>""</f>
        <v/>
      </c>
      <c r="G2628" t="str">
        <f>""</f>
        <v/>
      </c>
      <c r="I2628" t="str">
        <f t="shared" si="53"/>
        <v>VERITY HRA FEE</v>
      </c>
    </row>
    <row r="2629" spans="1:9" x14ac:dyDescent="0.3">
      <c r="A2629" t="str">
        <f>""</f>
        <v/>
      </c>
      <c r="F2629" t="str">
        <f>""</f>
        <v/>
      </c>
      <c r="G2629" t="str">
        <f>""</f>
        <v/>
      </c>
      <c r="I2629" t="str">
        <f t="shared" si="53"/>
        <v>VERITY HRA FEE</v>
      </c>
    </row>
    <row r="2630" spans="1:9" x14ac:dyDescent="0.3">
      <c r="A2630" t="str">
        <f>""</f>
        <v/>
      </c>
      <c r="F2630" t="str">
        <f>""</f>
        <v/>
      </c>
      <c r="G2630" t="str">
        <f>""</f>
        <v/>
      </c>
      <c r="I2630" t="str">
        <f t="shared" si="53"/>
        <v>VERITY HRA FEE</v>
      </c>
    </row>
    <row r="2631" spans="1:9" x14ac:dyDescent="0.3">
      <c r="A2631" t="str">
        <f>""</f>
        <v/>
      </c>
      <c r="F2631" t="str">
        <f>""</f>
        <v/>
      </c>
      <c r="G2631" t="str">
        <f>""</f>
        <v/>
      </c>
      <c r="I2631" t="str">
        <f t="shared" si="53"/>
        <v>VERITY HRA FEE</v>
      </c>
    </row>
    <row r="2632" spans="1:9" x14ac:dyDescent="0.3">
      <c r="A2632" t="str">
        <f>""</f>
        <v/>
      </c>
      <c r="F2632" t="str">
        <f>""</f>
        <v/>
      </c>
      <c r="G2632" t="str">
        <f>""</f>
        <v/>
      </c>
      <c r="I2632" t="str">
        <f t="shared" si="53"/>
        <v>VERITY HRA FEE</v>
      </c>
    </row>
    <row r="2633" spans="1:9" x14ac:dyDescent="0.3">
      <c r="A2633" t="str">
        <f>""</f>
        <v/>
      </c>
      <c r="F2633" t="str">
        <f>""</f>
        <v/>
      </c>
      <c r="G2633" t="str">
        <f>""</f>
        <v/>
      </c>
      <c r="I2633" t="str">
        <f t="shared" si="53"/>
        <v>VERITY HRA FEE</v>
      </c>
    </row>
    <row r="2634" spans="1:9" x14ac:dyDescent="0.3">
      <c r="A2634" t="str">
        <f>""</f>
        <v/>
      </c>
      <c r="F2634" t="str">
        <f>""</f>
        <v/>
      </c>
      <c r="G2634" t="str">
        <f>""</f>
        <v/>
      </c>
      <c r="I2634" t="str">
        <f t="shared" si="53"/>
        <v>VERITY HRA FEE</v>
      </c>
    </row>
    <row r="2635" spans="1:9" x14ac:dyDescent="0.3">
      <c r="A2635" t="str">
        <f>""</f>
        <v/>
      </c>
      <c r="F2635" t="str">
        <f>""</f>
        <v/>
      </c>
      <c r="G2635" t="str">
        <f>""</f>
        <v/>
      </c>
      <c r="I2635" t="str">
        <f t="shared" si="53"/>
        <v>VERITY HRA FEE</v>
      </c>
    </row>
    <row r="2636" spans="1:9" x14ac:dyDescent="0.3">
      <c r="A2636" t="str">
        <f>""</f>
        <v/>
      </c>
      <c r="F2636" t="str">
        <f>""</f>
        <v/>
      </c>
      <c r="G2636" t="str">
        <f>""</f>
        <v/>
      </c>
      <c r="I2636" t="str">
        <f t="shared" si="53"/>
        <v>VERITY HRA FEE</v>
      </c>
    </row>
    <row r="2637" spans="1:9" x14ac:dyDescent="0.3">
      <c r="A2637" t="str">
        <f>""</f>
        <v/>
      </c>
      <c r="F2637" t="str">
        <f>""</f>
        <v/>
      </c>
      <c r="G2637" t="str">
        <f>""</f>
        <v/>
      </c>
      <c r="I2637" t="str">
        <f t="shared" si="53"/>
        <v>VERITY HRA FEE</v>
      </c>
    </row>
    <row r="2638" spans="1:9" x14ac:dyDescent="0.3">
      <c r="A2638" t="str">
        <f>""</f>
        <v/>
      </c>
      <c r="F2638" t="str">
        <f>""</f>
        <v/>
      </c>
      <c r="G2638" t="str">
        <f>""</f>
        <v/>
      </c>
      <c r="I2638" t="str">
        <f t="shared" si="53"/>
        <v>VERITY HRA FEE</v>
      </c>
    </row>
    <row r="2639" spans="1:9" x14ac:dyDescent="0.3">
      <c r="A2639" t="str">
        <f>""</f>
        <v/>
      </c>
      <c r="F2639" t="str">
        <f>""</f>
        <v/>
      </c>
      <c r="G2639" t="str">
        <f>""</f>
        <v/>
      </c>
      <c r="I2639" t="str">
        <f t="shared" si="53"/>
        <v>VERITY HRA FEE</v>
      </c>
    </row>
    <row r="2640" spans="1:9" x14ac:dyDescent="0.3">
      <c r="A2640" t="str">
        <f>""</f>
        <v/>
      </c>
      <c r="F2640" t="str">
        <f>""</f>
        <v/>
      </c>
      <c r="G2640" t="str">
        <f>""</f>
        <v/>
      </c>
      <c r="I2640" t="str">
        <f t="shared" si="53"/>
        <v>VERITY HRA FEE</v>
      </c>
    </row>
    <row r="2641" spans="1:9" x14ac:dyDescent="0.3">
      <c r="A2641" t="str">
        <f>""</f>
        <v/>
      </c>
      <c r="F2641" t="str">
        <f>""</f>
        <v/>
      </c>
      <c r="G2641" t="str">
        <f>""</f>
        <v/>
      </c>
      <c r="I2641" t="str">
        <f t="shared" si="53"/>
        <v>VERITY HRA FEE</v>
      </c>
    </row>
    <row r="2642" spans="1:9" x14ac:dyDescent="0.3">
      <c r="A2642" t="str">
        <f>""</f>
        <v/>
      </c>
      <c r="F2642" t="str">
        <f>""</f>
        <v/>
      </c>
      <c r="G2642" t="str">
        <f>""</f>
        <v/>
      </c>
      <c r="I2642" t="str">
        <f t="shared" si="53"/>
        <v>VERITY HRA FEE</v>
      </c>
    </row>
    <row r="2643" spans="1:9" x14ac:dyDescent="0.3">
      <c r="A2643" t="str">
        <f>""</f>
        <v/>
      </c>
      <c r="F2643" t="str">
        <f>""</f>
        <v/>
      </c>
      <c r="G2643" t="str">
        <f>""</f>
        <v/>
      </c>
      <c r="I2643" t="str">
        <f t="shared" si="53"/>
        <v>VERITY HRA FEE</v>
      </c>
    </row>
    <row r="2644" spans="1:9" x14ac:dyDescent="0.3">
      <c r="A2644" t="str">
        <f>""</f>
        <v/>
      </c>
      <c r="F2644" t="str">
        <f>""</f>
        <v/>
      </c>
      <c r="G2644" t="str">
        <f>""</f>
        <v/>
      </c>
      <c r="I2644" t="str">
        <f t="shared" si="53"/>
        <v>VERITY HRA FEE</v>
      </c>
    </row>
    <row r="2645" spans="1:9" x14ac:dyDescent="0.3">
      <c r="A2645" t="str">
        <f>""</f>
        <v/>
      </c>
      <c r="F2645" t="str">
        <f>""</f>
        <v/>
      </c>
      <c r="G2645" t="str">
        <f>""</f>
        <v/>
      </c>
      <c r="I2645" t="str">
        <f t="shared" si="53"/>
        <v>VERITY HRA FEE</v>
      </c>
    </row>
    <row r="2646" spans="1:9" x14ac:dyDescent="0.3">
      <c r="A2646" t="str">
        <f>""</f>
        <v/>
      </c>
      <c r="F2646" t="str">
        <f>""</f>
        <v/>
      </c>
      <c r="G2646" t="str">
        <f>""</f>
        <v/>
      </c>
      <c r="I2646" t="str">
        <f t="shared" si="53"/>
        <v>VERITY HRA FEE</v>
      </c>
    </row>
    <row r="2647" spans="1:9" x14ac:dyDescent="0.3">
      <c r="A2647" t="str">
        <f>""</f>
        <v/>
      </c>
      <c r="F2647" t="str">
        <f>""</f>
        <v/>
      </c>
      <c r="G2647" t="str">
        <f>""</f>
        <v/>
      </c>
      <c r="I2647" t="str">
        <f t="shared" si="53"/>
        <v>VERITY HRA FEE</v>
      </c>
    </row>
    <row r="2648" spans="1:9" x14ac:dyDescent="0.3">
      <c r="A2648" t="str">
        <f>""</f>
        <v/>
      </c>
      <c r="F2648" t="str">
        <f>""</f>
        <v/>
      </c>
      <c r="G2648" t="str">
        <f>""</f>
        <v/>
      </c>
      <c r="I2648" t="str">
        <f t="shared" si="53"/>
        <v>VERITY HRA FEE</v>
      </c>
    </row>
    <row r="2649" spans="1:9" x14ac:dyDescent="0.3">
      <c r="A2649" t="str">
        <f>""</f>
        <v/>
      </c>
      <c r="F2649" t="str">
        <f>""</f>
        <v/>
      </c>
      <c r="G2649" t="str">
        <f>""</f>
        <v/>
      </c>
      <c r="I2649" t="str">
        <f t="shared" si="53"/>
        <v>VERITY HRA FEE</v>
      </c>
    </row>
    <row r="2650" spans="1:9" x14ac:dyDescent="0.3">
      <c r="A2650" t="str">
        <f>""</f>
        <v/>
      </c>
      <c r="F2650" t="str">
        <f>""</f>
        <v/>
      </c>
      <c r="G2650" t="str">
        <f>""</f>
        <v/>
      </c>
      <c r="I2650" t="str">
        <f t="shared" si="53"/>
        <v>VERITY HRA FEE</v>
      </c>
    </row>
    <row r="2651" spans="1:9" x14ac:dyDescent="0.3">
      <c r="A2651" t="str">
        <f>""</f>
        <v/>
      </c>
      <c r="F2651" t="str">
        <f>"HRF201704050691"</f>
        <v>HRF201704050691</v>
      </c>
      <c r="G2651" t="str">
        <f>"VERITY HRA FEE"</f>
        <v>VERITY HRA FEE</v>
      </c>
      <c r="H2651" s="2">
        <v>30</v>
      </c>
      <c r="I2651" t="str">
        <f t="shared" si="53"/>
        <v>VERITY HRA FEE</v>
      </c>
    </row>
    <row r="2652" spans="1:9" x14ac:dyDescent="0.3">
      <c r="A2652" t="str">
        <f>"VERITY"</f>
        <v>VERITY</v>
      </c>
      <c r="B2652" t="s">
        <v>471</v>
      </c>
      <c r="C2652">
        <v>0</v>
      </c>
      <c r="D2652" s="2">
        <v>17653.939999999999</v>
      </c>
      <c r="E2652" s="1">
        <v>42846</v>
      </c>
      <c r="F2652" t="str">
        <f>"FSA201704191327"</f>
        <v>FSA201704191327</v>
      </c>
      <c r="G2652" t="str">
        <f>"VERITY NAT 125 VENDOR"</f>
        <v>VERITY NAT 125 VENDOR</v>
      </c>
      <c r="H2652" s="2">
        <v>8347.19</v>
      </c>
      <c r="I2652" t="str">
        <f>"VERITY NAT 125 VENDOR"</f>
        <v>VERITY NAT 125 VENDOR</v>
      </c>
    </row>
    <row r="2653" spans="1:9" x14ac:dyDescent="0.3">
      <c r="A2653" t="str">
        <f>""</f>
        <v/>
      </c>
      <c r="F2653" t="str">
        <f>"FSA201704191328"</f>
        <v>FSA201704191328</v>
      </c>
      <c r="G2653" t="str">
        <f>"VERITY NAT 125 VENDOR"</f>
        <v>VERITY NAT 125 VENDOR</v>
      </c>
      <c r="H2653" s="2">
        <v>528.16999999999996</v>
      </c>
      <c r="I2653" t="str">
        <f>"VERITY NAT 125 VENDOR"</f>
        <v>VERITY NAT 125 VENDOR</v>
      </c>
    </row>
    <row r="2654" spans="1:9" x14ac:dyDescent="0.3">
      <c r="A2654" t="str">
        <f>""</f>
        <v/>
      </c>
      <c r="F2654" t="str">
        <f>"FSC201704191327"</f>
        <v>FSC201704191327</v>
      </c>
      <c r="G2654" t="str">
        <f>"VERITY NAT 125 DEP CARE"</f>
        <v>VERITY NAT 125 DEP CARE</v>
      </c>
      <c r="H2654" s="2">
        <v>416.66</v>
      </c>
      <c r="I2654" t="str">
        <f>"VERITY NAT 125 DEP CARE"</f>
        <v>VERITY NAT 125 DEP CARE</v>
      </c>
    </row>
    <row r="2655" spans="1:9" x14ac:dyDescent="0.3">
      <c r="A2655" t="str">
        <f>""</f>
        <v/>
      </c>
      <c r="F2655" t="str">
        <f>"FSF201704191327"</f>
        <v>FSF201704191327</v>
      </c>
      <c r="G2655" t="str">
        <f>"VERITY NAT 125 VENDOR"</f>
        <v>VERITY NAT 125 VENDOR</v>
      </c>
      <c r="H2655" s="2">
        <v>641.75</v>
      </c>
      <c r="I2655" t="str">
        <f t="shared" ref="I2655:I2694" si="54">"VERITY NAT 125 VENDOR"</f>
        <v>VERITY NAT 125 VENDOR</v>
      </c>
    </row>
    <row r="2656" spans="1:9" x14ac:dyDescent="0.3">
      <c r="A2656" t="str">
        <f>""</f>
        <v/>
      </c>
      <c r="F2656" t="str">
        <f>""</f>
        <v/>
      </c>
      <c r="G2656" t="str">
        <f>""</f>
        <v/>
      </c>
      <c r="I2656" t="str">
        <f t="shared" si="54"/>
        <v>VERITY NAT 125 VENDOR</v>
      </c>
    </row>
    <row r="2657" spans="1:9" x14ac:dyDescent="0.3">
      <c r="A2657" t="str">
        <f>""</f>
        <v/>
      </c>
      <c r="F2657" t="str">
        <f>""</f>
        <v/>
      </c>
      <c r="G2657" t="str">
        <f>""</f>
        <v/>
      </c>
      <c r="I2657" t="str">
        <f t="shared" si="54"/>
        <v>VERITY NAT 125 VENDOR</v>
      </c>
    </row>
    <row r="2658" spans="1:9" x14ac:dyDescent="0.3">
      <c r="A2658" t="str">
        <f>""</f>
        <v/>
      </c>
      <c r="F2658" t="str">
        <f>""</f>
        <v/>
      </c>
      <c r="G2658" t="str">
        <f>""</f>
        <v/>
      </c>
      <c r="I2658" t="str">
        <f t="shared" si="54"/>
        <v>VERITY NAT 125 VENDOR</v>
      </c>
    </row>
    <row r="2659" spans="1:9" x14ac:dyDescent="0.3">
      <c r="A2659" t="str">
        <f>""</f>
        <v/>
      </c>
      <c r="F2659" t="str">
        <f>""</f>
        <v/>
      </c>
      <c r="G2659" t="str">
        <f>""</f>
        <v/>
      </c>
      <c r="I2659" t="str">
        <f t="shared" si="54"/>
        <v>VERITY NAT 125 VENDOR</v>
      </c>
    </row>
    <row r="2660" spans="1:9" x14ac:dyDescent="0.3">
      <c r="A2660" t="str">
        <f>""</f>
        <v/>
      </c>
      <c r="F2660" t="str">
        <f>""</f>
        <v/>
      </c>
      <c r="G2660" t="str">
        <f>""</f>
        <v/>
      </c>
      <c r="I2660" t="str">
        <f t="shared" si="54"/>
        <v>VERITY NAT 125 VENDOR</v>
      </c>
    </row>
    <row r="2661" spans="1:9" x14ac:dyDescent="0.3">
      <c r="A2661" t="str">
        <f>""</f>
        <v/>
      </c>
      <c r="F2661" t="str">
        <f>""</f>
        <v/>
      </c>
      <c r="G2661" t="str">
        <f>""</f>
        <v/>
      </c>
      <c r="I2661" t="str">
        <f t="shared" si="54"/>
        <v>VERITY NAT 125 VENDOR</v>
      </c>
    </row>
    <row r="2662" spans="1:9" x14ac:dyDescent="0.3">
      <c r="A2662" t="str">
        <f>""</f>
        <v/>
      </c>
      <c r="F2662" t="str">
        <f>""</f>
        <v/>
      </c>
      <c r="G2662" t="str">
        <f>""</f>
        <v/>
      </c>
      <c r="I2662" t="str">
        <f t="shared" si="54"/>
        <v>VERITY NAT 125 VENDOR</v>
      </c>
    </row>
    <row r="2663" spans="1:9" x14ac:dyDescent="0.3">
      <c r="A2663" t="str">
        <f>""</f>
        <v/>
      </c>
      <c r="F2663" t="str">
        <f>""</f>
        <v/>
      </c>
      <c r="G2663" t="str">
        <f>""</f>
        <v/>
      </c>
      <c r="I2663" t="str">
        <f t="shared" si="54"/>
        <v>VERITY NAT 125 VENDOR</v>
      </c>
    </row>
    <row r="2664" spans="1:9" x14ac:dyDescent="0.3">
      <c r="A2664" t="str">
        <f>""</f>
        <v/>
      </c>
      <c r="F2664" t="str">
        <f>""</f>
        <v/>
      </c>
      <c r="G2664" t="str">
        <f>""</f>
        <v/>
      </c>
      <c r="I2664" t="str">
        <f t="shared" si="54"/>
        <v>VERITY NAT 125 VENDOR</v>
      </c>
    </row>
    <row r="2665" spans="1:9" x14ac:dyDescent="0.3">
      <c r="A2665" t="str">
        <f>""</f>
        <v/>
      </c>
      <c r="F2665" t="str">
        <f>""</f>
        <v/>
      </c>
      <c r="G2665" t="str">
        <f>""</f>
        <v/>
      </c>
      <c r="I2665" t="str">
        <f t="shared" si="54"/>
        <v>VERITY NAT 125 VENDOR</v>
      </c>
    </row>
    <row r="2666" spans="1:9" x14ac:dyDescent="0.3">
      <c r="A2666" t="str">
        <f>""</f>
        <v/>
      </c>
      <c r="F2666" t="str">
        <f>""</f>
        <v/>
      </c>
      <c r="G2666" t="str">
        <f>""</f>
        <v/>
      </c>
      <c r="I2666" t="str">
        <f t="shared" si="54"/>
        <v>VERITY NAT 125 VENDOR</v>
      </c>
    </row>
    <row r="2667" spans="1:9" x14ac:dyDescent="0.3">
      <c r="A2667" t="str">
        <f>""</f>
        <v/>
      </c>
      <c r="F2667" t="str">
        <f>""</f>
        <v/>
      </c>
      <c r="G2667" t="str">
        <f>""</f>
        <v/>
      </c>
      <c r="I2667" t="str">
        <f t="shared" si="54"/>
        <v>VERITY NAT 125 VENDOR</v>
      </c>
    </row>
    <row r="2668" spans="1:9" x14ac:dyDescent="0.3">
      <c r="A2668" t="str">
        <f>""</f>
        <v/>
      </c>
      <c r="F2668" t="str">
        <f>""</f>
        <v/>
      </c>
      <c r="G2668" t="str">
        <f>""</f>
        <v/>
      </c>
      <c r="I2668" t="str">
        <f t="shared" si="54"/>
        <v>VERITY NAT 125 VENDOR</v>
      </c>
    </row>
    <row r="2669" spans="1:9" x14ac:dyDescent="0.3">
      <c r="A2669" t="str">
        <f>""</f>
        <v/>
      </c>
      <c r="F2669" t="str">
        <f>""</f>
        <v/>
      </c>
      <c r="G2669" t="str">
        <f>""</f>
        <v/>
      </c>
      <c r="I2669" t="str">
        <f t="shared" si="54"/>
        <v>VERITY NAT 125 VENDOR</v>
      </c>
    </row>
    <row r="2670" spans="1:9" x14ac:dyDescent="0.3">
      <c r="A2670" t="str">
        <f>""</f>
        <v/>
      </c>
      <c r="F2670" t="str">
        <f>""</f>
        <v/>
      </c>
      <c r="G2670" t="str">
        <f>""</f>
        <v/>
      </c>
      <c r="I2670" t="str">
        <f t="shared" si="54"/>
        <v>VERITY NAT 125 VENDOR</v>
      </c>
    </row>
    <row r="2671" spans="1:9" x14ac:dyDescent="0.3">
      <c r="A2671" t="str">
        <f>""</f>
        <v/>
      </c>
      <c r="F2671" t="str">
        <f>""</f>
        <v/>
      </c>
      <c r="G2671" t="str">
        <f>""</f>
        <v/>
      </c>
      <c r="I2671" t="str">
        <f t="shared" si="54"/>
        <v>VERITY NAT 125 VENDOR</v>
      </c>
    </row>
    <row r="2672" spans="1:9" x14ac:dyDescent="0.3">
      <c r="A2672" t="str">
        <f>""</f>
        <v/>
      </c>
      <c r="F2672" t="str">
        <f>""</f>
        <v/>
      </c>
      <c r="G2672" t="str">
        <f>""</f>
        <v/>
      </c>
      <c r="I2672" t="str">
        <f t="shared" si="54"/>
        <v>VERITY NAT 125 VENDOR</v>
      </c>
    </row>
    <row r="2673" spans="1:9" x14ac:dyDescent="0.3">
      <c r="A2673" t="str">
        <f>""</f>
        <v/>
      </c>
      <c r="F2673" t="str">
        <f>""</f>
        <v/>
      </c>
      <c r="G2673" t="str">
        <f>""</f>
        <v/>
      </c>
      <c r="I2673" t="str">
        <f t="shared" si="54"/>
        <v>VERITY NAT 125 VENDOR</v>
      </c>
    </row>
    <row r="2674" spans="1:9" x14ac:dyDescent="0.3">
      <c r="A2674" t="str">
        <f>""</f>
        <v/>
      </c>
      <c r="F2674" t="str">
        <f>""</f>
        <v/>
      </c>
      <c r="G2674" t="str">
        <f>""</f>
        <v/>
      </c>
      <c r="I2674" t="str">
        <f t="shared" si="54"/>
        <v>VERITY NAT 125 VENDOR</v>
      </c>
    </row>
    <row r="2675" spans="1:9" x14ac:dyDescent="0.3">
      <c r="A2675" t="str">
        <f>""</f>
        <v/>
      </c>
      <c r="F2675" t="str">
        <f>""</f>
        <v/>
      </c>
      <c r="G2675" t="str">
        <f>""</f>
        <v/>
      </c>
      <c r="I2675" t="str">
        <f t="shared" si="54"/>
        <v>VERITY NAT 125 VENDOR</v>
      </c>
    </row>
    <row r="2676" spans="1:9" x14ac:dyDescent="0.3">
      <c r="A2676" t="str">
        <f>""</f>
        <v/>
      </c>
      <c r="F2676" t="str">
        <f>""</f>
        <v/>
      </c>
      <c r="G2676" t="str">
        <f>""</f>
        <v/>
      </c>
      <c r="I2676" t="str">
        <f t="shared" si="54"/>
        <v>VERITY NAT 125 VENDOR</v>
      </c>
    </row>
    <row r="2677" spans="1:9" x14ac:dyDescent="0.3">
      <c r="A2677" t="str">
        <f>""</f>
        <v/>
      </c>
      <c r="F2677" t="str">
        <f>""</f>
        <v/>
      </c>
      <c r="G2677" t="str">
        <f>""</f>
        <v/>
      </c>
      <c r="I2677" t="str">
        <f t="shared" si="54"/>
        <v>VERITY NAT 125 VENDOR</v>
      </c>
    </row>
    <row r="2678" spans="1:9" x14ac:dyDescent="0.3">
      <c r="A2678" t="str">
        <f>""</f>
        <v/>
      </c>
      <c r="F2678" t="str">
        <f>""</f>
        <v/>
      </c>
      <c r="G2678" t="str">
        <f>""</f>
        <v/>
      </c>
      <c r="I2678" t="str">
        <f t="shared" si="54"/>
        <v>VERITY NAT 125 VENDOR</v>
      </c>
    </row>
    <row r="2679" spans="1:9" x14ac:dyDescent="0.3">
      <c r="A2679" t="str">
        <f>""</f>
        <v/>
      </c>
      <c r="F2679" t="str">
        <f>""</f>
        <v/>
      </c>
      <c r="G2679" t="str">
        <f>""</f>
        <v/>
      </c>
      <c r="I2679" t="str">
        <f t="shared" si="54"/>
        <v>VERITY NAT 125 VENDOR</v>
      </c>
    </row>
    <row r="2680" spans="1:9" x14ac:dyDescent="0.3">
      <c r="A2680" t="str">
        <f>""</f>
        <v/>
      </c>
      <c r="F2680" t="str">
        <f>""</f>
        <v/>
      </c>
      <c r="G2680" t="str">
        <f>""</f>
        <v/>
      </c>
      <c r="I2680" t="str">
        <f t="shared" si="54"/>
        <v>VERITY NAT 125 VENDOR</v>
      </c>
    </row>
    <row r="2681" spans="1:9" x14ac:dyDescent="0.3">
      <c r="A2681" t="str">
        <f>""</f>
        <v/>
      </c>
      <c r="F2681" t="str">
        <f>""</f>
        <v/>
      </c>
      <c r="G2681" t="str">
        <f>""</f>
        <v/>
      </c>
      <c r="I2681" t="str">
        <f t="shared" si="54"/>
        <v>VERITY NAT 125 VENDOR</v>
      </c>
    </row>
    <row r="2682" spans="1:9" x14ac:dyDescent="0.3">
      <c r="A2682" t="str">
        <f>""</f>
        <v/>
      </c>
      <c r="F2682" t="str">
        <f>""</f>
        <v/>
      </c>
      <c r="G2682" t="str">
        <f>""</f>
        <v/>
      </c>
      <c r="I2682" t="str">
        <f t="shared" si="54"/>
        <v>VERITY NAT 125 VENDOR</v>
      </c>
    </row>
    <row r="2683" spans="1:9" x14ac:dyDescent="0.3">
      <c r="A2683" t="str">
        <f>""</f>
        <v/>
      </c>
      <c r="F2683" t="str">
        <f>""</f>
        <v/>
      </c>
      <c r="G2683" t="str">
        <f>""</f>
        <v/>
      </c>
      <c r="I2683" t="str">
        <f t="shared" si="54"/>
        <v>VERITY NAT 125 VENDOR</v>
      </c>
    </row>
    <row r="2684" spans="1:9" x14ac:dyDescent="0.3">
      <c r="A2684" t="str">
        <f>""</f>
        <v/>
      </c>
      <c r="F2684" t="str">
        <f>""</f>
        <v/>
      </c>
      <c r="G2684" t="str">
        <f>""</f>
        <v/>
      </c>
      <c r="I2684" t="str">
        <f t="shared" si="54"/>
        <v>VERITY NAT 125 VENDOR</v>
      </c>
    </row>
    <row r="2685" spans="1:9" x14ac:dyDescent="0.3">
      <c r="A2685" t="str">
        <f>""</f>
        <v/>
      </c>
      <c r="F2685" t="str">
        <f>""</f>
        <v/>
      </c>
      <c r="G2685" t="str">
        <f>""</f>
        <v/>
      </c>
      <c r="I2685" t="str">
        <f t="shared" si="54"/>
        <v>VERITY NAT 125 VENDOR</v>
      </c>
    </row>
    <row r="2686" spans="1:9" x14ac:dyDescent="0.3">
      <c r="A2686" t="str">
        <f>""</f>
        <v/>
      </c>
      <c r="F2686" t="str">
        <f>""</f>
        <v/>
      </c>
      <c r="G2686" t="str">
        <f>""</f>
        <v/>
      </c>
      <c r="I2686" t="str">
        <f t="shared" si="54"/>
        <v>VERITY NAT 125 VENDOR</v>
      </c>
    </row>
    <row r="2687" spans="1:9" x14ac:dyDescent="0.3">
      <c r="A2687" t="str">
        <f>""</f>
        <v/>
      </c>
      <c r="F2687" t="str">
        <f>""</f>
        <v/>
      </c>
      <c r="G2687" t="str">
        <f>""</f>
        <v/>
      </c>
      <c r="I2687" t="str">
        <f t="shared" si="54"/>
        <v>VERITY NAT 125 VENDOR</v>
      </c>
    </row>
    <row r="2688" spans="1:9" x14ac:dyDescent="0.3">
      <c r="A2688" t="str">
        <f>""</f>
        <v/>
      </c>
      <c r="F2688" t="str">
        <f>""</f>
        <v/>
      </c>
      <c r="G2688" t="str">
        <f>""</f>
        <v/>
      </c>
      <c r="I2688" t="str">
        <f t="shared" si="54"/>
        <v>VERITY NAT 125 VENDOR</v>
      </c>
    </row>
    <row r="2689" spans="1:9" x14ac:dyDescent="0.3">
      <c r="A2689" t="str">
        <f>""</f>
        <v/>
      </c>
      <c r="F2689" t="str">
        <f>""</f>
        <v/>
      </c>
      <c r="G2689" t="str">
        <f>""</f>
        <v/>
      </c>
      <c r="I2689" t="str">
        <f t="shared" si="54"/>
        <v>VERITY NAT 125 VENDOR</v>
      </c>
    </row>
    <row r="2690" spans="1:9" x14ac:dyDescent="0.3">
      <c r="A2690" t="str">
        <f>""</f>
        <v/>
      </c>
      <c r="F2690" t="str">
        <f>""</f>
        <v/>
      </c>
      <c r="G2690" t="str">
        <f>""</f>
        <v/>
      </c>
      <c r="I2690" t="str">
        <f t="shared" si="54"/>
        <v>VERITY NAT 125 VENDOR</v>
      </c>
    </row>
    <row r="2691" spans="1:9" x14ac:dyDescent="0.3">
      <c r="A2691" t="str">
        <f>""</f>
        <v/>
      </c>
      <c r="F2691" t="str">
        <f>""</f>
        <v/>
      </c>
      <c r="G2691" t="str">
        <f>""</f>
        <v/>
      </c>
      <c r="I2691" t="str">
        <f t="shared" si="54"/>
        <v>VERITY NAT 125 VENDOR</v>
      </c>
    </row>
    <row r="2692" spans="1:9" x14ac:dyDescent="0.3">
      <c r="A2692" t="str">
        <f>""</f>
        <v/>
      </c>
      <c r="F2692" t="str">
        <f>""</f>
        <v/>
      </c>
      <c r="G2692" t="str">
        <f>""</f>
        <v/>
      </c>
      <c r="I2692" t="str">
        <f t="shared" si="54"/>
        <v>VERITY NAT 125 VENDOR</v>
      </c>
    </row>
    <row r="2693" spans="1:9" x14ac:dyDescent="0.3">
      <c r="A2693" t="str">
        <f>""</f>
        <v/>
      </c>
      <c r="F2693" t="str">
        <f>"FSF201704191328"</f>
        <v>FSF201704191328</v>
      </c>
      <c r="G2693" t="str">
        <f>"VERITY NAT 125 VENDOR"</f>
        <v>VERITY NAT 125 VENDOR</v>
      </c>
      <c r="H2693" s="2">
        <v>25.5</v>
      </c>
      <c r="I2693" t="str">
        <f t="shared" si="54"/>
        <v>VERITY NAT 125 VENDOR</v>
      </c>
    </row>
    <row r="2694" spans="1:9" x14ac:dyDescent="0.3">
      <c r="A2694" t="str">
        <f>""</f>
        <v/>
      </c>
      <c r="F2694" t="str">
        <f>""</f>
        <v/>
      </c>
      <c r="G2694" t="str">
        <f>""</f>
        <v/>
      </c>
      <c r="I2694" t="str">
        <f t="shared" si="54"/>
        <v>VERITY NAT 125 VENDOR</v>
      </c>
    </row>
    <row r="2695" spans="1:9" x14ac:dyDescent="0.3">
      <c r="A2695" t="str">
        <f>""</f>
        <v/>
      </c>
      <c r="F2695" t="str">
        <f>"FSO201704191327"</f>
        <v>FSO201704191327</v>
      </c>
      <c r="G2695" t="str">
        <f>"VERITY FSA ONLY FEE"</f>
        <v>VERITY FSA ONLY FEE</v>
      </c>
      <c r="H2695" s="2">
        <v>27</v>
      </c>
      <c r="I2695" t="str">
        <f t="shared" ref="I2695:I2705" si="55">"VERITY FSA ONLY FEE"</f>
        <v>VERITY FSA ONLY FEE</v>
      </c>
    </row>
    <row r="2696" spans="1:9" x14ac:dyDescent="0.3">
      <c r="A2696" t="str">
        <f>""</f>
        <v/>
      </c>
      <c r="F2696" t="str">
        <f>""</f>
        <v/>
      </c>
      <c r="G2696" t="str">
        <f>""</f>
        <v/>
      </c>
      <c r="I2696" t="str">
        <f t="shared" si="55"/>
        <v>VERITY FSA ONLY FEE</v>
      </c>
    </row>
    <row r="2697" spans="1:9" x14ac:dyDescent="0.3">
      <c r="A2697" t="str">
        <f>""</f>
        <v/>
      </c>
      <c r="F2697" t="str">
        <f>""</f>
        <v/>
      </c>
      <c r="G2697" t="str">
        <f>""</f>
        <v/>
      </c>
      <c r="I2697" t="str">
        <f t="shared" si="55"/>
        <v>VERITY FSA ONLY FEE</v>
      </c>
    </row>
    <row r="2698" spans="1:9" x14ac:dyDescent="0.3">
      <c r="A2698" t="str">
        <f>""</f>
        <v/>
      </c>
      <c r="F2698" t="str">
        <f>""</f>
        <v/>
      </c>
      <c r="G2698" t="str">
        <f>""</f>
        <v/>
      </c>
      <c r="I2698" t="str">
        <f t="shared" si="55"/>
        <v>VERITY FSA ONLY FEE</v>
      </c>
    </row>
    <row r="2699" spans="1:9" x14ac:dyDescent="0.3">
      <c r="A2699" t="str">
        <f>""</f>
        <v/>
      </c>
      <c r="F2699" t="str">
        <f>""</f>
        <v/>
      </c>
      <c r="G2699" t="str">
        <f>""</f>
        <v/>
      </c>
      <c r="I2699" t="str">
        <f t="shared" si="55"/>
        <v>VERITY FSA ONLY FEE</v>
      </c>
    </row>
    <row r="2700" spans="1:9" x14ac:dyDescent="0.3">
      <c r="A2700" t="str">
        <f>""</f>
        <v/>
      </c>
      <c r="F2700" t="str">
        <f>""</f>
        <v/>
      </c>
      <c r="G2700" t="str">
        <f>""</f>
        <v/>
      </c>
      <c r="I2700" t="str">
        <f t="shared" si="55"/>
        <v>VERITY FSA ONLY FEE</v>
      </c>
    </row>
    <row r="2701" spans="1:9" x14ac:dyDescent="0.3">
      <c r="A2701" t="str">
        <f>""</f>
        <v/>
      </c>
      <c r="F2701" t="str">
        <f>""</f>
        <v/>
      </c>
      <c r="G2701" t="str">
        <f>""</f>
        <v/>
      </c>
      <c r="I2701" t="str">
        <f t="shared" si="55"/>
        <v>VERITY FSA ONLY FEE</v>
      </c>
    </row>
    <row r="2702" spans="1:9" x14ac:dyDescent="0.3">
      <c r="A2702" t="str">
        <f>""</f>
        <v/>
      </c>
      <c r="F2702" t="str">
        <f>""</f>
        <v/>
      </c>
      <c r="G2702" t="str">
        <f>""</f>
        <v/>
      </c>
      <c r="I2702" t="str">
        <f t="shared" si="55"/>
        <v>VERITY FSA ONLY FEE</v>
      </c>
    </row>
    <row r="2703" spans="1:9" x14ac:dyDescent="0.3">
      <c r="A2703" t="str">
        <f>""</f>
        <v/>
      </c>
      <c r="F2703" t="str">
        <f>""</f>
        <v/>
      </c>
      <c r="G2703" t="str">
        <f>""</f>
        <v/>
      </c>
      <c r="I2703" t="str">
        <f t="shared" si="55"/>
        <v>VERITY FSA ONLY FEE</v>
      </c>
    </row>
    <row r="2704" spans="1:9" x14ac:dyDescent="0.3">
      <c r="A2704" t="str">
        <f>""</f>
        <v/>
      </c>
      <c r="F2704" t="str">
        <f>""</f>
        <v/>
      </c>
      <c r="G2704" t="str">
        <f>""</f>
        <v/>
      </c>
      <c r="I2704" t="str">
        <f t="shared" si="55"/>
        <v>VERITY FSA ONLY FEE</v>
      </c>
    </row>
    <row r="2705" spans="1:9" x14ac:dyDescent="0.3">
      <c r="A2705" t="str">
        <f>""</f>
        <v/>
      </c>
      <c r="F2705" t="str">
        <f>""</f>
        <v/>
      </c>
      <c r="G2705" t="str">
        <f>""</f>
        <v/>
      </c>
      <c r="I2705" t="str">
        <f t="shared" si="55"/>
        <v>VERITY FSA ONLY FEE</v>
      </c>
    </row>
    <row r="2706" spans="1:9" x14ac:dyDescent="0.3">
      <c r="A2706" t="str">
        <f>""</f>
        <v/>
      </c>
      <c r="F2706" t="str">
        <f>"FSO201704191328"</f>
        <v>FSO201704191328</v>
      </c>
      <c r="G2706" t="str">
        <f>"VERITY FSA ONLY"</f>
        <v>VERITY FSA ONLY</v>
      </c>
      <c r="H2706" s="2">
        <v>3</v>
      </c>
      <c r="I2706" t="str">
        <f>"VERITY FSA ONLY"</f>
        <v>VERITY FSA ONLY</v>
      </c>
    </row>
    <row r="2707" spans="1:9" x14ac:dyDescent="0.3">
      <c r="A2707" t="str">
        <f>""</f>
        <v/>
      </c>
      <c r="F2707" t="str">
        <f>""</f>
        <v/>
      </c>
      <c r="G2707" t="str">
        <f>""</f>
        <v/>
      </c>
      <c r="I2707" t="str">
        <f>"VERITY FSA ONLY"</f>
        <v>VERITY FSA ONLY</v>
      </c>
    </row>
    <row r="2708" spans="1:9" x14ac:dyDescent="0.3">
      <c r="A2708" t="str">
        <f>""</f>
        <v/>
      </c>
      <c r="F2708" t="str">
        <f>"HRA201704191327"</f>
        <v>HRA201704191327</v>
      </c>
      <c r="G2708" t="str">
        <f>"VERITY HRA FEES"</f>
        <v>VERITY HRA FEES</v>
      </c>
      <c r="H2708" s="2">
        <v>6684.67</v>
      </c>
      <c r="I2708" t="str">
        <f t="shared" ref="I2708:I2755" si="56">"VERITY HRA FEES"</f>
        <v>VERITY HRA FEES</v>
      </c>
    </row>
    <row r="2709" spans="1:9" x14ac:dyDescent="0.3">
      <c r="A2709" t="str">
        <f>""</f>
        <v/>
      </c>
      <c r="F2709" t="str">
        <f>""</f>
        <v/>
      </c>
      <c r="G2709" t="str">
        <f>""</f>
        <v/>
      </c>
      <c r="I2709" t="str">
        <f t="shared" si="56"/>
        <v>VERITY HRA FEES</v>
      </c>
    </row>
    <row r="2710" spans="1:9" x14ac:dyDescent="0.3">
      <c r="A2710" t="str">
        <f>""</f>
        <v/>
      </c>
      <c r="F2710" t="str">
        <f>""</f>
        <v/>
      </c>
      <c r="G2710" t="str">
        <f>""</f>
        <v/>
      </c>
      <c r="I2710" t="str">
        <f t="shared" si="56"/>
        <v>VERITY HRA FEES</v>
      </c>
    </row>
    <row r="2711" spans="1:9" x14ac:dyDescent="0.3">
      <c r="A2711" t="str">
        <f>""</f>
        <v/>
      </c>
      <c r="F2711" t="str">
        <f>""</f>
        <v/>
      </c>
      <c r="G2711" t="str">
        <f>""</f>
        <v/>
      </c>
      <c r="I2711" t="str">
        <f t="shared" si="56"/>
        <v>VERITY HRA FEES</v>
      </c>
    </row>
    <row r="2712" spans="1:9" x14ac:dyDescent="0.3">
      <c r="A2712" t="str">
        <f>""</f>
        <v/>
      </c>
      <c r="F2712" t="str">
        <f>""</f>
        <v/>
      </c>
      <c r="G2712" t="str">
        <f>""</f>
        <v/>
      </c>
      <c r="I2712" t="str">
        <f t="shared" si="56"/>
        <v>VERITY HRA FEES</v>
      </c>
    </row>
    <row r="2713" spans="1:9" x14ac:dyDescent="0.3">
      <c r="A2713" t="str">
        <f>""</f>
        <v/>
      </c>
      <c r="F2713" t="str">
        <f>""</f>
        <v/>
      </c>
      <c r="G2713" t="str">
        <f>""</f>
        <v/>
      </c>
      <c r="I2713" t="str">
        <f t="shared" si="56"/>
        <v>VERITY HRA FEES</v>
      </c>
    </row>
    <row r="2714" spans="1:9" x14ac:dyDescent="0.3">
      <c r="A2714" t="str">
        <f>""</f>
        <v/>
      </c>
      <c r="F2714" t="str">
        <f>""</f>
        <v/>
      </c>
      <c r="G2714" t="str">
        <f>""</f>
        <v/>
      </c>
      <c r="I2714" t="str">
        <f t="shared" si="56"/>
        <v>VERITY HRA FEES</v>
      </c>
    </row>
    <row r="2715" spans="1:9" x14ac:dyDescent="0.3">
      <c r="A2715" t="str">
        <f>""</f>
        <v/>
      </c>
      <c r="F2715" t="str">
        <f>""</f>
        <v/>
      </c>
      <c r="G2715" t="str">
        <f>""</f>
        <v/>
      </c>
      <c r="I2715" t="str">
        <f t="shared" si="56"/>
        <v>VERITY HRA FEES</v>
      </c>
    </row>
    <row r="2716" spans="1:9" x14ac:dyDescent="0.3">
      <c r="A2716" t="str">
        <f>""</f>
        <v/>
      </c>
      <c r="F2716" t="str">
        <f>""</f>
        <v/>
      </c>
      <c r="G2716" t="str">
        <f>""</f>
        <v/>
      </c>
      <c r="I2716" t="str">
        <f t="shared" si="56"/>
        <v>VERITY HRA FEES</v>
      </c>
    </row>
    <row r="2717" spans="1:9" x14ac:dyDescent="0.3">
      <c r="A2717" t="str">
        <f>""</f>
        <v/>
      </c>
      <c r="F2717" t="str">
        <f>""</f>
        <v/>
      </c>
      <c r="G2717" t="str">
        <f>""</f>
        <v/>
      </c>
      <c r="I2717" t="str">
        <f t="shared" si="56"/>
        <v>VERITY HRA FEES</v>
      </c>
    </row>
    <row r="2718" spans="1:9" x14ac:dyDescent="0.3">
      <c r="A2718" t="str">
        <f>""</f>
        <v/>
      </c>
      <c r="F2718" t="str">
        <f>""</f>
        <v/>
      </c>
      <c r="G2718" t="str">
        <f>""</f>
        <v/>
      </c>
      <c r="I2718" t="str">
        <f t="shared" si="56"/>
        <v>VERITY HRA FEES</v>
      </c>
    </row>
    <row r="2719" spans="1:9" x14ac:dyDescent="0.3">
      <c r="A2719" t="str">
        <f>""</f>
        <v/>
      </c>
      <c r="F2719" t="str">
        <f>""</f>
        <v/>
      </c>
      <c r="G2719" t="str">
        <f>""</f>
        <v/>
      </c>
      <c r="I2719" t="str">
        <f t="shared" si="56"/>
        <v>VERITY HRA FEES</v>
      </c>
    </row>
    <row r="2720" spans="1:9" x14ac:dyDescent="0.3">
      <c r="A2720" t="str">
        <f>""</f>
        <v/>
      </c>
      <c r="F2720" t="str">
        <f>""</f>
        <v/>
      </c>
      <c r="G2720" t="str">
        <f>""</f>
        <v/>
      </c>
      <c r="I2720" t="str">
        <f t="shared" si="56"/>
        <v>VERITY HRA FEES</v>
      </c>
    </row>
    <row r="2721" spans="1:9" x14ac:dyDescent="0.3">
      <c r="A2721" t="str">
        <f>""</f>
        <v/>
      </c>
      <c r="F2721" t="str">
        <f>""</f>
        <v/>
      </c>
      <c r="G2721" t="str">
        <f>""</f>
        <v/>
      </c>
      <c r="I2721" t="str">
        <f t="shared" si="56"/>
        <v>VERITY HRA FEES</v>
      </c>
    </row>
    <row r="2722" spans="1:9" x14ac:dyDescent="0.3">
      <c r="A2722" t="str">
        <f>""</f>
        <v/>
      </c>
      <c r="F2722" t="str">
        <f>""</f>
        <v/>
      </c>
      <c r="G2722" t="str">
        <f>""</f>
        <v/>
      </c>
      <c r="I2722" t="str">
        <f t="shared" si="56"/>
        <v>VERITY HRA FEES</v>
      </c>
    </row>
    <row r="2723" spans="1:9" x14ac:dyDescent="0.3">
      <c r="A2723" t="str">
        <f>""</f>
        <v/>
      </c>
      <c r="F2723" t="str">
        <f>""</f>
        <v/>
      </c>
      <c r="G2723" t="str">
        <f>""</f>
        <v/>
      </c>
      <c r="I2723" t="str">
        <f t="shared" si="56"/>
        <v>VERITY HRA FEES</v>
      </c>
    </row>
    <row r="2724" spans="1:9" x14ac:dyDescent="0.3">
      <c r="A2724" t="str">
        <f>""</f>
        <v/>
      </c>
      <c r="F2724" t="str">
        <f>""</f>
        <v/>
      </c>
      <c r="G2724" t="str">
        <f>""</f>
        <v/>
      </c>
      <c r="I2724" t="str">
        <f t="shared" si="56"/>
        <v>VERITY HRA FEES</v>
      </c>
    </row>
    <row r="2725" spans="1:9" x14ac:dyDescent="0.3">
      <c r="A2725" t="str">
        <f>""</f>
        <v/>
      </c>
      <c r="F2725" t="str">
        <f>""</f>
        <v/>
      </c>
      <c r="G2725" t="str">
        <f>""</f>
        <v/>
      </c>
      <c r="I2725" t="str">
        <f t="shared" si="56"/>
        <v>VERITY HRA FEES</v>
      </c>
    </row>
    <row r="2726" spans="1:9" x14ac:dyDescent="0.3">
      <c r="A2726" t="str">
        <f>""</f>
        <v/>
      </c>
      <c r="F2726" t="str">
        <f>""</f>
        <v/>
      </c>
      <c r="G2726" t="str">
        <f>""</f>
        <v/>
      </c>
      <c r="I2726" t="str">
        <f t="shared" si="56"/>
        <v>VERITY HRA FEES</v>
      </c>
    </row>
    <row r="2727" spans="1:9" x14ac:dyDescent="0.3">
      <c r="A2727" t="str">
        <f>""</f>
        <v/>
      </c>
      <c r="F2727" t="str">
        <f>""</f>
        <v/>
      </c>
      <c r="G2727" t="str">
        <f>""</f>
        <v/>
      </c>
      <c r="I2727" t="str">
        <f t="shared" si="56"/>
        <v>VERITY HRA FEES</v>
      </c>
    </row>
    <row r="2728" spans="1:9" x14ac:dyDescent="0.3">
      <c r="A2728" t="str">
        <f>""</f>
        <v/>
      </c>
      <c r="F2728" t="str">
        <f>""</f>
        <v/>
      </c>
      <c r="G2728" t="str">
        <f>""</f>
        <v/>
      </c>
      <c r="I2728" t="str">
        <f t="shared" si="56"/>
        <v>VERITY HRA FEES</v>
      </c>
    </row>
    <row r="2729" spans="1:9" x14ac:dyDescent="0.3">
      <c r="A2729" t="str">
        <f>""</f>
        <v/>
      </c>
      <c r="F2729" t="str">
        <f>""</f>
        <v/>
      </c>
      <c r="G2729" t="str">
        <f>""</f>
        <v/>
      </c>
      <c r="I2729" t="str">
        <f t="shared" si="56"/>
        <v>VERITY HRA FEES</v>
      </c>
    </row>
    <row r="2730" spans="1:9" x14ac:dyDescent="0.3">
      <c r="A2730" t="str">
        <f>""</f>
        <v/>
      </c>
      <c r="F2730" t="str">
        <f>""</f>
        <v/>
      </c>
      <c r="G2730" t="str">
        <f>""</f>
        <v/>
      </c>
      <c r="I2730" t="str">
        <f t="shared" si="56"/>
        <v>VERITY HRA FEES</v>
      </c>
    </row>
    <row r="2731" spans="1:9" x14ac:dyDescent="0.3">
      <c r="A2731" t="str">
        <f>""</f>
        <v/>
      </c>
      <c r="F2731" t="str">
        <f>""</f>
        <v/>
      </c>
      <c r="G2731" t="str">
        <f>""</f>
        <v/>
      </c>
      <c r="I2731" t="str">
        <f t="shared" si="56"/>
        <v>VERITY HRA FEES</v>
      </c>
    </row>
    <row r="2732" spans="1:9" x14ac:dyDescent="0.3">
      <c r="A2732" t="str">
        <f>""</f>
        <v/>
      </c>
      <c r="F2732" t="str">
        <f>""</f>
        <v/>
      </c>
      <c r="G2732" t="str">
        <f>""</f>
        <v/>
      </c>
      <c r="I2732" t="str">
        <f t="shared" si="56"/>
        <v>VERITY HRA FEES</v>
      </c>
    </row>
    <row r="2733" spans="1:9" x14ac:dyDescent="0.3">
      <c r="A2733" t="str">
        <f>""</f>
        <v/>
      </c>
      <c r="F2733" t="str">
        <f>""</f>
        <v/>
      </c>
      <c r="G2733" t="str">
        <f>""</f>
        <v/>
      </c>
      <c r="I2733" t="str">
        <f t="shared" si="56"/>
        <v>VERITY HRA FEES</v>
      </c>
    </row>
    <row r="2734" spans="1:9" x14ac:dyDescent="0.3">
      <c r="A2734" t="str">
        <f>""</f>
        <v/>
      </c>
      <c r="F2734" t="str">
        <f>""</f>
        <v/>
      </c>
      <c r="G2734" t="str">
        <f>""</f>
        <v/>
      </c>
      <c r="I2734" t="str">
        <f t="shared" si="56"/>
        <v>VERITY HRA FEES</v>
      </c>
    </row>
    <row r="2735" spans="1:9" x14ac:dyDescent="0.3">
      <c r="A2735" t="str">
        <f>""</f>
        <v/>
      </c>
      <c r="F2735" t="str">
        <f>""</f>
        <v/>
      </c>
      <c r="G2735" t="str">
        <f>""</f>
        <v/>
      </c>
      <c r="I2735" t="str">
        <f t="shared" si="56"/>
        <v>VERITY HRA FEES</v>
      </c>
    </row>
    <row r="2736" spans="1:9" x14ac:dyDescent="0.3">
      <c r="A2736" t="str">
        <f>""</f>
        <v/>
      </c>
      <c r="F2736" t="str">
        <f>""</f>
        <v/>
      </c>
      <c r="G2736" t="str">
        <f>""</f>
        <v/>
      </c>
      <c r="I2736" t="str">
        <f t="shared" si="56"/>
        <v>VERITY HRA FEES</v>
      </c>
    </row>
    <row r="2737" spans="1:9" x14ac:dyDescent="0.3">
      <c r="A2737" t="str">
        <f>""</f>
        <v/>
      </c>
      <c r="F2737" t="str">
        <f>""</f>
        <v/>
      </c>
      <c r="G2737" t="str">
        <f>""</f>
        <v/>
      </c>
      <c r="I2737" t="str">
        <f t="shared" si="56"/>
        <v>VERITY HRA FEES</v>
      </c>
    </row>
    <row r="2738" spans="1:9" x14ac:dyDescent="0.3">
      <c r="A2738" t="str">
        <f>""</f>
        <v/>
      </c>
      <c r="F2738" t="str">
        <f>""</f>
        <v/>
      </c>
      <c r="G2738" t="str">
        <f>""</f>
        <v/>
      </c>
      <c r="I2738" t="str">
        <f t="shared" si="56"/>
        <v>VERITY HRA FEES</v>
      </c>
    </row>
    <row r="2739" spans="1:9" x14ac:dyDescent="0.3">
      <c r="A2739" t="str">
        <f>""</f>
        <v/>
      </c>
      <c r="F2739" t="str">
        <f>""</f>
        <v/>
      </c>
      <c r="G2739" t="str">
        <f>""</f>
        <v/>
      </c>
      <c r="I2739" t="str">
        <f t="shared" si="56"/>
        <v>VERITY HRA FEES</v>
      </c>
    </row>
    <row r="2740" spans="1:9" x14ac:dyDescent="0.3">
      <c r="A2740" t="str">
        <f>""</f>
        <v/>
      </c>
      <c r="F2740" t="str">
        <f>""</f>
        <v/>
      </c>
      <c r="G2740" t="str">
        <f>""</f>
        <v/>
      </c>
      <c r="I2740" t="str">
        <f t="shared" si="56"/>
        <v>VERITY HRA FEES</v>
      </c>
    </row>
    <row r="2741" spans="1:9" x14ac:dyDescent="0.3">
      <c r="A2741" t="str">
        <f>""</f>
        <v/>
      </c>
      <c r="F2741" t="str">
        <f>""</f>
        <v/>
      </c>
      <c r="G2741" t="str">
        <f>""</f>
        <v/>
      </c>
      <c r="I2741" t="str">
        <f t="shared" si="56"/>
        <v>VERITY HRA FEES</v>
      </c>
    </row>
    <row r="2742" spans="1:9" x14ac:dyDescent="0.3">
      <c r="A2742" t="str">
        <f>""</f>
        <v/>
      </c>
      <c r="F2742" t="str">
        <f>""</f>
        <v/>
      </c>
      <c r="G2742" t="str">
        <f>""</f>
        <v/>
      </c>
      <c r="I2742" t="str">
        <f t="shared" si="56"/>
        <v>VERITY HRA FEES</v>
      </c>
    </row>
    <row r="2743" spans="1:9" x14ac:dyDescent="0.3">
      <c r="A2743" t="str">
        <f>""</f>
        <v/>
      </c>
      <c r="F2743" t="str">
        <f>""</f>
        <v/>
      </c>
      <c r="G2743" t="str">
        <f>""</f>
        <v/>
      </c>
      <c r="I2743" t="str">
        <f t="shared" si="56"/>
        <v>VERITY HRA FEES</v>
      </c>
    </row>
    <row r="2744" spans="1:9" x14ac:dyDescent="0.3">
      <c r="A2744" t="str">
        <f>""</f>
        <v/>
      </c>
      <c r="F2744" t="str">
        <f>""</f>
        <v/>
      </c>
      <c r="G2744" t="str">
        <f>""</f>
        <v/>
      </c>
      <c r="I2744" t="str">
        <f t="shared" si="56"/>
        <v>VERITY HRA FEES</v>
      </c>
    </row>
    <row r="2745" spans="1:9" x14ac:dyDescent="0.3">
      <c r="A2745" t="str">
        <f>""</f>
        <v/>
      </c>
      <c r="F2745" t="str">
        <f>""</f>
        <v/>
      </c>
      <c r="G2745" t="str">
        <f>""</f>
        <v/>
      </c>
      <c r="I2745" t="str">
        <f t="shared" si="56"/>
        <v>VERITY HRA FEES</v>
      </c>
    </row>
    <row r="2746" spans="1:9" x14ac:dyDescent="0.3">
      <c r="A2746" t="str">
        <f>""</f>
        <v/>
      </c>
      <c r="F2746" t="str">
        <f>""</f>
        <v/>
      </c>
      <c r="G2746" t="str">
        <f>""</f>
        <v/>
      </c>
      <c r="I2746" t="str">
        <f t="shared" si="56"/>
        <v>VERITY HRA FEES</v>
      </c>
    </row>
    <row r="2747" spans="1:9" x14ac:dyDescent="0.3">
      <c r="A2747" t="str">
        <f>""</f>
        <v/>
      </c>
      <c r="F2747" t="str">
        <f>""</f>
        <v/>
      </c>
      <c r="G2747" t="str">
        <f>""</f>
        <v/>
      </c>
      <c r="I2747" t="str">
        <f t="shared" si="56"/>
        <v>VERITY HRA FEES</v>
      </c>
    </row>
    <row r="2748" spans="1:9" x14ac:dyDescent="0.3">
      <c r="A2748" t="str">
        <f>""</f>
        <v/>
      </c>
      <c r="F2748" t="str">
        <f>""</f>
        <v/>
      </c>
      <c r="G2748" t="str">
        <f>""</f>
        <v/>
      </c>
      <c r="I2748" t="str">
        <f t="shared" si="56"/>
        <v>VERITY HRA FEES</v>
      </c>
    </row>
    <row r="2749" spans="1:9" x14ac:dyDescent="0.3">
      <c r="A2749" t="str">
        <f>""</f>
        <v/>
      </c>
      <c r="F2749" t="str">
        <f>""</f>
        <v/>
      </c>
      <c r="G2749" t="str">
        <f>""</f>
        <v/>
      </c>
      <c r="I2749" t="str">
        <f t="shared" si="56"/>
        <v>VERITY HRA FEES</v>
      </c>
    </row>
    <row r="2750" spans="1:9" x14ac:dyDescent="0.3">
      <c r="A2750" t="str">
        <f>""</f>
        <v/>
      </c>
      <c r="F2750" t="str">
        <f>""</f>
        <v/>
      </c>
      <c r="G2750" t="str">
        <f>""</f>
        <v/>
      </c>
      <c r="I2750" t="str">
        <f t="shared" si="56"/>
        <v>VERITY HRA FEES</v>
      </c>
    </row>
    <row r="2751" spans="1:9" x14ac:dyDescent="0.3">
      <c r="A2751" t="str">
        <f>""</f>
        <v/>
      </c>
      <c r="F2751" t="str">
        <f>""</f>
        <v/>
      </c>
      <c r="G2751" t="str">
        <f>""</f>
        <v/>
      </c>
      <c r="I2751" t="str">
        <f t="shared" si="56"/>
        <v>VERITY HRA FEES</v>
      </c>
    </row>
    <row r="2752" spans="1:9" x14ac:dyDescent="0.3">
      <c r="A2752" t="str">
        <f>""</f>
        <v/>
      </c>
      <c r="F2752" t="str">
        <f>""</f>
        <v/>
      </c>
      <c r="G2752" t="str">
        <f>""</f>
        <v/>
      </c>
      <c r="I2752" t="str">
        <f t="shared" si="56"/>
        <v>VERITY HRA FEES</v>
      </c>
    </row>
    <row r="2753" spans="1:9" x14ac:dyDescent="0.3">
      <c r="A2753" t="str">
        <f>""</f>
        <v/>
      </c>
      <c r="F2753" t="str">
        <f>""</f>
        <v/>
      </c>
      <c r="G2753" t="str">
        <f>""</f>
        <v/>
      </c>
      <c r="I2753" t="str">
        <f t="shared" si="56"/>
        <v>VERITY HRA FEES</v>
      </c>
    </row>
    <row r="2754" spans="1:9" x14ac:dyDescent="0.3">
      <c r="A2754" t="str">
        <f>""</f>
        <v/>
      </c>
      <c r="F2754" t="str">
        <f>""</f>
        <v/>
      </c>
      <c r="G2754" t="str">
        <f>""</f>
        <v/>
      </c>
      <c r="I2754" t="str">
        <f t="shared" si="56"/>
        <v>VERITY HRA FEES</v>
      </c>
    </row>
    <row r="2755" spans="1:9" x14ac:dyDescent="0.3">
      <c r="A2755" t="str">
        <f>""</f>
        <v/>
      </c>
      <c r="F2755" t="str">
        <f>"HRA201704191328"</f>
        <v>HRA201704191328</v>
      </c>
      <c r="G2755" t="str">
        <f>"VERITY HRA FEES"</f>
        <v>VERITY HRA FEES</v>
      </c>
      <c r="H2755" s="2">
        <v>200</v>
      </c>
      <c r="I2755" t="str">
        <f t="shared" si="56"/>
        <v>VERITY HRA FEES</v>
      </c>
    </row>
    <row r="2756" spans="1:9" x14ac:dyDescent="0.3">
      <c r="A2756" t="str">
        <f>""</f>
        <v/>
      </c>
      <c r="F2756" t="str">
        <f>"HRF201704191327"</f>
        <v>HRF201704191327</v>
      </c>
      <c r="G2756" t="str">
        <f>"VERITY HRA FEE"</f>
        <v>VERITY HRA FEE</v>
      </c>
      <c r="H2756" s="2">
        <v>750</v>
      </c>
      <c r="I2756" t="str">
        <f t="shared" ref="I2756:I2794" si="57">"VERITY HRA FEE"</f>
        <v>VERITY HRA FEE</v>
      </c>
    </row>
    <row r="2757" spans="1:9" x14ac:dyDescent="0.3">
      <c r="A2757" t="str">
        <f>""</f>
        <v/>
      </c>
      <c r="F2757" t="str">
        <f>""</f>
        <v/>
      </c>
      <c r="G2757" t="str">
        <f>""</f>
        <v/>
      </c>
      <c r="I2757" t="str">
        <f t="shared" si="57"/>
        <v>VERITY HRA FEE</v>
      </c>
    </row>
    <row r="2758" spans="1:9" x14ac:dyDescent="0.3">
      <c r="A2758" t="str">
        <f>""</f>
        <v/>
      </c>
      <c r="F2758" t="str">
        <f>""</f>
        <v/>
      </c>
      <c r="G2758" t="str">
        <f>""</f>
        <v/>
      </c>
      <c r="I2758" t="str">
        <f t="shared" si="57"/>
        <v>VERITY HRA FEE</v>
      </c>
    </row>
    <row r="2759" spans="1:9" x14ac:dyDescent="0.3">
      <c r="A2759" t="str">
        <f>""</f>
        <v/>
      </c>
      <c r="F2759" t="str">
        <f>""</f>
        <v/>
      </c>
      <c r="G2759" t="str">
        <f>""</f>
        <v/>
      </c>
      <c r="I2759" t="str">
        <f t="shared" si="57"/>
        <v>VERITY HRA FEE</v>
      </c>
    </row>
    <row r="2760" spans="1:9" x14ac:dyDescent="0.3">
      <c r="A2760" t="str">
        <f>""</f>
        <v/>
      </c>
      <c r="F2760" t="str">
        <f>""</f>
        <v/>
      </c>
      <c r="G2760" t="str">
        <f>""</f>
        <v/>
      </c>
      <c r="I2760" t="str">
        <f t="shared" si="57"/>
        <v>VERITY HRA FEE</v>
      </c>
    </row>
    <row r="2761" spans="1:9" x14ac:dyDescent="0.3">
      <c r="A2761" t="str">
        <f>""</f>
        <v/>
      </c>
      <c r="F2761" t="str">
        <f>""</f>
        <v/>
      </c>
      <c r="G2761" t="str">
        <f>""</f>
        <v/>
      </c>
      <c r="I2761" t="str">
        <f t="shared" si="57"/>
        <v>VERITY HRA FEE</v>
      </c>
    </row>
    <row r="2762" spans="1:9" x14ac:dyDescent="0.3">
      <c r="A2762" t="str">
        <f>""</f>
        <v/>
      </c>
      <c r="F2762" t="str">
        <f>""</f>
        <v/>
      </c>
      <c r="G2762" t="str">
        <f>""</f>
        <v/>
      </c>
      <c r="I2762" t="str">
        <f t="shared" si="57"/>
        <v>VERITY HRA FEE</v>
      </c>
    </row>
    <row r="2763" spans="1:9" x14ac:dyDescent="0.3">
      <c r="A2763" t="str">
        <f>""</f>
        <v/>
      </c>
      <c r="F2763" t="str">
        <f>""</f>
        <v/>
      </c>
      <c r="G2763" t="str">
        <f>""</f>
        <v/>
      </c>
      <c r="I2763" t="str">
        <f t="shared" si="57"/>
        <v>VERITY HRA FEE</v>
      </c>
    </row>
    <row r="2764" spans="1:9" x14ac:dyDescent="0.3">
      <c r="A2764" t="str">
        <f>""</f>
        <v/>
      </c>
      <c r="F2764" t="str">
        <f>""</f>
        <v/>
      </c>
      <c r="G2764" t="str">
        <f>""</f>
        <v/>
      </c>
      <c r="I2764" t="str">
        <f t="shared" si="57"/>
        <v>VERITY HRA FEE</v>
      </c>
    </row>
    <row r="2765" spans="1:9" x14ac:dyDescent="0.3">
      <c r="A2765" t="str">
        <f>""</f>
        <v/>
      </c>
      <c r="F2765" t="str">
        <f>""</f>
        <v/>
      </c>
      <c r="G2765" t="str">
        <f>""</f>
        <v/>
      </c>
      <c r="I2765" t="str">
        <f t="shared" si="57"/>
        <v>VERITY HRA FEE</v>
      </c>
    </row>
    <row r="2766" spans="1:9" x14ac:dyDescent="0.3">
      <c r="A2766" t="str">
        <f>""</f>
        <v/>
      </c>
      <c r="F2766" t="str">
        <f>""</f>
        <v/>
      </c>
      <c r="G2766" t="str">
        <f>""</f>
        <v/>
      </c>
      <c r="I2766" t="str">
        <f t="shared" si="57"/>
        <v>VERITY HRA FEE</v>
      </c>
    </row>
    <row r="2767" spans="1:9" x14ac:dyDescent="0.3">
      <c r="A2767" t="str">
        <f>""</f>
        <v/>
      </c>
      <c r="F2767" t="str">
        <f>""</f>
        <v/>
      </c>
      <c r="G2767" t="str">
        <f>""</f>
        <v/>
      </c>
      <c r="I2767" t="str">
        <f t="shared" si="57"/>
        <v>VERITY HRA FEE</v>
      </c>
    </row>
    <row r="2768" spans="1:9" x14ac:dyDescent="0.3">
      <c r="A2768" t="str">
        <f>""</f>
        <v/>
      </c>
      <c r="F2768" t="str">
        <f>""</f>
        <v/>
      </c>
      <c r="G2768" t="str">
        <f>""</f>
        <v/>
      </c>
      <c r="I2768" t="str">
        <f t="shared" si="57"/>
        <v>VERITY HRA FEE</v>
      </c>
    </row>
    <row r="2769" spans="1:9" x14ac:dyDescent="0.3">
      <c r="A2769" t="str">
        <f>""</f>
        <v/>
      </c>
      <c r="F2769" t="str">
        <f>""</f>
        <v/>
      </c>
      <c r="G2769" t="str">
        <f>""</f>
        <v/>
      </c>
      <c r="I2769" t="str">
        <f t="shared" si="57"/>
        <v>VERITY HRA FEE</v>
      </c>
    </row>
    <row r="2770" spans="1:9" x14ac:dyDescent="0.3">
      <c r="A2770" t="str">
        <f>""</f>
        <v/>
      </c>
      <c r="F2770" t="str">
        <f>""</f>
        <v/>
      </c>
      <c r="G2770" t="str">
        <f>""</f>
        <v/>
      </c>
      <c r="I2770" t="str">
        <f t="shared" si="57"/>
        <v>VERITY HRA FEE</v>
      </c>
    </row>
    <row r="2771" spans="1:9" x14ac:dyDescent="0.3">
      <c r="A2771" t="str">
        <f>""</f>
        <v/>
      </c>
      <c r="F2771" t="str">
        <f>""</f>
        <v/>
      </c>
      <c r="G2771" t="str">
        <f>""</f>
        <v/>
      </c>
      <c r="I2771" t="str">
        <f t="shared" si="57"/>
        <v>VERITY HRA FEE</v>
      </c>
    </row>
    <row r="2772" spans="1:9" x14ac:dyDescent="0.3">
      <c r="A2772" t="str">
        <f>""</f>
        <v/>
      </c>
      <c r="F2772" t="str">
        <f>""</f>
        <v/>
      </c>
      <c r="G2772" t="str">
        <f>""</f>
        <v/>
      </c>
      <c r="I2772" t="str">
        <f t="shared" si="57"/>
        <v>VERITY HRA FEE</v>
      </c>
    </row>
    <row r="2773" spans="1:9" x14ac:dyDescent="0.3">
      <c r="A2773" t="str">
        <f>""</f>
        <v/>
      </c>
      <c r="F2773" t="str">
        <f>""</f>
        <v/>
      </c>
      <c r="G2773" t="str">
        <f>""</f>
        <v/>
      </c>
      <c r="I2773" t="str">
        <f t="shared" si="57"/>
        <v>VERITY HRA FEE</v>
      </c>
    </row>
    <row r="2774" spans="1:9" x14ac:dyDescent="0.3">
      <c r="A2774" t="str">
        <f>""</f>
        <v/>
      </c>
      <c r="F2774" t="str">
        <f>""</f>
        <v/>
      </c>
      <c r="G2774" t="str">
        <f>""</f>
        <v/>
      </c>
      <c r="I2774" t="str">
        <f t="shared" si="57"/>
        <v>VERITY HRA FEE</v>
      </c>
    </row>
    <row r="2775" spans="1:9" x14ac:dyDescent="0.3">
      <c r="A2775" t="str">
        <f>""</f>
        <v/>
      </c>
      <c r="F2775" t="str">
        <f>""</f>
        <v/>
      </c>
      <c r="G2775" t="str">
        <f>""</f>
        <v/>
      </c>
      <c r="I2775" t="str">
        <f t="shared" si="57"/>
        <v>VERITY HRA FEE</v>
      </c>
    </row>
    <row r="2776" spans="1:9" x14ac:dyDescent="0.3">
      <c r="A2776" t="str">
        <f>""</f>
        <v/>
      </c>
      <c r="F2776" t="str">
        <f>""</f>
        <v/>
      </c>
      <c r="G2776" t="str">
        <f>""</f>
        <v/>
      </c>
      <c r="I2776" t="str">
        <f t="shared" si="57"/>
        <v>VERITY HRA FEE</v>
      </c>
    </row>
    <row r="2777" spans="1:9" x14ac:dyDescent="0.3">
      <c r="A2777" t="str">
        <f>""</f>
        <v/>
      </c>
      <c r="F2777" t="str">
        <f>""</f>
        <v/>
      </c>
      <c r="G2777" t="str">
        <f>""</f>
        <v/>
      </c>
      <c r="I2777" t="str">
        <f t="shared" si="57"/>
        <v>VERITY HRA FEE</v>
      </c>
    </row>
    <row r="2778" spans="1:9" x14ac:dyDescent="0.3">
      <c r="A2778" t="str">
        <f>""</f>
        <v/>
      </c>
      <c r="F2778" t="str">
        <f>""</f>
        <v/>
      </c>
      <c r="G2778" t="str">
        <f>""</f>
        <v/>
      </c>
      <c r="I2778" t="str">
        <f t="shared" si="57"/>
        <v>VERITY HRA FEE</v>
      </c>
    </row>
    <row r="2779" spans="1:9" x14ac:dyDescent="0.3">
      <c r="A2779" t="str">
        <f>""</f>
        <v/>
      </c>
      <c r="F2779" t="str">
        <f>""</f>
        <v/>
      </c>
      <c r="G2779" t="str">
        <f>""</f>
        <v/>
      </c>
      <c r="I2779" t="str">
        <f t="shared" si="57"/>
        <v>VERITY HRA FEE</v>
      </c>
    </row>
    <row r="2780" spans="1:9" x14ac:dyDescent="0.3">
      <c r="A2780" t="str">
        <f>""</f>
        <v/>
      </c>
      <c r="F2780" t="str">
        <f>""</f>
        <v/>
      </c>
      <c r="G2780" t="str">
        <f>""</f>
        <v/>
      </c>
      <c r="I2780" t="str">
        <f t="shared" si="57"/>
        <v>VERITY HRA FEE</v>
      </c>
    </row>
    <row r="2781" spans="1:9" x14ac:dyDescent="0.3">
      <c r="A2781" t="str">
        <f>""</f>
        <v/>
      </c>
      <c r="F2781" t="str">
        <f>""</f>
        <v/>
      </c>
      <c r="G2781" t="str">
        <f>""</f>
        <v/>
      </c>
      <c r="I2781" t="str">
        <f t="shared" si="57"/>
        <v>VERITY HRA FEE</v>
      </c>
    </row>
    <row r="2782" spans="1:9" x14ac:dyDescent="0.3">
      <c r="A2782" t="str">
        <f>""</f>
        <v/>
      </c>
      <c r="F2782" t="str">
        <f>""</f>
        <v/>
      </c>
      <c r="G2782" t="str">
        <f>""</f>
        <v/>
      </c>
      <c r="I2782" t="str">
        <f t="shared" si="57"/>
        <v>VERITY HRA FEE</v>
      </c>
    </row>
    <row r="2783" spans="1:9" x14ac:dyDescent="0.3">
      <c r="A2783" t="str">
        <f>""</f>
        <v/>
      </c>
      <c r="F2783" t="str">
        <f>""</f>
        <v/>
      </c>
      <c r="G2783" t="str">
        <f>""</f>
        <v/>
      </c>
      <c r="I2783" t="str">
        <f t="shared" si="57"/>
        <v>VERITY HRA FEE</v>
      </c>
    </row>
    <row r="2784" spans="1:9" x14ac:dyDescent="0.3">
      <c r="A2784" t="str">
        <f>""</f>
        <v/>
      </c>
      <c r="F2784" t="str">
        <f>""</f>
        <v/>
      </c>
      <c r="G2784" t="str">
        <f>""</f>
        <v/>
      </c>
      <c r="I2784" t="str">
        <f t="shared" si="57"/>
        <v>VERITY HRA FEE</v>
      </c>
    </row>
    <row r="2785" spans="1:9" x14ac:dyDescent="0.3">
      <c r="A2785" t="str">
        <f>""</f>
        <v/>
      </c>
      <c r="F2785" t="str">
        <f>""</f>
        <v/>
      </c>
      <c r="G2785" t="str">
        <f>""</f>
        <v/>
      </c>
      <c r="I2785" t="str">
        <f t="shared" si="57"/>
        <v>VERITY HRA FEE</v>
      </c>
    </row>
    <row r="2786" spans="1:9" x14ac:dyDescent="0.3">
      <c r="A2786" t="str">
        <f>""</f>
        <v/>
      </c>
      <c r="F2786" t="str">
        <f>""</f>
        <v/>
      </c>
      <c r="G2786" t="str">
        <f>""</f>
        <v/>
      </c>
      <c r="I2786" t="str">
        <f t="shared" si="57"/>
        <v>VERITY HRA FEE</v>
      </c>
    </row>
    <row r="2787" spans="1:9" x14ac:dyDescent="0.3">
      <c r="A2787" t="str">
        <f>""</f>
        <v/>
      </c>
      <c r="F2787" t="str">
        <f>""</f>
        <v/>
      </c>
      <c r="G2787" t="str">
        <f>""</f>
        <v/>
      </c>
      <c r="I2787" t="str">
        <f t="shared" si="57"/>
        <v>VERITY HRA FEE</v>
      </c>
    </row>
    <row r="2788" spans="1:9" x14ac:dyDescent="0.3">
      <c r="A2788" t="str">
        <f>""</f>
        <v/>
      </c>
      <c r="F2788" t="str">
        <f>""</f>
        <v/>
      </c>
      <c r="G2788" t="str">
        <f>""</f>
        <v/>
      </c>
      <c r="I2788" t="str">
        <f t="shared" si="57"/>
        <v>VERITY HRA FEE</v>
      </c>
    </row>
    <row r="2789" spans="1:9" x14ac:dyDescent="0.3">
      <c r="A2789" t="str">
        <f>""</f>
        <v/>
      </c>
      <c r="F2789" t="str">
        <f>""</f>
        <v/>
      </c>
      <c r="G2789" t="str">
        <f>""</f>
        <v/>
      </c>
      <c r="I2789" t="str">
        <f t="shared" si="57"/>
        <v>VERITY HRA FEE</v>
      </c>
    </row>
    <row r="2790" spans="1:9" x14ac:dyDescent="0.3">
      <c r="A2790" t="str">
        <f>""</f>
        <v/>
      </c>
      <c r="F2790" t="str">
        <f>""</f>
        <v/>
      </c>
      <c r="G2790" t="str">
        <f>""</f>
        <v/>
      </c>
      <c r="I2790" t="str">
        <f t="shared" si="57"/>
        <v>VERITY HRA FEE</v>
      </c>
    </row>
    <row r="2791" spans="1:9" x14ac:dyDescent="0.3">
      <c r="A2791" t="str">
        <f>""</f>
        <v/>
      </c>
      <c r="F2791" t="str">
        <f>""</f>
        <v/>
      </c>
      <c r="G2791" t="str">
        <f>""</f>
        <v/>
      </c>
      <c r="I2791" t="str">
        <f t="shared" si="57"/>
        <v>VERITY HRA FEE</v>
      </c>
    </row>
    <row r="2792" spans="1:9" x14ac:dyDescent="0.3">
      <c r="A2792" t="str">
        <f>""</f>
        <v/>
      </c>
      <c r="F2792" t="str">
        <f>""</f>
        <v/>
      </c>
      <c r="G2792" t="str">
        <f>""</f>
        <v/>
      </c>
      <c r="I2792" t="str">
        <f t="shared" si="57"/>
        <v>VERITY HRA FEE</v>
      </c>
    </row>
    <row r="2793" spans="1:9" x14ac:dyDescent="0.3">
      <c r="A2793" t="str">
        <f>""</f>
        <v/>
      </c>
      <c r="F2793" t="str">
        <f>""</f>
        <v/>
      </c>
      <c r="G2793" t="str">
        <f>""</f>
        <v/>
      </c>
      <c r="I2793" t="str">
        <f t="shared" si="57"/>
        <v>VERITY HRA FEE</v>
      </c>
    </row>
    <row r="2794" spans="1:9" x14ac:dyDescent="0.3">
      <c r="A2794" t="str">
        <f>""</f>
        <v/>
      </c>
      <c r="F2794" t="str">
        <f>"HRF201704191328"</f>
        <v>HRF201704191328</v>
      </c>
      <c r="G2794" t="str">
        <f>"VERITY HRA FEE"</f>
        <v>VERITY HRA FEE</v>
      </c>
      <c r="H2794" s="2">
        <v>30</v>
      </c>
      <c r="I2794" t="str">
        <f t="shared" si="57"/>
        <v>VERITY HRA FEE</v>
      </c>
    </row>
    <row r="2795" spans="1:9" x14ac:dyDescent="0.3">
      <c r="A2795" t="str">
        <f t="shared" ref="A2795:A2826" si="58">"1"</f>
        <v>1</v>
      </c>
      <c r="B2795" t="s">
        <v>472</v>
      </c>
      <c r="C2795">
        <v>45362</v>
      </c>
      <c r="D2795" s="2">
        <v>180</v>
      </c>
      <c r="E2795" s="1">
        <v>42855</v>
      </c>
      <c r="F2795" t="str">
        <f>"201705091835"</f>
        <v>201705091835</v>
      </c>
      <c r="G2795" t="str">
        <f>""</f>
        <v/>
      </c>
      <c r="H2795" s="2">
        <v>180</v>
      </c>
      <c r="I2795" t="str">
        <f>"ALLSTATE FIRE &amp; CASUALTY INS"</f>
        <v>ALLSTATE FIRE &amp; CASUALTY INS</v>
      </c>
    </row>
    <row r="2796" spans="1:9" x14ac:dyDescent="0.3">
      <c r="A2796" t="str">
        <f t="shared" si="58"/>
        <v>1</v>
      </c>
      <c r="B2796" t="s">
        <v>473</v>
      </c>
      <c r="C2796">
        <v>45363</v>
      </c>
      <c r="D2796" s="2">
        <v>350</v>
      </c>
      <c r="E2796" s="1">
        <v>42855</v>
      </c>
      <c r="F2796" t="str">
        <f>"201705091836"</f>
        <v>201705091836</v>
      </c>
      <c r="G2796" t="str">
        <f>"Miscellaneous"</f>
        <v>Miscellaneous</v>
      </c>
      <c r="H2796" s="2">
        <v>350</v>
      </c>
      <c r="I2796" t="str">
        <f>"ANDREA HAIRE"</f>
        <v>ANDREA HAIRE</v>
      </c>
    </row>
    <row r="2797" spans="1:9" x14ac:dyDescent="0.3">
      <c r="A2797" t="str">
        <f t="shared" si="58"/>
        <v>1</v>
      </c>
      <c r="B2797" t="s">
        <v>474</v>
      </c>
      <c r="C2797">
        <v>45364</v>
      </c>
      <c r="D2797" s="2">
        <v>10</v>
      </c>
      <c r="E2797" s="1">
        <v>42855</v>
      </c>
      <c r="F2797" t="str">
        <f>"201705091924"</f>
        <v>201705091924</v>
      </c>
      <c r="G2797" t="str">
        <f>"Misce"</f>
        <v>Misce</v>
      </c>
      <c r="H2797" s="2">
        <v>10</v>
      </c>
      <c r="I2797" t="str">
        <f>"ASHLEY MICHELLE TAYLOR"</f>
        <v>ASHLEY MICHELLE TAYLOR</v>
      </c>
    </row>
    <row r="2798" spans="1:9" x14ac:dyDescent="0.3">
      <c r="A2798" t="str">
        <f t="shared" si="58"/>
        <v>1</v>
      </c>
      <c r="B2798" t="s">
        <v>475</v>
      </c>
      <c r="C2798">
        <v>45365</v>
      </c>
      <c r="D2798" s="2">
        <v>56.06</v>
      </c>
      <c r="E2798" s="1">
        <v>42855</v>
      </c>
      <c r="F2798" t="str">
        <f>"201705091837"</f>
        <v>201705091837</v>
      </c>
      <c r="G2798" t="str">
        <f>"Miscella"</f>
        <v>Miscella</v>
      </c>
      <c r="H2798" s="2">
        <v>56.06</v>
      </c>
      <c r="I2798" t="str">
        <f>"BASTROP COUNTY CSCD"</f>
        <v>BASTROP COUNTY CSCD</v>
      </c>
    </row>
    <row r="2799" spans="1:9" x14ac:dyDescent="0.3">
      <c r="A2799" t="str">
        <f t="shared" si="58"/>
        <v>1</v>
      </c>
      <c r="B2799" t="s">
        <v>476</v>
      </c>
      <c r="C2799">
        <v>45366</v>
      </c>
      <c r="D2799" s="2">
        <v>120</v>
      </c>
      <c r="E2799" s="1">
        <v>42855</v>
      </c>
      <c r="F2799" t="str">
        <f>"201705091909"</f>
        <v>201705091909</v>
      </c>
      <c r="G2799" t="str">
        <f>"Mis"</f>
        <v>Mis</v>
      </c>
      <c r="H2799" s="2">
        <v>120</v>
      </c>
      <c r="I2799" t="str">
        <f>"BASTROP COUNTY TREASURER"</f>
        <v>BASTROP COUNTY TREASURER</v>
      </c>
    </row>
    <row r="2800" spans="1:9" x14ac:dyDescent="0.3">
      <c r="A2800" t="str">
        <f t="shared" si="58"/>
        <v>1</v>
      </c>
      <c r="B2800" t="s">
        <v>477</v>
      </c>
      <c r="C2800">
        <v>45367</v>
      </c>
      <c r="D2800" s="2">
        <v>100</v>
      </c>
      <c r="E2800" s="1">
        <v>42855</v>
      </c>
      <c r="F2800" t="str">
        <f>"201705091838"</f>
        <v>201705091838</v>
      </c>
      <c r="G2800" t="str">
        <f>"Miscellaneou"</f>
        <v>Miscellaneou</v>
      </c>
      <c r="H2800" s="2">
        <v>100</v>
      </c>
      <c r="I2800" t="str">
        <f>"BERNARD KMIECIK"</f>
        <v>BERNARD KMIECIK</v>
      </c>
    </row>
    <row r="2801" spans="1:9" x14ac:dyDescent="0.3">
      <c r="A2801" t="str">
        <f t="shared" si="58"/>
        <v>1</v>
      </c>
      <c r="B2801" t="s">
        <v>478</v>
      </c>
      <c r="C2801">
        <v>45368</v>
      </c>
      <c r="D2801" s="2">
        <v>500</v>
      </c>
      <c r="E2801" s="1">
        <v>42855</v>
      </c>
      <c r="F2801" t="str">
        <f>"201705091916"</f>
        <v>201705091916</v>
      </c>
      <c r="G2801" t="str">
        <f>""</f>
        <v/>
      </c>
      <c r="H2801" s="2">
        <v>500</v>
      </c>
      <c r="I2801" t="str">
        <f>"BLUEBONNET AREA CRIMESTOPPERS"</f>
        <v>BLUEBONNET AREA CRIMESTOPPERS</v>
      </c>
    </row>
    <row r="2802" spans="1:9" x14ac:dyDescent="0.3">
      <c r="A2802" t="str">
        <f t="shared" si="58"/>
        <v>1</v>
      </c>
      <c r="B2802" t="s">
        <v>77</v>
      </c>
      <c r="C2802">
        <v>45369</v>
      </c>
      <c r="D2802" s="2">
        <v>27.92</v>
      </c>
      <c r="E2802" s="1">
        <v>42855</v>
      </c>
      <c r="F2802" t="str">
        <f>"201705091839"</f>
        <v>201705091839</v>
      </c>
      <c r="G2802" t="str">
        <f>"Miscella"</f>
        <v>Miscella</v>
      </c>
      <c r="H2802" s="2">
        <v>27.92</v>
      </c>
    </row>
    <row r="2803" spans="1:9" x14ac:dyDescent="0.3">
      <c r="A2803" t="str">
        <f t="shared" si="58"/>
        <v>1</v>
      </c>
      <c r="B2803" t="s">
        <v>479</v>
      </c>
      <c r="C2803">
        <v>45370</v>
      </c>
      <c r="D2803" s="2">
        <v>280</v>
      </c>
      <c r="E2803" s="1">
        <v>42855</v>
      </c>
      <c r="F2803" t="str">
        <f>"201705091840"</f>
        <v>201705091840</v>
      </c>
      <c r="G2803" t="str">
        <f>""</f>
        <v/>
      </c>
      <c r="H2803" s="2">
        <v>280</v>
      </c>
      <c r="I2803" t="str">
        <f>"BRAZOS VALLEY SCHOOL CREDIT UN"</f>
        <v>BRAZOS VALLEY SCHOOL CREDIT UN</v>
      </c>
    </row>
    <row r="2804" spans="1:9" x14ac:dyDescent="0.3">
      <c r="A2804" t="str">
        <f t="shared" si="58"/>
        <v>1</v>
      </c>
      <c r="B2804" t="s">
        <v>480</v>
      </c>
      <c r="C2804">
        <v>45371</v>
      </c>
      <c r="D2804" s="2">
        <v>46</v>
      </c>
      <c r="E2804" s="1">
        <v>42855</v>
      </c>
      <c r="F2804" t="str">
        <f>"201705091841"</f>
        <v>201705091841</v>
      </c>
      <c r="G2804" t="str">
        <f>"Mi"</f>
        <v>Mi</v>
      </c>
      <c r="H2804" s="2">
        <v>46</v>
      </c>
      <c r="I2804" t="str">
        <f>"BRENHAM HOUSING AUTHORITY"</f>
        <v>BRENHAM HOUSING AUTHORITY</v>
      </c>
    </row>
    <row r="2805" spans="1:9" x14ac:dyDescent="0.3">
      <c r="A2805" t="str">
        <f t="shared" si="58"/>
        <v>1</v>
      </c>
      <c r="B2805" t="s">
        <v>481</v>
      </c>
      <c r="C2805">
        <v>45372</v>
      </c>
      <c r="D2805" s="2">
        <v>37</v>
      </c>
      <c r="E2805" s="1">
        <v>42855</v>
      </c>
      <c r="F2805" t="str">
        <f>"201705091842"</f>
        <v>201705091842</v>
      </c>
      <c r="G2805" t="str">
        <f>"Mi"</f>
        <v>Mi</v>
      </c>
      <c r="H2805" s="2">
        <v>37</v>
      </c>
      <c r="I2805" t="str">
        <f>"BRENHAM POLICE DEPARTMENT"</f>
        <v>BRENHAM POLICE DEPARTMENT</v>
      </c>
    </row>
    <row r="2806" spans="1:9" x14ac:dyDescent="0.3">
      <c r="A2806" t="str">
        <f t="shared" si="58"/>
        <v>1</v>
      </c>
      <c r="B2806" t="s">
        <v>482</v>
      </c>
      <c r="C2806">
        <v>45373</v>
      </c>
      <c r="D2806" s="2">
        <v>150.93</v>
      </c>
      <c r="E2806" s="1">
        <v>42855</v>
      </c>
      <c r="F2806" t="str">
        <f>"201705091843"</f>
        <v>201705091843</v>
      </c>
      <c r="G2806" t="str">
        <f>"Miscel"</f>
        <v>Miscel</v>
      </c>
      <c r="H2806" s="2">
        <v>150.93</v>
      </c>
      <c r="I2806" t="str">
        <f>"BRENHAM REPAIR CENTER"</f>
        <v>BRENHAM REPAIR CENTER</v>
      </c>
    </row>
    <row r="2807" spans="1:9" x14ac:dyDescent="0.3">
      <c r="A2807" t="str">
        <f t="shared" si="58"/>
        <v>1</v>
      </c>
      <c r="B2807" t="s">
        <v>483</v>
      </c>
      <c r="C2807">
        <v>45374</v>
      </c>
      <c r="D2807" s="2">
        <v>35</v>
      </c>
      <c r="E2807" s="1">
        <v>42855</v>
      </c>
      <c r="F2807" t="str">
        <f>"201705091844"</f>
        <v>201705091844</v>
      </c>
      <c r="G2807" t="str">
        <f>"Miscellaneous"</f>
        <v>Miscellaneous</v>
      </c>
      <c r="H2807" s="2">
        <v>35</v>
      </c>
      <c r="I2807" t="str">
        <f>"BRUCE R. FAUST"</f>
        <v>BRUCE R. FAUST</v>
      </c>
    </row>
    <row r="2808" spans="1:9" x14ac:dyDescent="0.3">
      <c r="A2808" t="str">
        <f t="shared" si="58"/>
        <v>1</v>
      </c>
      <c r="B2808" t="s">
        <v>484</v>
      </c>
      <c r="C2808">
        <v>45375</v>
      </c>
      <c r="D2808" s="2">
        <v>4580.5</v>
      </c>
      <c r="E2808" s="1">
        <v>42855</v>
      </c>
      <c r="F2808" t="str">
        <f>"201705091910"</f>
        <v>201705091910</v>
      </c>
      <c r="G2808" t="str">
        <f>""</f>
        <v/>
      </c>
      <c r="H2808" s="2">
        <v>4580.5</v>
      </c>
      <c r="I2808" t="str">
        <f>"BURLESON COUNTY DISTRICT CLERK"</f>
        <v>BURLESON COUNTY DISTRICT CLERK</v>
      </c>
    </row>
    <row r="2809" spans="1:9" x14ac:dyDescent="0.3">
      <c r="A2809" t="str">
        <f t="shared" si="58"/>
        <v>1</v>
      </c>
      <c r="B2809" t="s">
        <v>485</v>
      </c>
      <c r="C2809">
        <v>45376</v>
      </c>
      <c r="D2809" s="2">
        <v>5</v>
      </c>
      <c r="E2809" s="1">
        <v>42855</v>
      </c>
      <c r="F2809" t="str">
        <f>"201705091925"</f>
        <v>201705091925</v>
      </c>
      <c r="G2809" t="str">
        <f>"Mi"</f>
        <v>Mi</v>
      </c>
      <c r="H2809" s="2">
        <v>5</v>
      </c>
      <c r="I2809" t="str">
        <f>"BURLESON COUNTY TREASURER"</f>
        <v>BURLESON COUNTY TREASURER</v>
      </c>
    </row>
    <row r="2810" spans="1:9" x14ac:dyDescent="0.3">
      <c r="A2810" t="str">
        <f t="shared" si="58"/>
        <v>1</v>
      </c>
      <c r="B2810" t="s">
        <v>486</v>
      </c>
      <c r="C2810">
        <v>45377</v>
      </c>
      <c r="D2810" s="2">
        <v>350</v>
      </c>
      <c r="E2810" s="1">
        <v>42855</v>
      </c>
      <c r="F2810" t="str">
        <f>"201705091845"</f>
        <v>201705091845</v>
      </c>
      <c r="G2810" t="str">
        <f>"Miscellane"</f>
        <v>Miscellane</v>
      </c>
      <c r="H2810" s="2">
        <v>350</v>
      </c>
      <c r="I2810" t="str">
        <f>"BURTON STATE BANK"</f>
        <v>BURTON STATE BANK</v>
      </c>
    </row>
    <row r="2811" spans="1:9" x14ac:dyDescent="0.3">
      <c r="A2811" t="str">
        <f t="shared" si="58"/>
        <v>1</v>
      </c>
      <c r="B2811" t="s">
        <v>487</v>
      </c>
      <c r="C2811">
        <v>45378</v>
      </c>
      <c r="D2811" s="2">
        <v>145.16</v>
      </c>
      <c r="E2811" s="1">
        <v>42855</v>
      </c>
      <c r="F2811" t="str">
        <f>"201705091846"</f>
        <v>201705091846</v>
      </c>
      <c r="G2811" t="str">
        <f>"Miscellaneous"</f>
        <v>Miscellaneous</v>
      </c>
      <c r="H2811" s="2">
        <v>145.16</v>
      </c>
      <c r="I2811" t="str">
        <f>"CARGILL"</f>
        <v>CARGILL</v>
      </c>
    </row>
    <row r="2812" spans="1:9" x14ac:dyDescent="0.3">
      <c r="A2812" t="str">
        <f t="shared" si="58"/>
        <v>1</v>
      </c>
      <c r="B2812" t="s">
        <v>488</v>
      </c>
      <c r="C2812">
        <v>45379</v>
      </c>
      <c r="D2812" s="2">
        <v>150</v>
      </c>
      <c r="E2812" s="1">
        <v>42855</v>
      </c>
      <c r="F2812" t="str">
        <f>"201705091847"</f>
        <v>201705091847</v>
      </c>
      <c r="G2812" t="str">
        <f>"Mi"</f>
        <v>Mi</v>
      </c>
      <c r="H2812" s="2">
        <v>150</v>
      </c>
      <c r="I2812" t="str">
        <f>"CARMINE FEED &amp; FERTILIZER"</f>
        <v>CARMINE FEED &amp; FERTILIZER</v>
      </c>
    </row>
    <row r="2813" spans="1:9" x14ac:dyDescent="0.3">
      <c r="A2813" t="str">
        <f t="shared" si="58"/>
        <v>1</v>
      </c>
      <c r="B2813" t="s">
        <v>489</v>
      </c>
      <c r="C2813">
        <v>45380</v>
      </c>
      <c r="D2813" s="2">
        <v>241.38</v>
      </c>
      <c r="E2813" s="1">
        <v>42855</v>
      </c>
      <c r="F2813" t="str">
        <f>"201705091848"</f>
        <v>201705091848</v>
      </c>
      <c r="G2813" t="str">
        <f>"Mis"</f>
        <v>Mis</v>
      </c>
      <c r="H2813" s="2">
        <v>241.38</v>
      </c>
      <c r="I2813" t="str">
        <f>"CATHERINE JEAN STEINFELD"</f>
        <v>CATHERINE JEAN STEINFELD</v>
      </c>
    </row>
    <row r="2814" spans="1:9" x14ac:dyDescent="0.3">
      <c r="A2814" t="str">
        <f t="shared" si="58"/>
        <v>1</v>
      </c>
      <c r="B2814" t="s">
        <v>490</v>
      </c>
      <c r="C2814">
        <v>45381</v>
      </c>
      <c r="D2814" s="2">
        <v>44</v>
      </c>
      <c r="E2814" s="1">
        <v>42855</v>
      </c>
      <c r="F2814" t="str">
        <f>"201705091849"</f>
        <v>201705091849</v>
      </c>
      <c r="G2814" t="str">
        <f>"Miscellaneo"</f>
        <v>Miscellaneo</v>
      </c>
      <c r="H2814" s="2">
        <v>44</v>
      </c>
      <c r="I2814" t="str">
        <f>"CENTER DRIVE INN"</f>
        <v>CENTER DRIVE INN</v>
      </c>
    </row>
    <row r="2815" spans="1:9" x14ac:dyDescent="0.3">
      <c r="A2815" t="str">
        <f t="shared" si="58"/>
        <v>1</v>
      </c>
      <c r="B2815" t="s">
        <v>491</v>
      </c>
      <c r="C2815">
        <v>45382</v>
      </c>
      <c r="D2815" s="2">
        <v>31.67</v>
      </c>
      <c r="E2815" s="1">
        <v>42855</v>
      </c>
      <c r="F2815" t="str">
        <f>"201705091850"</f>
        <v>201705091850</v>
      </c>
      <c r="G2815" t="str">
        <f>"Miscellaneous"</f>
        <v>Miscellaneous</v>
      </c>
      <c r="H2815" s="2">
        <v>31.67</v>
      </c>
      <c r="I2815" t="str">
        <f>"CHECK N GO"</f>
        <v>CHECK N GO</v>
      </c>
    </row>
    <row r="2816" spans="1:9" x14ac:dyDescent="0.3">
      <c r="A2816" t="str">
        <f t="shared" si="58"/>
        <v>1</v>
      </c>
      <c r="B2816" t="s">
        <v>492</v>
      </c>
      <c r="C2816">
        <v>45383</v>
      </c>
      <c r="D2816" s="2">
        <v>200</v>
      </c>
      <c r="E2816" s="1">
        <v>42855</v>
      </c>
      <c r="F2816" t="str">
        <f>"201705091851"</f>
        <v>201705091851</v>
      </c>
      <c r="G2816" t="str">
        <f>""</f>
        <v/>
      </c>
      <c r="H2816" s="2">
        <v>200</v>
      </c>
      <c r="I2816" t="str">
        <f>"CITI SECURITY AND INVESTIGATIV"</f>
        <v>CITI SECURITY AND INVESTIGATIV</v>
      </c>
    </row>
    <row r="2817" spans="1:9" x14ac:dyDescent="0.3">
      <c r="A2817" t="str">
        <f t="shared" si="58"/>
        <v>1</v>
      </c>
      <c r="B2817" t="s">
        <v>493</v>
      </c>
      <c r="C2817">
        <v>45384</v>
      </c>
      <c r="D2817" s="2">
        <v>270</v>
      </c>
      <c r="E2817" s="1">
        <v>42855</v>
      </c>
      <c r="F2817" t="str">
        <f>"201705091852"</f>
        <v>201705091852</v>
      </c>
      <c r="G2817" t="str">
        <f>"Miscellaneou"</f>
        <v>Miscellaneou</v>
      </c>
      <c r="H2817" s="2">
        <v>270</v>
      </c>
      <c r="I2817" t="str">
        <f>"CITY OF BRENHAM"</f>
        <v>CITY OF BRENHAM</v>
      </c>
    </row>
    <row r="2818" spans="1:9" x14ac:dyDescent="0.3">
      <c r="A2818" t="str">
        <f t="shared" si="58"/>
        <v>1</v>
      </c>
      <c r="B2818" t="s">
        <v>494</v>
      </c>
      <c r="C2818">
        <v>45385</v>
      </c>
      <c r="D2818" s="2">
        <v>480</v>
      </c>
      <c r="E2818" s="1">
        <v>42855</v>
      </c>
      <c r="F2818" t="str">
        <f>"201705091853"</f>
        <v>201705091853</v>
      </c>
      <c r="G2818" t="str">
        <f>"Miscellaneous"</f>
        <v>Miscellaneous</v>
      </c>
      <c r="H2818" s="2">
        <v>480</v>
      </c>
      <c r="I2818" t="str">
        <f>"CLAY NOHAVITZA"</f>
        <v>CLAY NOHAVITZA</v>
      </c>
    </row>
    <row r="2819" spans="1:9" x14ac:dyDescent="0.3">
      <c r="A2819" t="str">
        <f t="shared" si="58"/>
        <v>1</v>
      </c>
      <c r="B2819" t="s">
        <v>495</v>
      </c>
      <c r="C2819">
        <v>45386</v>
      </c>
      <c r="D2819" s="2">
        <v>200.03</v>
      </c>
      <c r="E2819" s="1">
        <v>42855</v>
      </c>
      <c r="F2819" t="str">
        <f>"201705091914"</f>
        <v>201705091914</v>
      </c>
      <c r="G2819" t="str">
        <f>"Miscellane"</f>
        <v>Miscellane</v>
      </c>
      <c r="H2819" s="2">
        <v>200.03</v>
      </c>
      <c r="I2819" t="str">
        <f>"COLBY ALAN BARHAM"</f>
        <v>COLBY ALAN BARHAM</v>
      </c>
    </row>
    <row r="2820" spans="1:9" x14ac:dyDescent="0.3">
      <c r="A2820" t="str">
        <f t="shared" si="58"/>
        <v>1</v>
      </c>
      <c r="B2820" t="s">
        <v>496</v>
      </c>
      <c r="C2820">
        <v>45387</v>
      </c>
      <c r="D2820" s="2">
        <v>30</v>
      </c>
      <c r="E2820" s="1">
        <v>42855</v>
      </c>
      <c r="F2820" t="str">
        <f>"201705091854"</f>
        <v>201705091854</v>
      </c>
      <c r="G2820" t="str">
        <f>"Miscell"</f>
        <v>Miscell</v>
      </c>
      <c r="H2820" s="2">
        <v>30</v>
      </c>
      <c r="I2820" t="str">
        <f>"CVC ATTORNEY GENERAL"</f>
        <v>CVC ATTORNEY GENERAL</v>
      </c>
    </row>
    <row r="2821" spans="1:9" x14ac:dyDescent="0.3">
      <c r="A2821" t="str">
        <f t="shared" si="58"/>
        <v>1</v>
      </c>
      <c r="B2821" t="s">
        <v>497</v>
      </c>
      <c r="C2821">
        <v>45388</v>
      </c>
      <c r="D2821" s="2">
        <v>25</v>
      </c>
      <c r="E2821" s="1">
        <v>42855</v>
      </c>
      <c r="F2821" t="str">
        <f>"201705091855"</f>
        <v>201705091855</v>
      </c>
      <c r="G2821" t="str">
        <f>"Miscellaneous"</f>
        <v>Miscellaneous</v>
      </c>
      <c r="H2821" s="2">
        <v>25</v>
      </c>
      <c r="I2821" t="str">
        <f>"DANTE CRENSHAW"</f>
        <v>DANTE CRENSHAW</v>
      </c>
    </row>
    <row r="2822" spans="1:9" x14ac:dyDescent="0.3">
      <c r="A2822" t="str">
        <f t="shared" si="58"/>
        <v>1</v>
      </c>
      <c r="B2822" t="s">
        <v>498</v>
      </c>
      <c r="C2822">
        <v>45389</v>
      </c>
      <c r="D2822" s="2">
        <v>210</v>
      </c>
      <c r="E2822" s="1">
        <v>42855</v>
      </c>
      <c r="F2822" t="str">
        <f>"201705091856"</f>
        <v>201705091856</v>
      </c>
      <c r="G2822" t="str">
        <f>"Miscellaneous"</f>
        <v>Miscellaneous</v>
      </c>
      <c r="H2822" s="2">
        <v>210</v>
      </c>
      <c r="I2822" t="str">
        <f>"DAVID HAILE"</f>
        <v>DAVID HAILE</v>
      </c>
    </row>
    <row r="2823" spans="1:9" x14ac:dyDescent="0.3">
      <c r="A2823" t="str">
        <f t="shared" si="58"/>
        <v>1</v>
      </c>
      <c r="B2823" t="s">
        <v>499</v>
      </c>
      <c r="C2823">
        <v>45390</v>
      </c>
      <c r="D2823" s="2">
        <v>165</v>
      </c>
      <c r="E2823" s="1">
        <v>42855</v>
      </c>
      <c r="F2823" t="str">
        <f>"201705091857"</f>
        <v>201705091857</v>
      </c>
      <c r="G2823" t="str">
        <f>"Miscellaneous"</f>
        <v>Miscellaneous</v>
      </c>
      <c r="H2823" s="2">
        <v>165</v>
      </c>
      <c r="I2823" t="str">
        <f>"DEBORAH TATUM"</f>
        <v>DEBORAH TATUM</v>
      </c>
    </row>
    <row r="2824" spans="1:9" x14ac:dyDescent="0.3">
      <c r="A2824" t="str">
        <f t="shared" si="58"/>
        <v>1</v>
      </c>
      <c r="B2824" t="s">
        <v>500</v>
      </c>
      <c r="C2824">
        <v>45391</v>
      </c>
      <c r="D2824" s="2">
        <v>100</v>
      </c>
      <c r="E2824" s="1">
        <v>42855</v>
      </c>
      <c r="F2824" t="str">
        <f>"201705091858"</f>
        <v>201705091858</v>
      </c>
      <c r="G2824" t="str">
        <f>"Miscellaneo"</f>
        <v>Miscellaneo</v>
      </c>
      <c r="H2824" s="2">
        <v>100</v>
      </c>
      <c r="I2824" t="str">
        <f>"DR. DUC VAN TRAN"</f>
        <v>DR. DUC VAN TRAN</v>
      </c>
    </row>
    <row r="2825" spans="1:9" x14ac:dyDescent="0.3">
      <c r="A2825" t="str">
        <f t="shared" si="58"/>
        <v>1</v>
      </c>
      <c r="B2825" t="s">
        <v>501</v>
      </c>
      <c r="C2825">
        <v>45392</v>
      </c>
      <c r="D2825" s="2">
        <v>1432</v>
      </c>
      <c r="E2825" s="1">
        <v>42855</v>
      </c>
      <c r="F2825" t="str">
        <f>"201705091859"</f>
        <v>201705091859</v>
      </c>
      <c r="G2825" t="str">
        <f>"Miscellan"</f>
        <v>Miscellan</v>
      </c>
      <c r="H2825" s="2">
        <v>1432</v>
      </c>
      <c r="I2825" t="str">
        <f>"ENERGY TRANSFER CO"</f>
        <v>ENERGY TRANSFER CO</v>
      </c>
    </row>
    <row r="2826" spans="1:9" x14ac:dyDescent="0.3">
      <c r="A2826" t="str">
        <f t="shared" si="58"/>
        <v>1</v>
      </c>
      <c r="B2826" t="s">
        <v>152</v>
      </c>
      <c r="C2826">
        <v>45393</v>
      </c>
      <c r="D2826" s="2">
        <v>40</v>
      </c>
      <c r="E2826" s="1">
        <v>42855</v>
      </c>
      <c r="F2826" t="str">
        <f>"201705091921"</f>
        <v>201705091921</v>
      </c>
      <c r="G2826" t="str">
        <f>"Miscell"</f>
        <v>Miscell</v>
      </c>
      <c r="H2826" s="2">
        <v>40</v>
      </c>
      <c r="I2826" t="str">
        <f>"FAMILY CRISIS CENTER"</f>
        <v>FAMILY CRISIS CENTER</v>
      </c>
    </row>
    <row r="2827" spans="1:9" x14ac:dyDescent="0.3">
      <c r="A2827" t="str">
        <f t="shared" ref="A2827:A2858" si="59">"1"</f>
        <v>1</v>
      </c>
      <c r="B2827" t="s">
        <v>502</v>
      </c>
      <c r="C2827">
        <v>45394</v>
      </c>
      <c r="D2827" s="2">
        <v>95</v>
      </c>
      <c r="E2827" s="1">
        <v>42855</v>
      </c>
      <c r="F2827" t="str">
        <f>"201705091860"</f>
        <v>201705091860</v>
      </c>
      <c r="G2827" t="str">
        <f>""</f>
        <v/>
      </c>
      <c r="H2827" s="2">
        <v>95</v>
      </c>
      <c r="I2827" t="str">
        <f>"FIRST NATIONAL BANK OF GIDDING"</f>
        <v>FIRST NATIONAL BANK OF GIDDING</v>
      </c>
    </row>
    <row r="2828" spans="1:9" x14ac:dyDescent="0.3">
      <c r="A2828" t="str">
        <f t="shared" si="59"/>
        <v>1</v>
      </c>
      <c r="B2828" t="s">
        <v>503</v>
      </c>
      <c r="C2828">
        <v>45395</v>
      </c>
      <c r="D2828" s="2">
        <v>30</v>
      </c>
      <c r="E2828" s="1">
        <v>42855</v>
      </c>
      <c r="F2828" t="str">
        <f>"201705091915"</f>
        <v>201705091915</v>
      </c>
      <c r="G2828" t="str">
        <f>"Miscellane"</f>
        <v>Miscellane</v>
      </c>
      <c r="H2828" s="2">
        <v>30</v>
      </c>
      <c r="I2828" t="str">
        <f>"FOCUSING FAMILIES"</f>
        <v>FOCUSING FAMILIES</v>
      </c>
    </row>
    <row r="2829" spans="1:9" x14ac:dyDescent="0.3">
      <c r="A2829" t="str">
        <f t="shared" si="59"/>
        <v>1</v>
      </c>
      <c r="B2829" t="s">
        <v>504</v>
      </c>
      <c r="C2829">
        <v>45396</v>
      </c>
      <c r="D2829" s="2">
        <v>149.99</v>
      </c>
      <c r="E2829" s="1">
        <v>42855</v>
      </c>
      <c r="F2829" t="str">
        <f>"201705091861"</f>
        <v>201705091861</v>
      </c>
      <c r="G2829" t="str">
        <f>"Miscella"</f>
        <v>Miscella</v>
      </c>
      <c r="H2829" s="2">
        <v>149.99</v>
      </c>
      <c r="I2829" t="str">
        <f>"FRANK GABRIEL MEUTH"</f>
        <v>FRANK GABRIEL MEUTH</v>
      </c>
    </row>
    <row r="2830" spans="1:9" x14ac:dyDescent="0.3">
      <c r="A2830" t="str">
        <f t="shared" si="59"/>
        <v>1</v>
      </c>
      <c r="B2830" t="s">
        <v>505</v>
      </c>
      <c r="C2830">
        <v>45397</v>
      </c>
      <c r="D2830" s="2">
        <v>160</v>
      </c>
      <c r="E2830" s="1">
        <v>42855</v>
      </c>
      <c r="F2830" t="str">
        <f>"201705091862"</f>
        <v>201705091862</v>
      </c>
      <c r="G2830" t="str">
        <f>"Miscel"</f>
        <v>Miscel</v>
      </c>
      <c r="H2830" s="2">
        <v>160</v>
      </c>
      <c r="I2830" t="str">
        <f>"GARY &amp; DEBORAH DURHAM"</f>
        <v>GARY &amp; DEBORAH DURHAM</v>
      </c>
    </row>
    <row r="2831" spans="1:9" x14ac:dyDescent="0.3">
      <c r="A2831" t="str">
        <f t="shared" si="59"/>
        <v>1</v>
      </c>
      <c r="B2831" t="s">
        <v>506</v>
      </c>
      <c r="C2831">
        <v>45398</v>
      </c>
      <c r="D2831" s="2">
        <v>360</v>
      </c>
      <c r="E2831" s="1">
        <v>42855</v>
      </c>
      <c r="F2831" t="str">
        <f>"201705091920"</f>
        <v>201705091920</v>
      </c>
      <c r="G2831" t="str">
        <f>"Miscellaneous"</f>
        <v>Miscellaneous</v>
      </c>
      <c r="H2831" s="2">
        <v>360</v>
      </c>
      <c r="I2831" t="str">
        <f>"GERALD GARTON"</f>
        <v>GERALD GARTON</v>
      </c>
    </row>
    <row r="2832" spans="1:9" x14ac:dyDescent="0.3">
      <c r="A2832" t="str">
        <f t="shared" si="59"/>
        <v>1</v>
      </c>
      <c r="B2832" t="s">
        <v>507</v>
      </c>
      <c r="C2832">
        <v>45399</v>
      </c>
      <c r="D2832" s="2">
        <v>50</v>
      </c>
      <c r="E2832" s="1">
        <v>42855</v>
      </c>
      <c r="F2832" t="str">
        <f>"201705091863"</f>
        <v>201705091863</v>
      </c>
      <c r="G2832" t="str">
        <f>"Miscell"</f>
        <v>Miscell</v>
      </c>
      <c r="H2832" s="2">
        <v>50</v>
      </c>
      <c r="I2832" t="str">
        <f>"GOOD LIFE RANCH  LLC"</f>
        <v>GOOD LIFE RANCH  LLC</v>
      </c>
    </row>
    <row r="2833" spans="1:9" x14ac:dyDescent="0.3">
      <c r="A2833" t="str">
        <f t="shared" si="59"/>
        <v>1</v>
      </c>
      <c r="B2833" t="s">
        <v>508</v>
      </c>
      <c r="C2833">
        <v>45400</v>
      </c>
      <c r="D2833" s="2">
        <v>50</v>
      </c>
      <c r="E2833" s="1">
        <v>42855</v>
      </c>
      <c r="F2833" t="str">
        <f>"201705091864"</f>
        <v>201705091864</v>
      </c>
      <c r="G2833" t="str">
        <f>"CH"</f>
        <v>CH</v>
      </c>
      <c r="H2833" s="2">
        <v>50</v>
      </c>
      <c r="I2833" t="str">
        <f>"GREAT MIDWEST INS CO. ATTN: CH"</f>
        <v>GREAT MIDWEST INS CO. ATTN: CH</v>
      </c>
    </row>
    <row r="2834" spans="1:9" x14ac:dyDescent="0.3">
      <c r="A2834" t="str">
        <f t="shared" si="59"/>
        <v>1</v>
      </c>
      <c r="B2834" t="s">
        <v>509</v>
      </c>
      <c r="C2834">
        <v>45401</v>
      </c>
      <c r="D2834" s="2">
        <v>1160</v>
      </c>
      <c r="E2834" s="1">
        <v>42855</v>
      </c>
      <c r="F2834" t="str">
        <f>"201705091865"</f>
        <v>201705091865</v>
      </c>
      <c r="G2834" t="str">
        <f>"M"</f>
        <v>M</v>
      </c>
      <c r="H2834" s="2">
        <v>1160</v>
      </c>
      <c r="I2834" t="str">
        <f>"HHSC ARTS (MAIL CODE 1470)"</f>
        <v>HHSC ARTS (MAIL CODE 1470)</v>
      </c>
    </row>
    <row r="2835" spans="1:9" x14ac:dyDescent="0.3">
      <c r="A2835" t="str">
        <f t="shared" si="59"/>
        <v>1</v>
      </c>
      <c r="B2835" t="s">
        <v>510</v>
      </c>
      <c r="C2835">
        <v>45402</v>
      </c>
      <c r="D2835" s="2">
        <v>240</v>
      </c>
      <c r="E2835" s="1">
        <v>42855</v>
      </c>
      <c r="F2835" t="str">
        <f>"201705091866"</f>
        <v>201705091866</v>
      </c>
      <c r="G2835" t="str">
        <f>"Miscellaneous"</f>
        <v>Miscellaneous</v>
      </c>
      <c r="H2835" s="2">
        <v>240</v>
      </c>
      <c r="I2835" t="str">
        <f>"ISIAH FRANKLIN"</f>
        <v>ISIAH FRANKLIN</v>
      </c>
    </row>
    <row r="2836" spans="1:9" x14ac:dyDescent="0.3">
      <c r="A2836" t="str">
        <f t="shared" si="59"/>
        <v>1</v>
      </c>
      <c r="B2836" t="s">
        <v>511</v>
      </c>
      <c r="C2836">
        <v>45403</v>
      </c>
      <c r="D2836" s="2">
        <v>230</v>
      </c>
      <c r="E2836" s="1">
        <v>42855</v>
      </c>
      <c r="F2836" t="str">
        <f>"201705091923"</f>
        <v>201705091923</v>
      </c>
      <c r="G2836" t="str">
        <f>"Miscel"</f>
        <v>Miscel</v>
      </c>
      <c r="H2836" s="2">
        <v>230</v>
      </c>
      <c r="I2836" t="str">
        <f>"JASON DANIEL STOCKTON"</f>
        <v>JASON DANIEL STOCKTON</v>
      </c>
    </row>
    <row r="2837" spans="1:9" x14ac:dyDescent="0.3">
      <c r="A2837" t="str">
        <f t="shared" si="59"/>
        <v>1</v>
      </c>
      <c r="B2837" t="s">
        <v>512</v>
      </c>
      <c r="C2837">
        <v>45404</v>
      </c>
      <c r="D2837" s="2">
        <v>254.84</v>
      </c>
      <c r="E2837" s="1">
        <v>42855</v>
      </c>
      <c r="F2837" t="str">
        <f>"201705091867"</f>
        <v>201705091867</v>
      </c>
      <c r="G2837" t="str">
        <f>"Miscellaneous"</f>
        <v>Miscellaneous</v>
      </c>
      <c r="H2837" s="2">
        <v>254.84</v>
      </c>
      <c r="I2837" t="str">
        <f>"JB HUNT"</f>
        <v>JB HUNT</v>
      </c>
    </row>
    <row r="2838" spans="1:9" x14ac:dyDescent="0.3">
      <c r="A2838" t="str">
        <f t="shared" si="59"/>
        <v>1</v>
      </c>
      <c r="B2838" t="s">
        <v>513</v>
      </c>
      <c r="C2838">
        <v>45405</v>
      </c>
      <c r="D2838" s="2">
        <v>250</v>
      </c>
      <c r="E2838" s="1">
        <v>42855</v>
      </c>
      <c r="F2838" t="str">
        <f>"201705091868"</f>
        <v>201705091868</v>
      </c>
      <c r="G2838" t="str">
        <f>"Miscellaneous"</f>
        <v>Miscellaneous</v>
      </c>
      <c r="H2838" s="2">
        <v>250</v>
      </c>
      <c r="I2838" t="str">
        <f>"JEFF SALZGEBER"</f>
        <v>JEFF SALZGEBER</v>
      </c>
    </row>
    <row r="2839" spans="1:9" x14ac:dyDescent="0.3">
      <c r="A2839" t="str">
        <f t="shared" si="59"/>
        <v>1</v>
      </c>
      <c r="B2839" t="s">
        <v>514</v>
      </c>
      <c r="C2839">
        <v>45406</v>
      </c>
      <c r="D2839" s="2">
        <v>220</v>
      </c>
      <c r="E2839" s="1">
        <v>42855</v>
      </c>
      <c r="F2839" t="str">
        <f>"201705091869"</f>
        <v>201705091869</v>
      </c>
      <c r="G2839" t="str">
        <f>""</f>
        <v/>
      </c>
      <c r="H2839" s="2">
        <v>220</v>
      </c>
      <c r="I2839" t="str">
        <f>"JERRY EDMOND FAMILY WORSHIP CE"</f>
        <v>JERRY EDMOND FAMILY WORSHIP CE</v>
      </c>
    </row>
    <row r="2840" spans="1:9" x14ac:dyDescent="0.3">
      <c r="A2840" t="str">
        <f t="shared" si="59"/>
        <v>1</v>
      </c>
      <c r="B2840" t="s">
        <v>515</v>
      </c>
      <c r="C2840">
        <v>45407</v>
      </c>
      <c r="D2840" s="2">
        <v>60</v>
      </c>
      <c r="E2840" s="1">
        <v>42855</v>
      </c>
      <c r="F2840" t="str">
        <f>"201705091870"</f>
        <v>201705091870</v>
      </c>
      <c r="G2840" t="str">
        <f>"Miscellaneou"</f>
        <v>Miscellaneou</v>
      </c>
      <c r="H2840" s="2">
        <v>60</v>
      </c>
      <c r="I2840" t="str">
        <f>"JESSICA ANDRADE"</f>
        <v>JESSICA ANDRADE</v>
      </c>
    </row>
    <row r="2841" spans="1:9" x14ac:dyDescent="0.3">
      <c r="A2841" t="str">
        <f t="shared" si="59"/>
        <v>1</v>
      </c>
      <c r="B2841" t="s">
        <v>516</v>
      </c>
      <c r="C2841">
        <v>45408</v>
      </c>
      <c r="D2841" s="2">
        <v>90.62</v>
      </c>
      <c r="E2841" s="1">
        <v>42855</v>
      </c>
      <c r="F2841" t="str">
        <f>"201705091917"</f>
        <v>201705091917</v>
      </c>
      <c r="G2841" t="str">
        <f>"M"</f>
        <v>M</v>
      </c>
      <c r="H2841" s="2">
        <v>90.62</v>
      </c>
    </row>
    <row r="2842" spans="1:9" x14ac:dyDescent="0.3">
      <c r="A2842" t="str">
        <f t="shared" si="59"/>
        <v>1</v>
      </c>
      <c r="B2842" t="s">
        <v>517</v>
      </c>
      <c r="C2842">
        <v>45409</v>
      </c>
      <c r="D2842" s="2">
        <v>1645.44</v>
      </c>
      <c r="E2842" s="1">
        <v>42855</v>
      </c>
      <c r="F2842" t="str">
        <f>"201705091871"</f>
        <v>201705091871</v>
      </c>
      <c r="G2842" t="str">
        <f>"Miscellan"</f>
        <v>Miscellan</v>
      </c>
      <c r="H2842" s="2">
        <v>1645.44</v>
      </c>
      <c r="I2842" t="str">
        <f>"JOHNIE D. WILLIAMS"</f>
        <v>JOHNIE D. WILLIAMS</v>
      </c>
    </row>
    <row r="2843" spans="1:9" x14ac:dyDescent="0.3">
      <c r="A2843" t="str">
        <f t="shared" si="59"/>
        <v>1</v>
      </c>
      <c r="B2843" t="s">
        <v>518</v>
      </c>
      <c r="C2843">
        <v>45410</v>
      </c>
      <c r="D2843" s="2">
        <v>100</v>
      </c>
      <c r="E2843" s="1">
        <v>42855</v>
      </c>
      <c r="F2843" t="str">
        <f>"201705091872"</f>
        <v>201705091872</v>
      </c>
      <c r="G2843" t="str">
        <f>"Miscellaneo"</f>
        <v>Miscellaneo</v>
      </c>
      <c r="H2843" s="2">
        <v>100</v>
      </c>
      <c r="I2843" t="str">
        <f>"KENISTA HOLLOWAY"</f>
        <v>KENISTA HOLLOWAY</v>
      </c>
    </row>
    <row r="2844" spans="1:9" x14ac:dyDescent="0.3">
      <c r="A2844" t="str">
        <f t="shared" si="59"/>
        <v>1</v>
      </c>
      <c r="B2844" t="s">
        <v>519</v>
      </c>
      <c r="C2844">
        <v>45411</v>
      </c>
      <c r="D2844" s="2">
        <v>30</v>
      </c>
      <c r="E2844" s="1">
        <v>42855</v>
      </c>
      <c r="F2844" t="str">
        <f>"201705091873"</f>
        <v>201705091873</v>
      </c>
      <c r="G2844" t="str">
        <f>"Miscellaneous"</f>
        <v>Miscellaneous</v>
      </c>
      <c r="H2844" s="2">
        <v>30</v>
      </c>
      <c r="I2844" t="str">
        <f>"KENNETH LATHAN"</f>
        <v>KENNETH LATHAN</v>
      </c>
    </row>
    <row r="2845" spans="1:9" x14ac:dyDescent="0.3">
      <c r="A2845" t="str">
        <f t="shared" si="59"/>
        <v>1</v>
      </c>
      <c r="B2845" t="s">
        <v>520</v>
      </c>
      <c r="C2845">
        <v>45412</v>
      </c>
      <c r="D2845" s="2">
        <v>680</v>
      </c>
      <c r="E2845" s="1">
        <v>42855</v>
      </c>
      <c r="F2845" t="str">
        <f>"201705091874"</f>
        <v>201705091874</v>
      </c>
      <c r="G2845" t="str">
        <f>"Miscell"</f>
        <v>Miscell</v>
      </c>
      <c r="H2845" s="2">
        <v>680</v>
      </c>
      <c r="I2845" t="str">
        <f>"LEE COUNTY TREASURER"</f>
        <v>LEE COUNTY TREASURER</v>
      </c>
    </row>
    <row r="2846" spans="1:9" x14ac:dyDescent="0.3">
      <c r="A2846" t="str">
        <f t="shared" si="59"/>
        <v>1</v>
      </c>
      <c r="B2846" t="s">
        <v>521</v>
      </c>
      <c r="C2846">
        <v>45413</v>
      </c>
      <c r="D2846" s="2">
        <v>125</v>
      </c>
      <c r="E2846" s="1">
        <v>42855</v>
      </c>
      <c r="F2846" t="str">
        <f>"201705091875"</f>
        <v>201705091875</v>
      </c>
      <c r="G2846" t="str">
        <f>"Mis"</f>
        <v>Mis</v>
      </c>
      <c r="H2846" s="2">
        <v>125</v>
      </c>
      <c r="I2846" t="str">
        <f>"LOWE'S COMPANIES  INC***"</f>
        <v>LOWE'S COMPANIES  INC***</v>
      </c>
    </row>
    <row r="2847" spans="1:9" x14ac:dyDescent="0.3">
      <c r="A2847" t="str">
        <f t="shared" si="59"/>
        <v>1</v>
      </c>
      <c r="B2847" t="s">
        <v>522</v>
      </c>
      <c r="C2847">
        <v>45414</v>
      </c>
      <c r="D2847" s="2">
        <v>70</v>
      </c>
      <c r="E2847" s="1">
        <v>42855</v>
      </c>
      <c r="F2847" t="str">
        <f>"201705091876"</f>
        <v>201705091876</v>
      </c>
      <c r="G2847" t="str">
        <f>"Miscella"</f>
        <v>Miscella</v>
      </c>
      <c r="H2847" s="2">
        <v>70</v>
      </c>
      <c r="I2847" t="str">
        <f>"LUIS OROSTIETA  JR."</f>
        <v>LUIS OROSTIETA  JR.</v>
      </c>
    </row>
    <row r="2848" spans="1:9" x14ac:dyDescent="0.3">
      <c r="A2848" t="str">
        <f t="shared" si="59"/>
        <v>1</v>
      </c>
      <c r="B2848" t="s">
        <v>523</v>
      </c>
      <c r="C2848">
        <v>45415</v>
      </c>
      <c r="D2848" s="2">
        <v>108</v>
      </c>
      <c r="E2848" s="1">
        <v>42855</v>
      </c>
      <c r="F2848" t="str">
        <f>"201705091877"</f>
        <v>201705091877</v>
      </c>
      <c r="G2848" t="str">
        <f>"Mi"</f>
        <v>Mi</v>
      </c>
      <c r="H2848" s="2">
        <v>108</v>
      </c>
      <c r="I2848" t="str">
        <f>"MCCOY'S BUILDING SUPPLIES"</f>
        <v>MCCOY'S BUILDING SUPPLIES</v>
      </c>
    </row>
    <row r="2849" spans="1:9" x14ac:dyDescent="0.3">
      <c r="A2849" t="str">
        <f t="shared" si="59"/>
        <v>1</v>
      </c>
      <c r="B2849" t="s">
        <v>524</v>
      </c>
      <c r="C2849">
        <v>45416</v>
      </c>
      <c r="D2849" s="2">
        <v>80</v>
      </c>
      <c r="E2849" s="1">
        <v>42855</v>
      </c>
      <c r="F2849" t="str">
        <f>"201705091878"</f>
        <v>201705091878</v>
      </c>
      <c r="G2849" t="str">
        <f>"Mi"</f>
        <v>Mi</v>
      </c>
      <c r="H2849" s="2">
        <v>80</v>
      </c>
      <c r="I2849" t="str">
        <f>"MICHAEL &amp; ROBIN CROSSLAND"</f>
        <v>MICHAEL &amp; ROBIN CROSSLAND</v>
      </c>
    </row>
    <row r="2850" spans="1:9" x14ac:dyDescent="0.3">
      <c r="A2850" t="str">
        <f t="shared" si="59"/>
        <v>1</v>
      </c>
      <c r="B2850" t="s">
        <v>525</v>
      </c>
      <c r="C2850">
        <v>45417</v>
      </c>
      <c r="D2850" s="2">
        <v>60</v>
      </c>
      <c r="E2850" s="1">
        <v>42855</v>
      </c>
      <c r="F2850" t="str">
        <f>"201705091879"</f>
        <v>201705091879</v>
      </c>
      <c r="G2850" t="str">
        <f>"Miscellaneous"</f>
        <v>Miscellaneous</v>
      </c>
      <c r="H2850" s="2">
        <v>60</v>
      </c>
      <c r="I2850" t="str">
        <f>"MICKEY SMITH"</f>
        <v>MICKEY SMITH</v>
      </c>
    </row>
    <row r="2851" spans="1:9" x14ac:dyDescent="0.3">
      <c r="A2851" t="str">
        <f t="shared" si="59"/>
        <v>1</v>
      </c>
      <c r="B2851" t="s">
        <v>526</v>
      </c>
      <c r="C2851">
        <v>45418</v>
      </c>
      <c r="D2851" s="2">
        <v>45</v>
      </c>
      <c r="E2851" s="1">
        <v>42855</v>
      </c>
      <c r="F2851" t="str">
        <f>"201705091880"</f>
        <v>201705091880</v>
      </c>
      <c r="G2851" t="str">
        <f>"Miscellaneous"</f>
        <v>Miscellaneous</v>
      </c>
      <c r="H2851" s="2">
        <v>45</v>
      </c>
      <c r="I2851" t="str">
        <f>"MIKE GUTHRIE"</f>
        <v>MIKE GUTHRIE</v>
      </c>
    </row>
    <row r="2852" spans="1:9" x14ac:dyDescent="0.3">
      <c r="A2852" t="str">
        <f t="shared" si="59"/>
        <v>1</v>
      </c>
      <c r="B2852" t="s">
        <v>527</v>
      </c>
      <c r="C2852">
        <v>45419</v>
      </c>
      <c r="D2852" s="2">
        <v>200</v>
      </c>
      <c r="E2852" s="1">
        <v>42855</v>
      </c>
      <c r="F2852" t="str">
        <f>"201705091881"</f>
        <v>201705091881</v>
      </c>
      <c r="G2852" t="str">
        <f>"Miscellaneous"</f>
        <v>Miscellaneous</v>
      </c>
      <c r="H2852" s="2">
        <v>200</v>
      </c>
      <c r="I2852" t="str">
        <f>"MIKE HORNE"</f>
        <v>MIKE HORNE</v>
      </c>
    </row>
    <row r="2853" spans="1:9" x14ac:dyDescent="0.3">
      <c r="A2853" t="str">
        <f t="shared" si="59"/>
        <v>1</v>
      </c>
      <c r="B2853" t="s">
        <v>528</v>
      </c>
      <c r="C2853">
        <v>45420</v>
      </c>
      <c r="D2853" s="2">
        <v>220</v>
      </c>
      <c r="E2853" s="1">
        <v>42855</v>
      </c>
      <c r="F2853" t="str">
        <f>"201705091882"</f>
        <v>201705091882</v>
      </c>
      <c r="G2853" t="str">
        <f>"Miscellaneous"</f>
        <v>Miscellaneous</v>
      </c>
      <c r="H2853" s="2">
        <v>220</v>
      </c>
      <c r="I2853" t="str">
        <f>"MURPHY USA"</f>
        <v>MURPHY USA</v>
      </c>
    </row>
    <row r="2854" spans="1:9" x14ac:dyDescent="0.3">
      <c r="A2854" t="str">
        <f t="shared" si="59"/>
        <v>1</v>
      </c>
      <c r="B2854" t="s">
        <v>529</v>
      </c>
      <c r="C2854">
        <v>45421</v>
      </c>
      <c r="D2854" s="2">
        <v>455</v>
      </c>
      <c r="E2854" s="1">
        <v>42855</v>
      </c>
      <c r="F2854" t="str">
        <f>"201705091883"</f>
        <v>201705091883</v>
      </c>
      <c r="G2854" t="str">
        <f>"Miscellaneou"</f>
        <v>Miscellaneou</v>
      </c>
      <c r="H2854" s="2">
        <v>455</v>
      </c>
      <c r="I2854" t="str">
        <f>"ORLANDO PADILLA"</f>
        <v>ORLANDO PADILLA</v>
      </c>
    </row>
    <row r="2855" spans="1:9" x14ac:dyDescent="0.3">
      <c r="A2855" t="str">
        <f t="shared" si="59"/>
        <v>1</v>
      </c>
      <c r="B2855" t="s">
        <v>530</v>
      </c>
      <c r="C2855">
        <v>45422</v>
      </c>
      <c r="D2855" s="2">
        <v>65</v>
      </c>
      <c r="E2855" s="1">
        <v>42855</v>
      </c>
      <c r="F2855" t="str">
        <f>"201705091884"</f>
        <v>201705091884</v>
      </c>
      <c r="G2855" t="str">
        <f>"Misce"</f>
        <v>Misce</v>
      </c>
      <c r="H2855" s="2">
        <v>65</v>
      </c>
      <c r="I2855" t="str">
        <f>"PAMELA BOXX WEATHERALL"</f>
        <v>PAMELA BOXX WEATHERALL</v>
      </c>
    </row>
    <row r="2856" spans="1:9" x14ac:dyDescent="0.3">
      <c r="A2856" t="str">
        <f t="shared" si="59"/>
        <v>1</v>
      </c>
      <c r="B2856" t="s">
        <v>531</v>
      </c>
      <c r="C2856">
        <v>45423</v>
      </c>
      <c r="D2856" s="2">
        <v>80</v>
      </c>
      <c r="E2856" s="1">
        <v>42855</v>
      </c>
      <c r="F2856" t="str">
        <f>"201705091885"</f>
        <v>201705091885</v>
      </c>
      <c r="G2856" t="str">
        <f>"Miscellaneou"</f>
        <v>Miscellaneou</v>
      </c>
      <c r="H2856" s="2">
        <v>80</v>
      </c>
      <c r="I2856" t="str">
        <f>"RAMONA CASTILLO"</f>
        <v>RAMONA CASTILLO</v>
      </c>
    </row>
    <row r="2857" spans="1:9" x14ac:dyDescent="0.3">
      <c r="A2857" t="str">
        <f t="shared" si="59"/>
        <v>1</v>
      </c>
      <c r="B2857" t="s">
        <v>532</v>
      </c>
      <c r="C2857">
        <v>45424</v>
      </c>
      <c r="D2857" s="2">
        <v>125</v>
      </c>
      <c r="E2857" s="1">
        <v>42855</v>
      </c>
      <c r="F2857" t="str">
        <f>"201705091886"</f>
        <v>201705091886</v>
      </c>
      <c r="G2857" t="str">
        <f>"Misce"</f>
        <v>Misce</v>
      </c>
      <c r="H2857" s="2">
        <v>125</v>
      </c>
      <c r="I2857" t="str">
        <f>"ROBERT DAN BURTTSCHELL"</f>
        <v>ROBERT DAN BURTTSCHELL</v>
      </c>
    </row>
    <row r="2858" spans="1:9" x14ac:dyDescent="0.3">
      <c r="A2858" t="str">
        <f t="shared" si="59"/>
        <v>1</v>
      </c>
      <c r="B2858" t="s">
        <v>533</v>
      </c>
      <c r="C2858">
        <v>45425</v>
      </c>
      <c r="D2858" s="2">
        <v>68.33</v>
      </c>
      <c r="E2858" s="1">
        <v>42855</v>
      </c>
      <c r="F2858" t="str">
        <f>"201705091887"</f>
        <v>201705091887</v>
      </c>
      <c r="G2858" t="str">
        <f>"Miscellane"</f>
        <v>Miscellane</v>
      </c>
      <c r="H2858" s="2">
        <v>68.33</v>
      </c>
      <c r="I2858" t="str">
        <f>"ROSCOE STATE BANK"</f>
        <v>ROSCOE STATE BANK</v>
      </c>
    </row>
    <row r="2859" spans="1:9" x14ac:dyDescent="0.3">
      <c r="A2859" t="str">
        <f t="shared" ref="A2859:A2885" si="60">"1"</f>
        <v>1</v>
      </c>
      <c r="B2859" t="s">
        <v>534</v>
      </c>
      <c r="C2859">
        <v>45426</v>
      </c>
      <c r="D2859" s="2">
        <v>200</v>
      </c>
      <c r="E2859" s="1">
        <v>42855</v>
      </c>
      <c r="F2859" t="str">
        <f>"201705091888"</f>
        <v>201705091888</v>
      </c>
      <c r="G2859" t="str">
        <f>"Miscellaneou"</f>
        <v>Miscellaneou</v>
      </c>
      <c r="H2859" s="2">
        <v>200</v>
      </c>
      <c r="I2859" t="str">
        <f>"SHARON HOLTKAMP"</f>
        <v>SHARON HOLTKAMP</v>
      </c>
    </row>
    <row r="2860" spans="1:9" x14ac:dyDescent="0.3">
      <c r="A2860" t="str">
        <f t="shared" si="60"/>
        <v>1</v>
      </c>
      <c r="B2860" t="s">
        <v>535</v>
      </c>
      <c r="C2860">
        <v>45427</v>
      </c>
      <c r="D2860" s="2">
        <v>171</v>
      </c>
      <c r="E2860" s="1">
        <v>42855</v>
      </c>
      <c r="F2860" t="str">
        <f>"201705091889"</f>
        <v>201705091889</v>
      </c>
      <c r="G2860" t="str">
        <f>"Miscellaneo"</f>
        <v>Miscellaneo</v>
      </c>
      <c r="H2860" s="2">
        <v>171</v>
      </c>
      <c r="I2860" t="str">
        <f>"SHERWIN SIEGMUND"</f>
        <v>SHERWIN SIEGMUND</v>
      </c>
    </row>
    <row r="2861" spans="1:9" x14ac:dyDescent="0.3">
      <c r="A2861" t="str">
        <f t="shared" si="60"/>
        <v>1</v>
      </c>
      <c r="B2861" t="s">
        <v>536</v>
      </c>
      <c r="C2861">
        <v>45428</v>
      </c>
      <c r="D2861" s="2">
        <v>1670</v>
      </c>
      <c r="E2861" s="1">
        <v>42855</v>
      </c>
      <c r="F2861" t="str">
        <f>"201705091890"</f>
        <v>201705091890</v>
      </c>
      <c r="G2861" t="str">
        <f>""</f>
        <v/>
      </c>
      <c r="H2861" s="2">
        <v>1670</v>
      </c>
      <c r="I2861" t="str">
        <f>"SMITHVILLE HOUSING AUTHORITY"</f>
        <v>SMITHVILLE HOUSING AUTHORITY</v>
      </c>
    </row>
    <row r="2862" spans="1:9" x14ac:dyDescent="0.3">
      <c r="A2862" t="str">
        <f t="shared" si="60"/>
        <v>1</v>
      </c>
      <c r="B2862" t="s">
        <v>537</v>
      </c>
      <c r="C2862">
        <v>45429</v>
      </c>
      <c r="D2862" s="2">
        <v>150</v>
      </c>
      <c r="E2862" s="1">
        <v>42855</v>
      </c>
      <c r="F2862" t="str">
        <f>"201705091891"</f>
        <v>201705091891</v>
      </c>
      <c r="G2862" t="str">
        <f>"Miscellaneous"</f>
        <v>Miscellaneous</v>
      </c>
      <c r="H2862" s="2">
        <v>150</v>
      </c>
      <c r="I2862" t="str">
        <f>"SOMERVILLE ISD"</f>
        <v>SOMERVILLE ISD</v>
      </c>
    </row>
    <row r="2863" spans="1:9" x14ac:dyDescent="0.3">
      <c r="A2863" t="str">
        <f t="shared" si="60"/>
        <v>1</v>
      </c>
      <c r="B2863" t="s">
        <v>538</v>
      </c>
      <c r="C2863">
        <v>45430</v>
      </c>
      <c r="D2863" s="2">
        <v>150</v>
      </c>
      <c r="E2863" s="1">
        <v>42855</v>
      </c>
      <c r="F2863" t="str">
        <f>"201705091892"</f>
        <v>201705091892</v>
      </c>
      <c r="G2863" t="str">
        <f>"Miscel"</f>
        <v>Miscel</v>
      </c>
      <c r="H2863" s="2">
        <v>150</v>
      </c>
      <c r="I2863" t="str">
        <f>"SPEEDY STOP CORPORATE"</f>
        <v>SPEEDY STOP CORPORATE</v>
      </c>
    </row>
    <row r="2864" spans="1:9" x14ac:dyDescent="0.3">
      <c r="A2864" t="str">
        <f t="shared" si="60"/>
        <v>1</v>
      </c>
      <c r="B2864" t="s">
        <v>539</v>
      </c>
      <c r="C2864">
        <v>45431</v>
      </c>
      <c r="D2864" s="2">
        <v>180</v>
      </c>
      <c r="E2864" s="1">
        <v>42855</v>
      </c>
      <c r="F2864" t="str">
        <f>"201705091922"</f>
        <v>201705091922</v>
      </c>
      <c r="G2864" t="str">
        <f>"Miscellaneous"</f>
        <v>Miscellaneous</v>
      </c>
      <c r="H2864" s="2">
        <v>180</v>
      </c>
      <c r="I2864" t="str">
        <f>"STACEY NGUYEN"</f>
        <v>STACEY NGUYEN</v>
      </c>
    </row>
    <row r="2865" spans="1:9" x14ac:dyDescent="0.3">
      <c r="A2865" t="str">
        <f t="shared" si="60"/>
        <v>1</v>
      </c>
      <c r="B2865" t="s">
        <v>540</v>
      </c>
      <c r="C2865">
        <v>45432</v>
      </c>
      <c r="D2865" s="2">
        <v>25</v>
      </c>
      <c r="E2865" s="1">
        <v>42855</v>
      </c>
      <c r="F2865" t="str">
        <f>"201705091893"</f>
        <v>201705091893</v>
      </c>
      <c r="G2865" t="str">
        <f>"Miscellaneo"</f>
        <v>Miscellaneo</v>
      </c>
      <c r="H2865" s="2">
        <v>25</v>
      </c>
      <c r="I2865" t="str">
        <f>"STATE FARM LLOYD"</f>
        <v>STATE FARM LLOYD</v>
      </c>
    </row>
    <row r="2866" spans="1:9" x14ac:dyDescent="0.3">
      <c r="A2866" t="str">
        <f t="shared" si="60"/>
        <v>1</v>
      </c>
      <c r="B2866" t="s">
        <v>541</v>
      </c>
      <c r="C2866">
        <v>45433</v>
      </c>
      <c r="D2866" s="2">
        <v>50</v>
      </c>
      <c r="E2866" s="1">
        <v>42855</v>
      </c>
      <c r="F2866" t="str">
        <f>"201705091894"</f>
        <v>201705091894</v>
      </c>
      <c r="G2866" t="str">
        <f>"Misce"</f>
        <v>Misce</v>
      </c>
      <c r="H2866" s="2">
        <v>50</v>
      </c>
      <c r="I2866" t="str">
        <f>"STEPHANIE ANNE WEHRING"</f>
        <v>STEPHANIE ANNE WEHRING</v>
      </c>
    </row>
    <row r="2867" spans="1:9" x14ac:dyDescent="0.3">
      <c r="A2867" t="str">
        <f t="shared" si="60"/>
        <v>1</v>
      </c>
      <c r="B2867" t="s">
        <v>542</v>
      </c>
      <c r="C2867">
        <v>45434</v>
      </c>
      <c r="D2867" s="2">
        <v>60</v>
      </c>
      <c r="E2867" s="1">
        <v>42855</v>
      </c>
      <c r="F2867" t="str">
        <f>"201705091895"</f>
        <v>201705091895</v>
      </c>
      <c r="G2867" t="str">
        <f>"Miscella"</f>
        <v>Miscella</v>
      </c>
      <c r="H2867" s="2">
        <v>60</v>
      </c>
      <c r="I2867" t="str">
        <f>"STEVEN WAYNE MEDACK"</f>
        <v>STEVEN WAYNE MEDACK</v>
      </c>
    </row>
    <row r="2868" spans="1:9" x14ac:dyDescent="0.3">
      <c r="A2868" t="str">
        <f t="shared" si="60"/>
        <v>1</v>
      </c>
      <c r="B2868" t="s">
        <v>543</v>
      </c>
      <c r="C2868">
        <v>45435</v>
      </c>
      <c r="D2868" s="2">
        <v>80</v>
      </c>
      <c r="E2868" s="1">
        <v>42855</v>
      </c>
      <c r="F2868" t="str">
        <f>"201705091896"</f>
        <v>201705091896</v>
      </c>
      <c r="G2868" t="str">
        <f>"Miscell"</f>
        <v>Miscell</v>
      </c>
      <c r="H2868" s="2">
        <v>80</v>
      </c>
      <c r="I2868" t="str">
        <f>"STUART ALLAN &amp; ASSOC"</f>
        <v>STUART ALLAN &amp; ASSOC</v>
      </c>
    </row>
    <row r="2869" spans="1:9" x14ac:dyDescent="0.3">
      <c r="A2869" t="str">
        <f t="shared" si="60"/>
        <v>1</v>
      </c>
      <c r="B2869" t="s">
        <v>544</v>
      </c>
      <c r="C2869">
        <v>45436</v>
      </c>
      <c r="D2869" s="2">
        <v>100</v>
      </c>
      <c r="E2869" s="1">
        <v>42855</v>
      </c>
      <c r="F2869" t="str">
        <f>"201705091897"</f>
        <v>201705091897</v>
      </c>
      <c r="G2869" t="str">
        <f>"Miscellaneous"</f>
        <v>Miscellaneous</v>
      </c>
      <c r="H2869" s="2">
        <v>100</v>
      </c>
      <c r="I2869" t="str">
        <f>"SYLVIA DELEON"</f>
        <v>SYLVIA DELEON</v>
      </c>
    </row>
    <row r="2870" spans="1:9" x14ac:dyDescent="0.3">
      <c r="A2870" t="str">
        <f t="shared" si="60"/>
        <v>1</v>
      </c>
      <c r="B2870" t="s">
        <v>545</v>
      </c>
      <c r="C2870">
        <v>45437</v>
      </c>
      <c r="D2870" s="2">
        <v>60</v>
      </c>
      <c r="E2870" s="1">
        <v>42855</v>
      </c>
      <c r="F2870" t="str">
        <f>"201705091898"</f>
        <v>201705091898</v>
      </c>
      <c r="G2870" t="str">
        <f>""</f>
        <v/>
      </c>
      <c r="H2870" s="2">
        <v>60</v>
      </c>
      <c r="I2870" t="str">
        <f>"TEXAS DPS  RESTITUTION ACCOUNT"</f>
        <v>TEXAS DPS  RESTITUTION ACCOUNT</v>
      </c>
    </row>
    <row r="2871" spans="1:9" x14ac:dyDescent="0.3">
      <c r="A2871" t="str">
        <f t="shared" si="60"/>
        <v>1</v>
      </c>
      <c r="B2871" t="s">
        <v>545</v>
      </c>
      <c r="C2871">
        <v>45438</v>
      </c>
      <c r="D2871" s="2">
        <v>570</v>
      </c>
      <c r="E2871" s="1">
        <v>42855</v>
      </c>
      <c r="F2871" t="str">
        <f>"201705091913"</f>
        <v>201705091913</v>
      </c>
      <c r="G2871" t="str">
        <f>""</f>
        <v/>
      </c>
      <c r="H2871" s="2">
        <v>570</v>
      </c>
      <c r="I2871" t="str">
        <f>"TEXAS DPS  RESTITUTION ACCOUNT"</f>
        <v>TEXAS DPS  RESTITUTION ACCOUNT</v>
      </c>
    </row>
    <row r="2872" spans="1:9" x14ac:dyDescent="0.3">
      <c r="A2872" t="str">
        <f t="shared" si="60"/>
        <v>1</v>
      </c>
      <c r="B2872" t="s">
        <v>546</v>
      </c>
      <c r="C2872">
        <v>45439</v>
      </c>
      <c r="D2872" s="2">
        <v>50</v>
      </c>
      <c r="E2872" s="1">
        <v>42855</v>
      </c>
      <c r="F2872" t="str">
        <f>"201705091899"</f>
        <v>201705091899</v>
      </c>
      <c r="G2872" t="str">
        <f>"Misce"</f>
        <v>Misce</v>
      </c>
      <c r="H2872" s="2">
        <v>50</v>
      </c>
      <c r="I2872" t="str">
        <f>"TEXAS MUNICIPAL LEAGUE"</f>
        <v>TEXAS MUNICIPAL LEAGUE</v>
      </c>
    </row>
    <row r="2873" spans="1:9" x14ac:dyDescent="0.3">
      <c r="A2873" t="str">
        <f t="shared" si="60"/>
        <v>1</v>
      </c>
      <c r="B2873" t="s">
        <v>547</v>
      </c>
      <c r="C2873">
        <v>45440</v>
      </c>
      <c r="D2873" s="2">
        <v>55</v>
      </c>
      <c r="E2873" s="1">
        <v>42855</v>
      </c>
      <c r="F2873" t="str">
        <f>"201705091900"</f>
        <v>201705091900</v>
      </c>
      <c r="G2873" t="str">
        <f>""</f>
        <v/>
      </c>
      <c r="H2873" s="2">
        <v>55</v>
      </c>
      <c r="I2873" t="str">
        <f>"TEXAS PARKS AND WILDLIFE C/O S"</f>
        <v>TEXAS PARKS AND WILDLIFE C/O S</v>
      </c>
    </row>
    <row r="2874" spans="1:9" x14ac:dyDescent="0.3">
      <c r="A2874" t="str">
        <f t="shared" si="60"/>
        <v>1</v>
      </c>
      <c r="B2874" t="s">
        <v>548</v>
      </c>
      <c r="C2874">
        <v>45441</v>
      </c>
      <c r="D2874" s="2">
        <v>40</v>
      </c>
      <c r="E2874" s="1">
        <v>42855</v>
      </c>
      <c r="F2874" t="str">
        <f>"201705091901"</f>
        <v>201705091901</v>
      </c>
      <c r="G2874" t="str">
        <f>"Miscellaneous"</f>
        <v>Miscellaneous</v>
      </c>
      <c r="H2874" s="2">
        <v>40</v>
      </c>
      <c r="I2874" t="str">
        <f>"TOOTSIE'S"</f>
        <v>TOOTSIE'S</v>
      </c>
    </row>
    <row r="2875" spans="1:9" x14ac:dyDescent="0.3">
      <c r="A2875" t="str">
        <f t="shared" si="60"/>
        <v>1</v>
      </c>
      <c r="B2875" t="s">
        <v>549</v>
      </c>
      <c r="C2875">
        <v>45442</v>
      </c>
      <c r="D2875" s="2">
        <v>40</v>
      </c>
      <c r="E2875" s="1">
        <v>42855</v>
      </c>
      <c r="F2875" t="str">
        <f>"201705091902"</f>
        <v>201705091902</v>
      </c>
      <c r="G2875" t="str">
        <f>"Miscellaneou"</f>
        <v>Miscellaneou</v>
      </c>
      <c r="H2875" s="2">
        <v>40</v>
      </c>
      <c r="I2875" t="str">
        <f>"TOP DOLLAR PAWN"</f>
        <v>TOP DOLLAR PAWN</v>
      </c>
    </row>
    <row r="2876" spans="1:9" x14ac:dyDescent="0.3">
      <c r="A2876" t="str">
        <f t="shared" si="60"/>
        <v>1</v>
      </c>
      <c r="B2876" t="s">
        <v>550</v>
      </c>
      <c r="C2876">
        <v>45443</v>
      </c>
      <c r="D2876" s="2">
        <v>45.01</v>
      </c>
      <c r="E2876" s="1">
        <v>42855</v>
      </c>
      <c r="F2876" t="str">
        <f>"201705091903"</f>
        <v>201705091903</v>
      </c>
      <c r="G2876" t="str">
        <f>"Miscellan"</f>
        <v>Miscellan</v>
      </c>
      <c r="H2876" s="2">
        <v>45.01</v>
      </c>
      <c r="I2876" t="str">
        <f>"TRACY JOSEPH ISELT"</f>
        <v>TRACY JOSEPH ISELT</v>
      </c>
    </row>
    <row r="2877" spans="1:9" x14ac:dyDescent="0.3">
      <c r="A2877" t="str">
        <f t="shared" si="60"/>
        <v>1</v>
      </c>
      <c r="B2877" t="s">
        <v>551</v>
      </c>
      <c r="C2877">
        <v>45444</v>
      </c>
      <c r="D2877" s="2">
        <v>500</v>
      </c>
      <c r="E2877" s="1">
        <v>42855</v>
      </c>
      <c r="F2877" t="str">
        <f>"201705091904"</f>
        <v>201705091904</v>
      </c>
      <c r="G2877" t="str">
        <f>""</f>
        <v/>
      </c>
      <c r="H2877" s="2">
        <v>500</v>
      </c>
      <c r="I2877" t="str">
        <f>"TRAVELERS INSURANCE-PNPCLAIM25"</f>
        <v>TRAVELERS INSURANCE-PNPCLAIM25</v>
      </c>
    </row>
    <row r="2878" spans="1:9" x14ac:dyDescent="0.3">
      <c r="A2878" t="str">
        <f t="shared" si="60"/>
        <v>1</v>
      </c>
      <c r="B2878" t="s">
        <v>552</v>
      </c>
      <c r="C2878">
        <v>45445</v>
      </c>
      <c r="D2878" s="2">
        <v>744.29</v>
      </c>
      <c r="E2878" s="1">
        <v>42855</v>
      </c>
      <c r="F2878" t="str">
        <f>"201705091905"</f>
        <v>201705091905</v>
      </c>
      <c r="G2878" t="str">
        <f>""</f>
        <v/>
      </c>
      <c r="H2878" s="2">
        <v>744.29</v>
      </c>
      <c r="I2878" t="str">
        <f>"WAL-MART RESTITUTION RECOVERY"</f>
        <v>WAL-MART RESTITUTION RECOVERY</v>
      </c>
    </row>
    <row r="2879" spans="1:9" x14ac:dyDescent="0.3">
      <c r="A2879" t="str">
        <f t="shared" si="60"/>
        <v>1</v>
      </c>
      <c r="B2879" t="s">
        <v>553</v>
      </c>
      <c r="C2879">
        <v>45446</v>
      </c>
      <c r="D2879" s="2">
        <v>600</v>
      </c>
      <c r="E2879" s="1">
        <v>42855</v>
      </c>
      <c r="F2879" t="str">
        <f>"201705091912"</f>
        <v>201705091912</v>
      </c>
      <c r="G2879" t="str">
        <f>""</f>
        <v/>
      </c>
      <c r="H2879" s="2">
        <v>600</v>
      </c>
      <c r="I2879" t="str">
        <f>"WASHINGTON CO CRIMESTOPPERS"</f>
        <v>WASHINGTON CO CRIMESTOPPERS</v>
      </c>
    </row>
    <row r="2880" spans="1:9" x14ac:dyDescent="0.3">
      <c r="A2880" t="str">
        <f t="shared" si="60"/>
        <v>1</v>
      </c>
      <c r="B2880" t="s">
        <v>554</v>
      </c>
      <c r="C2880">
        <v>45447</v>
      </c>
      <c r="D2880" s="2">
        <v>14689.87</v>
      </c>
      <c r="E2880" s="1">
        <v>42855</v>
      </c>
      <c r="F2880" t="str">
        <f>"201705091911"</f>
        <v>201705091911</v>
      </c>
      <c r="G2880" t="str">
        <f>""</f>
        <v/>
      </c>
      <c r="H2880" s="2">
        <v>14689.87</v>
      </c>
      <c r="I2880" t="str">
        <f>"WASHINGTON COUNTY DISTRICT CLE"</f>
        <v>WASHINGTON COUNTY DISTRICT CLE</v>
      </c>
    </row>
    <row r="2881" spans="1:9" x14ac:dyDescent="0.3">
      <c r="A2881" t="str">
        <f t="shared" si="60"/>
        <v>1</v>
      </c>
      <c r="B2881" t="s">
        <v>554</v>
      </c>
      <c r="C2881">
        <v>45448</v>
      </c>
      <c r="D2881" s="2">
        <v>35</v>
      </c>
      <c r="E2881" s="1">
        <v>42855</v>
      </c>
      <c r="F2881" t="str">
        <f>"201705091918"</f>
        <v>201705091918</v>
      </c>
      <c r="G2881" t="str">
        <f>""</f>
        <v/>
      </c>
      <c r="H2881" s="2">
        <v>35</v>
      </c>
      <c r="I2881" t="str">
        <f>"WASHINGTON COUNTY DISTRICT CLE"</f>
        <v>WASHINGTON COUNTY DISTRICT CLE</v>
      </c>
    </row>
    <row r="2882" spans="1:9" x14ac:dyDescent="0.3">
      <c r="A2882" t="str">
        <f t="shared" si="60"/>
        <v>1</v>
      </c>
      <c r="B2882" t="s">
        <v>555</v>
      </c>
      <c r="C2882">
        <v>45449</v>
      </c>
      <c r="D2882" s="2">
        <v>50</v>
      </c>
      <c r="E2882" s="1">
        <v>42855</v>
      </c>
      <c r="F2882" t="str">
        <f>"201705091906"</f>
        <v>201705091906</v>
      </c>
      <c r="G2882" t="str">
        <f>"Miscel"</f>
        <v>Miscel</v>
      </c>
      <c r="H2882" s="2">
        <v>50</v>
      </c>
      <c r="I2882" t="str">
        <f>"WASHINGTON COUNTY EMS"</f>
        <v>WASHINGTON COUNTY EMS</v>
      </c>
    </row>
    <row r="2883" spans="1:9" x14ac:dyDescent="0.3">
      <c r="A2883" t="str">
        <f t="shared" si="60"/>
        <v>1</v>
      </c>
      <c r="B2883" t="s">
        <v>556</v>
      </c>
      <c r="C2883">
        <v>45450</v>
      </c>
      <c r="D2883" s="2">
        <v>30</v>
      </c>
      <c r="E2883" s="1">
        <v>42855</v>
      </c>
      <c r="F2883" t="str">
        <f>"201705091919"</f>
        <v>201705091919</v>
      </c>
      <c r="G2883" t="str">
        <f>""</f>
        <v/>
      </c>
      <c r="H2883" s="2">
        <v>30</v>
      </c>
      <c r="I2883" t="str">
        <f>"WASHINGTON COUNTY TREASURER"</f>
        <v>WASHINGTON COUNTY TREASURER</v>
      </c>
    </row>
    <row r="2884" spans="1:9" x14ac:dyDescent="0.3">
      <c r="A2884" t="str">
        <f t="shared" si="60"/>
        <v>1</v>
      </c>
      <c r="B2884" t="s">
        <v>557</v>
      </c>
      <c r="C2884">
        <v>45451</v>
      </c>
      <c r="D2884" s="2">
        <v>270</v>
      </c>
      <c r="E2884" s="1">
        <v>42855</v>
      </c>
      <c r="F2884" t="str">
        <f>"201705091907"</f>
        <v>201705091907</v>
      </c>
      <c r="G2884" t="str">
        <f>"Miscellaneous"</f>
        <v>Miscellaneous</v>
      </c>
      <c r="H2884" s="2">
        <v>270</v>
      </c>
      <c r="I2884" t="str">
        <f>"WILLIAM HOLLE"</f>
        <v>WILLIAM HOLLE</v>
      </c>
    </row>
    <row r="2885" spans="1:9" x14ac:dyDescent="0.3">
      <c r="A2885" t="str">
        <f t="shared" si="60"/>
        <v>1</v>
      </c>
      <c r="B2885" t="s">
        <v>558</v>
      </c>
      <c r="C2885">
        <v>45452</v>
      </c>
      <c r="D2885" s="2">
        <v>60</v>
      </c>
      <c r="E2885" s="1">
        <v>42855</v>
      </c>
      <c r="F2885" t="str">
        <f>"201705091908"</f>
        <v>201705091908</v>
      </c>
      <c r="G2885" t="str">
        <f>"Miscella"</f>
        <v>Miscella</v>
      </c>
      <c r="H2885" s="2">
        <v>60</v>
      </c>
      <c r="I2885" t="str">
        <f>"WILLIAM SHUNKWEILER"</f>
        <v>WILLIAM SHUNKWEILER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AP-CHK-RPT-20180501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2018-05-01T19:43:15Z</dcterms:created>
  <dcterms:modified xsi:type="dcterms:W3CDTF">2018-05-01T19:43:15Z</dcterms:modified>
</cp:coreProperties>
</file>