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0"/>
</workbook>
</file>

<file path=xl/calcChain.xml><?xml version="1.0" encoding="utf-8"?>
<calcChain xmlns="http://schemas.openxmlformats.org/spreadsheetml/2006/main">
  <c r="A2" i="1" l="1"/>
  <c r="F2" i="1"/>
  <c r="G2" i="1"/>
  <c r="I2" i="1"/>
  <c r="A3" i="1"/>
  <c r="F3" i="1"/>
  <c r="G3" i="1"/>
  <c r="I3" i="1"/>
  <c r="A4" i="1"/>
  <c r="F4" i="1"/>
  <c r="G4" i="1"/>
  <c r="A5" i="1"/>
  <c r="F5" i="1"/>
  <c r="G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A54" i="1"/>
  <c r="F54" i="1"/>
  <c r="G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A89" i="1"/>
  <c r="F89" i="1"/>
  <c r="G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F183" i="1"/>
  <c r="G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F195" i="1"/>
  <c r="G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A305" i="1"/>
  <c r="F305" i="1"/>
  <c r="G305" i="1"/>
  <c r="A306" i="1"/>
  <c r="F306" i="1"/>
  <c r="G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A468" i="1"/>
  <c r="F468" i="1"/>
  <c r="G468" i="1"/>
  <c r="I468" i="1"/>
  <c r="A469" i="1"/>
  <c r="F469" i="1"/>
  <c r="G469" i="1"/>
  <c r="I469" i="1"/>
  <c r="A470" i="1"/>
  <c r="F470" i="1"/>
  <c r="G470" i="1"/>
  <c r="A471" i="1"/>
  <c r="F471" i="1"/>
  <c r="G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F587" i="1"/>
  <c r="G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A606" i="1"/>
  <c r="F606" i="1"/>
  <c r="G606" i="1"/>
  <c r="A607" i="1"/>
  <c r="F607" i="1"/>
  <c r="G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I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H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F718" i="1"/>
  <c r="G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A748" i="1"/>
  <c r="F748" i="1"/>
  <c r="G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G834" i="1"/>
  <c r="I834" i="1"/>
  <c r="A835" i="1"/>
  <c r="F835" i="1"/>
  <c r="G835" i="1"/>
  <c r="A836" i="1"/>
  <c r="F836" i="1"/>
  <c r="G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F845" i="1"/>
  <c r="G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F980" i="1"/>
  <c r="G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A999" i="1"/>
  <c r="F999" i="1"/>
  <c r="G999" i="1"/>
  <c r="A1000" i="1"/>
  <c r="F1000" i="1"/>
  <c r="G1000" i="1"/>
  <c r="A1001" i="1"/>
  <c r="F1001" i="1"/>
  <c r="G1001" i="1"/>
  <c r="A1002" i="1"/>
  <c r="F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F1014" i="1"/>
  <c r="G1014" i="1"/>
  <c r="I1014" i="1"/>
  <c r="A1015" i="1"/>
  <c r="F1015" i="1"/>
  <c r="G1015" i="1"/>
  <c r="I1015" i="1"/>
  <c r="A1016" i="1"/>
  <c r="F1016" i="1"/>
  <c r="G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F1148" i="1"/>
  <c r="G1148" i="1"/>
  <c r="I1148" i="1"/>
  <c r="A1149" i="1"/>
  <c r="F1149" i="1"/>
  <c r="G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F1163" i="1"/>
  <c r="G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F1197" i="1"/>
  <c r="G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A1249" i="1"/>
  <c r="F1249" i="1"/>
  <c r="G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A1437" i="1"/>
  <c r="F1437" i="1"/>
  <c r="G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G1465" i="1"/>
  <c r="I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F1495" i="1"/>
  <c r="G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I1582" i="1"/>
  <c r="A1583" i="1"/>
  <c r="F1583" i="1"/>
  <c r="G1583" i="1"/>
  <c r="I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G1606" i="1"/>
  <c r="I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F1652" i="1"/>
  <c r="G1652" i="1"/>
  <c r="I1652" i="1"/>
  <c r="A1653" i="1"/>
  <c r="F1653" i="1"/>
  <c r="G1653" i="1"/>
  <c r="I1653" i="1"/>
  <c r="A1654" i="1"/>
  <c r="F1654" i="1"/>
  <c r="G1654" i="1"/>
  <c r="I1654" i="1"/>
  <c r="A1655" i="1"/>
  <c r="F1655" i="1"/>
  <c r="G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F1788" i="1"/>
  <c r="G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F1805" i="1"/>
  <c r="G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F1817" i="1"/>
  <c r="G1817" i="1"/>
  <c r="I1817" i="1"/>
  <c r="A1818" i="1"/>
  <c r="F1818" i="1"/>
  <c r="G1818" i="1"/>
  <c r="I1818" i="1"/>
  <c r="A1819" i="1"/>
  <c r="F1819" i="1"/>
  <c r="G1819" i="1"/>
  <c r="I1819" i="1"/>
  <c r="A1820" i="1"/>
  <c r="F1820" i="1"/>
  <c r="G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A3050" i="1"/>
  <c r="F3050" i="1"/>
  <c r="G3050" i="1"/>
  <c r="I3050" i="1"/>
  <c r="A3051" i="1"/>
  <c r="F3051" i="1"/>
  <c r="G3051" i="1"/>
  <c r="I3051" i="1"/>
  <c r="A3052" i="1"/>
  <c r="F3052" i="1"/>
  <c r="G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  <c r="A3074" i="1"/>
  <c r="F3074" i="1"/>
  <c r="G3074" i="1"/>
  <c r="I3074" i="1"/>
  <c r="A3075" i="1"/>
  <c r="F3075" i="1"/>
  <c r="G3075" i="1"/>
  <c r="I3075" i="1"/>
  <c r="A3076" i="1"/>
  <c r="F3076" i="1"/>
  <c r="G3076" i="1"/>
  <c r="I3076" i="1"/>
  <c r="A3077" i="1"/>
  <c r="F3077" i="1"/>
  <c r="G3077" i="1"/>
  <c r="I3077" i="1"/>
  <c r="A3078" i="1"/>
  <c r="F3078" i="1"/>
  <c r="G3078" i="1"/>
  <c r="I3078" i="1"/>
  <c r="A3079" i="1"/>
  <c r="F3079" i="1"/>
  <c r="G3079" i="1"/>
  <c r="I3079" i="1"/>
  <c r="A3080" i="1"/>
  <c r="F3080" i="1"/>
  <c r="G3080" i="1"/>
  <c r="I3080" i="1"/>
  <c r="A3081" i="1"/>
  <c r="F3081" i="1"/>
  <c r="G3081" i="1"/>
  <c r="I3081" i="1"/>
  <c r="A3082" i="1"/>
  <c r="F3082" i="1"/>
  <c r="G3082" i="1"/>
  <c r="I3082" i="1"/>
  <c r="A3083" i="1"/>
  <c r="F3083" i="1"/>
  <c r="G3083" i="1"/>
  <c r="I3083" i="1"/>
  <c r="A3084" i="1"/>
  <c r="F3084" i="1"/>
  <c r="G3084" i="1"/>
  <c r="I3084" i="1"/>
  <c r="A3085" i="1"/>
  <c r="F3085" i="1"/>
  <c r="G3085" i="1"/>
  <c r="I3085" i="1"/>
  <c r="A3086" i="1"/>
  <c r="F3086" i="1"/>
  <c r="G3086" i="1"/>
  <c r="I3086" i="1"/>
  <c r="A3087" i="1"/>
  <c r="F3087" i="1"/>
  <c r="G3087" i="1"/>
  <c r="I3087" i="1"/>
  <c r="A3088" i="1"/>
  <c r="F3088" i="1"/>
  <c r="G3088" i="1"/>
  <c r="I3088" i="1"/>
  <c r="A3089" i="1"/>
  <c r="F3089" i="1"/>
  <c r="G3089" i="1"/>
  <c r="I3089" i="1"/>
  <c r="A3090" i="1"/>
  <c r="F3090" i="1"/>
  <c r="G3090" i="1"/>
  <c r="I3090" i="1"/>
  <c r="A3091" i="1"/>
  <c r="F3091" i="1"/>
  <c r="G3091" i="1"/>
  <c r="I3091" i="1"/>
  <c r="A3092" i="1"/>
  <c r="F3092" i="1"/>
  <c r="G3092" i="1"/>
  <c r="I3092" i="1"/>
  <c r="A3093" i="1"/>
  <c r="F3093" i="1"/>
  <c r="G3093" i="1"/>
  <c r="I3093" i="1"/>
  <c r="A3094" i="1"/>
  <c r="F3094" i="1"/>
  <c r="G3094" i="1"/>
  <c r="I3094" i="1"/>
  <c r="A3095" i="1"/>
  <c r="F3095" i="1"/>
  <c r="G3095" i="1"/>
  <c r="I3095" i="1"/>
  <c r="A3096" i="1"/>
  <c r="F3096" i="1"/>
  <c r="G3096" i="1"/>
  <c r="I3096" i="1"/>
  <c r="A3097" i="1"/>
  <c r="F3097" i="1"/>
  <c r="G3097" i="1"/>
  <c r="I3097" i="1"/>
  <c r="A3098" i="1"/>
  <c r="F3098" i="1"/>
  <c r="G3098" i="1"/>
  <c r="I3098" i="1"/>
  <c r="A3099" i="1"/>
  <c r="F3099" i="1"/>
  <c r="G3099" i="1"/>
  <c r="I3099" i="1"/>
  <c r="A3100" i="1"/>
  <c r="F3100" i="1"/>
  <c r="G3100" i="1"/>
  <c r="I3100" i="1"/>
  <c r="A3101" i="1"/>
  <c r="F3101" i="1"/>
  <c r="G3101" i="1"/>
  <c r="I3101" i="1"/>
  <c r="A3102" i="1"/>
  <c r="F3102" i="1"/>
  <c r="G3102" i="1"/>
  <c r="A3103" i="1"/>
  <c r="F3103" i="1"/>
  <c r="G3103" i="1"/>
  <c r="I3103" i="1"/>
  <c r="A3104" i="1"/>
  <c r="F3104" i="1"/>
  <c r="G3104" i="1"/>
  <c r="I3104" i="1"/>
  <c r="A3105" i="1"/>
  <c r="F3105" i="1"/>
  <c r="G3105" i="1"/>
  <c r="I3105" i="1"/>
  <c r="A3106" i="1"/>
  <c r="F3106" i="1"/>
  <c r="G3106" i="1"/>
  <c r="I3106" i="1"/>
  <c r="A3107" i="1"/>
  <c r="F3107" i="1"/>
  <c r="G3107" i="1"/>
  <c r="I3107" i="1"/>
  <c r="A3108" i="1"/>
  <c r="F3108" i="1"/>
  <c r="G3108" i="1"/>
  <c r="I3108" i="1"/>
  <c r="A3109" i="1"/>
  <c r="F3109" i="1"/>
  <c r="G3109" i="1"/>
  <c r="I3109" i="1"/>
  <c r="A3110" i="1"/>
  <c r="F3110" i="1"/>
  <c r="G3110" i="1"/>
  <c r="I3110" i="1"/>
  <c r="A3111" i="1"/>
  <c r="F3111" i="1"/>
  <c r="G3111" i="1"/>
  <c r="I3111" i="1"/>
  <c r="A3112" i="1"/>
  <c r="F3112" i="1"/>
  <c r="G3112" i="1"/>
  <c r="I3112" i="1"/>
  <c r="A3113" i="1"/>
  <c r="F3113" i="1"/>
  <c r="G3113" i="1"/>
  <c r="I3113" i="1"/>
  <c r="A3114" i="1"/>
  <c r="F3114" i="1"/>
  <c r="G3114" i="1"/>
  <c r="I3114" i="1"/>
  <c r="A3115" i="1"/>
  <c r="F3115" i="1"/>
  <c r="G3115" i="1"/>
  <c r="I3115" i="1"/>
  <c r="A3116" i="1"/>
  <c r="F3116" i="1"/>
  <c r="G3116" i="1"/>
  <c r="I3116" i="1"/>
</calcChain>
</file>

<file path=xl/sharedStrings.xml><?xml version="1.0" encoding="utf-8"?>
<sst xmlns="http://schemas.openxmlformats.org/spreadsheetml/2006/main" count="797" uniqueCount="614">
  <si>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</si>
  <si>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</si>
  <si>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</si>
  <si>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</si>
  <si>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</si>
  <si>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</si>
  <si>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</si>
  <si>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</si>
  <si>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</si>
  <si>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JA MAC INC</t>
  </si>
  <si>
    <t>A &amp; E WELDING</t>
  </si>
  <si>
    <t>ALLSHRED INC</t>
  </si>
  <si>
    <t>ARNOLD OIL COMPANY OF AUSTIN LP</t>
  </si>
  <si>
    <t>AAA FIRE/SAFETY EQUIP CO INC</t>
  </si>
  <si>
    <t>AAA SHEET METAL PRODUCTS.INC</t>
  </si>
  <si>
    <t>ABREO &amp; CARTER</t>
  </si>
  <si>
    <t>ACE MART RESTAURANT SUPPLY</t>
  </si>
  <si>
    <t>ACTION TARGET INC</t>
  </si>
  <si>
    <t>ADAM ROWINS</t>
  </si>
  <si>
    <t>ADENA LEWIS</t>
  </si>
  <si>
    <t>ADVANCED GRAPHIX INC</t>
  </si>
  <si>
    <t>AIA CORPORATION</t>
  </si>
  <si>
    <t>AIR PRO INC</t>
  </si>
  <si>
    <t>AIRGAS INC</t>
  </si>
  <si>
    <t>ALAMO  GROUP (TX)  INC</t>
  </si>
  <si>
    <t>ALBERT STERLING &amp; ASSOC.</t>
  </si>
  <si>
    <t>ALLIED SALES CO.</t>
  </si>
  <si>
    <t>S &amp; D PLUMBING-GIDDINGS LLC</t>
  </si>
  <si>
    <t>AMERICAN ASSN OF NOTARIES</t>
  </si>
  <si>
    <t>AMERICAN BANK NOTE COMPANY</t>
  </si>
  <si>
    <t>AMERICAN FASTENERS INC</t>
  </si>
  <si>
    <t>AMERISOURCEBERGEN</t>
  </si>
  <si>
    <t>ANDERSON &amp; ANDERSON LAW FIRM PC</t>
  </si>
  <si>
    <t>C APPLEMAN ENT INC</t>
  </si>
  <si>
    <t>APRIL KUCK</t>
  </si>
  <si>
    <t>AQUA BEVERAGE COMPANY/OZARKA</t>
  </si>
  <si>
    <t>AQUA WATER SUPPLY</t>
  </si>
  <si>
    <t>ARSENAL ADVERTISING LLC</t>
  </si>
  <si>
    <t>ASCO</t>
  </si>
  <si>
    <t>ASHLEY HALL</t>
  </si>
  <si>
    <t>AT &amp; T</t>
  </si>
  <si>
    <t>AT&amp;T</t>
  </si>
  <si>
    <t>AT&amp;T MOBILITY</t>
  </si>
  <si>
    <t>ERNESTO B HERRERA</t>
  </si>
  <si>
    <t>AUBAINE SUPPLY COMPANY  INC</t>
  </si>
  <si>
    <t>COX MEDIA GROUP</t>
  </si>
  <si>
    <t>GRAND JUNCTION NEWSPAPERS  INC</t>
  </si>
  <si>
    <t>AUSTIN ANESTHESIOLOGY GROUP</t>
  </si>
  <si>
    <t>AUSTIN FUEL INJECTION &amp; PERFORMANCE CENTER</t>
  </si>
  <si>
    <t>AUSTIN GASTROENTERLOGY</t>
  </si>
  <si>
    <t>AUSTIN KIDNEY ASSOCIATES PA</t>
  </si>
  <si>
    <t>AUSTIN RADIOLOGICAL ASSOC</t>
  </si>
  <si>
    <t>AUSTIN SOUTHWEST ORTHOPAEDIC GROUP</t>
  </si>
  <si>
    <t>JIM ATTRA INC</t>
  </si>
  <si>
    <t>BASIC IDIQ  INC.</t>
  </si>
  <si>
    <t>BASTROP CHAMBER OF COMMERCE</t>
  </si>
  <si>
    <t>BASTROP CNTY SHERIFF'S DEPT</t>
  </si>
  <si>
    <t>DANIEL L HEPKER</t>
  </si>
  <si>
    <t>BASTROP COUNTY PROBATION DEPT</t>
  </si>
  <si>
    <t>BASTROP INDEPENDENT SCHOOL DISTRICT</t>
  </si>
  <si>
    <t>BASTROP MEDICAL CLINIC</t>
  </si>
  <si>
    <t>BASTROP PROVIDENCE FUNERAL HOME</t>
  </si>
  <si>
    <t>BASTROP RETAIL PARTNERS LP</t>
  </si>
  <si>
    <t>BASTROP TREE SERVICE  INC</t>
  </si>
  <si>
    <t>BASTROP VET. HOSPITAL  INC.</t>
  </si>
  <si>
    <t>DAVID H OUTON</t>
  </si>
  <si>
    <t>BEN E KEITH CO.</t>
  </si>
  <si>
    <t>BENJAMIN FOODS  LLC</t>
  </si>
  <si>
    <t>MULTI SERVICE CORP</t>
  </si>
  <si>
    <t>BICKERSTAFF HEATH DELGADO ACOSTA LL</t>
  </si>
  <si>
    <t>BILL'S TRUCK &amp; TRAILER INC</t>
  </si>
  <si>
    <t>BIMBO FOODS INC</t>
  </si>
  <si>
    <t>BLAS J COY JR</t>
  </si>
  <si>
    <t>BLUEBONNET AREA CRIME STOPPERS PROGRAM</t>
  </si>
  <si>
    <t>BLUEBONNET ELECTRIC</t>
  </si>
  <si>
    <t>BLUEBONNET ELECTRIC COOP</t>
  </si>
  <si>
    <t>BOBBY BROWN</t>
  </si>
  <si>
    <t>BRANDON PREWITT</t>
  </si>
  <si>
    <t>BRIAN BATES</t>
  </si>
  <si>
    <t>BRIAN GARVEL</t>
  </si>
  <si>
    <t>LAW OFFICE OF BRYAN W. MCDANIEL  P.C.</t>
  </si>
  <si>
    <t>BUCKEYE INTERNATIONAL INC</t>
  </si>
  <si>
    <t>BUREAU OF VITAL STATISTICS</t>
  </si>
  <si>
    <t>CAMCOR INC</t>
  </si>
  <si>
    <t>="Sharp 70" Screen"</t>
  </si>
  <si>
    <t>CAMRYN NUTT</t>
  </si>
  <si>
    <t>CAPCOG</t>
  </si>
  <si>
    <t>TIB-THE INDEPENDENT BANKERS BANK</t>
  </si>
  <si>
    <t>CAROLINE MCCLIMON</t>
  </si>
  <si>
    <t>CARRIER CORPORATION</t>
  </si>
  <si>
    <t>CDW GOVERNMENT INC</t>
  </si>
  <si>
    <t>CELLEBRITE USA INC</t>
  </si>
  <si>
    <t>CENTERPOINT ENERGY</t>
  </si>
  <si>
    <t>CENTEX MATERIALS LLC</t>
  </si>
  <si>
    <t>CENTEX MECHANICAL INC</t>
  </si>
  <si>
    <t>CENTRAL TEXAS AUTOPSY</t>
  </si>
  <si>
    <t>CHAD SMITH</t>
  </si>
  <si>
    <t>CHARLES W CARVER</t>
  </si>
  <si>
    <t>CHARLTON POWELL III</t>
  </si>
  <si>
    <t>CHARM-TEX</t>
  </si>
  <si>
    <t>CHRIS MATT DILLON</t>
  </si>
  <si>
    <t>CHRISTINA BLUE</t>
  </si>
  <si>
    <t>CINDYE WOLFORD</t>
  </si>
  <si>
    <t>CINTAS</t>
  </si>
  <si>
    <t>CINTAS CORPORATION #86</t>
  </si>
  <si>
    <t>CITY OF BASTROP</t>
  </si>
  <si>
    <t>CITY OF ELGIN</t>
  </si>
  <si>
    <t>CITY OF SMITHVILLE</t>
  </si>
  <si>
    <t>ANN FRANZ</t>
  </si>
  <si>
    <t>CLAY WANECK</t>
  </si>
  <si>
    <t>CLIFFORD POWER SYSTEMS INC</t>
  </si>
  <si>
    <t>CLINICAL PATHOLOGY LABORATORIES INC</t>
  </si>
  <si>
    <t>COLIN WILHELM</t>
  </si>
  <si>
    <t>COMMUNITY COFFEE COMPANY LLC</t>
  </si>
  <si>
    <t>COMMUNITY HEALTH CENTERS</t>
  </si>
  <si>
    <t>CONTECH ENGINEERED SOLUTIONS INC</t>
  </si>
  <si>
    <t>COOK SALES INC</t>
  </si>
  <si>
    <t>COOPER EQUIPMENT CO.</t>
  </si>
  <si>
    <t>COTHRON SECURITY SOLUTIONS LLC</t>
  </si>
  <si>
    <t>COUFAL-PRATER EQUIPMENT LTD</t>
  </si>
  <si>
    <t>COVERTTRACK GROUP INC</t>
  </si>
  <si>
    <t>CRESSIDA EVELYN KWOLEK  PH. D.</t>
  </si>
  <si>
    <t>CRYSTAL DEAR</t>
  </si>
  <si>
    <t>COMMUNICATON SERVICE FOR THE DEAF</t>
  </si>
  <si>
    <t>MUNICIPAL SERVICES BUREAU</t>
  </si>
  <si>
    <t>CUNA MUTUAL</t>
  </si>
  <si>
    <t>CUSTOM PRODUCTS CORPORATION</t>
  </si>
  <si>
    <t>="12" x 6" White"</t>
  </si>
  <si>
    <t>="24"x50yds Green"</t>
  </si>
  <si>
    <t>="24"x50 yds Black"</t>
  </si>
  <si>
    <t>DAHILL</t>
  </si>
  <si>
    <t>DAHILL INDUSTRIES  INC</t>
  </si>
  <si>
    <t>DALE JAQUETTE</t>
  </si>
  <si>
    <t>DALLAS COUNTY CONSTABLE PCT 1</t>
  </si>
  <si>
    <t>DANIELLE N. BLAKE</t>
  </si>
  <si>
    <t>DAVID B BROOKS</t>
  </si>
  <si>
    <t>DAVID M COLLINS</t>
  </si>
  <si>
    <t>SETON FAMILY OF HOSPITALS</t>
  </si>
  <si>
    <t>DELL FINANCIAL SERVICES LLC</t>
  </si>
  <si>
    <t>DENTRUST DENTAL TX PC</t>
  </si>
  <si>
    <t>DIAGNOSTICS DIRECT INC</t>
  </si>
  <si>
    <t>DICKENS LOCKSMITH INC</t>
  </si>
  <si>
    <t>DICKEY R FREITAG</t>
  </si>
  <si>
    <t>DEPARTMENT OF INFORMATION RESOURCES</t>
  </si>
  <si>
    <t>DISCOUNT DOOR &amp; METAL  LLC</t>
  </si>
  <si>
    <t>DISCOUNT FEEDS</t>
  </si>
  <si>
    <t>DONNIE STARK</t>
  </si>
  <si>
    <t>DOUBLE TUFF TRUCK TARPS INC</t>
  </si>
  <si>
    <t>DUNNE &amp; JUAREZ L.L.C.</t>
  </si>
  <si>
    <t>ECOLAB INC</t>
  </si>
  <si>
    <t>EDWIN RITCHE</t>
  </si>
  <si>
    <t>ELGIN REINVESTMENT ZONE # 1</t>
  </si>
  <si>
    <t>ELLIOTT ELECTRIC SUPPLY INC</t>
  </si>
  <si>
    <t>ERGON ASPHALT &amp; EMULSIONS INC</t>
  </si>
  <si>
    <t>FACILITY SOLUTIONS GROUP INC</t>
  </si>
  <si>
    <t>BASTROP COUNTY WOMEN'S SHELTER</t>
  </si>
  <si>
    <t>FEDERAL EXPRESS</t>
  </si>
  <si>
    <t>FIRST NATIONAL BANK BASTROP</t>
  </si>
  <si>
    <t>FLEET COR TECHNOLOGIES INC</t>
  </si>
  <si>
    <t>FLEETPRIDE</t>
  </si>
  <si>
    <t>AUSTIN TRUCK &amp; EQUIP LTD</t>
  </si>
  <si>
    <t>EUGENE W BRIGGS JR</t>
  </si>
  <si>
    <t>G &amp; K SERVICES</t>
  </si>
  <si>
    <t>GALLS LLC</t>
  </si>
  <si>
    <t>GARMENTS TO GO  INC</t>
  </si>
  <si>
    <t>KROSS WHOLESALE TIRE CO INC</t>
  </si>
  <si>
    <t>GERMAINE SWENSON</t>
  </si>
  <si>
    <t>GERMANIA INSURANCE</t>
  </si>
  <si>
    <t>GILBERTO CURIEL</t>
  </si>
  <si>
    <t>GIPSON PENDERGRASS PEOPLE'S MORTUARY LLC</t>
  </si>
  <si>
    <t>GOVCONNECTION INC</t>
  </si>
  <si>
    <t>="Latitude 14"-16GB-i7"</t>
  </si>
  <si>
    <t>GRAINGER INC</t>
  </si>
  <si>
    <t>GULF COAST PAPER CO. INC.</t>
  </si>
  <si>
    <t>HALFF ASSOCIATES</t>
  </si>
  <si>
    <t>HAMILTON ELECTRIC WORKS  INC.</t>
  </si>
  <si>
    <t>HAYS COUNTY CONSTABLE PCT 2</t>
  </si>
  <si>
    <t>HAYS COUNTY SHERIFF'S ACADEMY</t>
  </si>
  <si>
    <t>HENGST PRINTING &amp; SUPPLIES</t>
  </si>
  <si>
    <t>HENNA CHEVROLET</t>
  </si>
  <si>
    <t>HERBERT BARTSCH</t>
  </si>
  <si>
    <t>HERBERT J BARTSCH JR</t>
  </si>
  <si>
    <t>HERSHCAP BACKHOE &amp; DITCHING INC</t>
  </si>
  <si>
    <t>HILLARY LONG</t>
  </si>
  <si>
    <t>BASCOM L HODGES JR</t>
  </si>
  <si>
    <t>HODGSON G ECKEL</t>
  </si>
  <si>
    <t>BD HOLT CO</t>
  </si>
  <si>
    <t>CITIBANK (SOUTH DAKOTA)N.A./THE HOME DEPOT</t>
  </si>
  <si>
    <t>RS EQUIPMENT CO</t>
  </si>
  <si>
    <t>HUDSON ENERGY CORP</t>
  </si>
  <si>
    <t>IDEXX DISTRIBUTION INC</t>
  </si>
  <si>
    <t>INDIGENT HEALTHCARE SOLUTIONS</t>
  </si>
  <si>
    <t>INTERNATIONAL CAD CONSORTIUM</t>
  </si>
  <si>
    <t>IRON MOUNTAIN RECORDS MGMT INC</t>
  </si>
  <si>
    <t>TRIPLE J JACKPOT</t>
  </si>
  <si>
    <t>JAMES ALLEN</t>
  </si>
  <si>
    <t>JAMES GABRIEL</t>
  </si>
  <si>
    <t>JAMES H. BRASHAR</t>
  </si>
  <si>
    <t>JAMES O. BURKE</t>
  </si>
  <si>
    <t>JEFF E HAGEN MD</t>
  </si>
  <si>
    <t>="4160</t>
  </si>
  <si>
    <t>4181"</t>
  </si>
  <si>
    <t>JEFF KINNISON</t>
  </si>
  <si>
    <t>JENKINS &amp; JENKINS LLP</t>
  </si>
  <si>
    <t>JERRY HOFROCK</t>
  </si>
  <si>
    <t>JERRY P WILHELM</t>
  </si>
  <si>
    <t>JOHN HORTON</t>
  </si>
  <si>
    <t>JONATHAN L COHEN</t>
  </si>
  <si>
    <t>JORDAN MC DONALD</t>
  </si>
  <si>
    <t>JOSEPHINE MORALES</t>
  </si>
  <si>
    <t>BILLY JOSH GILL</t>
  </si>
  <si>
    <t>JULIE SOMMERFELD</t>
  </si>
  <si>
    <t>JUSTIN MATTHEW FOHN</t>
  </si>
  <si>
    <t>KAREN STARKS</t>
  </si>
  <si>
    <t>KATE JOHNSTON</t>
  </si>
  <si>
    <t>KATHY REEVES</t>
  </si>
  <si>
    <t>KEITH LAND</t>
  </si>
  <si>
    <t>KELLY-MOORE PAINT COMPANY  INC</t>
  </si>
  <si>
    <t>KENNETH LIMUEL</t>
  </si>
  <si>
    <t>KLEIBER FORD TRACTOR  INC.</t>
  </si>
  <si>
    <t>KOETTER FIRE PROTECTION</t>
  </si>
  <si>
    <t>KYLE HAMMOCK</t>
  </si>
  <si>
    <t>LA QUINTA HOLDINGS INC</t>
  </si>
  <si>
    <t>LQ MEDICAL CENTER HOTEL SA LP</t>
  </si>
  <si>
    <t>LABATT INSTITUTIONAL SUPPLY CO</t>
  </si>
  <si>
    <t>LANGFORD COMMUNITY MGMT INC</t>
  </si>
  <si>
    <t>LAUREN CONCRETE INC</t>
  </si>
  <si>
    <t>LEADING EDGE EMERGENCY PHYSICIANS INC</t>
  </si>
  <si>
    <t>LUCIO LEAL</t>
  </si>
  <si>
    <t>LEE COUNTY WATER SUPPLY CORP</t>
  </si>
  <si>
    <t>LEXISNEXIS RISK DATA MGMT INC</t>
  </si>
  <si>
    <t>LIBERTY TIRE RECYCLING</t>
  </si>
  <si>
    <t>LINDA HARMON-TAX ASSESSOR</t>
  </si>
  <si>
    <t>LISA SMITH</t>
  </si>
  <si>
    <t>LONE STAR CIRCLE OF CARE</t>
  </si>
  <si>
    <t>UNITED KWB COLLABORATIONS LLC</t>
  </si>
  <si>
    <t>LONGHORN EMERGENCY MEDICAL ASSOC PA</t>
  </si>
  <si>
    <t>SCOTT BRYANT</t>
  </si>
  <si>
    <t>LOST PINES PAINT &amp; BODY INC</t>
  </si>
  <si>
    <t>LOWE'S</t>
  </si>
  <si>
    <t>MARIA CELESTE COSTLEY</t>
  </si>
  <si>
    <t>MARK A RUMPLE</t>
  </si>
  <si>
    <t>MARK T MALONE M.D. P.A</t>
  </si>
  <si>
    <t>JOHN W GASPARINI INC</t>
  </si>
  <si>
    <t>MARRIOTT HOTEL SERVICES INC</t>
  </si>
  <si>
    <t>MARY BETH SCOTT</t>
  </si>
  <si>
    <t>MATAGORDA COUNTY SHERIFF</t>
  </si>
  <si>
    <t>MATHESON TRI-GAS INC</t>
  </si>
  <si>
    <t>McCOY'S BUILDING SUPPLY CENTER</t>
  </si>
  <si>
    <t>McCREARY  VESELKA  BRAGG &amp; ALLEN P</t>
  </si>
  <si>
    <t>MEDIMPACT HEALTHCARE SYSTEMS INC</t>
  </si>
  <si>
    <t>MELISSA A MEADOR</t>
  </si>
  <si>
    <t>ROBERT BRENT MERRIFIELD  JR</t>
  </si>
  <si>
    <t>MICHAEL CHARLES SHULMAN</t>
  </si>
  <si>
    <t>MICHELE T WALTY</t>
  </si>
  <si>
    <t>MID-TEX SALES AND SERVICE INC</t>
  </si>
  <si>
    <t>MIKE FORSTNER'S WATERLIFE</t>
  </si>
  <si>
    <t>MILLER UNIFORMS &amp; EMBLEMS</t>
  </si>
  <si>
    <t>ROY JOSE PINA</t>
  </si>
  <si>
    <t>SUSAN STERLING NALLEY</t>
  </si>
  <si>
    <t>DONALD DEWAYNE SNOOTS</t>
  </si>
  <si>
    <t>DWAYNE TYRONE VASSAR</t>
  </si>
  <si>
    <t>GINA THERESE SWEENY</t>
  </si>
  <si>
    <t>REBEKAH JEAN HIBBS</t>
  </si>
  <si>
    <t>THOMAS ANTHONY BRISTOLL III</t>
  </si>
  <si>
    <t>APRIL RENEA ALEXANDER</t>
  </si>
  <si>
    <t>NICK ALBERT BUHLER III</t>
  </si>
  <si>
    <t>JERRY LEE HENRICHS</t>
  </si>
  <si>
    <t>JON CRAIG ETHEREDGE</t>
  </si>
  <si>
    <t>Children's Advocacy Center</t>
  </si>
  <si>
    <t>Child Protective Services</t>
  </si>
  <si>
    <t>Family Crisis Center</t>
  </si>
  <si>
    <t>COURT APPOINTED SPECIAL ADVOCA</t>
  </si>
  <si>
    <t>NORA MIRANDA</t>
  </si>
  <si>
    <t>SUSAN HANCOCK MATHISON</t>
  </si>
  <si>
    <t>JOSEPH CLARENCE LUKE</t>
  </si>
  <si>
    <t>DIANE TURMAN MILLER</t>
  </si>
  <si>
    <t>PEDRO DOMINGUEZ MENDEZ</t>
  </si>
  <si>
    <t>SHERITAN ASHLEY MAY</t>
  </si>
  <si>
    <t>ROBERT EDWARD MCKINLEY</t>
  </si>
  <si>
    <t>KATRINA DAWN LIEBENDORFER</t>
  </si>
  <si>
    <t>TANYA NICHOL LINDSEY</t>
  </si>
  <si>
    <t>JO ANN LADERACH</t>
  </si>
  <si>
    <t>KENNETH DALE LEFRANCE</t>
  </si>
  <si>
    <t>JOANNA LOWDER</t>
  </si>
  <si>
    <t>GINA MARIE LOZANO</t>
  </si>
  <si>
    <t>CATHERINE MCMURRAY LOCKHART</t>
  </si>
  <si>
    <t>JOSEPH END LOCKHART</t>
  </si>
  <si>
    <t>ELIZABETH ANN MORROW</t>
  </si>
  <si>
    <t>KAYJA NICOLE THOMAS</t>
  </si>
  <si>
    <t>CLARA LOUISE THOMAS</t>
  </si>
  <si>
    <t>EDDIE LEROY SANDLIN</t>
  </si>
  <si>
    <t>GREGORY STEVEN WARNER</t>
  </si>
  <si>
    <t>CLARISSA MICHELLE WRIGHT</t>
  </si>
  <si>
    <t>ARNASISA TYKIA WHITE</t>
  </si>
  <si>
    <t>HAGEN ENNIS WATSON</t>
  </si>
  <si>
    <t>VICKY JUNE ROSE</t>
  </si>
  <si>
    <t>DONALD WAYNE NOLEN</t>
  </si>
  <si>
    <t>DALIA GALVAN NANEZ</t>
  </si>
  <si>
    <t>JASON HOWARD MURRY</t>
  </si>
  <si>
    <t>WILLIAM THOMAS PLETSCH</t>
  </si>
  <si>
    <t>STEPHEN MICHAEL ROSALES</t>
  </si>
  <si>
    <t>KIMBERLEY ANN REEDY</t>
  </si>
  <si>
    <t>OSCAR REBOLLOSO</t>
  </si>
  <si>
    <t>RHONDA GAIL DICKSON</t>
  </si>
  <si>
    <t>WAYNE ALLEN DICKINSON</t>
  </si>
  <si>
    <t>THOMAS JOSEPH COX III</t>
  </si>
  <si>
    <t>DONNA JEANNE EBERLE</t>
  </si>
  <si>
    <t>ROSAMUNDA FRANCIS ETTLE</t>
  </si>
  <si>
    <t>ALAN FOSTER ETHEREDGE</t>
  </si>
  <si>
    <t>LYNDA PETTIT EICHORST</t>
  </si>
  <si>
    <t>RUBI CELIA CORTEZ-AVILES</t>
  </si>
  <si>
    <t>JACKIE DEAN BOWMAN</t>
  </si>
  <si>
    <t>RANDAL JAMES BARNARD</t>
  </si>
  <si>
    <t>GINNY LEE BARKER</t>
  </si>
  <si>
    <t>REBECCA LYNN BRUMMET</t>
  </si>
  <si>
    <t>JOSE LORETO CORONADO</t>
  </si>
  <si>
    <t>LESLYE LYNN CONOLEY</t>
  </si>
  <si>
    <t>HARVEY LEE CARTER JR</t>
  </si>
  <si>
    <t>RAY SHAWN FALCON</t>
  </si>
  <si>
    <t>VANESSA IBARRA-SAUCEDA</t>
  </si>
  <si>
    <t>WILLIAM RUSSEL HICKS</t>
  </si>
  <si>
    <t>MELISSA AGUILAR HERNANDEZ</t>
  </si>
  <si>
    <t>THOMAS JERALD JEFFERSON JR</t>
  </si>
  <si>
    <t>LEONARDO RAMON JUAREZ</t>
  </si>
  <si>
    <t>KAYLA MARIE JONES</t>
  </si>
  <si>
    <t>MACI RUTH JOHNSON</t>
  </si>
  <si>
    <t>TIMOTHY PAUL HAWKINSON</t>
  </si>
  <si>
    <t>ANGELIKA PATTIE GARRETT</t>
  </si>
  <si>
    <t>HEATH FREPPON</t>
  </si>
  <si>
    <t>TRACEY RENE FAZ</t>
  </si>
  <si>
    <t>CALEB BRANDON GREEN</t>
  </si>
  <si>
    <t>BERNA A HARWOOD</t>
  </si>
  <si>
    <t>COURTNEY DAWN HANEY</t>
  </si>
  <si>
    <t>JILL SANDY GUNN</t>
  </si>
  <si>
    <t>MOISES OR CAROLINE GUERRERO</t>
  </si>
  <si>
    <t>MONTGOMERY CNTY CONSTABLE PCT 5</t>
  </si>
  <si>
    <t>MOORE MEDICAL LLC</t>
  </si>
  <si>
    <t>LCR-M LIMITED PARTNERSHIP</t>
  </si>
  <si>
    <t>MOTOROLA INC</t>
  </si>
  <si>
    <t>NANCY L. YOUNG</t>
  </si>
  <si>
    <t>NATIONAL FOOD GROUP INC</t>
  </si>
  <si>
    <t>NATIONAL NOTARY ASSOCIATION</t>
  </si>
  <si>
    <t>NOE Q GALVAN</t>
  </si>
  <si>
    <t>O'REILLY AUTOMOTIVE  INC.</t>
  </si>
  <si>
    <t>SOUTHERN FOODS GROUP LP</t>
  </si>
  <si>
    <t>OFFICE DEPOT</t>
  </si>
  <si>
    <t>ON SITE SERVICES</t>
  </si>
  <si>
    <t>P.O.U. PARTNERS LLC</t>
  </si>
  <si>
    <t>ROGER C OSBORN</t>
  </si>
  <si>
    <t>OWL</t>
  </si>
  <si>
    <t>PAIGE TRACTORS INC</t>
  </si>
  <si>
    <t>SL PARKER PARTNERSHIP LLC</t>
  </si>
  <si>
    <t>PATHMARK TRAFFIC PRODUCTS</t>
  </si>
  <si>
    <t>="9"X30"  White"</t>
  </si>
  <si>
    <t>="24"X24" Orange"</t>
  </si>
  <si>
    <t>="30"X30" Yellow"</t>
  </si>
  <si>
    <t>="24"X12" Yellow"</t>
  </si>
  <si>
    <t>="12"X24" .080 Alum Blank"</t>
  </si>
  <si>
    <t>PATRICK ELECTRIC SERVICE</t>
  </si>
  <si>
    <t>PATRICK TYDLACKA</t>
  </si>
  <si>
    <t>PATTERSON  VETERINARY SUPPLY INC</t>
  </si>
  <si>
    <t>PAUL GRANADO</t>
  </si>
  <si>
    <t>PERDUE  BRANDON  FIELDER  COLLINS &amp; MOTT LLP</t>
  </si>
  <si>
    <t>PHILIP R DUCLOUX</t>
  </si>
  <si>
    <t>PINEY CREEK AUTO SERVICE</t>
  </si>
  <si>
    <t>PM WILSON &amp; ASSOCIATES PLLC</t>
  </si>
  <si>
    <t>POSTMASTER</t>
  </si>
  <si>
    <t>POPE PRO ENTERPRISES INC</t>
  </si>
  <si>
    <t>ELGIN PROVIDENCE LLC</t>
  </si>
  <si>
    <t>QUEST DIAGNOSTICS</t>
  </si>
  <si>
    <t>QUILL CORPORATION</t>
  </si>
  <si>
    <t>RACHEL A BAUER</t>
  </si>
  <si>
    <t>RANDALL COURS</t>
  </si>
  <si>
    <t>NESTLE WATERS N AMERICA INC</t>
  </si>
  <si>
    <t>JIM BOB DOOLEY</t>
  </si>
  <si>
    <t>REPUBLIC SERVICES INC BFI WASTE SERVICE</t>
  </si>
  <si>
    <t>REPUBLIC TRUCK SALES   PARTS  &amp; REPAIRS</t>
  </si>
  <si>
    <t>REYNOLDS &amp; KEINARTH</t>
  </si>
  <si>
    <t>RICOH</t>
  </si>
  <si>
    <t>RICOH USA INC</t>
  </si>
  <si>
    <t>RICOH AMERICAS CORP</t>
  </si>
  <si>
    <t>JOEL RIVERA -PEDRAZA</t>
  </si>
  <si>
    <t>ROADRUNNER RADIOLOGY EQUIP LLC</t>
  </si>
  <si>
    <t>ROBERT MADDEN INDUSTRIES LTD</t>
  </si>
  <si>
    <t>ROCKY ROAD PRINTING</t>
  </si>
  <si>
    <t>ROGERS CUSTOM AUTOMOTIVE</t>
  </si>
  <si>
    <t>ROSE PIETSCH COUNTY CLERK</t>
  </si>
  <si>
    <t>ROUND ROCK SURGERY CENTER LLC</t>
  </si>
  <si>
    <t>TRAVIS CNTY DOMESTIC VIOLENCE &amp; SEXUAL ASSAULT</t>
  </si>
  <si>
    <t>SALVADOR PATINO</t>
  </si>
  <si>
    <t>SAM'S RADIATOR  INC</t>
  </si>
  <si>
    <t>SAMMY LERMA III MD</t>
  </si>
  <si>
    <t>SCOTT YOUNG</t>
  </si>
  <si>
    <t>SECURUS TECHNOLOGIES INC</t>
  </si>
  <si>
    <t>SHARON HANCOCK</t>
  </si>
  <si>
    <t>SHI GOVERNMENT SOLUTIONS INC.</t>
  </si>
  <si>
    <t>SHOPPA'S FARM SUPPLY</t>
  </si>
  <si>
    <t>SIGNATURE SMILES</t>
  </si>
  <si>
    <t>SKYLINE EQUIPMENT INC.</t>
  </si>
  <si>
    <t>ROBERT M SMITH JR</t>
  </si>
  <si>
    <t>SMITHVILLE AUTO PARTS  INC</t>
  </si>
  <si>
    <t>SOLARWINDS</t>
  </si>
  <si>
    <t>LAVACA COUNTY OFFICE SUPPLE  INC</t>
  </si>
  <si>
    <t>SOUTHERN TIRE MART LLC</t>
  </si>
  <si>
    <t>DS WATERS OF AMERICA INC</t>
  </si>
  <si>
    <t>SPOK INC</t>
  </si>
  <si>
    <t>ST.DAVID'S HEALTHCARE PARTNERSHIP</t>
  </si>
  <si>
    <t>STAPLES ADVANTAGE</t>
  </si>
  <si>
    <t>STATE BAR OF TEXAS</t>
  </si>
  <si>
    <t>STATE OF TEXAS</t>
  </si>
  <si>
    <t>STEPHEN BECK</t>
  </si>
  <si>
    <t>STEPHEN NIX</t>
  </si>
  <si>
    <t>STERICYCLE  INC.</t>
  </si>
  <si>
    <t>STEVE GRANADO</t>
  </si>
  <si>
    <t>STEVEN A LONG</t>
  </si>
  <si>
    <t>STURDYBILT BLDGS  LLC</t>
  </si>
  <si>
    <t>MATTHEW LEE SULLINS</t>
  </si>
  <si>
    <t>SUSAN L CERF</t>
  </si>
  <si>
    <t>TAMMI JUNE HOLLAND</t>
  </si>
  <si>
    <t>TAVCO SERVICES INC</t>
  </si>
  <si>
    <t>TAYLOR IRON MACHINE WORKS INC.</t>
  </si>
  <si>
    <t>TEAM VIEWER GMBH</t>
  </si>
  <si>
    <t>TERRY FLENNIKEN</t>
  </si>
  <si>
    <t>JOHN J FIETSAM INC</t>
  </si>
  <si>
    <t>TEXAN EYE  P.A.</t>
  </si>
  <si>
    <t>TEXAS AGGREGATES  LLC</t>
  </si>
  <si>
    <t>TEXAS AIRSYSTEMS LLC</t>
  </si>
  <si>
    <t>TEXAS ASSOCIATES INSURORS AGENCY</t>
  </si>
  <si>
    <t>TEXAS BLACKLAND HARDWARE</t>
  </si>
  <si>
    <t>TEXAS CIT ASSOCIATION</t>
  </si>
  <si>
    <t>TEXAS DEPT OF PUBLIC SAFETY</t>
  </si>
  <si>
    <t>TEXAS JUSTICE COURT TRAINING CENTER</t>
  </si>
  <si>
    <t>TEXAS STATE UNIVERSITY</t>
  </si>
  <si>
    <t>TEXAS MUNICIPAL POLICE ASSN</t>
  </si>
  <si>
    <t>TEXAS MUNICIPAL LEAGUE</t>
  </si>
  <si>
    <t>TEXAS PARKS &amp; WILDLIFE FUNDS</t>
  </si>
  <si>
    <t>WILLIAM G GILCHRIST III</t>
  </si>
  <si>
    <t>HIGH COUNTRY AUTOMOTIVE  LLC</t>
  </si>
  <si>
    <t>TEXAS RETINA INSTITUTE</t>
  </si>
  <si>
    <t>JAMES ANDREW CASEY</t>
  </si>
  <si>
    <t>RICHARD NELSON MOORE</t>
  </si>
  <si>
    <t>THE NITSCHE GROUP</t>
  </si>
  <si>
    <t>THE TRAVELERS INDEMNITY CO</t>
  </si>
  <si>
    <t>TEXAS HOTEL &amp; LODGING ASSN</t>
  </si>
  <si>
    <t>TIM SPARKMAN</t>
  </si>
  <si>
    <t>TWE-ADVANCE/NEWHOUSE PARTNERSHIP</t>
  </si>
  <si>
    <t>TRAVIS CO CONSTABLE  PCT 5</t>
  </si>
  <si>
    <t>TRAVIS ROBERTS</t>
  </si>
  <si>
    <t>TREADMAXX TIRE DISTRIBUTORS  INC.</t>
  </si>
  <si>
    <t>TREY MOORE</t>
  </si>
  <si>
    <t>TRIPLE S FUELS</t>
  </si>
  <si>
    <t>TRACTOR SUPPLY CREDIT PLAN</t>
  </si>
  <si>
    <t>TULL FARLEY</t>
  </si>
  <si>
    <t>TX COMMISSION ON JAIL STANDARDS</t>
  </si>
  <si>
    <t>TX COMMISSION ON ENVIRONMENTAL QUAL</t>
  </si>
  <si>
    <t>TX COMMISSION ON LAW ENFORCEMENT</t>
  </si>
  <si>
    <t>TX DEPT OF MOTOR VEHICLES</t>
  </si>
  <si>
    <t>TX VICTIM SERVICES ASSN</t>
  </si>
  <si>
    <t>TY OTT</t>
  </si>
  <si>
    <t>TYLER TECHNOLOGIES INC</t>
  </si>
  <si>
    <t>UNITED REFRIGERATION INC</t>
  </si>
  <si>
    <t>UNITED STATES TREASURY</t>
  </si>
  <si>
    <t>UPS</t>
  </si>
  <si>
    <t>VALERIE BULLOCK</t>
  </si>
  <si>
    <t>DEPARTMENT OF STATE HEALTH SERVICES</t>
  </si>
  <si>
    <t>VULCAN CONSTRUCTION MATERIALS  LP</t>
  </si>
  <si>
    <t>VULCAN  INC.</t>
  </si>
  <si>
    <t>WAGEWORKS INC  FSA/HSA</t>
  </si>
  <si>
    <t>WALLER COUNTY ASPHALT INC</t>
  </si>
  <si>
    <t>WALMART COMMUNITY BRC</t>
  </si>
  <si>
    <t>WASTE MANAGEMENT OF TEXAS INC</t>
  </si>
  <si>
    <t>WATTINGER SERVICE CO INC</t>
  </si>
  <si>
    <t>PROGRESSIVE WASTE SOLUTIONS OF TX. INC.</t>
  </si>
  <si>
    <t>WIND KNOT INCORPORATED</t>
  </si>
  <si>
    <t>COBRA EQUIPMENT RENTALS</t>
  </si>
  <si>
    <t>WEI-ANN LIN  MD PA</t>
  </si>
  <si>
    <t>WEST PUBLISHING CORPORATION</t>
  </si>
  <si>
    <t>MAO PHARMACY INC</t>
  </si>
  <si>
    <t>WILLIAMSON CNTY CONSTABLE 4</t>
  </si>
  <si>
    <t>WILLIAMSON COUNTY CONSTABLE 1</t>
  </si>
  <si>
    <t>XEROX CORPORATION</t>
  </si>
  <si>
    <t>YORKTOWN INDUSTRIES INDIANA INC</t>
  </si>
  <si>
    <t>ZACHARY CARTER</t>
  </si>
  <si>
    <t>973 MATERIALS  LLC</t>
  </si>
  <si>
    <t>BROADDUS &amp; ASSOCIATES</t>
  </si>
  <si>
    <t>CONVERGENCE CABLING INC</t>
  </si>
  <si>
    <t>FECON</t>
  </si>
  <si>
    <t>FIRST NATIONAL BANK</t>
  </si>
  <si>
    <t>HYDRAULIC HOUSE INC</t>
  </si>
  <si>
    <t>INCIDENT RESPONSE TECHNOLOGIES INC</t>
  </si>
  <si>
    <t>MIDTEX MATERIALS</t>
  </si>
  <si>
    <t>MUSTANG MACHINERY COMPANY LTD</t>
  </si>
  <si>
    <t>OLDCASTLE MATERIALS TEXAS INC</t>
  </si>
  <si>
    <t>PAULINE SPURLOCK</t>
  </si>
  <si>
    <t>SKILLPATH NATIONAL SEMINARS TRAINING</t>
  </si>
  <si>
    <t>SPEED FAB-CRETE CORPORATION</t>
  </si>
  <si>
    <t>TREEFOLKS INC</t>
  </si>
  <si>
    <t>WAL MART COMMUNITY BRC</t>
  </si>
  <si>
    <t>ALLSTATE-AMERICAN HERITAGE LIFE INS CO</t>
  </si>
  <si>
    <t>BASTROP ASSN OF SHERIFFS EMPLOYEES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</si>
  <si>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</si>
  <si>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</si>
  <si>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</si>
  <si>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</si>
  <si>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</si>
  <si>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</si>
  <si>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</si>
  <si>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</si>
  <si>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</si>
  <si>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SUE STOCKTON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</si>
  <si>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</si>
  <si>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</si>
  <si>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</si>
  <si>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</si>
  <si>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</si>
  <si>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VERITY NATIONAL GROUP</t>
  </si>
  <si>
    <t>A &amp; M ELECTRIC</t>
  </si>
  <si>
    <t>A-1 GATE COMPANY</t>
  </si>
  <si>
    <t>ACCLAIM RESOURCE PARTNERS</t>
  </si>
  <si>
    <t>ALVAN HANATH</t>
  </si>
  <si>
    <t>AMY JASINSKI</t>
  </si>
  <si>
    <t>APRIL BURKE</t>
  </si>
  <si>
    <t>ATTORNEY GENERAL OF TEXAS</t>
  </si>
  <si>
    <t>BANK OF AMERICA</t>
  </si>
  <si>
    <t>BRAZOS VALLEY SCHOOL CREDIT UN</t>
  </si>
  <si>
    <t>BRENHAM PLUMBING</t>
  </si>
  <si>
    <t>BRINKER INTERNATIONAL - CORPOR</t>
  </si>
  <si>
    <t>BRUCE R. FAUST</t>
  </si>
  <si>
    <t>BURLESON COUNTY TREASURER</t>
  </si>
  <si>
    <t>CADE LAKES WATER SUPPLY CORPOR</t>
  </si>
  <si>
    <t>CARMINE FEED &amp; FERTILIZER</t>
  </si>
  <si>
    <t>CASH AMERICA</t>
  </si>
  <si>
    <t>CASH AMERICA PAWN</t>
  </si>
  <si>
    <t>CENTER DRIVE IN III</t>
  </si>
  <si>
    <t>CHASTITY MARIE ROBINSON</t>
  </si>
  <si>
    <t>CHECK N GO</t>
  </si>
  <si>
    <t>CITI SECURITY AND INVESTIGATIV</t>
  </si>
  <si>
    <t>CITY OF BRENHAM</t>
  </si>
  <si>
    <t>COLLIER FARMS</t>
  </si>
  <si>
    <t>CVC ATTORNEY GENERAL</t>
  </si>
  <si>
    <t>DANTE CRENSHAW</t>
  </si>
  <si>
    <t>DAVID HAILE</t>
  </si>
  <si>
    <t>DAWN SHIMEALL</t>
  </si>
  <si>
    <t>DEBORAH TATUM</t>
  </si>
  <si>
    <t>DQ RED RIBBON</t>
  </si>
  <si>
    <t>TUYET THI TRAN</t>
  </si>
  <si>
    <t>EARL L. JOHNSON</t>
  </si>
  <si>
    <t>ENERGY TRANSFER CO</t>
  </si>
  <si>
    <t>EZ PAWN/ LOSS PREVENTION DEPT</t>
  </si>
  <si>
    <t>FAMILY DOLLAR</t>
  </si>
  <si>
    <t>FARMERS MUTUAL AID ASSOCIATION</t>
  </si>
  <si>
    <t>FIRST NATIONAL BANK OF GIDDING</t>
  </si>
  <si>
    <t>GILBERTO REYES</t>
  </si>
  <si>
    <t>GOOD LIFE RANCH  LLC</t>
  </si>
  <si>
    <t>GREAT MIDWEST INS CO. ATTN</t>
  </si>
  <si>
    <t>HHSC ARTS (MAIL CODE 1470)</t>
  </si>
  <si>
    <t>HOME DEPOT</t>
  </si>
  <si>
    <t>HOTTOPIC.COM</t>
  </si>
  <si>
    <t>HUNAN TIGER RESTAURANT</t>
  </si>
  <si>
    <t>INDEPENDENCE COFFEE</t>
  </si>
  <si>
    <t>ISIAH FRANKLIN</t>
  </si>
  <si>
    <t>JB HUNT</t>
  </si>
  <si>
    <t>JEFF SALZGEBER</t>
  </si>
  <si>
    <t>JEFF TROUT</t>
  </si>
  <si>
    <t>JERRY EDMOND FAMILY WORSHIP CE</t>
  </si>
  <si>
    <t>JOE GRADY TUCK</t>
  </si>
  <si>
    <t>KENISTA HOLLOWAY</t>
  </si>
  <si>
    <t>KENNETH LATHAN</t>
  </si>
  <si>
    <t>KORMEX FOODS INC</t>
  </si>
  <si>
    <t>KORTNEY BELL</t>
  </si>
  <si>
    <t>KARIMBHAI N. MANASIYA/KWIK PAY</t>
  </si>
  <si>
    <t>LARRY WILSON</t>
  </si>
  <si>
    <t>LOWE'S COMPANIES  INC</t>
  </si>
  <si>
    <t>MIKE GUTHRIE</t>
  </si>
  <si>
    <t>MIKE HORNE</t>
  </si>
  <si>
    <t>MURPHY USA</t>
  </si>
  <si>
    <t>PETERSON FAMILY FOODS</t>
  </si>
  <si>
    <t>ROBERT FISHER</t>
  </si>
  <si>
    <t>ROBERTSON DENTAL</t>
  </si>
  <si>
    <t>ROBYN GOODSON</t>
  </si>
  <si>
    <t>SANDRA MILLER</t>
  </si>
  <si>
    <t>SHARON KIEKE</t>
  </si>
  <si>
    <t>SHERWIN SIEGMUND</t>
  </si>
  <si>
    <t>SMITHVILLE HOUSING AUTHORITY</t>
  </si>
  <si>
    <t>SPEEDY STOP CORPORATE</t>
  </si>
  <si>
    <t>ST. MARGRET'S CATHOLIC CHURCH</t>
  </si>
  <si>
    <t>STATE FARM LLOYD</t>
  </si>
  <si>
    <t>STEVEN GOODALE</t>
  </si>
  <si>
    <t>STEVEN WAYNE MEDACK</t>
  </si>
  <si>
    <t>SYLVIA DELEON</t>
  </si>
  <si>
    <t>TEXAS DPS  RESTITUTION ACCOUNT</t>
  </si>
  <si>
    <t>TEXAS PARKS AND WILDLIFE C/O S</t>
  </si>
  <si>
    <t>TOOTSIE'S</t>
  </si>
  <si>
    <t>TRACY JOSEPH ISELT</t>
  </si>
  <si>
    <t>TX ASSOC OF COUNTIES RISK MANA</t>
  </si>
  <si>
    <t>TXDOT</t>
  </si>
  <si>
    <t>USAA CORP SECURITY INVESTIGATI</t>
  </si>
  <si>
    <t>USAA GENERAL INDEMNITY COMPANY</t>
  </si>
  <si>
    <t>WAL-MART RESTITUTION RECOVERY</t>
  </si>
  <si>
    <t>WILLETTA RODRIGUEZ</t>
  </si>
  <si>
    <t>WILLIAM HOLLE</t>
  </si>
  <si>
    <t>SETH JENKE</t>
  </si>
  <si>
    <t>MADD - EAST TEXAS  ATTN</t>
  </si>
  <si>
    <t>BASTROP COUNTY TREASURER</t>
  </si>
  <si>
    <t>BURLESON COUNTY DISTRICT CLERK</t>
  </si>
  <si>
    <t>WASHINGTON COUNTY DISTRICT CLE</t>
  </si>
  <si>
    <t>WASHINGTON CO CRIMESTOPPERS</t>
  </si>
  <si>
    <t>BLUEBONNET AREA CRIMESTOPPERS</t>
  </si>
  <si>
    <t>WASHINGTON COUNTY TREASURER</t>
  </si>
  <si>
    <t>FOCUSING FAMILIES</t>
  </si>
  <si>
    <t>ERICA MICHELLE WATSON</t>
  </si>
  <si>
    <t>JASON WAYNE STACY</t>
  </si>
  <si>
    <t>TEXAS STATE COMPTROLLER  UNCLA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</si>
</sst>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6"/>
  <sheetViews>
    <sheetView tabSelected="1" workbookViewId="0">
      <selection activeCell="A2" sqref="A2"/>
    </sheetView>
  </sheetViews>
  <sheetFormatPr defaultRowHeight="14.4" x14ac:dyDescent="0.3"/>
  <cols>
    <col min="1" max="1" width="8.77734375" bestFit="1" customWidth="1"/>
    <col min="2" max="2" width="46.7773437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19" bestFit="1" customWidth="1"/>
    <col min="7" max="7" width="33.21875" bestFit="1" customWidth="1"/>
    <col min="8" max="8" width="24.33203125" style="2" bestFit="1" customWidth="1"/>
    <col min="9" max="9" width="33.21875" bestFit="1" customWidth="1"/>
    <col min="10" max="10" width="7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"004572"</f>
        <v>004572</v>
      </c>
      <c r="B2" t="s">
        <v>9</v>
      </c>
      <c r="C2">
        <v>0</v>
      </c>
      <c r="D2" s="2">
        <v>0</v>
      </c>
      <c r="E2" s="1">
        <v>42857</v>
      </c>
      <c r="F2" t="str">
        <f>"201705021629"</f>
        <v>201705021629</v>
      </c>
      <c r="G2" t="str">
        <f>"JA MAC INC"</f>
        <v>JA MAC INC</v>
      </c>
      <c r="H2" s="2">
        <v>-407.94</v>
      </c>
      <c r="I2" t="str">
        <f>"JA MAC INC"</f>
        <v>JA MAC INC</v>
      </c>
    </row>
    <row r="3" spans="1:9" x14ac:dyDescent="0.3">
      <c r="A3" t="str">
        <f>""</f>
        <v/>
      </c>
      <c r="F3" t="str">
        <f>"201704201407"</f>
        <v>201704201407</v>
      </c>
      <c r="G3" t="str">
        <f>"PANIC BUTTONS"</f>
        <v>PANIC BUTTONS</v>
      </c>
      <c r="H3" s="2">
        <v>407.94</v>
      </c>
      <c r="I3" t="str">
        <f>"PANIC BUTTONS"</f>
        <v>PANIC BUTTONS</v>
      </c>
    </row>
    <row r="4" spans="1:9" x14ac:dyDescent="0.3">
      <c r="A4" t="str">
        <f>"001018"</f>
        <v>001018</v>
      </c>
      <c r="B4" t="s">
        <v>10</v>
      </c>
      <c r="C4">
        <v>70074</v>
      </c>
      <c r="D4" s="2">
        <v>2868.77</v>
      </c>
      <c r="E4" s="1">
        <v>42863</v>
      </c>
      <c r="F4" t="str">
        <f>"FINAL PAYMENT-4"</f>
        <v>FINAL PAYMENT-4</v>
      </c>
      <c r="G4" t="str">
        <f>"381 AGREE.AD VALOREM TAX '17"</f>
        <v>381 AGREE.AD VALOREM TAX '17</v>
      </c>
      <c r="H4" s="2">
        <v>2868.77</v>
      </c>
    </row>
    <row r="5" spans="1:9" x14ac:dyDescent="0.3">
      <c r="A5" t="str">
        <f>"001018"</f>
        <v>001018</v>
      </c>
      <c r="B5" t="s">
        <v>10</v>
      </c>
      <c r="C5">
        <v>70074</v>
      </c>
      <c r="D5" s="2">
        <v>2868.77</v>
      </c>
      <c r="E5" s="1">
        <v>42863</v>
      </c>
      <c r="F5" t="str">
        <f>"CHECK"</f>
        <v>CHECK</v>
      </c>
      <c r="G5" t="str">
        <f>""</f>
        <v/>
      </c>
      <c r="H5" s="2">
        <v>2868.77</v>
      </c>
    </row>
    <row r="6" spans="1:9" x14ac:dyDescent="0.3">
      <c r="A6" t="str">
        <f>"004643"</f>
        <v>004643</v>
      </c>
      <c r="B6" t="s">
        <v>11</v>
      </c>
      <c r="C6">
        <v>70075</v>
      </c>
      <c r="D6" s="2">
        <v>206</v>
      </c>
      <c r="E6" s="1">
        <v>42863</v>
      </c>
      <c r="F6" t="str">
        <f>"640326"</f>
        <v>640326</v>
      </c>
      <c r="G6" t="str">
        <f>"SHEDDING CONTAINERS/TAX OFF ."</f>
        <v>SHEDDING CONTAINERS/TAX OFF .</v>
      </c>
      <c r="H6" s="2">
        <v>51.5</v>
      </c>
      <c r="I6" t="str">
        <f>"SHEDDING CONTAINERS/TAX OFF ."</f>
        <v>SHEDDING CONTAINERS/TAX OFF .</v>
      </c>
    </row>
    <row r="7" spans="1:9" x14ac:dyDescent="0.3">
      <c r="A7" t="str">
        <f>""</f>
        <v/>
      </c>
      <c r="F7" t="str">
        <f>"640327"</f>
        <v>640327</v>
      </c>
      <c r="G7" t="str">
        <f>"INV 640327"</f>
        <v>INV 640327</v>
      </c>
      <c r="H7" s="2">
        <v>103</v>
      </c>
      <c r="I7" t="str">
        <f>"INV 640327 (LE)"</f>
        <v>INV 640327 (LE)</v>
      </c>
    </row>
    <row r="8" spans="1:9" x14ac:dyDescent="0.3">
      <c r="A8" t="str">
        <f>""</f>
        <v/>
      </c>
      <c r="F8" t="str">
        <f>""</f>
        <v/>
      </c>
      <c r="G8" t="str">
        <f>""</f>
        <v/>
      </c>
      <c r="I8" t="str">
        <f>"INV 640327 (JAIL)"</f>
        <v>INV 640327 (JAIL)</v>
      </c>
    </row>
    <row r="9" spans="1:9" x14ac:dyDescent="0.3">
      <c r="A9" t="str">
        <f>""</f>
        <v/>
      </c>
      <c r="F9" t="str">
        <f>"640346"</f>
        <v>640346</v>
      </c>
      <c r="G9" t="str">
        <f>"SHRED CONTAINERS/JP#4"</f>
        <v>SHRED CONTAINERS/JP#4</v>
      </c>
      <c r="H9" s="2">
        <v>51.5</v>
      </c>
      <c r="I9" t="str">
        <f>"SHRED CONTAINERS/JP#4"</f>
        <v>SHRED CONTAINERS/JP#4</v>
      </c>
    </row>
    <row r="10" spans="1:9" x14ac:dyDescent="0.3">
      <c r="A10" t="str">
        <f>"004643"</f>
        <v>004643</v>
      </c>
      <c r="B10" t="s">
        <v>11</v>
      </c>
      <c r="C10">
        <v>70331</v>
      </c>
      <c r="D10" s="2">
        <v>55</v>
      </c>
      <c r="E10" s="1">
        <v>42877</v>
      </c>
      <c r="F10" t="str">
        <f>"643618"</f>
        <v>643618</v>
      </c>
      <c r="G10" t="str">
        <f>"SHREDDING EMERG MGMT"</f>
        <v>SHREDDING EMERG MGMT</v>
      </c>
      <c r="H10" s="2">
        <v>55</v>
      </c>
      <c r="I10" t="str">
        <f>"SHREDDING EMERG MGMT"</f>
        <v>SHREDDING EMERG MGMT</v>
      </c>
    </row>
    <row r="11" spans="1:9" x14ac:dyDescent="0.3">
      <c r="A11" t="str">
        <f>"ALINE"</f>
        <v>ALINE</v>
      </c>
      <c r="B11" t="s">
        <v>12</v>
      </c>
      <c r="C11">
        <v>70332</v>
      </c>
      <c r="D11" s="2">
        <v>384.95</v>
      </c>
      <c r="E11" s="1">
        <v>42877</v>
      </c>
      <c r="F11" t="str">
        <f>"201705121963"</f>
        <v>201705121963</v>
      </c>
      <c r="G11" t="str">
        <f>"STMT 251742 CUST ID16500"</f>
        <v>STMT 251742 CUST ID16500</v>
      </c>
      <c r="H11" s="2">
        <v>384.95</v>
      </c>
      <c r="I11" t="str">
        <f>"STMT 251742 CUST ID16500"</f>
        <v>STMT 251742 CUST ID16500</v>
      </c>
    </row>
    <row r="12" spans="1:9" x14ac:dyDescent="0.3">
      <c r="A12" t="str">
        <f>"AAA"</f>
        <v>AAA</v>
      </c>
      <c r="B12" t="s">
        <v>13</v>
      </c>
      <c r="C12">
        <v>70076</v>
      </c>
      <c r="D12" s="2">
        <v>1151</v>
      </c>
      <c r="E12" s="1">
        <v>42863</v>
      </c>
      <c r="F12" t="str">
        <f>"289420"</f>
        <v>289420</v>
      </c>
      <c r="G12" t="str">
        <f>"EXTINGUISER MAINT/PCT#4"</f>
        <v>EXTINGUISER MAINT/PCT#4</v>
      </c>
      <c r="H12" s="2">
        <v>362</v>
      </c>
      <c r="I12" t="str">
        <f>"EXTINGUISER MAINT/PCT#4"</f>
        <v>EXTINGUISER MAINT/PCT#4</v>
      </c>
    </row>
    <row r="13" spans="1:9" x14ac:dyDescent="0.3">
      <c r="A13" t="str">
        <f>""</f>
        <v/>
      </c>
      <c r="F13" t="str">
        <f>"289431"</f>
        <v>289431</v>
      </c>
      <c r="G13" t="str">
        <f>"EXTINQUISHER MAINT./PCT#1"</f>
        <v>EXTINQUISHER MAINT./PCT#1</v>
      </c>
      <c r="H13" s="2">
        <v>286</v>
      </c>
      <c r="I13" t="str">
        <f>"EXTINQUISHER MAINT./PCT#1"</f>
        <v>EXTINQUISHER MAINT./PCT#1</v>
      </c>
    </row>
    <row r="14" spans="1:9" x14ac:dyDescent="0.3">
      <c r="A14" t="str">
        <f>""</f>
        <v/>
      </c>
      <c r="F14" t="str">
        <f>"289432"</f>
        <v>289432</v>
      </c>
      <c r="G14" t="str">
        <f>"FIRE EXTINGUISHER/ANIMAL SHELT"</f>
        <v>FIRE EXTINGUISHER/ANIMAL SHELT</v>
      </c>
      <c r="H14" s="2">
        <v>468</v>
      </c>
      <c r="I14" t="str">
        <f>"FIRE EXTINGUISHER/ANIMAL SHELT"</f>
        <v>FIRE EXTINGUISHER/ANIMAL SHELT</v>
      </c>
    </row>
    <row r="15" spans="1:9" x14ac:dyDescent="0.3">
      <c r="A15" t="str">
        <f>""</f>
        <v/>
      </c>
      <c r="F15" t="str">
        <f>""</f>
        <v/>
      </c>
      <c r="G15" t="str">
        <f>""</f>
        <v/>
      </c>
      <c r="I15" t="str">
        <f>"FIRE EXTINGUISHER/ANIMAL SHELT"</f>
        <v>FIRE EXTINGUISHER/ANIMAL SHELT</v>
      </c>
    </row>
    <row r="16" spans="1:9" x14ac:dyDescent="0.3">
      <c r="A16" t="str">
        <f>""</f>
        <v/>
      </c>
      <c r="F16" t="str">
        <f>"289433"</f>
        <v>289433</v>
      </c>
      <c r="G16" t="str">
        <f>"FIRE EXTINQUISHER INSP.ENV.SER"</f>
        <v>FIRE EXTINQUISHER INSP.ENV.SER</v>
      </c>
      <c r="H16" s="2">
        <v>35</v>
      </c>
      <c r="I16" t="str">
        <f>"FIRE EXTINQUISHER INSP.ENV.SER"</f>
        <v>FIRE EXTINQUISHER INSP.ENV.SER</v>
      </c>
    </row>
    <row r="17" spans="1:9" x14ac:dyDescent="0.3">
      <c r="A17" t="str">
        <f>"AAA"</f>
        <v>AAA</v>
      </c>
      <c r="B17" t="s">
        <v>13</v>
      </c>
      <c r="C17">
        <v>70333</v>
      </c>
      <c r="D17" s="2">
        <v>35</v>
      </c>
      <c r="E17" s="1">
        <v>42877</v>
      </c>
      <c r="F17" t="str">
        <f>"201705162011"</f>
        <v>201705162011</v>
      </c>
      <c r="G17" t="str">
        <f>"INV 289424 TAX OFFICE ANNUAL"</f>
        <v>INV 289424 TAX OFFICE ANNUAL</v>
      </c>
      <c r="H17" s="2">
        <v>35</v>
      </c>
      <c r="I17" t="str">
        <f>"INV 289424 TAX OFFICE ANNUAL"</f>
        <v>INV 289424 TAX OFFICE ANNUAL</v>
      </c>
    </row>
    <row r="18" spans="1:9" x14ac:dyDescent="0.3">
      <c r="A18" t="str">
        <f>"005056"</f>
        <v>005056</v>
      </c>
      <c r="B18" t="s">
        <v>14</v>
      </c>
      <c r="C18">
        <v>70077</v>
      </c>
      <c r="D18" s="2">
        <v>12721</v>
      </c>
      <c r="E18" s="1">
        <v>42863</v>
      </c>
      <c r="F18" t="str">
        <f>"201705041801"</f>
        <v>201705041801</v>
      </c>
      <c r="G18" t="str">
        <f>"50%Down"</f>
        <v>50%Down</v>
      </c>
      <c r="H18" s="2">
        <v>12721</v>
      </c>
      <c r="I18" t="str">
        <f>"50%Down"</f>
        <v>50%Down</v>
      </c>
    </row>
    <row r="19" spans="1:9" x14ac:dyDescent="0.3">
      <c r="A19" t="str">
        <f>"003812"</f>
        <v>003812</v>
      </c>
      <c r="B19" t="s">
        <v>15</v>
      </c>
      <c r="C19">
        <v>70078</v>
      </c>
      <c r="D19" s="2">
        <v>3113.86</v>
      </c>
      <c r="E19" s="1">
        <v>42863</v>
      </c>
      <c r="F19" t="str">
        <f>"201705031698"</f>
        <v>201705031698</v>
      </c>
      <c r="G19" t="str">
        <f>"16-17690"</f>
        <v>16-17690</v>
      </c>
      <c r="H19" s="2">
        <v>601.36</v>
      </c>
      <c r="I19" t="str">
        <f>"16-17690"</f>
        <v>16-17690</v>
      </c>
    </row>
    <row r="20" spans="1:9" x14ac:dyDescent="0.3">
      <c r="A20" t="str">
        <f>""</f>
        <v/>
      </c>
      <c r="F20" t="str">
        <f>"201705031699"</f>
        <v>201705031699</v>
      </c>
      <c r="G20" t="str">
        <f>"16-18040"</f>
        <v>16-18040</v>
      </c>
      <c r="H20" s="2">
        <v>453.75</v>
      </c>
      <c r="I20" t="str">
        <f>"16-18040"</f>
        <v>16-18040</v>
      </c>
    </row>
    <row r="21" spans="1:9" x14ac:dyDescent="0.3">
      <c r="A21" t="str">
        <f>""</f>
        <v/>
      </c>
      <c r="F21" t="str">
        <f>"201705031700"</f>
        <v>201705031700</v>
      </c>
      <c r="G21" t="str">
        <f>"16-17709"</f>
        <v>16-17709</v>
      </c>
      <c r="H21" s="2">
        <v>833.75</v>
      </c>
      <c r="I21" t="str">
        <f>"16-17709"</f>
        <v>16-17709</v>
      </c>
    </row>
    <row r="22" spans="1:9" x14ac:dyDescent="0.3">
      <c r="A22" t="str">
        <f>""</f>
        <v/>
      </c>
      <c r="F22" t="str">
        <f>"201705031701"</f>
        <v>201705031701</v>
      </c>
      <c r="G22" t="str">
        <f>"423-4668"</f>
        <v>423-4668</v>
      </c>
      <c r="H22" s="2">
        <v>1225</v>
      </c>
      <c r="I22" t="str">
        <f>"423-4668"</f>
        <v>423-4668</v>
      </c>
    </row>
    <row r="23" spans="1:9" x14ac:dyDescent="0.3">
      <c r="A23" t="str">
        <f>"000466"</f>
        <v>000466</v>
      </c>
      <c r="B23" t="s">
        <v>16</v>
      </c>
      <c r="C23">
        <v>70334</v>
      </c>
      <c r="D23" s="2">
        <v>606.70000000000005</v>
      </c>
      <c r="E23" s="1">
        <v>42877</v>
      </c>
      <c r="F23" t="str">
        <f>"21846537"</f>
        <v>21846537</v>
      </c>
      <c r="G23" t="str">
        <f>"INV21846537 FS EQUIPMENT"</f>
        <v>INV21846537 FS EQUIPMENT</v>
      </c>
      <c r="H23" s="2">
        <v>606.70000000000005</v>
      </c>
      <c r="I23" t="str">
        <f>"INV21846537 FS EQUIPMENT"</f>
        <v>INV21846537 FS EQUIPMENT</v>
      </c>
    </row>
    <row r="24" spans="1:9" x14ac:dyDescent="0.3">
      <c r="A24" t="str">
        <f>"003687"</f>
        <v>003687</v>
      </c>
      <c r="B24" t="s">
        <v>17</v>
      </c>
      <c r="C24">
        <v>70079</v>
      </c>
      <c r="D24" s="2">
        <v>275.36</v>
      </c>
      <c r="E24" s="1">
        <v>42863</v>
      </c>
      <c r="F24" t="str">
        <f>"0342239"</f>
        <v>0342239</v>
      </c>
      <c r="G24" t="str">
        <f>"INV 0342239-IN"</f>
        <v>INV 0342239-IN</v>
      </c>
      <c r="H24" s="2">
        <v>275.36</v>
      </c>
      <c r="I24" t="str">
        <f>"INV 0342239-IN"</f>
        <v>INV 0342239-IN</v>
      </c>
    </row>
    <row r="25" spans="1:9" x14ac:dyDescent="0.3">
      <c r="A25" t="str">
        <f>""</f>
        <v/>
      </c>
      <c r="F25" t="str">
        <f>""</f>
        <v/>
      </c>
      <c r="G25" t="str">
        <f>""</f>
        <v/>
      </c>
      <c r="I25" t="str">
        <f>"SHIPPING"</f>
        <v>SHIPPING</v>
      </c>
    </row>
    <row r="26" spans="1:9" x14ac:dyDescent="0.3">
      <c r="A26" t="str">
        <f>"003687"</f>
        <v>003687</v>
      </c>
      <c r="B26" t="s">
        <v>17</v>
      </c>
      <c r="C26">
        <v>70335</v>
      </c>
      <c r="D26" s="2">
        <v>593.08000000000004</v>
      </c>
      <c r="E26" s="1">
        <v>42877</v>
      </c>
      <c r="F26" t="str">
        <f>"0343660-IN"</f>
        <v>0343660-IN</v>
      </c>
      <c r="G26" t="str">
        <f>"ORDER #302659"</f>
        <v>ORDER #302659</v>
      </c>
      <c r="H26" s="2">
        <v>593.08000000000004</v>
      </c>
      <c r="I26" t="str">
        <f>"ORDER #302659"</f>
        <v>ORDER #302659</v>
      </c>
    </row>
    <row r="27" spans="1:9" x14ac:dyDescent="0.3">
      <c r="A27" t="str">
        <f>""</f>
        <v/>
      </c>
      <c r="F27" t="str">
        <f>""</f>
        <v/>
      </c>
      <c r="G27" t="str">
        <f>""</f>
        <v/>
      </c>
      <c r="I27" t="str">
        <f>"SHIPPING"</f>
        <v>SHIPPING</v>
      </c>
    </row>
    <row r="28" spans="1:9" x14ac:dyDescent="0.3">
      <c r="A28" t="str">
        <f>"000954"</f>
        <v>000954</v>
      </c>
      <c r="B28" t="s">
        <v>18</v>
      </c>
      <c r="C28">
        <v>70080</v>
      </c>
      <c r="D28" s="2">
        <v>1670</v>
      </c>
      <c r="E28" s="1">
        <v>42863</v>
      </c>
      <c r="F28" t="str">
        <f>"201705031691"</f>
        <v>201705031691</v>
      </c>
      <c r="G28" t="str">
        <f>"16-17785"</f>
        <v>16-17785</v>
      </c>
      <c r="H28" s="2">
        <v>262.5</v>
      </c>
      <c r="I28" t="str">
        <f>"16-17785"</f>
        <v>16-17785</v>
      </c>
    </row>
    <row r="29" spans="1:9" x14ac:dyDescent="0.3">
      <c r="A29" t="str">
        <f>""</f>
        <v/>
      </c>
      <c r="F29" t="str">
        <f>"201705031692"</f>
        <v>201705031692</v>
      </c>
      <c r="G29" t="str">
        <f>"16-17709"</f>
        <v>16-17709</v>
      </c>
      <c r="H29" s="2">
        <v>195</v>
      </c>
      <c r="I29" t="str">
        <f>"16-17709"</f>
        <v>16-17709</v>
      </c>
    </row>
    <row r="30" spans="1:9" x14ac:dyDescent="0.3">
      <c r="A30" t="str">
        <f>""</f>
        <v/>
      </c>
      <c r="F30" t="str">
        <f>"201705031693"</f>
        <v>201705031693</v>
      </c>
      <c r="G30" t="str">
        <f>"15-16990"</f>
        <v>15-16990</v>
      </c>
      <c r="H30" s="2">
        <v>130</v>
      </c>
      <c r="I30" t="str">
        <f>"15-16990"</f>
        <v>15-16990</v>
      </c>
    </row>
    <row r="31" spans="1:9" x14ac:dyDescent="0.3">
      <c r="A31" t="str">
        <f>""</f>
        <v/>
      </c>
      <c r="F31" t="str">
        <f>"201705031694"</f>
        <v>201705031694</v>
      </c>
      <c r="G31" t="str">
        <f>"16-17713"</f>
        <v>16-17713</v>
      </c>
      <c r="H31" s="2">
        <v>232.5</v>
      </c>
      <c r="I31" t="str">
        <f>"16-17713"</f>
        <v>16-17713</v>
      </c>
    </row>
    <row r="32" spans="1:9" x14ac:dyDescent="0.3">
      <c r="A32" t="str">
        <f>""</f>
        <v/>
      </c>
      <c r="F32" t="str">
        <f>"201705031695"</f>
        <v>201705031695</v>
      </c>
      <c r="G32" t="str">
        <f>"14-16917"</f>
        <v>14-16917</v>
      </c>
      <c r="H32" s="2">
        <v>197.5</v>
      </c>
      <c r="I32" t="str">
        <f>"14-16917"</f>
        <v>14-16917</v>
      </c>
    </row>
    <row r="33" spans="1:9" x14ac:dyDescent="0.3">
      <c r="A33" t="str">
        <f>""</f>
        <v/>
      </c>
      <c r="F33" t="str">
        <f>"201705031696"</f>
        <v>201705031696</v>
      </c>
      <c r="G33" t="str">
        <f>"14-16404"</f>
        <v>14-16404</v>
      </c>
      <c r="H33" s="2">
        <v>157.5</v>
      </c>
      <c r="I33" t="str">
        <f>"14-16404"</f>
        <v>14-16404</v>
      </c>
    </row>
    <row r="34" spans="1:9" x14ac:dyDescent="0.3">
      <c r="A34" t="str">
        <f>""</f>
        <v/>
      </c>
      <c r="F34" t="str">
        <f>"201705031697"</f>
        <v>201705031697</v>
      </c>
      <c r="G34" t="str">
        <f>"16-17760"</f>
        <v>16-17760</v>
      </c>
      <c r="H34" s="2">
        <v>495</v>
      </c>
      <c r="I34" t="str">
        <f>"16-17760"</f>
        <v>16-17760</v>
      </c>
    </row>
    <row r="35" spans="1:9" x14ac:dyDescent="0.3">
      <c r="A35" t="str">
        <f>"003117"</f>
        <v>003117</v>
      </c>
      <c r="B35" t="s">
        <v>19</v>
      </c>
      <c r="C35">
        <v>70081</v>
      </c>
      <c r="D35" s="2">
        <v>705.87</v>
      </c>
      <c r="E35" s="1">
        <v>42863</v>
      </c>
      <c r="F35" t="str">
        <f>"201705031766"</f>
        <v>201705031766</v>
      </c>
      <c r="G35" t="str">
        <f>"REIMB-HOTEL EARTH DAY"</f>
        <v>REIMB-HOTEL EARTH DAY</v>
      </c>
      <c r="H35" s="2">
        <v>548.64</v>
      </c>
      <c r="I35" t="str">
        <f>"REIMB-HOTEL EARTH DAY"</f>
        <v>REIMB-HOTEL EARTH DAY</v>
      </c>
    </row>
    <row r="36" spans="1:9" x14ac:dyDescent="0.3">
      <c r="A36" t="str">
        <f>""</f>
        <v/>
      </c>
      <c r="F36" t="str">
        <f>"201705031767"</f>
        <v>201705031767</v>
      </c>
      <c r="G36" t="str">
        <f>"REIMB-PARKING"</f>
        <v>REIMB-PARKING</v>
      </c>
      <c r="H36" s="2">
        <v>157.22999999999999</v>
      </c>
      <c r="I36" t="str">
        <f>"REIMB-PARKING"</f>
        <v>REIMB-PARKING</v>
      </c>
    </row>
    <row r="37" spans="1:9" x14ac:dyDescent="0.3">
      <c r="A37" t="str">
        <f>"T6115"</f>
        <v>T6115</v>
      </c>
      <c r="B37" t="s">
        <v>20</v>
      </c>
      <c r="C37">
        <v>70336</v>
      </c>
      <c r="D37" s="2">
        <v>240</v>
      </c>
      <c r="E37" s="1">
        <v>42877</v>
      </c>
      <c r="F37" t="str">
        <f>"195818"</f>
        <v>195818</v>
      </c>
      <c r="G37" t="str">
        <f>"INV 195818"</f>
        <v>INV 195818</v>
      </c>
      <c r="H37" s="2">
        <v>90</v>
      </c>
      <c r="I37" t="str">
        <f>"INV 195818"</f>
        <v>INV 195818</v>
      </c>
    </row>
    <row r="38" spans="1:9" x14ac:dyDescent="0.3">
      <c r="A38" t="str">
        <f>""</f>
        <v/>
      </c>
      <c r="F38" t="str">
        <f>"196094"</f>
        <v>196094</v>
      </c>
      <c r="G38" t="str">
        <f>"INV 196094"</f>
        <v>INV 196094</v>
      </c>
      <c r="H38" s="2">
        <v>150</v>
      </c>
      <c r="I38" t="str">
        <f>"INV 196094"</f>
        <v>INV 196094</v>
      </c>
    </row>
    <row r="39" spans="1:9" x14ac:dyDescent="0.3">
      <c r="A39" t="str">
        <f>"T11050"</f>
        <v>T11050</v>
      </c>
      <c r="B39" t="s">
        <v>21</v>
      </c>
      <c r="C39">
        <v>70337</v>
      </c>
      <c r="D39" s="2">
        <v>362.3</v>
      </c>
      <c r="E39" s="1">
        <v>42877</v>
      </c>
      <c r="F39" t="str">
        <f>"CID2069805"</f>
        <v>CID2069805</v>
      </c>
      <c r="G39" t="str">
        <f>"ACCT#238567 ORDER CID2086789"</f>
        <v>ACCT#238567 ORDER CID2086789</v>
      </c>
      <c r="H39" s="2">
        <v>362.3</v>
      </c>
      <c r="I39" t="str">
        <f>"ACCT#238567 ORDER CID2086789"</f>
        <v>ACCT#238567 ORDER CID2086789</v>
      </c>
    </row>
    <row r="40" spans="1:9" x14ac:dyDescent="0.3">
      <c r="A40" t="str">
        <f>"004154"</f>
        <v>004154</v>
      </c>
      <c r="B40" t="s">
        <v>22</v>
      </c>
      <c r="C40">
        <v>70338</v>
      </c>
      <c r="D40" s="2">
        <v>250</v>
      </c>
      <c r="E40" s="1">
        <v>42877</v>
      </c>
      <c r="F40" t="str">
        <f>"2017-2458"</f>
        <v>2017-2458</v>
      </c>
      <c r="G40" t="str">
        <f>"REFUND"</f>
        <v>REFUND</v>
      </c>
      <c r="H40" s="2">
        <v>250</v>
      </c>
      <c r="I40" t="str">
        <f>"REFUND"</f>
        <v>REFUND</v>
      </c>
    </row>
    <row r="41" spans="1:9" x14ac:dyDescent="0.3">
      <c r="A41" t="str">
        <f>""</f>
        <v/>
      </c>
      <c r="F41" t="str">
        <f>""</f>
        <v/>
      </c>
      <c r="G41" t="str">
        <f>""</f>
        <v/>
      </c>
      <c r="I41" t="str">
        <f>"REFUND"</f>
        <v>REFUND</v>
      </c>
    </row>
    <row r="42" spans="1:9" x14ac:dyDescent="0.3">
      <c r="A42" t="str">
        <f>"KWS"</f>
        <v>KWS</v>
      </c>
      <c r="B42" t="s">
        <v>23</v>
      </c>
      <c r="C42">
        <v>70082</v>
      </c>
      <c r="D42" s="2">
        <v>95.93</v>
      </c>
      <c r="E42" s="1">
        <v>42863</v>
      </c>
      <c r="F42" t="str">
        <f>"9062447234"</f>
        <v>9062447234</v>
      </c>
      <c r="G42" t="str">
        <f>"PAYER#2278443/PCT#2"</f>
        <v>PAYER#2278443/PCT#2</v>
      </c>
      <c r="H42" s="2">
        <v>95.93</v>
      </c>
      <c r="I42" t="str">
        <f>"PAYER#2278443/PCT#2"</f>
        <v>PAYER#2278443/PCT#2</v>
      </c>
    </row>
    <row r="43" spans="1:9" x14ac:dyDescent="0.3">
      <c r="A43" t="str">
        <f>"AG"</f>
        <v>AG</v>
      </c>
      <c r="B43" t="s">
        <v>24</v>
      </c>
      <c r="C43">
        <v>70339</v>
      </c>
      <c r="D43" s="2">
        <v>122.04</v>
      </c>
      <c r="E43" s="1">
        <v>42877</v>
      </c>
      <c r="F43" t="str">
        <f>"5716611"</f>
        <v>5716611</v>
      </c>
      <c r="G43" t="str">
        <f>"ACCT#17295 PCT#3"</f>
        <v>ACCT#17295 PCT#3</v>
      </c>
      <c r="H43" s="2">
        <v>122.04</v>
      </c>
      <c r="I43" t="str">
        <f>"ACCT#17295 PCT#3"</f>
        <v>ACCT#17295 PCT#3</v>
      </c>
    </row>
    <row r="44" spans="1:9" x14ac:dyDescent="0.3">
      <c r="A44" t="str">
        <f>"T3798"</f>
        <v>T3798</v>
      </c>
      <c r="B44" t="s">
        <v>25</v>
      </c>
      <c r="C44">
        <v>70340</v>
      </c>
      <c r="D44" s="2">
        <v>668</v>
      </c>
      <c r="E44" s="1">
        <v>42877</v>
      </c>
      <c r="F44" t="str">
        <f>"17-0758"</f>
        <v>17-0758</v>
      </c>
      <c r="G44" t="str">
        <f>"INV17-0758 TEMP VALVE"</f>
        <v>INV17-0758 TEMP VALVE</v>
      </c>
      <c r="H44" s="2">
        <v>668</v>
      </c>
      <c r="I44" t="str">
        <f>"INV17-0758 TEMP VALVE"</f>
        <v>INV17-0758 TEMP VALVE</v>
      </c>
    </row>
    <row r="45" spans="1:9" x14ac:dyDescent="0.3">
      <c r="A45" t="str">
        <f>"ALLIED"</f>
        <v>ALLIED</v>
      </c>
      <c r="B45" t="s">
        <v>26</v>
      </c>
      <c r="C45">
        <v>70083</v>
      </c>
      <c r="D45" s="2">
        <v>376.41</v>
      </c>
      <c r="E45" s="1">
        <v>42863</v>
      </c>
      <c r="F45" t="str">
        <f>"31364855"</f>
        <v>31364855</v>
      </c>
      <c r="G45" t="str">
        <f>"CUST#27615/PCT#2"</f>
        <v>CUST#27615/PCT#2</v>
      </c>
      <c r="H45" s="2">
        <v>125.47</v>
      </c>
      <c r="I45" t="str">
        <f>"CUST#27615/PCT#2"</f>
        <v>CUST#27615/PCT#2</v>
      </c>
    </row>
    <row r="46" spans="1:9" x14ac:dyDescent="0.3">
      <c r="A46" t="str">
        <f>""</f>
        <v/>
      </c>
      <c r="F46" t="str">
        <f>"31396164"</f>
        <v>31396164</v>
      </c>
      <c r="G46" t="str">
        <f>"CUST#27615/PCT#2"</f>
        <v>CUST#27615/PCT#2</v>
      </c>
      <c r="H46" s="2">
        <v>250.94</v>
      </c>
      <c r="I46" t="str">
        <f>"CUST#27615/PCT#2"</f>
        <v>CUST#27615/PCT#2</v>
      </c>
    </row>
    <row r="47" spans="1:9" x14ac:dyDescent="0.3">
      <c r="A47" t="str">
        <f>"ALLIED"</f>
        <v>ALLIED</v>
      </c>
      <c r="B47" t="s">
        <v>26</v>
      </c>
      <c r="C47">
        <v>70341</v>
      </c>
      <c r="D47" s="2">
        <v>1862.75</v>
      </c>
      <c r="E47" s="1">
        <v>42877</v>
      </c>
      <c r="F47" t="str">
        <f>"201705121975"</f>
        <v>201705121975</v>
      </c>
      <c r="G47" t="str">
        <f>"INV 31387869 ORDER 10394318"</f>
        <v>INV 31387869 ORDER 10394318</v>
      </c>
      <c r="H47" s="2">
        <v>342.01</v>
      </c>
      <c r="I47" t="str">
        <f>"INV 31387869 ORDER 10394318"</f>
        <v>INV 31387869 ORDER 10394318</v>
      </c>
    </row>
    <row r="48" spans="1:9" x14ac:dyDescent="0.3">
      <c r="A48" t="str">
        <f>""</f>
        <v/>
      </c>
      <c r="F48" t="str">
        <f>"201705162099"</f>
        <v>201705162099</v>
      </c>
      <c r="G48" t="str">
        <f>"INV 31404165"</f>
        <v>INV 31404165</v>
      </c>
      <c r="H48" s="2">
        <v>1520.74</v>
      </c>
      <c r="I48" t="str">
        <f>"INV 31404165"</f>
        <v>INV 31404165</v>
      </c>
    </row>
    <row r="49" spans="1:9" x14ac:dyDescent="0.3">
      <c r="A49" t="str">
        <f>""</f>
        <v/>
      </c>
      <c r="F49" t="str">
        <f>""</f>
        <v/>
      </c>
      <c r="G49" t="str">
        <f>""</f>
        <v/>
      </c>
      <c r="I49" t="str">
        <f>"INV 31404168"</f>
        <v>INV 31404168</v>
      </c>
    </row>
    <row r="50" spans="1:9" x14ac:dyDescent="0.3">
      <c r="A50" t="str">
        <f>"004642"</f>
        <v>004642</v>
      </c>
      <c r="B50" t="s">
        <v>27</v>
      </c>
      <c r="C50">
        <v>70342</v>
      </c>
      <c r="D50" s="2">
        <v>340</v>
      </c>
      <c r="E50" s="1">
        <v>42877</v>
      </c>
      <c r="F50" t="str">
        <f>"24337"</f>
        <v>24337</v>
      </c>
      <c r="G50" t="str">
        <f>"RENTAL MAY'17 PCT#1"</f>
        <v>RENTAL MAY'17 PCT#1</v>
      </c>
      <c r="H50" s="2">
        <v>340</v>
      </c>
      <c r="I50" t="str">
        <f>"RENTAL MAY'17 PCT#1"</f>
        <v>RENTAL MAY'17 PCT#1</v>
      </c>
    </row>
    <row r="51" spans="1:9" x14ac:dyDescent="0.3">
      <c r="A51" t="str">
        <f>"T6702"</f>
        <v>T6702</v>
      </c>
      <c r="B51" t="s">
        <v>28</v>
      </c>
      <c r="C51">
        <v>70343</v>
      </c>
      <c r="D51" s="2">
        <v>134.74</v>
      </c>
      <c r="E51" s="1">
        <v>42877</v>
      </c>
      <c r="F51" t="str">
        <f>"01-17821035"</f>
        <v>01-17821035</v>
      </c>
      <c r="G51" t="str">
        <f>"INV 01-17821035"</f>
        <v>INV 01-17821035</v>
      </c>
      <c r="H51" s="2">
        <v>48.8</v>
      </c>
      <c r="I51" t="str">
        <f>"INV 01-17821035"</f>
        <v>INV 01-17821035</v>
      </c>
    </row>
    <row r="52" spans="1:9" x14ac:dyDescent="0.3">
      <c r="A52" t="str">
        <f>""</f>
        <v/>
      </c>
      <c r="F52" t="str">
        <f>"201705121938"</f>
        <v>201705121938</v>
      </c>
      <c r="G52" t="str">
        <f>"NOTARY RENEWAL G BARTSCH ELECT"</f>
        <v>NOTARY RENEWAL G BARTSCH ELECT</v>
      </c>
      <c r="H52" s="2">
        <v>85.94</v>
      </c>
      <c r="I52" t="str">
        <f>"NOTARY RENEWAL G BARTSCH ELECT"</f>
        <v>NOTARY RENEWAL G BARTSCH ELECT</v>
      </c>
    </row>
    <row r="53" spans="1:9" x14ac:dyDescent="0.3">
      <c r="A53" t="str">
        <f>"003695"</f>
        <v>003695</v>
      </c>
      <c r="B53" t="s">
        <v>29</v>
      </c>
      <c r="C53">
        <v>70084</v>
      </c>
      <c r="D53" s="2">
        <v>48.8</v>
      </c>
      <c r="E53" s="1">
        <v>42863</v>
      </c>
      <c r="F53" t="str">
        <f>"201705031789"</f>
        <v>201705031789</v>
      </c>
      <c r="G53" t="str">
        <f>"NOTARY STAMP RENEWAL"</f>
        <v>NOTARY STAMP RENEWAL</v>
      </c>
      <c r="H53" s="2">
        <v>48.8</v>
      </c>
    </row>
    <row r="54" spans="1:9" x14ac:dyDescent="0.3">
      <c r="A54" t="str">
        <f>"003695"</f>
        <v>003695</v>
      </c>
      <c r="B54" t="s">
        <v>29</v>
      </c>
      <c r="C54">
        <v>70084</v>
      </c>
      <c r="D54" s="2">
        <v>48.8</v>
      </c>
      <c r="E54" s="1">
        <v>42863</v>
      </c>
      <c r="F54" t="str">
        <f>"CHECK"</f>
        <v>CHECK</v>
      </c>
      <c r="G54" t="str">
        <f>""</f>
        <v/>
      </c>
      <c r="H54" s="2">
        <v>48.8</v>
      </c>
    </row>
    <row r="55" spans="1:9" x14ac:dyDescent="0.3">
      <c r="A55" t="str">
        <f>"AMERIC"</f>
        <v>AMERIC</v>
      </c>
      <c r="B55" t="s">
        <v>30</v>
      </c>
      <c r="C55">
        <v>70344</v>
      </c>
      <c r="D55" s="2">
        <v>13.45</v>
      </c>
      <c r="E55" s="1">
        <v>42877</v>
      </c>
      <c r="F55" t="str">
        <f>"526713"</f>
        <v>526713</v>
      </c>
      <c r="G55" t="str">
        <f>"CUST ID:  100074 PCT#3"</f>
        <v>CUST ID:  100074 PCT#3</v>
      </c>
      <c r="H55" s="2">
        <v>13.45</v>
      </c>
      <c r="I55" t="str">
        <f>"CUST ID:  100074 PCT#3"</f>
        <v>CUST ID:  100074 PCT#3</v>
      </c>
    </row>
    <row r="56" spans="1:9" x14ac:dyDescent="0.3">
      <c r="A56" t="str">
        <f>"002148"</f>
        <v>002148</v>
      </c>
      <c r="B56" t="s">
        <v>31</v>
      </c>
      <c r="C56">
        <v>70085</v>
      </c>
      <c r="D56" s="2">
        <v>56.34</v>
      </c>
      <c r="E56" s="1">
        <v>42863</v>
      </c>
      <c r="F56" t="str">
        <f>"916725005"</f>
        <v>916725005</v>
      </c>
      <c r="G56" t="str">
        <f>"916725005/918954474/$5.64"</f>
        <v>916725005/918954474/$5.64</v>
      </c>
      <c r="H56" s="2">
        <v>56.34</v>
      </c>
      <c r="I56" t="str">
        <f>"801700889 MEDICAL"</f>
        <v>801700889 MEDICAL</v>
      </c>
    </row>
    <row r="57" spans="1:9" x14ac:dyDescent="0.3">
      <c r="A57" t="str">
        <f>""</f>
        <v/>
      </c>
      <c r="F57" t="str">
        <f>""</f>
        <v/>
      </c>
      <c r="G57" t="str">
        <f>""</f>
        <v/>
      </c>
      <c r="I57" t="str">
        <f>"916725005 MEDICAL"</f>
        <v>916725005 MEDICAL</v>
      </c>
    </row>
    <row r="58" spans="1:9" x14ac:dyDescent="0.3">
      <c r="A58" t="str">
        <f>""</f>
        <v/>
      </c>
      <c r="F58" t="str">
        <f>""</f>
        <v/>
      </c>
      <c r="G58" t="str">
        <f>""</f>
        <v/>
      </c>
      <c r="I58" t="str">
        <f>"918954474 J170559"</f>
        <v>918954474 J170559</v>
      </c>
    </row>
    <row r="59" spans="1:9" x14ac:dyDescent="0.3">
      <c r="A59" t="str">
        <f>"T7520"</f>
        <v>T7520</v>
      </c>
      <c r="B59" t="s">
        <v>32</v>
      </c>
      <c r="C59">
        <v>70086</v>
      </c>
      <c r="D59" s="2">
        <v>2277.5</v>
      </c>
      <c r="E59" s="1">
        <v>42863</v>
      </c>
      <c r="F59" t="str">
        <f>"201705031702"</f>
        <v>201705031702</v>
      </c>
      <c r="G59" t="str">
        <f>"14-16896"</f>
        <v>14-16896</v>
      </c>
      <c r="H59" s="2">
        <v>880</v>
      </c>
      <c r="I59" t="str">
        <f>"14-16896"</f>
        <v>14-16896</v>
      </c>
    </row>
    <row r="60" spans="1:9" x14ac:dyDescent="0.3">
      <c r="A60" t="str">
        <f>""</f>
        <v/>
      </c>
      <c r="F60" t="str">
        <f>"201705031703"</f>
        <v>201705031703</v>
      </c>
      <c r="G60" t="str">
        <f>"16-17698"</f>
        <v>16-17698</v>
      </c>
      <c r="H60" s="2">
        <v>797.5</v>
      </c>
      <c r="I60" t="str">
        <f>"16-17698"</f>
        <v>16-17698</v>
      </c>
    </row>
    <row r="61" spans="1:9" x14ac:dyDescent="0.3">
      <c r="A61" t="str">
        <f>""</f>
        <v/>
      </c>
      <c r="F61" t="str">
        <f>"201705031733"</f>
        <v>201705031733</v>
      </c>
      <c r="G61" t="str">
        <f>"CH-20170217A"</f>
        <v>CH-20170217A</v>
      </c>
      <c r="H61" s="2">
        <v>250</v>
      </c>
      <c r="I61" t="str">
        <f>"CH-20170217A"</f>
        <v>CH-20170217A</v>
      </c>
    </row>
    <row r="62" spans="1:9" x14ac:dyDescent="0.3">
      <c r="A62" t="str">
        <f>""</f>
        <v/>
      </c>
      <c r="F62" t="str">
        <f>"201705031734"</f>
        <v>201705031734</v>
      </c>
      <c r="G62" t="str">
        <f>"DETENTION HEARING - M CHILD"</f>
        <v>DETENTION HEARING - M CHILD</v>
      </c>
      <c r="H62" s="2">
        <v>100</v>
      </c>
      <c r="I62" t="str">
        <f>"DETENTION HEARING - M CHILD"</f>
        <v>DETENTION HEARING - M CHILD</v>
      </c>
    </row>
    <row r="63" spans="1:9" x14ac:dyDescent="0.3">
      <c r="A63" t="str">
        <f>""</f>
        <v/>
      </c>
      <c r="F63" t="str">
        <f>"201705031735"</f>
        <v>201705031735</v>
      </c>
      <c r="G63" t="str">
        <f>"J-3076"</f>
        <v>J-3076</v>
      </c>
      <c r="H63" s="2">
        <v>250</v>
      </c>
      <c r="I63" t="str">
        <f>"J-3076"</f>
        <v>J-3076</v>
      </c>
    </row>
    <row r="64" spans="1:9" x14ac:dyDescent="0.3">
      <c r="A64" t="str">
        <f>"T7520"</f>
        <v>T7520</v>
      </c>
      <c r="B64" t="s">
        <v>32</v>
      </c>
      <c r="C64">
        <v>70345</v>
      </c>
      <c r="D64" s="2">
        <v>2000</v>
      </c>
      <c r="E64" s="1">
        <v>42877</v>
      </c>
      <c r="F64" t="str">
        <f>"201705172167"</f>
        <v>201705172167</v>
      </c>
      <c r="G64" t="str">
        <f>"112 718"</f>
        <v>112 718</v>
      </c>
      <c r="H64" s="2">
        <v>400</v>
      </c>
      <c r="I64" t="str">
        <f>"112 718"</f>
        <v>112 718</v>
      </c>
    </row>
    <row r="65" spans="1:9" x14ac:dyDescent="0.3">
      <c r="A65" t="str">
        <f>""</f>
        <v/>
      </c>
      <c r="F65" t="str">
        <f>"201705172168"</f>
        <v>201705172168</v>
      </c>
      <c r="G65" t="str">
        <f>"14 433"</f>
        <v>14 433</v>
      </c>
      <c r="H65" s="2">
        <v>400</v>
      </c>
      <c r="I65" t="str">
        <f>"14 433"</f>
        <v>14 433</v>
      </c>
    </row>
    <row r="66" spans="1:9" x14ac:dyDescent="0.3">
      <c r="A66" t="str">
        <f>""</f>
        <v/>
      </c>
      <c r="F66" t="str">
        <f>"201705172169"</f>
        <v>201705172169</v>
      </c>
      <c r="G66" t="str">
        <f>"0142773"</f>
        <v>0142773</v>
      </c>
      <c r="H66" s="2">
        <v>400</v>
      </c>
      <c r="I66" t="str">
        <f>"0142773"</f>
        <v>0142773</v>
      </c>
    </row>
    <row r="67" spans="1:9" x14ac:dyDescent="0.3">
      <c r="A67" t="str">
        <f>""</f>
        <v/>
      </c>
      <c r="F67" t="str">
        <f>"201705172170"</f>
        <v>201705172170</v>
      </c>
      <c r="G67" t="str">
        <f>"02-0115-2"</f>
        <v>02-0115-2</v>
      </c>
      <c r="H67" s="2">
        <v>400</v>
      </c>
      <c r="I67" t="str">
        <f>"02-0115-2"</f>
        <v>02-0115-2</v>
      </c>
    </row>
    <row r="68" spans="1:9" x14ac:dyDescent="0.3">
      <c r="A68" t="str">
        <f>""</f>
        <v/>
      </c>
      <c r="F68" t="str">
        <f>"201705172171"</f>
        <v>201705172171</v>
      </c>
      <c r="G68" t="str">
        <f>"02-0824-2"</f>
        <v>02-0824-2</v>
      </c>
      <c r="H68" s="2">
        <v>400</v>
      </c>
      <c r="I68" t="str">
        <f>"02-0824-2"</f>
        <v>02-0824-2</v>
      </c>
    </row>
    <row r="69" spans="1:9" x14ac:dyDescent="0.3">
      <c r="A69" t="str">
        <f>"002661"</f>
        <v>002661</v>
      </c>
      <c r="B69" t="s">
        <v>33</v>
      </c>
      <c r="C69">
        <v>70087</v>
      </c>
      <c r="D69" s="2">
        <v>14.24</v>
      </c>
      <c r="E69" s="1">
        <v>42863</v>
      </c>
      <c r="F69" t="str">
        <f>"1704-143211"</f>
        <v>1704-143211</v>
      </c>
      <c r="G69" t="str">
        <f>"ACCT#3-3053/PCT#2"</f>
        <v>ACCT#3-3053/PCT#2</v>
      </c>
      <c r="H69" s="2">
        <v>14.24</v>
      </c>
      <c r="I69" t="str">
        <f>"ACCT#3-3053/PCT#2"</f>
        <v>ACCT#3-3053/PCT#2</v>
      </c>
    </row>
    <row r="70" spans="1:9" x14ac:dyDescent="0.3">
      <c r="A70" t="str">
        <f>"004902"</f>
        <v>004902</v>
      </c>
      <c r="B70" t="s">
        <v>34</v>
      </c>
      <c r="C70">
        <v>70346</v>
      </c>
      <c r="D70" s="2">
        <v>490.63</v>
      </c>
      <c r="E70" s="1">
        <v>42877</v>
      </c>
      <c r="F70" t="str">
        <f>"201705121941"</f>
        <v>201705121941</v>
      </c>
      <c r="G70" t="str">
        <f>"REIMB EXP DIST 4-H SPRING ROUN"</f>
        <v>REIMB EXP DIST 4-H SPRING ROUN</v>
      </c>
      <c r="H70" s="2">
        <v>260.04000000000002</v>
      </c>
      <c r="I70" t="str">
        <f>"REIMB EXP DIST 4-H SPRING ROUN"</f>
        <v>REIMB EXP DIST 4-H SPRING ROUN</v>
      </c>
    </row>
    <row r="71" spans="1:9" x14ac:dyDescent="0.3">
      <c r="A71" t="str">
        <f>""</f>
        <v/>
      </c>
      <c r="F71" t="str">
        <f>"201705121942"</f>
        <v>201705121942</v>
      </c>
      <c r="G71" t="str">
        <f>"TRAVEL REIMB REPORT"</f>
        <v>TRAVEL REIMB REPORT</v>
      </c>
      <c r="H71" s="2">
        <v>230.59</v>
      </c>
      <c r="I71" t="str">
        <f>"TRAVEL REIMB REPORT"</f>
        <v>TRAVEL REIMB REPORT</v>
      </c>
    </row>
    <row r="72" spans="1:9" x14ac:dyDescent="0.3">
      <c r="A72" t="str">
        <f t="shared" ref="A72:A92" si="0">"AQUAB"</f>
        <v>AQUAB</v>
      </c>
      <c r="B72" t="s">
        <v>35</v>
      </c>
      <c r="C72">
        <v>70088</v>
      </c>
      <c r="D72" s="2">
        <v>75</v>
      </c>
      <c r="E72" s="1">
        <v>42863</v>
      </c>
      <c r="F72" t="str">
        <f>"287097/288125"</f>
        <v>287097/288125</v>
      </c>
      <c r="G72" t="str">
        <f>"ACCT#011280/COUNTY CLERK"</f>
        <v>ACCT#011280/COUNTY CLERK</v>
      </c>
      <c r="H72" s="2">
        <v>75</v>
      </c>
      <c r="I72" t="str">
        <f>"ACCT#011280/COUNTY CLERK"</f>
        <v>ACCT#011280/COUNTY CLERK</v>
      </c>
    </row>
    <row r="73" spans="1:9" x14ac:dyDescent="0.3">
      <c r="A73" t="str">
        <f t="shared" si="0"/>
        <v>AQUAB</v>
      </c>
      <c r="B73" t="s">
        <v>35</v>
      </c>
      <c r="C73">
        <v>70347</v>
      </c>
      <c r="D73" s="2">
        <v>31.5</v>
      </c>
      <c r="E73" s="1">
        <v>42877</v>
      </c>
      <c r="F73" t="str">
        <f>"201705172214"</f>
        <v>201705172214</v>
      </c>
      <c r="G73" t="str">
        <f>"AQUA BEVERAGE COMPANY/OZARKA"</f>
        <v>AQUA BEVERAGE COMPANY/OZARKA</v>
      </c>
      <c r="H73" s="2">
        <v>31.5</v>
      </c>
      <c r="I73" t="str">
        <f>"AQUA BEVERAGE COMPANY/OZARKA"</f>
        <v>AQUA BEVERAGE COMPANY/OZARKA</v>
      </c>
    </row>
    <row r="74" spans="1:9" x14ac:dyDescent="0.3">
      <c r="A74" t="str">
        <f t="shared" si="0"/>
        <v>AQUAB</v>
      </c>
      <c r="B74" t="s">
        <v>35</v>
      </c>
      <c r="C74">
        <v>70348</v>
      </c>
      <c r="D74" s="2">
        <v>40.340000000000003</v>
      </c>
      <c r="E74" s="1">
        <v>42877</v>
      </c>
      <c r="F74" t="str">
        <f>"201705172215"</f>
        <v>201705172215</v>
      </c>
      <c r="G74" t="str">
        <f>"ANIMAL CONTROL 286006 288664"</f>
        <v>ANIMAL CONTROL 286006 288664</v>
      </c>
      <c r="H74" s="2">
        <v>40.340000000000003</v>
      </c>
      <c r="I74" t="str">
        <f>"ANIMAL CONTROL 286006 288664"</f>
        <v>ANIMAL CONTROL 286006 288664</v>
      </c>
    </row>
    <row r="75" spans="1:9" x14ac:dyDescent="0.3">
      <c r="A75" t="str">
        <f t="shared" si="0"/>
        <v>AQUAB</v>
      </c>
      <c r="B75" t="s">
        <v>35</v>
      </c>
      <c r="C75">
        <v>70349</v>
      </c>
      <c r="D75" s="2">
        <v>13</v>
      </c>
      <c r="E75" s="1">
        <v>42877</v>
      </c>
      <c r="F75" t="str">
        <f>"201705182288"</f>
        <v>201705182288</v>
      </c>
      <c r="G75" t="str">
        <f>"ACCT #010111 - CCAL BASTROP"</f>
        <v>ACCT #010111 - CCAL BASTROP</v>
      </c>
      <c r="H75" s="2">
        <v>13</v>
      </c>
      <c r="I75" t="str">
        <f>"ACCT #010111 - CCAL BASTROP"</f>
        <v>ACCT #010111 - CCAL BASTROP</v>
      </c>
    </row>
    <row r="76" spans="1:9" x14ac:dyDescent="0.3">
      <c r="A76" t="str">
        <f t="shared" si="0"/>
        <v>AQUAB</v>
      </c>
      <c r="B76" t="s">
        <v>35</v>
      </c>
      <c r="C76">
        <v>70350</v>
      </c>
      <c r="D76" s="2">
        <v>102</v>
      </c>
      <c r="E76" s="1">
        <v>42877</v>
      </c>
      <c r="F76" t="str">
        <f>"287108"</f>
        <v>287108</v>
      </c>
      <c r="G76" t="str">
        <f>"CUST #012260 DIST ATTY"</f>
        <v>CUST #012260 DIST ATTY</v>
      </c>
      <c r="H76" s="2">
        <v>102</v>
      </c>
      <c r="I76" t="str">
        <f>"CUST #012260 DIST ATTY"</f>
        <v>CUST #012260 DIST ATTY</v>
      </c>
    </row>
    <row r="77" spans="1:9" x14ac:dyDescent="0.3">
      <c r="A77" t="str">
        <f t="shared" si="0"/>
        <v>AQUAB</v>
      </c>
      <c r="B77" t="s">
        <v>35</v>
      </c>
      <c r="C77">
        <v>70351</v>
      </c>
      <c r="D77" s="2">
        <v>46.45</v>
      </c>
      <c r="E77" s="1">
        <v>42877</v>
      </c>
      <c r="F77" t="str">
        <f>"287958"</f>
        <v>287958</v>
      </c>
      <c r="G77" t="str">
        <f>"ACCT#010057 AUDITOR"</f>
        <v>ACCT#010057 AUDITOR</v>
      </c>
      <c r="H77" s="2">
        <v>46.45</v>
      </c>
      <c r="I77" t="str">
        <f>"ACCT#010057 AUDITOR"</f>
        <v>ACCT#010057 AUDITOR</v>
      </c>
    </row>
    <row r="78" spans="1:9" x14ac:dyDescent="0.3">
      <c r="A78" t="str">
        <f t="shared" si="0"/>
        <v>AQUAB</v>
      </c>
      <c r="B78" t="s">
        <v>35</v>
      </c>
      <c r="C78">
        <v>70352</v>
      </c>
      <c r="D78" s="2">
        <v>33.840000000000003</v>
      </c>
      <c r="E78" s="1">
        <v>42877</v>
      </c>
      <c r="F78" t="str">
        <f>"287975"</f>
        <v>287975</v>
      </c>
      <c r="G78" t="str">
        <f>"CUST #010149 EXTENSION"</f>
        <v>CUST #010149 EXTENSION</v>
      </c>
      <c r="H78" s="2">
        <v>33.840000000000003</v>
      </c>
      <c r="I78" t="str">
        <f>"CUST #010149 EXTENSION"</f>
        <v>CUST #010149 EXTENSION</v>
      </c>
    </row>
    <row r="79" spans="1:9" x14ac:dyDescent="0.3">
      <c r="A79" t="str">
        <f t="shared" si="0"/>
        <v>AQUAB</v>
      </c>
      <c r="B79" t="s">
        <v>35</v>
      </c>
      <c r="C79">
        <v>70353</v>
      </c>
      <c r="D79" s="2">
        <v>31.5</v>
      </c>
      <c r="E79" s="1">
        <v>42877</v>
      </c>
      <c r="F79" t="str">
        <f>"288028"</f>
        <v>288028</v>
      </c>
      <c r="G79" t="str">
        <f>"CUST #010602 COMMISSIONER OFFI"</f>
        <v>CUST #010602 COMMISSIONER OFFI</v>
      </c>
      <c r="H79" s="2">
        <v>31.5</v>
      </c>
      <c r="I79" t="str">
        <f>"CUST #010602 COMMISSIONER OFFI"</f>
        <v>CUST #010602 COMMISSIONER OFFI</v>
      </c>
    </row>
    <row r="80" spans="1:9" x14ac:dyDescent="0.3">
      <c r="A80" t="str">
        <f t="shared" si="0"/>
        <v>AQUAB</v>
      </c>
      <c r="B80" t="s">
        <v>35</v>
      </c>
      <c r="C80">
        <v>70354</v>
      </c>
      <c r="D80" s="2">
        <v>38.840000000000003</v>
      </c>
      <c r="E80" s="1">
        <v>42877</v>
      </c>
      <c r="F80" t="str">
        <f>"288059"</f>
        <v>288059</v>
      </c>
      <c r="G80" t="str">
        <f>"CUST#010835 PCT#1"</f>
        <v>CUST#010835 PCT#1</v>
      </c>
      <c r="H80" s="2">
        <v>38.840000000000003</v>
      </c>
      <c r="I80" t="str">
        <f>"CUST#010835 PCT#1"</f>
        <v>CUST#010835 PCT#1</v>
      </c>
    </row>
    <row r="81" spans="1:9" x14ac:dyDescent="0.3">
      <c r="A81" t="str">
        <f t="shared" si="0"/>
        <v>AQUAB</v>
      </c>
      <c r="B81" t="s">
        <v>35</v>
      </c>
      <c r="C81">
        <v>70355</v>
      </c>
      <c r="D81" s="2">
        <v>9</v>
      </c>
      <c r="E81" s="1">
        <v>42877</v>
      </c>
      <c r="F81" t="str">
        <f>"288146"</f>
        <v>288146</v>
      </c>
      <c r="G81" t="str">
        <f>"CUST #011474 ELECTIONS"</f>
        <v>CUST #011474 ELECTIONS</v>
      </c>
      <c r="H81" s="2">
        <v>9</v>
      </c>
      <c r="I81" t="str">
        <f>"CUST #011474 ELECTIONS"</f>
        <v>CUST #011474 ELECTIONS</v>
      </c>
    </row>
    <row r="82" spans="1:9" x14ac:dyDescent="0.3">
      <c r="A82" t="str">
        <f t="shared" si="0"/>
        <v>AQUAB</v>
      </c>
      <c r="B82" t="s">
        <v>35</v>
      </c>
      <c r="C82">
        <v>70356</v>
      </c>
      <c r="D82" s="2">
        <v>48</v>
      </c>
      <c r="E82" s="1">
        <v>42877</v>
      </c>
      <c r="F82" t="str">
        <f>"288216"</f>
        <v>288216</v>
      </c>
      <c r="G82" t="str">
        <f>"CUST#01955 DIST JUDGE"</f>
        <v>CUST#01955 DIST JUDGE</v>
      </c>
      <c r="H82" s="2">
        <v>48</v>
      </c>
      <c r="I82" t="str">
        <f>"CUST#01955 DIST JUDGE"</f>
        <v>CUST#01955 DIST JUDGE</v>
      </c>
    </row>
    <row r="83" spans="1:9" x14ac:dyDescent="0.3">
      <c r="A83" t="str">
        <f t="shared" si="0"/>
        <v>AQUAB</v>
      </c>
      <c r="B83" t="s">
        <v>35</v>
      </c>
      <c r="C83">
        <v>70357</v>
      </c>
      <c r="D83" s="2">
        <v>10</v>
      </c>
      <c r="E83" s="1">
        <v>42877</v>
      </c>
      <c r="F83" t="str">
        <f>"288259"</f>
        <v>288259</v>
      </c>
      <c r="G83" t="str">
        <f>"CUST #012231 DIST JUDGE"</f>
        <v>CUST #012231 DIST JUDGE</v>
      </c>
      <c r="H83" s="2">
        <v>10</v>
      </c>
      <c r="I83" t="str">
        <f>"CUST #012231 DIST JUDGE"</f>
        <v>CUST #012231 DIST JUDGE</v>
      </c>
    </row>
    <row r="84" spans="1:9" x14ac:dyDescent="0.3">
      <c r="A84" t="str">
        <f t="shared" si="0"/>
        <v>AQUAB</v>
      </c>
      <c r="B84" t="s">
        <v>35</v>
      </c>
      <c r="C84">
        <v>70358</v>
      </c>
      <c r="D84" s="2">
        <v>84</v>
      </c>
      <c r="E84" s="1">
        <v>42877</v>
      </c>
      <c r="F84" t="str">
        <f>"288264"</f>
        <v>288264</v>
      </c>
      <c r="G84" t="str">
        <f>"ACCT#012259 DIST CLERK"</f>
        <v>ACCT#012259 DIST CLERK</v>
      </c>
      <c r="H84" s="2">
        <v>84</v>
      </c>
      <c r="I84" t="str">
        <f>"ACCT#012259 DIST CLERK"</f>
        <v>ACCT#012259 DIST CLERK</v>
      </c>
    </row>
    <row r="85" spans="1:9" x14ac:dyDescent="0.3">
      <c r="A85" t="str">
        <f t="shared" si="0"/>
        <v>AQUAB</v>
      </c>
      <c r="B85" t="s">
        <v>35</v>
      </c>
      <c r="C85">
        <v>70359</v>
      </c>
      <c r="D85" s="2">
        <v>31.5</v>
      </c>
      <c r="E85" s="1">
        <v>42877</v>
      </c>
      <c r="F85" t="str">
        <f>"288321"</f>
        <v>288321</v>
      </c>
      <c r="G85" t="str">
        <f>"ACCT#012571 TREAS"</f>
        <v>ACCT#012571 TREAS</v>
      </c>
      <c r="H85" s="2">
        <v>31.5</v>
      </c>
      <c r="I85" t="str">
        <f>"ACCT#012571 TREAS"</f>
        <v>ACCT#012571 TREAS</v>
      </c>
    </row>
    <row r="86" spans="1:9" x14ac:dyDescent="0.3">
      <c r="A86" t="str">
        <f t="shared" si="0"/>
        <v>AQUAB</v>
      </c>
      <c r="B86" t="s">
        <v>35</v>
      </c>
      <c r="C86">
        <v>70360</v>
      </c>
      <c r="D86" s="2">
        <v>16.5</v>
      </c>
      <c r="E86" s="1">
        <v>42877</v>
      </c>
      <c r="F86" t="str">
        <f>"288359"</f>
        <v>288359</v>
      </c>
      <c r="G86" t="str">
        <f>"CUST #12803 CO JUDGE"</f>
        <v>CUST #12803 CO JUDGE</v>
      </c>
      <c r="H86" s="2">
        <v>16.5</v>
      </c>
      <c r="I86" t="str">
        <f>"CUST #12803 CO JUDGE"</f>
        <v>CUST #12803 CO JUDGE</v>
      </c>
    </row>
    <row r="87" spans="1:9" x14ac:dyDescent="0.3">
      <c r="A87" t="str">
        <f t="shared" si="0"/>
        <v>AQUAB</v>
      </c>
      <c r="B87" t="s">
        <v>35</v>
      </c>
      <c r="C87">
        <v>70361</v>
      </c>
      <c r="D87" s="2">
        <v>41.84</v>
      </c>
      <c r="E87" s="1">
        <v>42877</v>
      </c>
      <c r="F87" t="str">
        <f>"288462"</f>
        <v>288462</v>
      </c>
      <c r="G87" t="str">
        <f>"ACCT#013789 INDIGENT HEALTH"</f>
        <v>ACCT#013789 INDIGENT HEALTH</v>
      </c>
      <c r="H87" s="2">
        <v>41.84</v>
      </c>
      <c r="I87" t="str">
        <f>"ACCT#013789 INDIGENT HEALTH"</f>
        <v>ACCT#013789 INDIGENT HEALTH</v>
      </c>
    </row>
    <row r="88" spans="1:9" x14ac:dyDescent="0.3">
      <c r="A88" t="str">
        <f t="shared" si="0"/>
        <v>AQUAB</v>
      </c>
      <c r="B88" t="s">
        <v>35</v>
      </c>
      <c r="C88">
        <v>70362</v>
      </c>
      <c r="D88" s="2">
        <v>237.18</v>
      </c>
      <c r="E88" s="1">
        <v>42877</v>
      </c>
      <c r="F88" t="str">
        <f>"288715"</f>
        <v>288715</v>
      </c>
      <c r="G88" t="str">
        <f>"CUST #014877 OEM"</f>
        <v>CUST #014877 OEM</v>
      </c>
      <c r="H88" s="2">
        <v>237.18</v>
      </c>
    </row>
    <row r="89" spans="1:9" x14ac:dyDescent="0.3">
      <c r="A89" t="str">
        <f t="shared" si="0"/>
        <v>AQUAB</v>
      </c>
      <c r="B89" t="s">
        <v>35</v>
      </c>
      <c r="C89">
        <v>70362</v>
      </c>
      <c r="D89" s="2">
        <v>237.18</v>
      </c>
      <c r="E89" s="1">
        <v>42877</v>
      </c>
      <c r="F89" t="str">
        <f>"CHECK"</f>
        <v>CHECK</v>
      </c>
      <c r="G89" t="str">
        <f>""</f>
        <v/>
      </c>
      <c r="H89" s="2">
        <v>237.18</v>
      </c>
    </row>
    <row r="90" spans="1:9" x14ac:dyDescent="0.3">
      <c r="A90" t="str">
        <f t="shared" si="0"/>
        <v>AQUAB</v>
      </c>
      <c r="B90" t="s">
        <v>35</v>
      </c>
      <c r="C90">
        <v>70363</v>
      </c>
      <c r="D90" s="2">
        <v>19.34</v>
      </c>
      <c r="E90" s="1">
        <v>42877</v>
      </c>
      <c r="F90" t="str">
        <f>"288848"</f>
        <v>288848</v>
      </c>
      <c r="G90" t="str">
        <f>"CUST #015199 JP#1"</f>
        <v>CUST #015199 JP#1</v>
      </c>
      <c r="H90" s="2">
        <v>19.34</v>
      </c>
      <c r="I90" t="str">
        <f>"CUST #015199 JP#1"</f>
        <v>CUST #015199 JP#1</v>
      </c>
    </row>
    <row r="91" spans="1:9" x14ac:dyDescent="0.3">
      <c r="A91" t="str">
        <f t="shared" si="0"/>
        <v>AQUAB</v>
      </c>
      <c r="B91" t="s">
        <v>35</v>
      </c>
      <c r="C91">
        <v>70364</v>
      </c>
      <c r="D91" s="2">
        <v>101.5</v>
      </c>
      <c r="E91" s="1">
        <v>42877</v>
      </c>
      <c r="F91" t="str">
        <f>"289000"</f>
        <v>289000</v>
      </c>
      <c r="G91" t="str">
        <f>"ACCT#010238 GEN SERVICES"</f>
        <v>ACCT#010238 GEN SERVICES</v>
      </c>
      <c r="H91" s="2">
        <v>101.5</v>
      </c>
      <c r="I91" t="str">
        <f>"ACCT#010238 GEN SERVICES"</f>
        <v>ACCT#010238 GEN SERVICES</v>
      </c>
    </row>
    <row r="92" spans="1:9" x14ac:dyDescent="0.3">
      <c r="A92" t="str">
        <f t="shared" si="0"/>
        <v>AQUAB</v>
      </c>
      <c r="B92" t="s">
        <v>35</v>
      </c>
      <c r="C92">
        <v>70605</v>
      </c>
      <c r="D92" s="2">
        <v>16.5</v>
      </c>
      <c r="E92" s="1">
        <v>42878</v>
      </c>
      <c r="F92" t="str">
        <f>"014877 - 043017"</f>
        <v>014877 - 043017</v>
      </c>
      <c r="G92" t="str">
        <f>"CUSTOMER # 014877 - OEM"</f>
        <v>CUSTOMER # 014877 - OEM</v>
      </c>
      <c r="H92" s="2">
        <v>16.5</v>
      </c>
      <c r="I92" t="str">
        <f>"CUSTOMER # 014877 - OEM"</f>
        <v>CUSTOMER # 014877 - OEM</v>
      </c>
    </row>
    <row r="93" spans="1:9" x14ac:dyDescent="0.3">
      <c r="A93" t="str">
        <f>"AWS"</f>
        <v>AWS</v>
      </c>
      <c r="B93" t="s">
        <v>36</v>
      </c>
      <c r="C93">
        <v>70066</v>
      </c>
      <c r="D93" s="2">
        <v>1152.1199999999999</v>
      </c>
      <c r="E93" s="1">
        <v>42860</v>
      </c>
      <c r="F93" t="str">
        <f>"201705041805"</f>
        <v>201705041805</v>
      </c>
      <c r="G93" t="str">
        <f>"ACCT #0400785803 / COOL WATER"</f>
        <v>ACCT #0400785803 / COOL WATER</v>
      </c>
      <c r="H93" s="2">
        <v>132.58000000000001</v>
      </c>
      <c r="I93" t="str">
        <f>"ACCT #0400785803 / COOL WATER"</f>
        <v>ACCT #0400785803 / COOL WATER</v>
      </c>
    </row>
    <row r="94" spans="1:9" x14ac:dyDescent="0.3">
      <c r="A94" t="str">
        <f>""</f>
        <v/>
      </c>
      <c r="F94" t="str">
        <f>"201705041806"</f>
        <v>201705041806</v>
      </c>
      <c r="G94" t="str">
        <f>"ACCT #0201855301 / JENKINS RD"</f>
        <v>ACCT #0201855301 / JENKINS RD</v>
      </c>
      <c r="H94" s="2">
        <v>60.87</v>
      </c>
      <c r="I94" t="str">
        <f>"ACCT #0201855301 / JENKINS RD"</f>
        <v>ACCT #0201855301 / JENKINS RD</v>
      </c>
    </row>
    <row r="95" spans="1:9" x14ac:dyDescent="0.3">
      <c r="A95" t="str">
        <f>""</f>
        <v/>
      </c>
      <c r="F95" t="str">
        <f>"201705041807"</f>
        <v>201705041807</v>
      </c>
      <c r="G95" t="str">
        <f>"ACCT #0800042801 / FOHN RD"</f>
        <v>ACCT #0800042801 / FOHN RD</v>
      </c>
      <c r="H95" s="2">
        <v>36.51</v>
      </c>
      <c r="I95" t="str">
        <f>"ACCT #0800042801 / FOHN RD"</f>
        <v>ACCT #0800042801 / FOHN RD</v>
      </c>
    </row>
    <row r="96" spans="1:9" x14ac:dyDescent="0.3">
      <c r="A96" t="str">
        <f>""</f>
        <v/>
      </c>
      <c r="F96" t="str">
        <f>"201705041808"</f>
        <v>201705041808</v>
      </c>
      <c r="G96" t="str">
        <f>"ACCT# 0102120801 / HWY 304"</f>
        <v>ACCT# 0102120801 / HWY 304</v>
      </c>
      <c r="H96" s="2">
        <v>410.15</v>
      </c>
      <c r="I96" t="str">
        <f>"ACCT# 0102120801 / HWY 304"</f>
        <v>ACCT# 0102120801 / HWY 304</v>
      </c>
    </row>
    <row r="97" spans="1:9" x14ac:dyDescent="0.3">
      <c r="A97" t="str">
        <f>""</f>
        <v/>
      </c>
      <c r="F97" t="str">
        <f>"201705041809"</f>
        <v>201705041809</v>
      </c>
      <c r="G97" t="str">
        <f>"ACCT #0401408501 / COOLWATER"</f>
        <v>ACCT #0401408501 / COOLWATER</v>
      </c>
      <c r="H97" s="2">
        <v>491.57</v>
      </c>
      <c r="I97" t="str">
        <f>"ACCT #0401408501 / COOLWATER"</f>
        <v>ACCT #0401408501 / COOLWATER</v>
      </c>
    </row>
    <row r="98" spans="1:9" x14ac:dyDescent="0.3">
      <c r="A98" t="str">
        <f>""</f>
        <v/>
      </c>
      <c r="F98" t="str">
        <f>"201705041810"</f>
        <v>201705041810</v>
      </c>
      <c r="G98" t="str">
        <f>"ACCT#0201891401 / FM 535"</f>
        <v>ACCT#0201891401 / FM 535</v>
      </c>
      <c r="H98" s="2">
        <v>20.440000000000001</v>
      </c>
      <c r="I98" t="str">
        <f>"ACCT#0201891401 / FM 535"</f>
        <v>ACCT#0201891401 / FM 535</v>
      </c>
    </row>
    <row r="99" spans="1:9" x14ac:dyDescent="0.3">
      <c r="A99" t="str">
        <f>"AWS"</f>
        <v>AWS</v>
      </c>
      <c r="B99" t="s">
        <v>36</v>
      </c>
      <c r="C99">
        <v>70365</v>
      </c>
      <c r="D99" s="2">
        <v>666.25</v>
      </c>
      <c r="E99" s="1">
        <v>42877</v>
      </c>
      <c r="F99" t="str">
        <f>"201705162086"</f>
        <v>201705162086</v>
      </c>
      <c r="G99" t="str">
        <f>"ACCT 7700010026"</f>
        <v>ACCT 7700010026</v>
      </c>
      <c r="H99" s="2">
        <v>51.25</v>
      </c>
      <c r="I99" t="str">
        <f>"ACCT 7700010026"</f>
        <v>ACCT 7700010026</v>
      </c>
    </row>
    <row r="100" spans="1:9" x14ac:dyDescent="0.3">
      <c r="A100" t="str">
        <f>""</f>
        <v/>
      </c>
      <c r="F100" t="str">
        <f>"201705162089"</f>
        <v>201705162089</v>
      </c>
      <c r="G100" t="str">
        <f>"ACCT 77000010025"</f>
        <v>ACCT 77000010025</v>
      </c>
      <c r="H100" s="2">
        <v>235.75</v>
      </c>
      <c r="I100" t="str">
        <f>"ACCT 77000010025 PCT 2"</f>
        <v>ACCT 77000010025 PCT 2</v>
      </c>
    </row>
    <row r="101" spans="1:9" x14ac:dyDescent="0.3">
      <c r="A101" t="str">
        <f>""</f>
        <v/>
      </c>
      <c r="F101" t="str">
        <f>"201705162104"</f>
        <v>201705162104</v>
      </c>
      <c r="G101" t="str">
        <f>"37 LOADS OF WATER APRIL'17"</f>
        <v>37 LOADS OF WATER APRIL'17</v>
      </c>
      <c r="H101" s="2">
        <v>379.25</v>
      </c>
      <c r="I101" t="str">
        <f>"37 LOADS OF WATER APRIL'17"</f>
        <v>37 LOADS OF WATER APRIL'17</v>
      </c>
    </row>
    <row r="102" spans="1:9" x14ac:dyDescent="0.3">
      <c r="A102" t="str">
        <f>"003672"</f>
        <v>003672</v>
      </c>
      <c r="B102" t="s">
        <v>37</v>
      </c>
      <c r="C102">
        <v>70089</v>
      </c>
      <c r="D102" s="2">
        <v>27409</v>
      </c>
      <c r="E102" s="1">
        <v>42863</v>
      </c>
      <c r="F102" t="str">
        <f>"14481"</f>
        <v>14481</v>
      </c>
      <c r="G102" t="str">
        <f>"PROJ#BC FEB/MARCH ADV"</f>
        <v>PROJ#BC FEB/MARCH ADV</v>
      </c>
      <c r="H102" s="2">
        <v>17409</v>
      </c>
      <c r="I102" t="str">
        <f>"PROJ#BC FEB/MARCH ADV"</f>
        <v>PROJ#BC FEB/MARCH ADV</v>
      </c>
    </row>
    <row r="103" spans="1:9" x14ac:dyDescent="0.3">
      <c r="A103" t="str">
        <f>""</f>
        <v/>
      </c>
      <c r="F103" t="str">
        <f>"14482"</f>
        <v>14482</v>
      </c>
      <c r="G103" t="str">
        <f>"PROJ#BC PROSERV FEB/MAR ADV"</f>
        <v>PROJ#BC PROSERV FEB/MAR ADV</v>
      </c>
      <c r="H103" s="2">
        <v>10000</v>
      </c>
      <c r="I103" t="str">
        <f>"PROJ#BC PROSERV FEB/MAR ADV"</f>
        <v>PROJ#BC PROSERV FEB/MAR ADV</v>
      </c>
    </row>
    <row r="104" spans="1:9" x14ac:dyDescent="0.3">
      <c r="A104" t="str">
        <f>"001533"</f>
        <v>001533</v>
      </c>
      <c r="B104" t="s">
        <v>38</v>
      </c>
      <c r="C104">
        <v>70090</v>
      </c>
      <c r="D104" s="2">
        <v>211.2</v>
      </c>
      <c r="E104" s="1">
        <v>42863</v>
      </c>
      <c r="F104" t="str">
        <f>"C40269"</f>
        <v>C40269</v>
      </c>
      <c r="G104" t="str">
        <f>"CUST#A0030810/PCT#4"</f>
        <v>CUST#A0030810/PCT#4</v>
      </c>
      <c r="H104" s="2">
        <v>211.2</v>
      </c>
      <c r="I104" t="str">
        <f>"CUST#A0030810/PCT#4"</f>
        <v>CUST#A0030810/PCT#4</v>
      </c>
    </row>
    <row r="105" spans="1:9" x14ac:dyDescent="0.3">
      <c r="A105" t="str">
        <f>"005058"</f>
        <v>005058</v>
      </c>
      <c r="B105" t="s">
        <v>39</v>
      </c>
      <c r="C105">
        <v>70366</v>
      </c>
      <c r="D105" s="2">
        <v>25</v>
      </c>
      <c r="E105" s="1">
        <v>42877</v>
      </c>
      <c r="F105" t="str">
        <f>"2017-2048"</f>
        <v>2017-2048</v>
      </c>
      <c r="G105" t="str">
        <f>"REFUND PERMIT FEE"</f>
        <v>REFUND PERMIT FEE</v>
      </c>
      <c r="H105" s="2">
        <v>25</v>
      </c>
      <c r="I105" t="str">
        <f>"REFUND PERMIT FEE"</f>
        <v>REFUND PERMIT FEE</v>
      </c>
    </row>
    <row r="106" spans="1:9" x14ac:dyDescent="0.3">
      <c r="A106" t="str">
        <f>"003673"</f>
        <v>003673</v>
      </c>
      <c r="B106" t="s">
        <v>40</v>
      </c>
      <c r="C106">
        <v>70067</v>
      </c>
      <c r="D106" s="2">
        <v>4411.43</v>
      </c>
      <c r="E106" s="1">
        <v>42860</v>
      </c>
      <c r="F106" t="str">
        <f>"201705041803"</f>
        <v>201705041803</v>
      </c>
      <c r="G106" t="str">
        <f>"ACCT # 512 A49-0048 193 3"</f>
        <v>ACCT # 512 A49-0048 193 3</v>
      </c>
      <c r="H106" s="2">
        <v>4411.43</v>
      </c>
      <c r="I106" t="str">
        <f>"ACCT # 512 A49-0048 193 3"</f>
        <v>ACCT # 512 A49-0048 193 3</v>
      </c>
    </row>
    <row r="107" spans="1:9" x14ac:dyDescent="0.3">
      <c r="A107" t="str">
        <f>""</f>
        <v/>
      </c>
      <c r="F107" t="str">
        <f>""</f>
        <v/>
      </c>
      <c r="G107" t="str">
        <f>""</f>
        <v/>
      </c>
      <c r="I107" t="str">
        <f>"ACCT # 512 A49-0048 193 3"</f>
        <v>ACCT # 512 A49-0048 193 3</v>
      </c>
    </row>
    <row r="108" spans="1:9" x14ac:dyDescent="0.3">
      <c r="A108" t="str">
        <f>""</f>
        <v/>
      </c>
      <c r="F108" t="str">
        <f>""</f>
        <v/>
      </c>
      <c r="G108" t="str">
        <f>""</f>
        <v/>
      </c>
      <c r="I108" t="str">
        <f>"ACCT # 512 A49-0048 193 3"</f>
        <v>ACCT # 512 A49-0048 193 3</v>
      </c>
    </row>
    <row r="109" spans="1:9" x14ac:dyDescent="0.3">
      <c r="A109" t="str">
        <f>""</f>
        <v/>
      </c>
      <c r="F109" t="str">
        <f>""</f>
        <v/>
      </c>
      <c r="G109" t="str">
        <f>""</f>
        <v/>
      </c>
      <c r="I109" t="str">
        <f>"ACCT # 512 A49-0048 193 3"</f>
        <v>ACCT # 512 A49-0048 193 3</v>
      </c>
    </row>
    <row r="110" spans="1:9" x14ac:dyDescent="0.3">
      <c r="A110" t="str">
        <f>""</f>
        <v/>
      </c>
      <c r="F110" t="str">
        <f>""</f>
        <v/>
      </c>
      <c r="G110" t="str">
        <f>""</f>
        <v/>
      </c>
      <c r="I110" t="str">
        <f>"ACCT # 512 A49-0048 193 3"</f>
        <v>ACCT # 512 A49-0048 193 3</v>
      </c>
    </row>
    <row r="111" spans="1:9" x14ac:dyDescent="0.3">
      <c r="A111" t="str">
        <f>"AT&amp;TLO"</f>
        <v>AT&amp;TLO</v>
      </c>
      <c r="B111" t="s">
        <v>41</v>
      </c>
      <c r="C111">
        <v>70091</v>
      </c>
      <c r="D111" s="2">
        <v>1945.84</v>
      </c>
      <c r="E111" s="1">
        <v>42863</v>
      </c>
      <c r="F111" t="str">
        <f>"201705031658"</f>
        <v>201705031658</v>
      </c>
      <c r="G111" t="str">
        <f>"ACCT#831-000-6982-602"</f>
        <v>ACCT#831-000-6982-602</v>
      </c>
      <c r="H111" s="2">
        <v>1945.84</v>
      </c>
      <c r="I111" t="str">
        <f>"ACCT#831-000-6982-602"</f>
        <v>ACCT#831-000-6982-602</v>
      </c>
    </row>
    <row r="112" spans="1:9" x14ac:dyDescent="0.3">
      <c r="A112" t="str">
        <f>"T7386"</f>
        <v>T7386</v>
      </c>
      <c r="B112" t="s">
        <v>41</v>
      </c>
      <c r="C112">
        <v>70367</v>
      </c>
      <c r="D112" s="2">
        <v>1785.73</v>
      </c>
      <c r="E112" s="1">
        <v>42877</v>
      </c>
      <c r="F112" t="str">
        <f>"201705182286"</f>
        <v>201705182286</v>
      </c>
      <c r="G112" t="str">
        <f>"ACCT # 512 303-1080 238 5"</f>
        <v>ACCT # 512 303-1080 238 5</v>
      </c>
      <c r="H112" s="2">
        <v>1785.73</v>
      </c>
      <c r="I112" t="str">
        <f>"ACCT # 512 303-1080 238 5"</f>
        <v>ACCT # 512 303-1080 238 5</v>
      </c>
    </row>
    <row r="113" spans="1:9" x14ac:dyDescent="0.3">
      <c r="A113" t="str">
        <f>"AT&amp;TMO"</f>
        <v>AT&amp;TMO</v>
      </c>
      <c r="B113" t="s">
        <v>42</v>
      </c>
      <c r="C113">
        <v>70068</v>
      </c>
      <c r="D113" s="2">
        <v>1368.76</v>
      </c>
      <c r="E113" s="1">
        <v>42860</v>
      </c>
      <c r="F113" t="str">
        <f>"201705041804"</f>
        <v>201705041804</v>
      </c>
      <c r="G113" t="str">
        <f>"ACCT # 287263291654"</f>
        <v>ACCT # 287263291654</v>
      </c>
      <c r="H113" s="2">
        <v>1368.76</v>
      </c>
      <c r="I113" t="str">
        <f t="shared" ref="I113:I129" si="1">"ACCT # 287263291654"</f>
        <v>ACCT # 287263291654</v>
      </c>
    </row>
    <row r="114" spans="1:9" x14ac:dyDescent="0.3">
      <c r="A114" t="str">
        <f>""</f>
        <v/>
      </c>
      <c r="F114" t="str">
        <f>""</f>
        <v/>
      </c>
      <c r="G114" t="str">
        <f>""</f>
        <v/>
      </c>
      <c r="I114" t="str">
        <f t="shared" si="1"/>
        <v>ACCT # 287263291654</v>
      </c>
    </row>
    <row r="115" spans="1:9" x14ac:dyDescent="0.3">
      <c r="A115" t="str">
        <f>""</f>
        <v/>
      </c>
      <c r="F115" t="str">
        <f>""</f>
        <v/>
      </c>
      <c r="G115" t="str">
        <f>""</f>
        <v/>
      </c>
      <c r="I115" t="str">
        <f t="shared" si="1"/>
        <v>ACCT # 287263291654</v>
      </c>
    </row>
    <row r="116" spans="1:9" x14ac:dyDescent="0.3">
      <c r="A116" t="str">
        <f>""</f>
        <v/>
      </c>
      <c r="F116" t="str">
        <f>""</f>
        <v/>
      </c>
      <c r="G116" t="str">
        <f>""</f>
        <v/>
      </c>
      <c r="I116" t="str">
        <f t="shared" si="1"/>
        <v>ACCT # 287263291654</v>
      </c>
    </row>
    <row r="117" spans="1:9" x14ac:dyDescent="0.3">
      <c r="A117" t="str">
        <f>""</f>
        <v/>
      </c>
      <c r="F117" t="str">
        <f>""</f>
        <v/>
      </c>
      <c r="G117" t="str">
        <f>""</f>
        <v/>
      </c>
      <c r="I117" t="str">
        <f t="shared" si="1"/>
        <v>ACCT # 287263291654</v>
      </c>
    </row>
    <row r="118" spans="1:9" x14ac:dyDescent="0.3">
      <c r="A118" t="str">
        <f>""</f>
        <v/>
      </c>
      <c r="F118" t="str">
        <f>""</f>
        <v/>
      </c>
      <c r="G118" t="str">
        <f>""</f>
        <v/>
      </c>
      <c r="I118" t="str">
        <f t="shared" si="1"/>
        <v>ACCT # 287263291654</v>
      </c>
    </row>
    <row r="119" spans="1:9" x14ac:dyDescent="0.3">
      <c r="A119" t="str">
        <f>""</f>
        <v/>
      </c>
      <c r="F119" t="str">
        <f>""</f>
        <v/>
      </c>
      <c r="G119" t="str">
        <f>""</f>
        <v/>
      </c>
      <c r="I119" t="str">
        <f t="shared" si="1"/>
        <v>ACCT # 287263291654</v>
      </c>
    </row>
    <row r="120" spans="1:9" x14ac:dyDescent="0.3">
      <c r="A120" t="str">
        <f>""</f>
        <v/>
      </c>
      <c r="F120" t="str">
        <f>""</f>
        <v/>
      </c>
      <c r="G120" t="str">
        <f>""</f>
        <v/>
      </c>
      <c r="I120" t="str">
        <f t="shared" si="1"/>
        <v>ACCT # 287263291654</v>
      </c>
    </row>
    <row r="121" spans="1:9" x14ac:dyDescent="0.3">
      <c r="A121" t="str">
        <f>""</f>
        <v/>
      </c>
      <c r="F121" t="str">
        <f>""</f>
        <v/>
      </c>
      <c r="G121" t="str">
        <f>""</f>
        <v/>
      </c>
      <c r="I121" t="str">
        <f t="shared" si="1"/>
        <v>ACCT # 287263291654</v>
      </c>
    </row>
    <row r="122" spans="1:9" x14ac:dyDescent="0.3">
      <c r="A122" t="str">
        <f>""</f>
        <v/>
      </c>
      <c r="F122" t="str">
        <f>""</f>
        <v/>
      </c>
      <c r="G122" t="str">
        <f>""</f>
        <v/>
      </c>
      <c r="I122" t="str">
        <f t="shared" si="1"/>
        <v>ACCT # 287263291654</v>
      </c>
    </row>
    <row r="123" spans="1:9" x14ac:dyDescent="0.3">
      <c r="A123" t="str">
        <f>""</f>
        <v/>
      </c>
      <c r="F123" t="str">
        <f>""</f>
        <v/>
      </c>
      <c r="G123" t="str">
        <f>""</f>
        <v/>
      </c>
      <c r="I123" t="str">
        <f t="shared" si="1"/>
        <v>ACCT # 287263291654</v>
      </c>
    </row>
    <row r="124" spans="1:9" x14ac:dyDescent="0.3">
      <c r="A124" t="str">
        <f>""</f>
        <v/>
      </c>
      <c r="F124" t="str">
        <f>""</f>
        <v/>
      </c>
      <c r="G124" t="str">
        <f>""</f>
        <v/>
      </c>
      <c r="I124" t="str">
        <f t="shared" si="1"/>
        <v>ACCT # 287263291654</v>
      </c>
    </row>
    <row r="125" spans="1:9" x14ac:dyDescent="0.3">
      <c r="A125" t="str">
        <f>""</f>
        <v/>
      </c>
      <c r="F125" t="str">
        <f>""</f>
        <v/>
      </c>
      <c r="G125" t="str">
        <f>""</f>
        <v/>
      </c>
      <c r="I125" t="str">
        <f t="shared" si="1"/>
        <v>ACCT # 287263291654</v>
      </c>
    </row>
    <row r="126" spans="1:9" x14ac:dyDescent="0.3">
      <c r="A126" t="str">
        <f>""</f>
        <v/>
      </c>
      <c r="F126" t="str">
        <f>""</f>
        <v/>
      </c>
      <c r="G126" t="str">
        <f>""</f>
        <v/>
      </c>
      <c r="I126" t="str">
        <f t="shared" si="1"/>
        <v>ACCT # 287263291654</v>
      </c>
    </row>
    <row r="127" spans="1:9" x14ac:dyDescent="0.3">
      <c r="A127" t="str">
        <f>""</f>
        <v/>
      </c>
      <c r="F127" t="str">
        <f>""</f>
        <v/>
      </c>
      <c r="G127" t="str">
        <f>""</f>
        <v/>
      </c>
      <c r="I127" t="str">
        <f t="shared" si="1"/>
        <v>ACCT # 287263291654</v>
      </c>
    </row>
    <row r="128" spans="1:9" x14ac:dyDescent="0.3">
      <c r="A128" t="str">
        <f>""</f>
        <v/>
      </c>
      <c r="F128" t="str">
        <f>""</f>
        <v/>
      </c>
      <c r="G128" t="str">
        <f>""</f>
        <v/>
      </c>
      <c r="I128" t="str">
        <f t="shared" si="1"/>
        <v>ACCT # 287263291654</v>
      </c>
    </row>
    <row r="129" spans="1:9" x14ac:dyDescent="0.3">
      <c r="A129" t="str">
        <f>""</f>
        <v/>
      </c>
      <c r="F129" t="str">
        <f>""</f>
        <v/>
      </c>
      <c r="G129" t="str">
        <f>""</f>
        <v/>
      </c>
      <c r="I129" t="str">
        <f t="shared" si="1"/>
        <v>ACCT # 287263291654</v>
      </c>
    </row>
    <row r="130" spans="1:9" x14ac:dyDescent="0.3">
      <c r="A130" t="str">
        <f>"AT&amp;TMO"</f>
        <v>AT&amp;TMO</v>
      </c>
      <c r="B130" t="s">
        <v>42</v>
      </c>
      <c r="C130">
        <v>70092</v>
      </c>
      <c r="D130" s="2">
        <v>2016.37</v>
      </c>
      <c r="E130" s="1">
        <v>42863</v>
      </c>
      <c r="F130" t="str">
        <f>"201705021627"</f>
        <v>201705021627</v>
      </c>
      <c r="G130" t="str">
        <f>"ACCT#287263291729/SO"</f>
        <v>ACCT#287263291729/SO</v>
      </c>
      <c r="H130" s="2">
        <v>2016.37</v>
      </c>
      <c r="I130" t="str">
        <f>"ACCT#287263291729/SO"</f>
        <v>ACCT#287263291729/SO</v>
      </c>
    </row>
    <row r="131" spans="1:9" x14ac:dyDescent="0.3">
      <c r="A131" t="str">
        <f>"AAS&amp;AS"</f>
        <v>AAS&amp;AS</v>
      </c>
      <c r="B131" t="s">
        <v>43</v>
      </c>
      <c r="C131">
        <v>70368</v>
      </c>
      <c r="D131" s="2">
        <v>404.16</v>
      </c>
      <c r="E131" s="1">
        <v>42877</v>
      </c>
      <c r="F131" t="str">
        <f>"201705162082"</f>
        <v>201705162082</v>
      </c>
      <c r="G131" t="str">
        <f>"RO 0054761 PCT 3 3/1 TO 5/2"</f>
        <v>RO 0054761 PCT 3 3/1 TO 5/2</v>
      </c>
      <c r="H131" s="2">
        <v>404.16</v>
      </c>
      <c r="I131" t="str">
        <f>"RO 0054761 PCT 3 3/1 TO 5/2"</f>
        <v>RO 0054761 PCT 3 3/1 TO 5/2</v>
      </c>
    </row>
    <row r="132" spans="1:9" x14ac:dyDescent="0.3">
      <c r="A132" t="str">
        <f>"ASC"</f>
        <v>ASC</v>
      </c>
      <c r="B132" t="s">
        <v>44</v>
      </c>
      <c r="C132">
        <v>70093</v>
      </c>
      <c r="D132" s="2">
        <v>112.78</v>
      </c>
      <c r="E132" s="1">
        <v>42863</v>
      </c>
      <c r="F132" t="str">
        <f>"88540"</f>
        <v>88540</v>
      </c>
      <c r="G132" t="str">
        <f>"WORK ORDER#11866/HOSE/PCT3"</f>
        <v>WORK ORDER#11866/HOSE/PCT3</v>
      </c>
      <c r="H132" s="2">
        <v>30.62</v>
      </c>
      <c r="I132" t="str">
        <f>"WORK ORDER#11866/HOSE/PCT3"</f>
        <v>WORK ORDER#11866/HOSE/PCT3</v>
      </c>
    </row>
    <row r="133" spans="1:9" x14ac:dyDescent="0.3">
      <c r="A133" t="str">
        <f>""</f>
        <v/>
      </c>
      <c r="F133" t="str">
        <f>"88961"</f>
        <v>88961</v>
      </c>
      <c r="G133" t="str">
        <f>"WORK ORDER#11901/HOSE/PCT#3"</f>
        <v>WORK ORDER#11901/HOSE/PCT#3</v>
      </c>
      <c r="H133" s="2">
        <v>82.16</v>
      </c>
      <c r="I133" t="str">
        <f>"WORK ORDER#11901/HOSE/PCT#3"</f>
        <v>WORK ORDER#11901/HOSE/PCT#3</v>
      </c>
    </row>
    <row r="134" spans="1:9" x14ac:dyDescent="0.3">
      <c r="A134" t="str">
        <f>"ASC"</f>
        <v>ASC</v>
      </c>
      <c r="B134" t="s">
        <v>44</v>
      </c>
      <c r="C134">
        <v>70329</v>
      </c>
      <c r="D134" s="2">
        <v>308.38</v>
      </c>
      <c r="E134" s="1">
        <v>42874</v>
      </c>
      <c r="F134" t="str">
        <f>"88845 -Reissue"</f>
        <v>88845 -Reissue</v>
      </c>
      <c r="G134" t="str">
        <f>"WORK ORDER # 0011738"</f>
        <v>WORK ORDER # 0011738</v>
      </c>
      <c r="H134" s="2">
        <v>308.38</v>
      </c>
      <c r="I134" t="str">
        <f>"WORK ORDER # 0011738"</f>
        <v>WORK ORDER # 0011738</v>
      </c>
    </row>
    <row r="135" spans="1:9" x14ac:dyDescent="0.3">
      <c r="A135" t="str">
        <f>"ASC"</f>
        <v>ASC</v>
      </c>
      <c r="B135" t="s">
        <v>44</v>
      </c>
      <c r="C135">
        <v>70369</v>
      </c>
      <c r="D135" s="2">
        <v>72.8</v>
      </c>
      <c r="E135" s="1">
        <v>42877</v>
      </c>
      <c r="F135" t="str">
        <f>"201705121956"</f>
        <v>201705121956</v>
      </c>
      <c r="G135" t="str">
        <f>"INV 88977 ORDER #11924 HOSE"</f>
        <v>INV 88977 ORDER #11924 HOSE</v>
      </c>
      <c r="H135" s="2">
        <v>72.8</v>
      </c>
      <c r="I135" t="str">
        <f>"INV 88977 ORDER #11924 HOSE"</f>
        <v>INV 88977 ORDER #11924 HOSE</v>
      </c>
    </row>
    <row r="136" spans="1:9" x14ac:dyDescent="0.3">
      <c r="A136" t="str">
        <f>"AAS"</f>
        <v>AAS</v>
      </c>
      <c r="B136" t="s">
        <v>45</v>
      </c>
      <c r="C136">
        <v>70094</v>
      </c>
      <c r="D136" s="2">
        <v>298.72000000000003</v>
      </c>
      <c r="E136" s="1">
        <v>42863</v>
      </c>
      <c r="F136" t="str">
        <f>"201705021619"</f>
        <v>201705021619</v>
      </c>
      <c r="G136" t="str">
        <f>"DOCUMENT434859"</f>
        <v>DOCUMENT434859</v>
      </c>
      <c r="H136" s="2">
        <v>246.88</v>
      </c>
      <c r="I136" t="str">
        <f>"DOCUMENT434859"</f>
        <v>DOCUMENT434859</v>
      </c>
    </row>
    <row r="137" spans="1:9" x14ac:dyDescent="0.3">
      <c r="A137" t="str">
        <f>""</f>
        <v/>
      </c>
      <c r="F137" t="str">
        <f>"729675"</f>
        <v>729675</v>
      </c>
      <c r="G137" t="str">
        <f>"ACCT#G28953"</f>
        <v>ACCT#G28953</v>
      </c>
      <c r="H137" s="2">
        <v>51.84</v>
      </c>
      <c r="I137" t="str">
        <f>"ACCT#G28953"</f>
        <v>ACCT#G28953</v>
      </c>
    </row>
    <row r="138" spans="1:9" x14ac:dyDescent="0.3">
      <c r="A138" t="str">
        <f>"AA-S"</f>
        <v>AA-S</v>
      </c>
      <c r="B138" t="s">
        <v>46</v>
      </c>
      <c r="C138">
        <v>70370</v>
      </c>
      <c r="D138" s="2">
        <v>2661.12</v>
      </c>
      <c r="E138" s="1">
        <v>42877</v>
      </c>
      <c r="F138" t="str">
        <f>"440267"</f>
        <v>440267</v>
      </c>
      <c r="G138" t="str">
        <f>"PUBLIC NOTICES G29500"</f>
        <v>PUBLIC NOTICES G29500</v>
      </c>
      <c r="H138" s="2">
        <v>2661.12</v>
      </c>
      <c r="I138" t="str">
        <f>"Crushed Limestone"</f>
        <v>Crushed Limestone</v>
      </c>
    </row>
    <row r="139" spans="1:9" x14ac:dyDescent="0.3">
      <c r="A139" t="str">
        <f>""</f>
        <v/>
      </c>
      <c r="F139" t="str">
        <f>""</f>
        <v/>
      </c>
      <c r="G139" t="str">
        <f>""</f>
        <v/>
      </c>
      <c r="I139" t="str">
        <f>"Trucking/Hauling"</f>
        <v>Trucking/Hauling</v>
      </c>
    </row>
    <row r="140" spans="1:9" x14ac:dyDescent="0.3">
      <c r="A140" t="str">
        <f>""</f>
        <v/>
      </c>
      <c r="F140" t="str">
        <f>""</f>
        <v/>
      </c>
      <c r="G140" t="str">
        <f>""</f>
        <v/>
      </c>
      <c r="I140" t="str">
        <f>"Culvert"</f>
        <v>Culvert</v>
      </c>
    </row>
    <row r="141" spans="1:9" x14ac:dyDescent="0.3">
      <c r="A141" t="str">
        <f>""</f>
        <v/>
      </c>
      <c r="F141" t="str">
        <f>""</f>
        <v/>
      </c>
      <c r="G141" t="str">
        <f>""</f>
        <v/>
      </c>
      <c r="I141" t="str">
        <f>"PetroleumProducts"</f>
        <v>PetroleumProducts</v>
      </c>
    </row>
    <row r="142" spans="1:9" x14ac:dyDescent="0.3">
      <c r="A142" t="str">
        <f>""</f>
        <v/>
      </c>
      <c r="F142" t="str">
        <f>""</f>
        <v/>
      </c>
      <c r="G142" t="str">
        <f>""</f>
        <v/>
      </c>
      <c r="I142" t="str">
        <f>"EmulsfiedAsphalt"</f>
        <v>EmulsfiedAsphalt</v>
      </c>
    </row>
    <row r="143" spans="1:9" x14ac:dyDescent="0.3">
      <c r="A143" t="str">
        <f>""</f>
        <v/>
      </c>
      <c r="F143" t="str">
        <f>""</f>
        <v/>
      </c>
      <c r="G143" t="str">
        <f>""</f>
        <v/>
      </c>
      <c r="I143" t="str">
        <f>"Hot &amp; Cold"</f>
        <v>Hot &amp; Cold</v>
      </c>
    </row>
    <row r="144" spans="1:9" x14ac:dyDescent="0.3">
      <c r="A144" t="str">
        <f>""</f>
        <v/>
      </c>
      <c r="F144" t="str">
        <f>""</f>
        <v/>
      </c>
      <c r="G144" t="str">
        <f>""</f>
        <v/>
      </c>
      <c r="I144" t="str">
        <f>"Gravel"</f>
        <v>Gravel</v>
      </c>
    </row>
    <row r="145" spans="1:9" x14ac:dyDescent="0.3">
      <c r="A145" t="str">
        <f>""</f>
        <v/>
      </c>
      <c r="F145" t="str">
        <f>""</f>
        <v/>
      </c>
      <c r="G145" t="str">
        <f>""</f>
        <v/>
      </c>
      <c r="I145" t="str">
        <f>"Flex Base"</f>
        <v>Flex Base</v>
      </c>
    </row>
    <row r="146" spans="1:9" x14ac:dyDescent="0.3">
      <c r="A146" t="str">
        <f>""</f>
        <v/>
      </c>
      <c r="F146" t="str">
        <f>""</f>
        <v/>
      </c>
      <c r="G146" t="str">
        <f>""</f>
        <v/>
      </c>
      <c r="I146" t="str">
        <f>"Vinyl Tape"</f>
        <v>Vinyl Tape</v>
      </c>
    </row>
    <row r="147" spans="1:9" x14ac:dyDescent="0.3">
      <c r="A147" t="str">
        <f>""</f>
        <v/>
      </c>
      <c r="F147" t="str">
        <f>""</f>
        <v/>
      </c>
      <c r="G147" t="str">
        <f>""</f>
        <v/>
      </c>
      <c r="I147" t="str">
        <f>"Tree Trimming"</f>
        <v>Tree Trimming</v>
      </c>
    </row>
    <row r="148" spans="1:9" x14ac:dyDescent="0.3">
      <c r="A148" t="str">
        <f>"AAS"</f>
        <v>AAS</v>
      </c>
      <c r="B148" t="s">
        <v>45</v>
      </c>
      <c r="C148">
        <v>70371</v>
      </c>
      <c r="D148" s="2">
        <v>150.85</v>
      </c>
      <c r="E148" s="1">
        <v>42877</v>
      </c>
      <c r="F148" t="str">
        <f>"201705162023"</f>
        <v>201705162023</v>
      </c>
      <c r="G148" t="str">
        <f>"INV 440542 G31690 4/29/17"</f>
        <v>INV 440542 G31690 4/29/17</v>
      </c>
      <c r="H148" s="2">
        <v>150.85</v>
      </c>
      <c r="I148" t="str">
        <f>"INV 440542 G31690 4/29/17"</f>
        <v>INV 440542 G31690 4/29/17</v>
      </c>
    </row>
    <row r="149" spans="1:9" x14ac:dyDescent="0.3">
      <c r="A149" t="str">
        <f>"AAG"</f>
        <v>AAG</v>
      </c>
      <c r="B149" t="s">
        <v>47</v>
      </c>
      <c r="C149">
        <v>70372</v>
      </c>
      <c r="D149" s="2">
        <v>313.01</v>
      </c>
      <c r="E149" s="1">
        <v>42877</v>
      </c>
      <c r="F149" t="str">
        <f>"201705172256"</f>
        <v>201705172256</v>
      </c>
      <c r="G149" t="str">
        <f>"INV 3900980181"</f>
        <v>INV 3900980181</v>
      </c>
      <c r="H149" s="2">
        <v>313.01</v>
      </c>
      <c r="I149" t="str">
        <f>"INV 3900980181"</f>
        <v>INV 3900980181</v>
      </c>
    </row>
    <row r="150" spans="1:9" x14ac:dyDescent="0.3">
      <c r="A150" t="str">
        <f>"T9304"</f>
        <v>T9304</v>
      </c>
      <c r="B150" t="s">
        <v>48</v>
      </c>
      <c r="C150">
        <v>70373</v>
      </c>
      <c r="D150" s="2">
        <v>1593.39</v>
      </c>
      <c r="E150" s="1">
        <v>42877</v>
      </c>
      <c r="F150" t="str">
        <f>"201705162083"</f>
        <v>201705162083</v>
      </c>
      <c r="G150" t="str">
        <f>"INV 106282 PCT 3"</f>
        <v>INV 106282 PCT 3</v>
      </c>
      <c r="H150" s="2">
        <v>1593.39</v>
      </c>
      <c r="I150" t="str">
        <f>"INV 106282 PCT 3"</f>
        <v>INV 106282 PCT 3</v>
      </c>
    </row>
    <row r="151" spans="1:9" x14ac:dyDescent="0.3">
      <c r="A151" t="str">
        <f>"T6757"</f>
        <v>T6757</v>
      </c>
      <c r="B151" t="s">
        <v>49</v>
      </c>
      <c r="C151">
        <v>70374</v>
      </c>
      <c r="D151" s="2">
        <v>33.270000000000003</v>
      </c>
      <c r="E151" s="1">
        <v>42877</v>
      </c>
      <c r="F151" t="str">
        <f>"201705172109"</f>
        <v>201705172109</v>
      </c>
      <c r="G151" t="str">
        <f>"INDIGENT HEALTH"</f>
        <v>INDIGENT HEALTH</v>
      </c>
      <c r="H151" s="2">
        <v>33.270000000000003</v>
      </c>
      <c r="I151" t="str">
        <f>"INDIGENT HEALTH"</f>
        <v>INDIGENT HEALTH</v>
      </c>
    </row>
    <row r="152" spans="1:9" x14ac:dyDescent="0.3">
      <c r="A152" t="str">
        <f>"003655"</f>
        <v>003655</v>
      </c>
      <c r="B152" t="s">
        <v>50</v>
      </c>
      <c r="C152">
        <v>70095</v>
      </c>
      <c r="D152" s="2">
        <v>71.930000000000007</v>
      </c>
      <c r="E152" s="1">
        <v>42863</v>
      </c>
      <c r="F152" t="str">
        <f>"201705031671"</f>
        <v>201705031671</v>
      </c>
      <c r="G152" t="str">
        <f>"INDIGENT HEALTH"</f>
        <v>INDIGENT HEALTH</v>
      </c>
      <c r="H152" s="2">
        <v>71.930000000000007</v>
      </c>
      <c r="I152" t="str">
        <f>"INDIGENT HEALTH"</f>
        <v>INDIGENT HEALTH</v>
      </c>
    </row>
    <row r="153" spans="1:9" x14ac:dyDescent="0.3">
      <c r="A153" t="str">
        <f>"T1251"</f>
        <v>T1251</v>
      </c>
      <c r="B153" t="s">
        <v>51</v>
      </c>
      <c r="C153">
        <v>70096</v>
      </c>
      <c r="D153" s="2">
        <v>200.22</v>
      </c>
      <c r="E153" s="1">
        <v>42863</v>
      </c>
      <c r="F153" t="str">
        <f>"201705031672"</f>
        <v>201705031672</v>
      </c>
      <c r="G153" t="str">
        <f>"INDIGENT HEALTH"</f>
        <v>INDIGENT HEALTH</v>
      </c>
      <c r="H153" s="2">
        <v>200.22</v>
      </c>
      <c r="I153" t="str">
        <f>"INDIGENT HEALTH"</f>
        <v>INDIGENT HEALTH</v>
      </c>
    </row>
    <row r="154" spans="1:9" x14ac:dyDescent="0.3">
      <c r="A154" t="str">
        <f>"T1251"</f>
        <v>T1251</v>
      </c>
      <c r="B154" t="s">
        <v>51</v>
      </c>
      <c r="C154">
        <v>70375</v>
      </c>
      <c r="D154" s="2">
        <v>286.29000000000002</v>
      </c>
      <c r="E154" s="1">
        <v>42877</v>
      </c>
      <c r="F154" t="str">
        <f>"201705172110"</f>
        <v>201705172110</v>
      </c>
      <c r="G154" t="str">
        <f>"INDIGENT HEALTH"</f>
        <v>INDIGENT HEALTH</v>
      </c>
      <c r="H154" s="2">
        <v>247</v>
      </c>
      <c r="I154" t="str">
        <f>"INDIGENT HEALTH"</f>
        <v>INDIGENT HEALTH</v>
      </c>
    </row>
    <row r="155" spans="1:9" x14ac:dyDescent="0.3">
      <c r="A155" t="str">
        <f>""</f>
        <v/>
      </c>
      <c r="F155" t="str">
        <f>"201705172243"</f>
        <v>201705172243</v>
      </c>
      <c r="G155" t="str">
        <f>"INV 4210980391 &amp; 2"</f>
        <v>INV 4210980391 &amp; 2</v>
      </c>
      <c r="H155" s="2">
        <v>39.29</v>
      </c>
      <c r="I155" t="str">
        <f>"INV 4210980391 &amp; 2"</f>
        <v>INV 4210980391 &amp; 2</v>
      </c>
    </row>
    <row r="156" spans="1:9" x14ac:dyDescent="0.3">
      <c r="A156" t="str">
        <f>"T3200"</f>
        <v>T3200</v>
      </c>
      <c r="B156" t="s">
        <v>52</v>
      </c>
      <c r="C156">
        <v>70376</v>
      </c>
      <c r="D156" s="2">
        <v>980.95</v>
      </c>
      <c r="E156" s="1">
        <v>42877</v>
      </c>
      <c r="F156" t="str">
        <f>"201705172111"</f>
        <v>201705172111</v>
      </c>
      <c r="G156" t="str">
        <f>"INDIGENT HEALTH"</f>
        <v>INDIGENT HEALTH</v>
      </c>
      <c r="H156" s="2">
        <v>980.95</v>
      </c>
      <c r="I156" t="str">
        <f>"INDIGENT HEALTH"</f>
        <v>INDIGENT HEALTH</v>
      </c>
    </row>
    <row r="157" spans="1:9" x14ac:dyDescent="0.3">
      <c r="A157" t="str">
        <f>"B&amp;B"</f>
        <v>B&amp;B</v>
      </c>
      <c r="B157" t="s">
        <v>53</v>
      </c>
      <c r="C157">
        <v>70097</v>
      </c>
      <c r="D157" s="2">
        <v>277.26</v>
      </c>
      <c r="E157" s="1">
        <v>42863</v>
      </c>
      <c r="F157" t="str">
        <f>"201705021612"</f>
        <v>201705021612</v>
      </c>
      <c r="G157" t="str">
        <f>"INVOICE 9205-513684 TIRE"</f>
        <v>INVOICE 9205-513684 TIRE</v>
      </c>
      <c r="H157" s="2">
        <v>26.07</v>
      </c>
      <c r="I157" t="str">
        <f>"INVOICE 9205-513684"</f>
        <v>INVOICE 9205-513684</v>
      </c>
    </row>
    <row r="158" spans="1:9" x14ac:dyDescent="0.3">
      <c r="A158" t="str">
        <f>""</f>
        <v/>
      </c>
      <c r="F158" t="str">
        <f>"510876"</f>
        <v>510876</v>
      </c>
      <c r="G158" t="str">
        <f>"CUST#1700/PCT#2"</f>
        <v>CUST#1700/PCT#2</v>
      </c>
      <c r="H158" s="2">
        <v>163.16999999999999</v>
      </c>
      <c r="I158" t="str">
        <f>"CUST#1700/PCT#2"</f>
        <v>CUST#1700/PCT#2</v>
      </c>
    </row>
    <row r="159" spans="1:9" x14ac:dyDescent="0.3">
      <c r="A159" t="str">
        <f>""</f>
        <v/>
      </c>
      <c r="F159" t="str">
        <f>"9205-497975"</f>
        <v>9205-497975</v>
      </c>
      <c r="G159" t="str">
        <f>"INV  9205-497975"</f>
        <v>INV  9205-497975</v>
      </c>
      <c r="H159" s="2">
        <v>88.02</v>
      </c>
      <c r="I159" t="str">
        <f>"INV  9205-497975"</f>
        <v>INV  9205-497975</v>
      </c>
    </row>
    <row r="160" spans="1:9" x14ac:dyDescent="0.3">
      <c r="A160" t="str">
        <f>"B&amp;B"</f>
        <v>B&amp;B</v>
      </c>
      <c r="B160" t="s">
        <v>53</v>
      </c>
      <c r="C160">
        <v>70377</v>
      </c>
      <c r="D160" s="2">
        <v>2742.88</v>
      </c>
      <c r="E160" s="1">
        <v>42877</v>
      </c>
      <c r="F160" t="str">
        <f>"201705121973"</f>
        <v>201705121973</v>
      </c>
      <c r="G160" t="str">
        <f>"CUST 1650 PCT 1"</f>
        <v>CUST 1650 PCT 1</v>
      </c>
      <c r="H160" s="2">
        <v>244.51</v>
      </c>
      <c r="I160" t="str">
        <f>"CUST 1650 PCT1"</f>
        <v>CUST 1650 PCT1</v>
      </c>
    </row>
    <row r="161" spans="1:9" x14ac:dyDescent="0.3">
      <c r="A161" t="str">
        <f>""</f>
        <v/>
      </c>
      <c r="F161" t="str">
        <f>""</f>
        <v/>
      </c>
      <c r="G161" t="str">
        <f>""</f>
        <v/>
      </c>
      <c r="I161" t="str">
        <f>"CUST 1650 PCT1"</f>
        <v>CUST 1650 PCT1</v>
      </c>
    </row>
    <row r="162" spans="1:9" x14ac:dyDescent="0.3">
      <c r="A162" t="str">
        <f>""</f>
        <v/>
      </c>
      <c r="F162" t="str">
        <f>"201705162078"</f>
        <v>201705162078</v>
      </c>
      <c r="G162" t="str">
        <f>"CUST 1750 PCT 3"</f>
        <v>CUST 1750 PCT 3</v>
      </c>
      <c r="H162" s="2">
        <v>2108.9499999999998</v>
      </c>
      <c r="I162" t="str">
        <f>"CUST 1750 PCT 3"</f>
        <v>CUST 1750 PCT 3</v>
      </c>
    </row>
    <row r="163" spans="1:9" x14ac:dyDescent="0.3">
      <c r="A163" t="str">
        <f>""</f>
        <v/>
      </c>
      <c r="F163" t="str">
        <f>"513316"</f>
        <v>513316</v>
      </c>
      <c r="G163" t="str">
        <f>"CUST #1650 GEN SVCS"</f>
        <v>CUST #1650 GEN SVCS</v>
      </c>
      <c r="H163" s="2">
        <v>301.39999999999998</v>
      </c>
      <c r="I163" t="str">
        <f>"CUST #1650 GEN SVCS"</f>
        <v>CUST #1650 GEN SVCS</v>
      </c>
    </row>
    <row r="164" spans="1:9" x14ac:dyDescent="0.3">
      <c r="A164" t="str">
        <f>""</f>
        <v/>
      </c>
      <c r="F164" t="str">
        <f>""</f>
        <v/>
      </c>
      <c r="G164" t="str">
        <f>""</f>
        <v/>
      </c>
      <c r="I164" t="str">
        <f>"CUST #1650 GEN SVCS"</f>
        <v>CUST #1650 GEN SVCS</v>
      </c>
    </row>
    <row r="165" spans="1:9" x14ac:dyDescent="0.3">
      <c r="A165" t="str">
        <f>""</f>
        <v/>
      </c>
      <c r="F165" t="str">
        <f>""</f>
        <v/>
      </c>
      <c r="G165" t="str">
        <f>""</f>
        <v/>
      </c>
      <c r="I165" t="str">
        <f>"CUST #1650 GEN SVCS"</f>
        <v>CUST #1650 GEN SVCS</v>
      </c>
    </row>
    <row r="166" spans="1:9" x14ac:dyDescent="0.3">
      <c r="A166" t="str">
        <f>""</f>
        <v/>
      </c>
      <c r="F166" t="str">
        <f>"657917"</f>
        <v>657917</v>
      </c>
      <c r="G166" t="str">
        <f>"INV 9205-497975"</f>
        <v>INV 9205-497975</v>
      </c>
      <c r="H166" s="2">
        <v>88.02</v>
      </c>
      <c r="I166" t="str">
        <f>"INV 9205-497975"</f>
        <v>INV 9205-497975</v>
      </c>
    </row>
    <row r="167" spans="1:9" x14ac:dyDescent="0.3">
      <c r="A167" t="str">
        <f>"004875"</f>
        <v>004875</v>
      </c>
      <c r="B167" t="s">
        <v>54</v>
      </c>
      <c r="C167">
        <v>70098</v>
      </c>
      <c r="D167" s="2">
        <v>11498.58</v>
      </c>
      <c r="E167" s="1">
        <v>42863</v>
      </c>
      <c r="F167" t="str">
        <f>"201705031779"</f>
        <v>201705031779</v>
      </c>
      <c r="G167" t="str">
        <f>"Final Pay App"</f>
        <v>Final Pay App</v>
      </c>
      <c r="H167" s="2">
        <v>11498.58</v>
      </c>
      <c r="I167" t="str">
        <f>"Final Pay App"</f>
        <v>Final Pay App</v>
      </c>
    </row>
    <row r="168" spans="1:9" x14ac:dyDescent="0.3">
      <c r="A168" t="str">
        <f>"000871"</f>
        <v>000871</v>
      </c>
      <c r="B168" t="s">
        <v>55</v>
      </c>
      <c r="C168">
        <v>70099</v>
      </c>
      <c r="D168" s="2">
        <v>200.13</v>
      </c>
      <c r="E168" s="1">
        <v>42863</v>
      </c>
      <c r="F168" t="str">
        <f>"201705031763"</f>
        <v>201705031763</v>
      </c>
      <c r="G168" t="str">
        <f>"HOTEL-EARTH DAY BOOTH"</f>
        <v>HOTEL-EARTH DAY BOOTH</v>
      </c>
      <c r="H168" s="2">
        <v>200.13</v>
      </c>
      <c r="I168" t="str">
        <f>"HOTEL-EARTH DAY BOOTH"</f>
        <v>HOTEL-EARTH DAY BOOTH</v>
      </c>
    </row>
    <row r="169" spans="1:9" x14ac:dyDescent="0.3">
      <c r="A169" t="str">
        <f>"T1636"</f>
        <v>T1636</v>
      </c>
      <c r="B169" t="s">
        <v>56</v>
      </c>
      <c r="C169">
        <v>70101</v>
      </c>
      <c r="D169" s="2">
        <v>897.5</v>
      </c>
      <c r="E169" s="1">
        <v>42863</v>
      </c>
      <c r="F169" t="str">
        <f>"   12375"</f>
        <v xml:space="preserve">   12375</v>
      </c>
      <c r="G169" t="str">
        <f>"SERVICE/2-28-17"</f>
        <v>SERVICE/2-28-17</v>
      </c>
      <c r="H169" s="2">
        <v>75</v>
      </c>
      <c r="I169" t="str">
        <f>"SERVICE/2-28-17"</f>
        <v>SERVICE/2-28-17</v>
      </c>
    </row>
    <row r="170" spans="1:9" x14ac:dyDescent="0.3">
      <c r="A170" t="str">
        <f>""</f>
        <v/>
      </c>
      <c r="F170" t="str">
        <f>"11465"</f>
        <v>11465</v>
      </c>
      <c r="G170" t="str">
        <f>"SERVICE/2-28-17"</f>
        <v>SERVICE/2-28-17</v>
      </c>
      <c r="H170" s="2">
        <v>22.5</v>
      </c>
      <c r="I170" t="str">
        <f>"SERVICE/2-28-17"</f>
        <v>SERVICE/2-28-17</v>
      </c>
    </row>
    <row r="171" spans="1:9" x14ac:dyDescent="0.3">
      <c r="A171" t="str">
        <f>""</f>
        <v/>
      </c>
      <c r="F171" t="str">
        <f>"12450"</f>
        <v>12450</v>
      </c>
      <c r="G171" t="str">
        <f>"SERVICE/3-02-2017"</f>
        <v>SERVICE/3-02-2017</v>
      </c>
      <c r="H171" s="2">
        <v>200</v>
      </c>
      <c r="I171" t="str">
        <f>"SERVICE/3-02-2017"</f>
        <v>SERVICE/3-02-2017</v>
      </c>
    </row>
    <row r="172" spans="1:9" x14ac:dyDescent="0.3">
      <c r="A172" t="str">
        <f>""</f>
        <v/>
      </c>
      <c r="F172" t="str">
        <f>"12521"</f>
        <v>12521</v>
      </c>
      <c r="G172" t="str">
        <f>"SERVICE/2-28-17"</f>
        <v>SERVICE/2-28-17</v>
      </c>
      <c r="H172" s="2">
        <v>75</v>
      </c>
      <c r="I172" t="str">
        <f>"SERVICE/2-28-17"</f>
        <v>SERVICE/2-28-17</v>
      </c>
    </row>
    <row r="173" spans="1:9" x14ac:dyDescent="0.3">
      <c r="A173" t="str">
        <f>""</f>
        <v/>
      </c>
      <c r="F173" t="str">
        <f>"12617"</f>
        <v>12617</v>
      </c>
      <c r="G173" t="str">
        <f>"SERVICE/2-27-17"</f>
        <v>SERVICE/2-27-17</v>
      </c>
      <c r="H173" s="2">
        <v>300</v>
      </c>
      <c r="I173" t="str">
        <f>"SERVICE/2-27-17"</f>
        <v>SERVICE/2-27-17</v>
      </c>
    </row>
    <row r="174" spans="1:9" x14ac:dyDescent="0.3">
      <c r="A174" t="str">
        <f>""</f>
        <v/>
      </c>
      <c r="F174" t="str">
        <f>"12626"</f>
        <v>12626</v>
      </c>
      <c r="G174" t="str">
        <f>"SERVICE/3-1-17"</f>
        <v>SERVICE/3-1-17</v>
      </c>
      <c r="H174" s="2">
        <v>150</v>
      </c>
      <c r="I174" t="str">
        <f>"SERVICE/3-1-17"</f>
        <v>SERVICE/3-1-17</v>
      </c>
    </row>
    <row r="175" spans="1:9" x14ac:dyDescent="0.3">
      <c r="A175" t="str">
        <f>""</f>
        <v/>
      </c>
      <c r="F175" t="str">
        <f>"12631"</f>
        <v>12631</v>
      </c>
      <c r="G175" t="str">
        <f>"SERVICE/3-3-17"</f>
        <v>SERVICE/3-3-17</v>
      </c>
      <c r="H175" s="2">
        <v>75</v>
      </c>
      <c r="I175" t="str">
        <f>"SERVICE/3-3-17"</f>
        <v>SERVICE/3-3-17</v>
      </c>
    </row>
    <row r="176" spans="1:9" x14ac:dyDescent="0.3">
      <c r="A176" t="str">
        <f>"BASCO"</f>
        <v>BASCO</v>
      </c>
      <c r="B176" t="s">
        <v>57</v>
      </c>
      <c r="C176">
        <v>70102</v>
      </c>
      <c r="D176" s="2">
        <v>1163.1199999999999</v>
      </c>
      <c r="E176" s="1">
        <v>42863</v>
      </c>
      <c r="F176" t="str">
        <f>"8827/8885"</f>
        <v>8827/8885</v>
      </c>
      <c r="G176" t="str">
        <f>"SUPPLIES"</f>
        <v>SUPPLIES</v>
      </c>
      <c r="H176" s="2">
        <v>983.15</v>
      </c>
      <c r="I176" t="str">
        <f>"SUPPLIES"</f>
        <v>SUPPLIES</v>
      </c>
    </row>
    <row r="177" spans="1:9" x14ac:dyDescent="0.3">
      <c r="A177" t="str">
        <f>""</f>
        <v/>
      </c>
      <c r="F177" t="str">
        <f>""</f>
        <v/>
      </c>
      <c r="G177" t="str">
        <f>""</f>
        <v/>
      </c>
      <c r="I177" t="str">
        <f>"SUPPLIES"</f>
        <v>SUPPLIES</v>
      </c>
    </row>
    <row r="178" spans="1:9" x14ac:dyDescent="0.3">
      <c r="A178" t="str">
        <f>""</f>
        <v/>
      </c>
      <c r="F178" t="str">
        <f>""</f>
        <v/>
      </c>
      <c r="G178" t="str">
        <f>""</f>
        <v/>
      </c>
      <c r="I178" t="str">
        <f>"SUPPLIES"</f>
        <v>SUPPLIES</v>
      </c>
    </row>
    <row r="179" spans="1:9" x14ac:dyDescent="0.3">
      <c r="A179" t="str">
        <f>""</f>
        <v/>
      </c>
      <c r="F179" t="str">
        <f>""</f>
        <v/>
      </c>
      <c r="G179" t="str">
        <f>""</f>
        <v/>
      </c>
      <c r="I179" t="str">
        <f>"SUPPLIES"</f>
        <v>SUPPLIES</v>
      </c>
    </row>
    <row r="180" spans="1:9" x14ac:dyDescent="0.3">
      <c r="A180" t="str">
        <f>""</f>
        <v/>
      </c>
      <c r="F180" t="str">
        <f>""</f>
        <v/>
      </c>
      <c r="G180" t="str">
        <f>""</f>
        <v/>
      </c>
      <c r="I180" t="str">
        <f>"SUPPLIES"</f>
        <v>SUPPLIES</v>
      </c>
    </row>
    <row r="181" spans="1:9" x14ac:dyDescent="0.3">
      <c r="A181" t="str">
        <f>""</f>
        <v/>
      </c>
      <c r="F181" t="str">
        <f>"8955/9093"</f>
        <v>8955/9093</v>
      </c>
      <c r="G181" t="str">
        <f>"ACCT#BC01/SUPPLIES"</f>
        <v>ACCT#BC01/SUPPLIES</v>
      </c>
      <c r="H181" s="2">
        <v>179.97</v>
      </c>
      <c r="I181" t="str">
        <f t="shared" ref="I181:I187" si="2">"ACCT#BC01/SUPPLIES"</f>
        <v>ACCT#BC01/SUPPLIES</v>
      </c>
    </row>
    <row r="182" spans="1:9" x14ac:dyDescent="0.3">
      <c r="A182" t="str">
        <f>""</f>
        <v/>
      </c>
      <c r="F182" t="str">
        <f>""</f>
        <v/>
      </c>
      <c r="G182" t="str">
        <f>""</f>
        <v/>
      </c>
      <c r="I182" t="str">
        <f t="shared" si="2"/>
        <v>ACCT#BC01/SUPPLIES</v>
      </c>
    </row>
    <row r="183" spans="1:9" x14ac:dyDescent="0.3">
      <c r="A183" t="str">
        <f>""</f>
        <v/>
      </c>
      <c r="F183" t="str">
        <f>""</f>
        <v/>
      </c>
      <c r="G183" t="str">
        <f>""</f>
        <v/>
      </c>
      <c r="I183" t="str">
        <f t="shared" si="2"/>
        <v>ACCT#BC01/SUPPLIES</v>
      </c>
    </row>
    <row r="184" spans="1:9" x14ac:dyDescent="0.3">
      <c r="A184" t="str">
        <f>""</f>
        <v/>
      </c>
      <c r="F184" t="str">
        <f>""</f>
        <v/>
      </c>
      <c r="G184" t="str">
        <f>""</f>
        <v/>
      </c>
      <c r="I184" t="str">
        <f t="shared" si="2"/>
        <v>ACCT#BC01/SUPPLIES</v>
      </c>
    </row>
    <row r="185" spans="1:9" x14ac:dyDescent="0.3">
      <c r="A185" t="str">
        <f>""</f>
        <v/>
      </c>
      <c r="F185" t="str">
        <f>""</f>
        <v/>
      </c>
      <c r="G185" t="str">
        <f>""</f>
        <v/>
      </c>
      <c r="I185" t="str">
        <f t="shared" si="2"/>
        <v>ACCT#BC01/SUPPLIES</v>
      </c>
    </row>
    <row r="186" spans="1:9" x14ac:dyDescent="0.3">
      <c r="A186" t="str">
        <f>""</f>
        <v/>
      </c>
      <c r="F186" t="str">
        <f>""</f>
        <v/>
      </c>
      <c r="G186" t="str">
        <f>""</f>
        <v/>
      </c>
      <c r="I186" t="str">
        <f t="shared" si="2"/>
        <v>ACCT#BC01/SUPPLIES</v>
      </c>
    </row>
    <row r="187" spans="1:9" x14ac:dyDescent="0.3">
      <c r="A187" t="str">
        <f>""</f>
        <v/>
      </c>
      <c r="F187" t="str">
        <f>""</f>
        <v/>
      </c>
      <c r="G187" t="str">
        <f>""</f>
        <v/>
      </c>
      <c r="I187" t="str">
        <f t="shared" si="2"/>
        <v>ACCT#BC01/SUPPLIES</v>
      </c>
    </row>
    <row r="188" spans="1:9" x14ac:dyDescent="0.3">
      <c r="A188" t="str">
        <f>"BCPD"</f>
        <v>BCPD</v>
      </c>
      <c r="B188" t="s">
        <v>58</v>
      </c>
      <c r="C188">
        <v>70100</v>
      </c>
      <c r="D188" s="2">
        <v>74704.5</v>
      </c>
      <c r="E188" s="1">
        <v>42863</v>
      </c>
      <c r="F188" t="str">
        <f>"2ND QTR FY'17"</f>
        <v>2ND QTR FY'17</v>
      </c>
      <c r="G188" t="str">
        <f>"REVENUE BASTROP"</f>
        <v>REVENUE BASTROP</v>
      </c>
      <c r="H188" s="2">
        <v>74704.5</v>
      </c>
      <c r="I188" t="str">
        <f>"REVENUE BASTROP"</f>
        <v>REVENUE BASTROP</v>
      </c>
    </row>
    <row r="189" spans="1:9" x14ac:dyDescent="0.3">
      <c r="A189" t="str">
        <f>"T3799"</f>
        <v>T3799</v>
      </c>
      <c r="B189" t="s">
        <v>59</v>
      </c>
      <c r="C189">
        <v>70378</v>
      </c>
      <c r="D189" s="2">
        <v>836.18</v>
      </c>
      <c r="E189" s="1">
        <v>42877</v>
      </c>
      <c r="F189" t="str">
        <f>"152"</f>
        <v>152</v>
      </c>
      <c r="G189" t="str">
        <f>"APRIL FUEL USE 2017 ESS/911 AD"</f>
        <v>APRIL FUEL USE 2017 ESS/911 AD</v>
      </c>
      <c r="H189" s="2">
        <v>836.18</v>
      </c>
      <c r="I189" t="str">
        <f>"APRIL FUEL USE 2017 ESS/911 AD"</f>
        <v>APRIL FUEL USE 2017 ESS/911 AD</v>
      </c>
    </row>
    <row r="190" spans="1:9" x14ac:dyDescent="0.3">
      <c r="A190" t="str">
        <f>"T13544"</f>
        <v>T13544</v>
      </c>
      <c r="B190" t="s">
        <v>60</v>
      </c>
      <c r="C190">
        <v>70103</v>
      </c>
      <c r="D190" s="2">
        <v>33.270000000000003</v>
      </c>
      <c r="E190" s="1">
        <v>42863</v>
      </c>
      <c r="F190" t="str">
        <f>"201705031673"</f>
        <v>201705031673</v>
      </c>
      <c r="G190" t="str">
        <f>"INDIGENT HEALTH"</f>
        <v>INDIGENT HEALTH</v>
      </c>
      <c r="H190" s="2">
        <v>33.270000000000003</v>
      </c>
      <c r="I190" t="str">
        <f>"INDIGENT HEALTH"</f>
        <v>INDIGENT HEALTH</v>
      </c>
    </row>
    <row r="191" spans="1:9" x14ac:dyDescent="0.3">
      <c r="A191" t="str">
        <f>"001542"</f>
        <v>001542</v>
      </c>
      <c r="B191" t="s">
        <v>61</v>
      </c>
      <c r="C191">
        <v>70379</v>
      </c>
      <c r="D191" s="2">
        <v>3180</v>
      </c>
      <c r="E191" s="1">
        <v>42877</v>
      </c>
      <c r="F191" t="str">
        <f>"2017043"</f>
        <v>2017043</v>
      </c>
      <c r="G191" t="str">
        <f>"ROBERSON 4/18/17"</f>
        <v>ROBERSON 4/18/17</v>
      </c>
      <c r="H191" s="2">
        <v>400</v>
      </c>
      <c r="I191" t="str">
        <f>"ROBERSON 4/18/17"</f>
        <v>ROBERSON 4/18/17</v>
      </c>
    </row>
    <row r="192" spans="1:9" x14ac:dyDescent="0.3">
      <c r="A192" t="str">
        <f>""</f>
        <v/>
      </c>
      <c r="F192" t="str">
        <f>"201705162013"</f>
        <v>201705162013</v>
      </c>
      <c r="G192" t="str">
        <f>"Guillemo Sanchez #2017049"</f>
        <v>Guillemo Sanchez #2017049</v>
      </c>
      <c r="H192" s="2">
        <v>495</v>
      </c>
      <c r="I192" t="str">
        <f>"Guillemo Sanchez #2017049"</f>
        <v>Guillemo Sanchez #2017049</v>
      </c>
    </row>
    <row r="193" spans="1:9" x14ac:dyDescent="0.3">
      <c r="A193" t="str">
        <f>""</f>
        <v/>
      </c>
      <c r="F193" t="str">
        <f>"201705162014"</f>
        <v>201705162014</v>
      </c>
      <c r="G193" t="str">
        <f>"Sharon Price #2017041"</f>
        <v>Sharon Price #2017041</v>
      </c>
      <c r="H193" s="2">
        <v>495</v>
      </c>
      <c r="I193" t="str">
        <f>"Sharon Price #2017041"</f>
        <v>Sharon Price #2017041</v>
      </c>
    </row>
    <row r="194" spans="1:9" x14ac:dyDescent="0.3">
      <c r="A194" t="str">
        <f>""</f>
        <v/>
      </c>
      <c r="F194" t="str">
        <f>"201705162015"</f>
        <v>201705162015</v>
      </c>
      <c r="G194" t="str">
        <f>"Donald Chambers #2017048"</f>
        <v>Donald Chambers #2017048</v>
      </c>
      <c r="H194" s="2">
        <v>495</v>
      </c>
      <c r="I194" t="str">
        <f>"Donald Chambers #2017048"</f>
        <v>Donald Chambers #2017048</v>
      </c>
    </row>
    <row r="195" spans="1:9" x14ac:dyDescent="0.3">
      <c r="A195" t="str">
        <f>""</f>
        <v/>
      </c>
      <c r="F195" t="str">
        <f>"201705162016"</f>
        <v>201705162016</v>
      </c>
      <c r="G195" t="str">
        <f>"Graciela Zuniga #2017050"</f>
        <v>Graciela Zuniga #2017050</v>
      </c>
      <c r="H195" s="2">
        <v>495</v>
      </c>
      <c r="I195" t="str">
        <f>"Graciela Zuniga #2017050"</f>
        <v>Graciela Zuniga #2017050</v>
      </c>
    </row>
    <row r="196" spans="1:9" x14ac:dyDescent="0.3">
      <c r="A196" t="str">
        <f>""</f>
        <v/>
      </c>
      <c r="F196" t="str">
        <f>"201705172277"</f>
        <v>201705172277</v>
      </c>
      <c r="G196" t="str">
        <f>"ALICIA KOEGLER SER 2017045"</f>
        <v>ALICIA KOEGLER SER 2017045</v>
      </c>
      <c r="H196" s="2">
        <v>400</v>
      </c>
      <c r="I196" t="str">
        <f>"ALICIA KOEGLER SER 2017045"</f>
        <v>ALICIA KOEGLER SER 2017045</v>
      </c>
    </row>
    <row r="197" spans="1:9" x14ac:dyDescent="0.3">
      <c r="A197" t="str">
        <f>""</f>
        <v/>
      </c>
      <c r="F197" t="str">
        <f>"201705172278"</f>
        <v>201705172278</v>
      </c>
      <c r="G197" t="str">
        <f>"JERRY RAY HUENERBERG 2017046"</f>
        <v>JERRY RAY HUENERBERG 2017046</v>
      </c>
      <c r="H197" s="2">
        <v>400</v>
      </c>
      <c r="I197" t="str">
        <f>"JERRY RAY HUENERBERG 2017046"</f>
        <v>JERRY RAY HUENERBERG 2017046</v>
      </c>
    </row>
    <row r="198" spans="1:9" x14ac:dyDescent="0.3">
      <c r="A198" t="str">
        <f>"001081"</f>
        <v>001081</v>
      </c>
      <c r="B198" t="s">
        <v>62</v>
      </c>
      <c r="C198">
        <v>70104</v>
      </c>
      <c r="D198" s="2">
        <v>55728.84</v>
      </c>
      <c r="E198" s="1">
        <v>42863</v>
      </c>
      <c r="F198" t="str">
        <f>"FINAL PAYMENT"</f>
        <v>FINAL PAYMENT</v>
      </c>
      <c r="G198" t="str">
        <f>"381 AGREE.AD VALOREM TAX'17"</f>
        <v>381 AGREE.AD VALOREM TAX'17</v>
      </c>
      <c r="H198" s="2">
        <v>46457.22</v>
      </c>
      <c r="I198" t="str">
        <f>"381 AGREE.AD VALOREM TAX'17"</f>
        <v>381 AGREE.AD VALOREM TAX'17</v>
      </c>
    </row>
    <row r="199" spans="1:9" x14ac:dyDescent="0.3">
      <c r="A199" t="str">
        <f>""</f>
        <v/>
      </c>
      <c r="F199" t="str">
        <f>"FINAL PAYMENT-1"</f>
        <v>FINAL PAYMENT-1</v>
      </c>
      <c r="G199" t="str">
        <f>"381 AGREE.AD VALOREM TAX'17"</f>
        <v>381 AGREE.AD VALOREM TAX'17</v>
      </c>
      <c r="H199" s="2">
        <v>2241.12</v>
      </c>
      <c r="I199" t="str">
        <f>"381 AGREE.AD VALOREM TAX'17"</f>
        <v>381 AGREE.AD VALOREM TAX'17</v>
      </c>
    </row>
    <row r="200" spans="1:9" x14ac:dyDescent="0.3">
      <c r="A200" t="str">
        <f>""</f>
        <v/>
      </c>
      <c r="F200" t="str">
        <f>"FINAL PAYMENT-2"</f>
        <v>FINAL PAYMENT-2</v>
      </c>
      <c r="G200" t="str">
        <f>"381 AGREE.AD VALOREM TAX'17"</f>
        <v>381 AGREE.AD VALOREM TAX'17</v>
      </c>
      <c r="H200" s="2">
        <v>3957.77</v>
      </c>
      <c r="I200" t="str">
        <f>"381 AGREE.AD VALOREM TAX'17"</f>
        <v>381 AGREE.AD VALOREM TAX'17</v>
      </c>
    </row>
    <row r="201" spans="1:9" x14ac:dyDescent="0.3">
      <c r="A201" t="str">
        <f>""</f>
        <v/>
      </c>
      <c r="F201" t="str">
        <f>"FINAL PAYMENT-3"</f>
        <v>FINAL PAYMENT-3</v>
      </c>
      <c r="G201" t="str">
        <f>"381 AGREE.AD VALOREM TAX '17"</f>
        <v>381 AGREE.AD VALOREM TAX '17</v>
      </c>
      <c r="H201" s="2">
        <v>3072.73</v>
      </c>
      <c r="I201" t="str">
        <f>"381 AGREE.AD VALOREM TAX '17"</f>
        <v>381 AGREE.AD VALOREM TAX '17</v>
      </c>
    </row>
    <row r="202" spans="1:9" x14ac:dyDescent="0.3">
      <c r="A202" t="str">
        <f>"001081"</f>
        <v>001081</v>
      </c>
      <c r="B202" t="s">
        <v>62</v>
      </c>
      <c r="C202">
        <v>70317</v>
      </c>
      <c r="D202" s="2">
        <v>2868.77</v>
      </c>
      <c r="E202" s="1">
        <v>42864</v>
      </c>
      <c r="F202" t="str">
        <f>"FINAL PAYMENT-4"</f>
        <v>FINAL PAYMENT-4</v>
      </c>
      <c r="G202" t="str">
        <f>"381 AGREE. AD VALOREM TAX '17"</f>
        <v>381 AGREE. AD VALOREM TAX '17</v>
      </c>
      <c r="H202" s="2">
        <v>2868.77</v>
      </c>
      <c r="I202" t="str">
        <f>"381 AGREE. AD VALOREM TAX '17"</f>
        <v>381 AGREE. AD VALOREM TAX '17</v>
      </c>
    </row>
    <row r="203" spans="1:9" x14ac:dyDescent="0.3">
      <c r="A203" t="str">
        <f>"001081"</f>
        <v>001081</v>
      </c>
      <c r="B203" t="s">
        <v>62</v>
      </c>
      <c r="C203">
        <v>70620</v>
      </c>
      <c r="D203" s="2">
        <v>110253.45</v>
      </c>
      <c r="E203" s="1">
        <v>42886</v>
      </c>
      <c r="F203" t="str">
        <f>"201705312314"</f>
        <v>201705312314</v>
      </c>
      <c r="G203" t="str">
        <f>"381 SALES TAX PMT 2Q FY 16/17"</f>
        <v>381 SALES TAX PMT 2Q FY 16/17</v>
      </c>
      <c r="H203" s="2">
        <v>63348.74</v>
      </c>
      <c r="I203" t="str">
        <f>"381 SALES TAX PMT 2Q FY 16/17"</f>
        <v>381 SALES TAX PMT 2Q FY 16/17</v>
      </c>
    </row>
    <row r="204" spans="1:9" x14ac:dyDescent="0.3">
      <c r="A204" t="str">
        <f>""</f>
        <v/>
      </c>
      <c r="F204" t="str">
        <f>"201705312315"</f>
        <v>201705312315</v>
      </c>
      <c r="G204" t="str">
        <f>"381 AD VALOREM TAX 2017"</f>
        <v>381 AD VALOREM TAX 2017</v>
      </c>
      <c r="H204" s="2">
        <v>46904.71</v>
      </c>
      <c r="I204" t="str">
        <f>"381 AD VALOREM TAX 2017"</f>
        <v>381 AD VALOREM TAX 2017</v>
      </c>
    </row>
    <row r="205" spans="1:9" x14ac:dyDescent="0.3">
      <c r="A205" t="str">
        <f>""</f>
        <v/>
      </c>
      <c r="F205" t="str">
        <f>""</f>
        <v/>
      </c>
      <c r="G205" t="str">
        <f>""</f>
        <v/>
      </c>
      <c r="I205" t="str">
        <f>"381 AD VALOREM TAX 2017"</f>
        <v>381 AD VALOREM TAX 2017</v>
      </c>
    </row>
    <row r="206" spans="1:9" x14ac:dyDescent="0.3">
      <c r="A206" t="str">
        <f>""</f>
        <v/>
      </c>
      <c r="F206" t="str">
        <f>""</f>
        <v/>
      </c>
      <c r="G206" t="str">
        <f>""</f>
        <v/>
      </c>
      <c r="I206" t="str">
        <f>"381 AD VALOREM TAX 2017"</f>
        <v>381 AD VALOREM TAX 2017</v>
      </c>
    </row>
    <row r="207" spans="1:9" x14ac:dyDescent="0.3">
      <c r="A207" t="str">
        <f>""</f>
        <v/>
      </c>
      <c r="F207" t="str">
        <f>""</f>
        <v/>
      </c>
      <c r="G207" t="str">
        <f>""</f>
        <v/>
      </c>
      <c r="I207" t="str">
        <f>"381 AD VALOREM TAX 2017"</f>
        <v>381 AD VALOREM TAX 2017</v>
      </c>
    </row>
    <row r="208" spans="1:9" x14ac:dyDescent="0.3">
      <c r="A208" t="str">
        <f>""</f>
        <v/>
      </c>
      <c r="F208" t="str">
        <f>""</f>
        <v/>
      </c>
      <c r="G208" t="str">
        <f>""</f>
        <v/>
      </c>
      <c r="I208" t="str">
        <f>"381 AD VALOREM TAX 2017"</f>
        <v>381 AD VALOREM TAX 2017</v>
      </c>
    </row>
    <row r="209" spans="1:9" x14ac:dyDescent="0.3">
      <c r="A209" t="str">
        <f>"000485"</f>
        <v>000485</v>
      </c>
      <c r="B209" t="s">
        <v>63</v>
      </c>
      <c r="C209">
        <v>70105</v>
      </c>
      <c r="D209" s="2">
        <v>3850</v>
      </c>
      <c r="E209" s="1">
        <v>42863</v>
      </c>
      <c r="F209" t="str">
        <f>"4647R"</f>
        <v>4647R</v>
      </c>
      <c r="G209" t="str">
        <f>"TAKE TREES DOWN/PCT#1"</f>
        <v>TAKE TREES DOWN/PCT#1</v>
      </c>
      <c r="H209" s="2">
        <v>3850</v>
      </c>
      <c r="I209" t="str">
        <f>"TAKE TREES DOWN/PCT#1"</f>
        <v>TAKE TREES DOWN/PCT#1</v>
      </c>
    </row>
    <row r="210" spans="1:9" x14ac:dyDescent="0.3">
      <c r="A210" t="str">
        <f>"000485"</f>
        <v>000485</v>
      </c>
      <c r="B210" t="s">
        <v>63</v>
      </c>
      <c r="C210">
        <v>70380</v>
      </c>
      <c r="D210" s="2">
        <v>550</v>
      </c>
      <c r="E210" s="1">
        <v>42877</v>
      </c>
      <c r="F210" t="str">
        <f>"4674R"</f>
        <v>4674R</v>
      </c>
      <c r="G210" t="str">
        <f>"Tree Limb Removal"</f>
        <v>Tree Limb Removal</v>
      </c>
      <c r="H210" s="2">
        <v>550</v>
      </c>
      <c r="I210" t="str">
        <f>"Invoice# 4674R"</f>
        <v>Invoice# 4674R</v>
      </c>
    </row>
    <row r="211" spans="1:9" x14ac:dyDescent="0.3">
      <c r="A211" t="str">
        <f>"BVH"</f>
        <v>BVH</v>
      </c>
      <c r="B211" t="s">
        <v>64</v>
      </c>
      <c r="C211">
        <v>70106</v>
      </c>
      <c r="D211" s="2">
        <v>110</v>
      </c>
      <c r="E211" s="1">
        <v>42863</v>
      </c>
      <c r="F211" t="str">
        <f>"2524"</f>
        <v>2524</v>
      </c>
      <c r="G211" t="str">
        <f>"ID#35106754/LESLIE YORK"</f>
        <v>ID#35106754/LESLIE YORK</v>
      </c>
      <c r="H211" s="2">
        <v>110</v>
      </c>
      <c r="I211" t="str">
        <f>"ID#35106754/LESLIE YORK"</f>
        <v>ID#35106754/LESLIE YORK</v>
      </c>
    </row>
    <row r="212" spans="1:9" x14ac:dyDescent="0.3">
      <c r="A212" t="str">
        <f>"000110"</f>
        <v>000110</v>
      </c>
      <c r="B212" t="s">
        <v>65</v>
      </c>
      <c r="C212">
        <v>70107</v>
      </c>
      <c r="D212" s="2">
        <v>1190</v>
      </c>
      <c r="E212" s="1">
        <v>42863</v>
      </c>
      <c r="F212" t="str">
        <f>"201705031659"</f>
        <v>201705031659</v>
      </c>
      <c r="G212" t="str">
        <f>"SERVICES FOR APRIL'17/911 EMG"</f>
        <v>SERVICES FOR APRIL'17/911 EMG</v>
      </c>
      <c r="H212" s="2">
        <v>315</v>
      </c>
      <c r="I212" t="str">
        <f>"SERVICES FOR APRIL'17/911 EMG"</f>
        <v>SERVICES FOR APRIL'17/911 EMG</v>
      </c>
    </row>
    <row r="213" spans="1:9" x14ac:dyDescent="0.3">
      <c r="A213" t="str">
        <f>""</f>
        <v/>
      </c>
      <c r="F213" t="str">
        <f>"201705031781"</f>
        <v>201705031781</v>
      </c>
      <c r="G213" t="str">
        <f>"APRIL SERVICES"</f>
        <v>APRIL SERVICES</v>
      </c>
      <c r="H213" s="2">
        <v>875</v>
      </c>
      <c r="I213" t="str">
        <f>"APRIL SERVICES"</f>
        <v>APRIL SERVICES</v>
      </c>
    </row>
    <row r="214" spans="1:9" x14ac:dyDescent="0.3">
      <c r="A214" t="str">
        <f>"KEITH"</f>
        <v>KEITH</v>
      </c>
      <c r="B214" t="s">
        <v>66</v>
      </c>
      <c r="C214">
        <v>70108</v>
      </c>
      <c r="D214" s="2">
        <v>2482.67</v>
      </c>
      <c r="E214" s="1">
        <v>42863</v>
      </c>
      <c r="F214" t="str">
        <f>"201705021613"</f>
        <v>201705021613</v>
      </c>
      <c r="G214" t="str">
        <f>"INV74296448"</f>
        <v>INV74296448</v>
      </c>
      <c r="H214" s="2">
        <v>1417.7</v>
      </c>
      <c r="I214" t="str">
        <f>"INV74296448"</f>
        <v>INV74296448</v>
      </c>
    </row>
    <row r="215" spans="1:9" x14ac:dyDescent="0.3">
      <c r="A215" t="str">
        <f>""</f>
        <v/>
      </c>
      <c r="F215" t="str">
        <f>"74303634"</f>
        <v>74303634</v>
      </c>
      <c r="G215" t="str">
        <f>"INV74303634"</f>
        <v>INV74303634</v>
      </c>
      <c r="H215" s="2">
        <v>1064.97</v>
      </c>
      <c r="I215" t="str">
        <f>"INV74303634"</f>
        <v>INV74303634</v>
      </c>
    </row>
    <row r="216" spans="1:9" x14ac:dyDescent="0.3">
      <c r="A216" t="str">
        <f>"KEITH"</f>
        <v>KEITH</v>
      </c>
      <c r="B216" t="s">
        <v>66</v>
      </c>
      <c r="C216">
        <v>70381</v>
      </c>
      <c r="D216" s="2">
        <v>2083.85</v>
      </c>
      <c r="E216" s="1">
        <v>42877</v>
      </c>
      <c r="F216" t="str">
        <f>"4318067"</f>
        <v>4318067</v>
      </c>
      <c r="G216" t="str">
        <f>"FOOD INV74318067"</f>
        <v>FOOD INV74318067</v>
      </c>
      <c r="H216" s="2">
        <v>1125.21</v>
      </c>
      <c r="I216" t="str">
        <f>"FOOD INV74318067"</f>
        <v>FOOD INV74318067</v>
      </c>
    </row>
    <row r="217" spans="1:9" x14ac:dyDescent="0.3">
      <c r="A217" t="str">
        <f>""</f>
        <v/>
      </c>
      <c r="F217" t="str">
        <f>"74310835"</f>
        <v>74310835</v>
      </c>
      <c r="G217" t="str">
        <f>"FOOD INV74310835"</f>
        <v>FOOD INV74310835</v>
      </c>
      <c r="H217" s="2">
        <v>958.64</v>
      </c>
      <c r="I217" t="str">
        <f>"FOOD INV74310835"</f>
        <v>FOOD INV74310835</v>
      </c>
    </row>
    <row r="218" spans="1:9" x14ac:dyDescent="0.3">
      <c r="A218" t="str">
        <f>"004075"</f>
        <v>004075</v>
      </c>
      <c r="B218" t="s">
        <v>67</v>
      </c>
      <c r="C218">
        <v>70109</v>
      </c>
      <c r="D218" s="2">
        <v>2529.48</v>
      </c>
      <c r="E218" s="1">
        <v>42863</v>
      </c>
      <c r="F218" t="str">
        <f>"201705021614"</f>
        <v>201705021614</v>
      </c>
      <c r="G218" t="str">
        <f>"INV160648"</f>
        <v>INV160648</v>
      </c>
      <c r="H218" s="2">
        <v>2529.48</v>
      </c>
      <c r="I218" t="str">
        <f>"INV160648"</f>
        <v>INV160648</v>
      </c>
    </row>
    <row r="219" spans="1:9" x14ac:dyDescent="0.3">
      <c r="A219" t="str">
        <f>"004075"</f>
        <v>004075</v>
      </c>
      <c r="B219" t="s">
        <v>67</v>
      </c>
      <c r="C219">
        <v>70382</v>
      </c>
      <c r="D219" s="2">
        <v>2233.21</v>
      </c>
      <c r="E219" s="1">
        <v>42877</v>
      </c>
      <c r="F219" t="str">
        <f>"163845"</f>
        <v>163845</v>
      </c>
      <c r="G219" t="str">
        <f>"FOOD INV163845-00"</f>
        <v>FOOD INV163845-00</v>
      </c>
      <c r="H219" s="2">
        <v>2233.21</v>
      </c>
      <c r="I219" t="str">
        <f>"FOOD INV163845-00"</f>
        <v>FOOD INV163845-00</v>
      </c>
    </row>
    <row r="220" spans="1:9" x14ac:dyDescent="0.3">
      <c r="A220" t="str">
        <f>"001112"</f>
        <v>001112</v>
      </c>
      <c r="B220" t="s">
        <v>68</v>
      </c>
      <c r="C220">
        <v>70110</v>
      </c>
      <c r="D220" s="2">
        <v>1279.8800000000001</v>
      </c>
      <c r="E220" s="1">
        <v>42863</v>
      </c>
      <c r="F220" t="str">
        <f>"201705031774"</f>
        <v>201705031774</v>
      </c>
      <c r="G220" t="str">
        <f>"Stmt#01465920170428"</f>
        <v>Stmt#01465920170428</v>
      </c>
      <c r="H220" s="2">
        <v>1279.8800000000001</v>
      </c>
      <c r="I220" t="str">
        <f>"Inv# 2715362"</f>
        <v>Inv# 2715362</v>
      </c>
    </row>
    <row r="221" spans="1:9" x14ac:dyDescent="0.3">
      <c r="A221" t="str">
        <f>"001112"</f>
        <v>001112</v>
      </c>
      <c r="B221" t="s">
        <v>68</v>
      </c>
      <c r="C221">
        <v>70383</v>
      </c>
      <c r="D221" s="2">
        <v>129.94</v>
      </c>
      <c r="E221" s="1">
        <v>42877</v>
      </c>
      <c r="F221" t="str">
        <f>"2722606"</f>
        <v>2722606</v>
      </c>
      <c r="G221" t="str">
        <f>"Stmt# 01465920170505"</f>
        <v>Stmt# 01465920170505</v>
      </c>
      <c r="H221" s="2">
        <v>129.94</v>
      </c>
      <c r="I221" t="str">
        <f>"Inv# 2722606"</f>
        <v>Inv# 2722606</v>
      </c>
    </row>
    <row r="222" spans="1:9" x14ac:dyDescent="0.3">
      <c r="A222" t="str">
        <f>"T2043"</f>
        <v>T2043</v>
      </c>
      <c r="B222" t="s">
        <v>69</v>
      </c>
      <c r="C222">
        <v>70384</v>
      </c>
      <c r="D222" s="2">
        <v>954</v>
      </c>
      <c r="E222" s="1">
        <v>42877</v>
      </c>
      <c r="F222" t="str">
        <f>"103503"</f>
        <v>103503</v>
      </c>
      <c r="G222" t="str">
        <f>"CLIENT:  001309 PROF SVCS"</f>
        <v>CLIENT:  001309 PROF SVCS</v>
      </c>
      <c r="H222" s="2">
        <v>954</v>
      </c>
      <c r="I222" t="str">
        <f>"CLIENT:  001309"</f>
        <v>CLIENT:  001309</v>
      </c>
    </row>
    <row r="223" spans="1:9" x14ac:dyDescent="0.3">
      <c r="A223" t="str">
        <f>"T11932"</f>
        <v>T11932</v>
      </c>
      <c r="B223" t="s">
        <v>70</v>
      </c>
      <c r="C223">
        <v>70385</v>
      </c>
      <c r="D223" s="2">
        <v>40</v>
      </c>
      <c r="E223" s="1">
        <v>42877</v>
      </c>
      <c r="F223" t="str">
        <f>"34388"</f>
        <v>34388</v>
      </c>
      <c r="G223" t="str">
        <f>"DOT INSPECTION PCT#3"</f>
        <v>DOT INSPECTION PCT#3</v>
      </c>
      <c r="H223" s="2">
        <v>40</v>
      </c>
      <c r="I223" t="str">
        <f>"DOT INSPECTION PCT#3"</f>
        <v>DOT INSPECTION PCT#3</v>
      </c>
    </row>
    <row r="224" spans="1:9" x14ac:dyDescent="0.3">
      <c r="A224" t="str">
        <f>"000593"</f>
        <v>000593</v>
      </c>
      <c r="B224" t="s">
        <v>71</v>
      </c>
      <c r="C224">
        <v>70111</v>
      </c>
      <c r="D224" s="2">
        <v>606.08000000000004</v>
      </c>
      <c r="E224" s="1">
        <v>42863</v>
      </c>
      <c r="F224" t="str">
        <f>"201705021621"</f>
        <v>201705021621</v>
      </c>
      <c r="G224" t="str">
        <f>"INV84078928050"</f>
        <v>INV84078928050</v>
      </c>
      <c r="H224" s="2">
        <v>254.4</v>
      </c>
      <c r="I224" t="str">
        <f>"INV84078928050"</f>
        <v>INV84078928050</v>
      </c>
    </row>
    <row r="225" spans="1:9" x14ac:dyDescent="0.3">
      <c r="A225" t="str">
        <f>""</f>
        <v/>
      </c>
      <c r="F225" t="str">
        <f>"84078928120"</f>
        <v>84078928120</v>
      </c>
      <c r="G225" t="str">
        <f>"INV84078928120 BAKERY"</f>
        <v>INV84078928120 BAKERY</v>
      </c>
      <c r="H225" s="2">
        <v>351.68</v>
      </c>
      <c r="I225" t="str">
        <f>"INV84078928120 BAKERY"</f>
        <v>INV84078928120 BAKERY</v>
      </c>
    </row>
    <row r="226" spans="1:9" x14ac:dyDescent="0.3">
      <c r="A226" t="str">
        <f>"000593"</f>
        <v>000593</v>
      </c>
      <c r="B226" t="s">
        <v>71</v>
      </c>
      <c r="C226">
        <v>70386</v>
      </c>
      <c r="D226" s="2">
        <v>530.14</v>
      </c>
      <c r="E226" s="1">
        <v>42877</v>
      </c>
      <c r="F226" t="str">
        <f>"84078928212"</f>
        <v>84078928212</v>
      </c>
      <c r="G226" t="str">
        <f>"BAKERY INV84078928212"</f>
        <v>BAKERY INV84078928212</v>
      </c>
      <c r="H226" s="2">
        <v>318.14</v>
      </c>
      <c r="I226" t="str">
        <f>"BAKERY INV84078928212"</f>
        <v>BAKERY INV84078928212</v>
      </c>
    </row>
    <row r="227" spans="1:9" x14ac:dyDescent="0.3">
      <c r="A227" t="str">
        <f>""</f>
        <v/>
      </c>
      <c r="F227" t="str">
        <f>"84078928302"</f>
        <v>84078928302</v>
      </c>
      <c r="G227" t="str">
        <f>"INV84078928302 BAKERY"</f>
        <v>INV84078928302 BAKERY</v>
      </c>
      <c r="H227" s="2">
        <v>212</v>
      </c>
      <c r="I227" t="str">
        <f>"INV84078928302 BAKERY"</f>
        <v>INV84078928302 BAKERY</v>
      </c>
    </row>
    <row r="228" spans="1:9" x14ac:dyDescent="0.3">
      <c r="A228" t="str">
        <f>"003732"</f>
        <v>003732</v>
      </c>
      <c r="B228" t="s">
        <v>72</v>
      </c>
      <c r="C228">
        <v>70112</v>
      </c>
      <c r="D228" s="2">
        <v>1556.25</v>
      </c>
      <c r="E228" s="1">
        <v>42863</v>
      </c>
      <c r="F228" t="str">
        <f>"201705031706"</f>
        <v>201705031706</v>
      </c>
      <c r="G228" t="str">
        <f>"54.854"</f>
        <v>54.854</v>
      </c>
      <c r="H228" s="2">
        <v>250</v>
      </c>
      <c r="I228" t="str">
        <f>"54.854"</f>
        <v>54.854</v>
      </c>
    </row>
    <row r="229" spans="1:9" x14ac:dyDescent="0.3">
      <c r="A229" t="str">
        <f>""</f>
        <v/>
      </c>
      <c r="F229" t="str">
        <f>"201705031707"</f>
        <v>201705031707</v>
      </c>
      <c r="G229" t="str">
        <f>"1JP1213164  TRN9253440619"</f>
        <v>1JP1213164  TRN9253440619</v>
      </c>
      <c r="H229" s="2">
        <v>250</v>
      </c>
      <c r="I229" t="str">
        <f>"1JP1213164  TRN9253440619"</f>
        <v>1JP1213164  TRN9253440619</v>
      </c>
    </row>
    <row r="230" spans="1:9" x14ac:dyDescent="0.3">
      <c r="A230" t="str">
        <f>""</f>
        <v/>
      </c>
      <c r="F230" t="str">
        <f>"201705031708"</f>
        <v>201705031708</v>
      </c>
      <c r="G230" t="str">
        <f>"54.360"</f>
        <v>54.360</v>
      </c>
      <c r="H230" s="2">
        <v>250</v>
      </c>
      <c r="I230" t="str">
        <f>"54.360"</f>
        <v>54.360</v>
      </c>
    </row>
    <row r="231" spans="1:9" x14ac:dyDescent="0.3">
      <c r="A231" t="str">
        <f>""</f>
        <v/>
      </c>
      <c r="F231" t="str">
        <f>"201705031709"</f>
        <v>201705031709</v>
      </c>
      <c r="G231" t="str">
        <f>"16-17713"</f>
        <v>16-17713</v>
      </c>
      <c r="H231" s="2">
        <v>75</v>
      </c>
      <c r="I231" t="str">
        <f>"16-17713"</f>
        <v>16-17713</v>
      </c>
    </row>
    <row r="232" spans="1:9" x14ac:dyDescent="0.3">
      <c r="A232" t="str">
        <f>""</f>
        <v/>
      </c>
      <c r="F232" t="str">
        <f>"201705031710"</f>
        <v>201705031710</v>
      </c>
      <c r="G232" t="str">
        <f>"423-4702"</f>
        <v>423-4702</v>
      </c>
      <c r="H232" s="2">
        <v>731.25</v>
      </c>
      <c r="I232" t="str">
        <f>"423-4702"</f>
        <v>423-4702</v>
      </c>
    </row>
    <row r="233" spans="1:9" x14ac:dyDescent="0.3">
      <c r="A233" t="str">
        <f>"003732"</f>
        <v>003732</v>
      </c>
      <c r="B233" t="s">
        <v>72</v>
      </c>
      <c r="C233">
        <v>70387</v>
      </c>
      <c r="D233" s="2">
        <v>650</v>
      </c>
      <c r="E233" s="1">
        <v>42877</v>
      </c>
      <c r="F233" t="str">
        <f>"201705172124"</f>
        <v>201705172124</v>
      </c>
      <c r="G233" t="str">
        <f>"BLAS J COY JR 5/13"</f>
        <v>BLAS J COY JR 5/13</v>
      </c>
      <c r="H233" s="2">
        <v>100</v>
      </c>
      <c r="I233" t="str">
        <f>"BLAS J COY JR 5/13 jv detentio"</f>
        <v>BLAS J COY JR 5/13 jv detentio</v>
      </c>
    </row>
    <row r="234" spans="1:9" x14ac:dyDescent="0.3">
      <c r="A234" t="str">
        <f>""</f>
        <v/>
      </c>
      <c r="F234" t="str">
        <f>"201705172163"</f>
        <v>201705172163</v>
      </c>
      <c r="G234" t="str">
        <f>"CASE 54 672"</f>
        <v>CASE 54 672</v>
      </c>
      <c r="H234" s="2">
        <v>250</v>
      </c>
      <c r="I234" t="str">
        <f>"CASE 54 672"</f>
        <v>CASE 54 672</v>
      </c>
    </row>
    <row r="235" spans="1:9" x14ac:dyDescent="0.3">
      <c r="A235" t="str">
        <f>""</f>
        <v/>
      </c>
      <c r="F235" t="str">
        <f>"201705172164"</f>
        <v>201705172164</v>
      </c>
      <c r="G235" t="str">
        <f>"CASE 16-18045"</f>
        <v>CASE 16-18045</v>
      </c>
      <c r="H235" s="2">
        <v>100</v>
      </c>
      <c r="I235" t="str">
        <f>"CASE 16-18045"</f>
        <v>CASE 16-18045</v>
      </c>
    </row>
    <row r="236" spans="1:9" x14ac:dyDescent="0.3">
      <c r="A236" t="str">
        <f>""</f>
        <v/>
      </c>
      <c r="F236" t="str">
        <f>"201705172165"</f>
        <v>201705172165</v>
      </c>
      <c r="G236" t="str">
        <f>"CASE 15-16315"</f>
        <v>CASE 15-16315</v>
      </c>
      <c r="H236" s="2">
        <v>100</v>
      </c>
      <c r="I236" t="str">
        <f>"CASE 15-16315"</f>
        <v>CASE 15-16315</v>
      </c>
    </row>
    <row r="237" spans="1:9" x14ac:dyDescent="0.3">
      <c r="A237" t="str">
        <f>""</f>
        <v/>
      </c>
      <c r="F237" t="str">
        <f>"201705172166"</f>
        <v>201705172166</v>
      </c>
      <c r="G237" t="str">
        <f>"CASE 16-17612"</f>
        <v>CASE 16-17612</v>
      </c>
      <c r="H237" s="2">
        <v>100</v>
      </c>
      <c r="I237" t="str">
        <f>"CASE 16-17612"</f>
        <v>CASE 16-17612</v>
      </c>
    </row>
    <row r="238" spans="1:9" x14ac:dyDescent="0.3">
      <c r="A238" t="str">
        <f>"001135"</f>
        <v>001135</v>
      </c>
      <c r="B238" t="s">
        <v>73</v>
      </c>
      <c r="C238">
        <v>70388</v>
      </c>
      <c r="D238" s="2">
        <v>466.67</v>
      </c>
      <c r="E238" s="1">
        <v>42877</v>
      </c>
      <c r="F238" t="str">
        <f>"201705121930"</f>
        <v>201705121930</v>
      </c>
      <c r="G238" t="str">
        <f>"APRIL'17 FEES"</f>
        <v>APRIL'17 FEES</v>
      </c>
      <c r="H238" s="2">
        <v>466.67</v>
      </c>
      <c r="I238" t="str">
        <f>"APRIL'17 FEES"</f>
        <v>APRIL'17 FEES</v>
      </c>
    </row>
    <row r="239" spans="1:9" x14ac:dyDescent="0.3">
      <c r="A239" t="str">
        <f>"005029"</f>
        <v>005029</v>
      </c>
      <c r="B239" t="s">
        <v>74</v>
      </c>
      <c r="C239">
        <v>70113</v>
      </c>
      <c r="D239" s="2">
        <v>12843.51</v>
      </c>
      <c r="E239" s="1">
        <v>42863</v>
      </c>
      <c r="F239" t="str">
        <f>"201705031770"</f>
        <v>201705031770</v>
      </c>
      <c r="G239" t="str">
        <f>"Work Order# 60218104"</f>
        <v>Work Order# 60218104</v>
      </c>
      <c r="H239" s="2">
        <v>12843.51</v>
      </c>
      <c r="I239" t="str">
        <f>"Payment"</f>
        <v>Payment</v>
      </c>
    </row>
    <row r="240" spans="1:9" x14ac:dyDescent="0.3">
      <c r="A240" t="str">
        <f>"BEC"</f>
        <v>BEC</v>
      </c>
      <c r="B240" t="s">
        <v>75</v>
      </c>
      <c r="C240">
        <v>70321</v>
      </c>
      <c r="D240" s="2">
        <v>2242.25</v>
      </c>
      <c r="E240" s="1">
        <v>42870</v>
      </c>
      <c r="F240" t="str">
        <f>"201705151981"</f>
        <v>201705151981</v>
      </c>
      <c r="G240" t="str">
        <f>"ACCT #5500033554"</f>
        <v>ACCT #5500033554</v>
      </c>
      <c r="H240" s="2">
        <v>325.66000000000003</v>
      </c>
      <c r="I240" t="str">
        <f>"ACCT #5500033554"</f>
        <v>ACCT #5500033554</v>
      </c>
    </row>
    <row r="241" spans="1:9" x14ac:dyDescent="0.3">
      <c r="A241" t="str">
        <f>""</f>
        <v/>
      </c>
      <c r="F241" t="str">
        <f>"201705151982"</f>
        <v>201705151982</v>
      </c>
      <c r="G241" t="str">
        <f>"ACCT #5000274849"</f>
        <v>ACCT #5000274849</v>
      </c>
      <c r="H241" s="2">
        <v>475</v>
      </c>
      <c r="I241" t="str">
        <f>"ACCT #5000274849"</f>
        <v>ACCT #5000274849</v>
      </c>
    </row>
    <row r="242" spans="1:9" x14ac:dyDescent="0.3">
      <c r="A242" t="str">
        <f>""</f>
        <v/>
      </c>
      <c r="F242" t="str">
        <f>"201705151983"</f>
        <v>201705151983</v>
      </c>
      <c r="G242" t="str">
        <f>"ACCT #5000057374"</f>
        <v>ACCT #5000057374</v>
      </c>
      <c r="H242" s="2">
        <v>1441.59</v>
      </c>
      <c r="I242" t="str">
        <f>"ACCT #5000057374"</f>
        <v>ACCT #5000057374</v>
      </c>
    </row>
    <row r="243" spans="1:9" x14ac:dyDescent="0.3">
      <c r="A243" t="str">
        <f>""</f>
        <v/>
      </c>
      <c r="F243" t="str">
        <f>""</f>
        <v/>
      </c>
      <c r="G243" t="str">
        <f>""</f>
        <v/>
      </c>
      <c r="I243" t="str">
        <f>"ACCT #5000057374"</f>
        <v>ACCT #5000057374</v>
      </c>
    </row>
    <row r="244" spans="1:9" x14ac:dyDescent="0.3">
      <c r="A244" t="str">
        <f>""</f>
        <v/>
      </c>
      <c r="F244" t="str">
        <f>""</f>
        <v/>
      </c>
      <c r="G244" t="str">
        <f>""</f>
        <v/>
      </c>
      <c r="I244" t="str">
        <f>"ACCT #5000057374"</f>
        <v>ACCT #5000057374</v>
      </c>
    </row>
    <row r="245" spans="1:9" x14ac:dyDescent="0.3">
      <c r="A245" t="str">
        <f>"005029"</f>
        <v>005029</v>
      </c>
      <c r="B245" t="s">
        <v>74</v>
      </c>
      <c r="C245">
        <v>70389</v>
      </c>
      <c r="D245" s="2">
        <v>1647.54</v>
      </c>
      <c r="E245" s="1">
        <v>42877</v>
      </c>
      <c r="F245" t="str">
        <f>"201705161998"</f>
        <v>201705161998</v>
      </c>
      <c r="G245" t="str">
        <f>"REST PAULA BOATMAN"</f>
        <v>REST PAULA BOATMAN</v>
      </c>
      <c r="H245" s="2">
        <v>40</v>
      </c>
      <c r="I245" t="str">
        <f>"REST PAULA BOATMAN"</f>
        <v>REST PAULA BOATMAN</v>
      </c>
    </row>
    <row r="246" spans="1:9" x14ac:dyDescent="0.3">
      <c r="A246" t="str">
        <f>""</f>
        <v/>
      </c>
      <c r="F246" t="str">
        <f>"60216953"</f>
        <v>60216953</v>
      </c>
      <c r="G246" t="str">
        <f>"Work Order# 60216953"</f>
        <v>Work Order# 60216953</v>
      </c>
      <c r="H246" s="2">
        <v>1607.54</v>
      </c>
      <c r="I246" t="str">
        <f>"Payment"</f>
        <v>Payment</v>
      </c>
    </row>
    <row r="247" spans="1:9" x14ac:dyDescent="0.3">
      <c r="A247" t="str">
        <f>"001367"</f>
        <v>001367</v>
      </c>
      <c r="B247" t="s">
        <v>76</v>
      </c>
      <c r="C247">
        <v>70114</v>
      </c>
      <c r="D247" s="2">
        <v>3480.64</v>
      </c>
      <c r="E247" s="1">
        <v>42863</v>
      </c>
      <c r="F247" t="str">
        <f>"201705021600"</f>
        <v>201705021600</v>
      </c>
      <c r="G247" t="str">
        <f>"BOBBY BROWN"</f>
        <v>BOBBY BROWN</v>
      </c>
      <c r="H247" s="2">
        <v>1235.8900000000001</v>
      </c>
      <c r="I247" t="str">
        <f>"payment"</f>
        <v>payment</v>
      </c>
    </row>
    <row r="248" spans="1:9" x14ac:dyDescent="0.3">
      <c r="A248" t="str">
        <f>""</f>
        <v/>
      </c>
      <c r="F248" t="str">
        <f>"201705031777"</f>
        <v>201705031777</v>
      </c>
      <c r="G248" t="str">
        <f>"Ref No: 5245"</f>
        <v>Ref No: 5245</v>
      </c>
      <c r="H248" s="2">
        <v>42.3</v>
      </c>
      <c r="I248" t="str">
        <f>"Payment"</f>
        <v>Payment</v>
      </c>
    </row>
    <row r="249" spans="1:9" x14ac:dyDescent="0.3">
      <c r="A249" t="str">
        <f>""</f>
        <v/>
      </c>
      <c r="F249" t="str">
        <f>"201705031785"</f>
        <v>201705031785</v>
      </c>
      <c r="G249" t="str">
        <f>"INV 5171/UNIT 1667"</f>
        <v>INV 5171/UNIT 1667</v>
      </c>
      <c r="H249" s="2">
        <v>463.58</v>
      </c>
      <c r="I249" t="str">
        <f>"INV 5171/UNIT 1667"</f>
        <v>INV 5171/UNIT 1667</v>
      </c>
    </row>
    <row r="250" spans="1:9" x14ac:dyDescent="0.3">
      <c r="A250" t="str">
        <f>""</f>
        <v/>
      </c>
      <c r="F250" t="str">
        <f>"5127"</f>
        <v>5127</v>
      </c>
      <c r="G250" t="str">
        <f>"INV 5127/UNIT 1673"</f>
        <v>INV 5127/UNIT 1673</v>
      </c>
      <c r="H250" s="2">
        <v>275.01</v>
      </c>
      <c r="I250" t="str">
        <f>"INV 5127/UNIT 1673"</f>
        <v>INV 5127/UNIT 1673</v>
      </c>
    </row>
    <row r="251" spans="1:9" x14ac:dyDescent="0.3">
      <c r="A251" t="str">
        <f>""</f>
        <v/>
      </c>
      <c r="F251" t="str">
        <f>"5128/5229"</f>
        <v>5128/5229</v>
      </c>
      <c r="G251" t="str">
        <f>"INV 5128/UNIT 1673"</f>
        <v>INV 5128/UNIT 1673</v>
      </c>
      <c r="H251" s="2">
        <v>900.57</v>
      </c>
      <c r="I251" t="str">
        <f>"INV 5128/UNIT 1673"</f>
        <v>INV 5128/UNIT 1673</v>
      </c>
    </row>
    <row r="252" spans="1:9" x14ac:dyDescent="0.3">
      <c r="A252" t="str">
        <f>""</f>
        <v/>
      </c>
      <c r="F252" t="str">
        <f>""</f>
        <v/>
      </c>
      <c r="G252" t="str">
        <f>""</f>
        <v/>
      </c>
      <c r="I252" t="str">
        <f>"INV 5169/UNIT 0127"</f>
        <v>INV 5169/UNIT 0127</v>
      </c>
    </row>
    <row r="253" spans="1:9" x14ac:dyDescent="0.3">
      <c r="A253" t="str">
        <f>""</f>
        <v/>
      </c>
      <c r="F253" t="str">
        <f>""</f>
        <v/>
      </c>
      <c r="G253" t="str">
        <f>""</f>
        <v/>
      </c>
      <c r="I253" t="str">
        <f>"INV 5170/UNIT 1667"</f>
        <v>INV 5170/UNIT 1667</v>
      </c>
    </row>
    <row r="254" spans="1:9" x14ac:dyDescent="0.3">
      <c r="A254" t="str">
        <f>""</f>
        <v/>
      </c>
      <c r="F254" t="str">
        <f>""</f>
        <v/>
      </c>
      <c r="G254" t="str">
        <f>""</f>
        <v/>
      </c>
      <c r="I254" t="str">
        <f>"INV 5180/UNIT 4720"</f>
        <v>INV 5180/UNIT 4720</v>
      </c>
    </row>
    <row r="255" spans="1:9" x14ac:dyDescent="0.3">
      <c r="A255" t="str">
        <f>""</f>
        <v/>
      </c>
      <c r="F255" t="str">
        <f>""</f>
        <v/>
      </c>
      <c r="G255" t="str">
        <f>""</f>
        <v/>
      </c>
      <c r="I255" t="str">
        <f>"INV 5182/UNIT 6554"</f>
        <v>INV 5182/UNIT 6554</v>
      </c>
    </row>
    <row r="256" spans="1:9" x14ac:dyDescent="0.3">
      <c r="A256" t="str">
        <f>""</f>
        <v/>
      </c>
      <c r="F256" t="str">
        <f>""</f>
        <v/>
      </c>
      <c r="G256" t="str">
        <f>""</f>
        <v/>
      </c>
      <c r="I256" t="str">
        <f>"INV 5185/UNIT 86"</f>
        <v>INV 5185/UNIT 86</v>
      </c>
    </row>
    <row r="257" spans="1:9" x14ac:dyDescent="0.3">
      <c r="A257" t="str">
        <f>""</f>
        <v/>
      </c>
      <c r="F257" t="str">
        <f>""</f>
        <v/>
      </c>
      <c r="G257" t="str">
        <f>""</f>
        <v/>
      </c>
      <c r="I257" t="str">
        <f>"INV 5189/UNIT 6539"</f>
        <v>INV 5189/UNIT 6539</v>
      </c>
    </row>
    <row r="258" spans="1:9" x14ac:dyDescent="0.3">
      <c r="A258" t="str">
        <f>""</f>
        <v/>
      </c>
      <c r="F258" t="str">
        <f>""</f>
        <v/>
      </c>
      <c r="G258" t="str">
        <f>""</f>
        <v/>
      </c>
      <c r="I258" t="str">
        <f>"INV 5201/UNIT 4719"</f>
        <v>INV 5201/UNIT 4719</v>
      </c>
    </row>
    <row r="259" spans="1:9" x14ac:dyDescent="0.3">
      <c r="A259" t="str">
        <f>""</f>
        <v/>
      </c>
      <c r="F259" t="str">
        <f>""</f>
        <v/>
      </c>
      <c r="G259" t="str">
        <f>""</f>
        <v/>
      </c>
      <c r="I259" t="str">
        <f>"INV 5216/UNIT 0116"</f>
        <v>INV 5216/UNIT 0116</v>
      </c>
    </row>
    <row r="260" spans="1:9" x14ac:dyDescent="0.3">
      <c r="A260" t="str">
        <f>""</f>
        <v/>
      </c>
      <c r="F260" t="str">
        <f>""</f>
        <v/>
      </c>
      <c r="G260" t="str">
        <f>""</f>
        <v/>
      </c>
      <c r="I260" t="str">
        <f>"INV 5223/UNIT 4717"</f>
        <v>INV 5223/UNIT 4717</v>
      </c>
    </row>
    <row r="261" spans="1:9" x14ac:dyDescent="0.3">
      <c r="A261" t="str">
        <f>""</f>
        <v/>
      </c>
      <c r="F261" t="str">
        <f>""</f>
        <v/>
      </c>
      <c r="G261" t="str">
        <f>""</f>
        <v/>
      </c>
      <c r="I261" t="str">
        <f>"INV 5229/UNIT 0121"</f>
        <v>INV 5229/UNIT 0121</v>
      </c>
    </row>
    <row r="262" spans="1:9" x14ac:dyDescent="0.3">
      <c r="A262" t="str">
        <f>""</f>
        <v/>
      </c>
      <c r="F262" t="str">
        <f>"5208"</f>
        <v>5208</v>
      </c>
      <c r="G262" t="str">
        <f>"INV 5208/UNIT 3102"</f>
        <v>INV 5208/UNIT 3102</v>
      </c>
      <c r="H262" s="2">
        <v>563.29</v>
      </c>
      <c r="I262" t="str">
        <f>"INV 5208/UNIT 3102"</f>
        <v>INV 5208/UNIT 3102</v>
      </c>
    </row>
    <row r="263" spans="1:9" x14ac:dyDescent="0.3">
      <c r="A263" t="str">
        <f>"001367"</f>
        <v>001367</v>
      </c>
      <c r="B263" t="s">
        <v>76</v>
      </c>
      <c r="C263">
        <v>70390</v>
      </c>
      <c r="D263" s="2">
        <v>9021.0499999999993</v>
      </c>
      <c r="E263" s="1">
        <v>42877</v>
      </c>
      <c r="F263" t="str">
        <f>"201705172216"</f>
        <v>201705172216</v>
      </c>
      <c r="G263" t="str">
        <f>"REF# 5161"</f>
        <v>REF# 5161</v>
      </c>
      <c r="H263" s="2">
        <v>2359.88</v>
      </c>
      <c r="I263" t="str">
        <f>"Payment"</f>
        <v>Payment</v>
      </c>
    </row>
    <row r="264" spans="1:9" x14ac:dyDescent="0.3">
      <c r="A264" t="str">
        <f>""</f>
        <v/>
      </c>
      <c r="F264" t="str">
        <f>"201705172226"</f>
        <v>201705172226</v>
      </c>
      <c r="G264" t="str">
        <f>"INV 5205/UNIT 1629"</f>
        <v>INV 5205/UNIT 1629</v>
      </c>
      <c r="H264" s="2">
        <v>162.22999999999999</v>
      </c>
      <c r="I264" t="str">
        <f>"INV 5205/UNIT 1629"</f>
        <v>INV 5205/UNIT 1629</v>
      </c>
    </row>
    <row r="265" spans="1:9" x14ac:dyDescent="0.3">
      <c r="A265" t="str">
        <f>""</f>
        <v/>
      </c>
      <c r="F265" t="str">
        <f>""</f>
        <v/>
      </c>
      <c r="G265" t="str">
        <f>""</f>
        <v/>
      </c>
      <c r="I265" t="str">
        <f>"INV 5230/UNIT 6502"</f>
        <v>INV 5230/UNIT 6502</v>
      </c>
    </row>
    <row r="266" spans="1:9" x14ac:dyDescent="0.3">
      <c r="A266" t="str">
        <f>""</f>
        <v/>
      </c>
      <c r="F266" t="str">
        <f>""</f>
        <v/>
      </c>
      <c r="G266" t="str">
        <f>""</f>
        <v/>
      </c>
      <c r="I266" t="str">
        <f>"INV 5231/UNIT 0417"</f>
        <v>INV 5231/UNIT 0417</v>
      </c>
    </row>
    <row r="267" spans="1:9" x14ac:dyDescent="0.3">
      <c r="A267" t="str">
        <f>""</f>
        <v/>
      </c>
      <c r="F267" t="str">
        <f>"201705172247"</f>
        <v>201705172247</v>
      </c>
      <c r="G267" t="str">
        <f>"INV 5242/UNIT 98"</f>
        <v>INV 5242/UNIT 98</v>
      </c>
      <c r="H267" s="2">
        <v>185.4</v>
      </c>
      <c r="I267" t="str">
        <f>"INV 5242/UNIT 98"</f>
        <v>INV 5242/UNIT 98</v>
      </c>
    </row>
    <row r="268" spans="1:9" x14ac:dyDescent="0.3">
      <c r="A268" t="str">
        <f>""</f>
        <v/>
      </c>
      <c r="F268" t="str">
        <f>"201705172248"</f>
        <v>201705172248</v>
      </c>
      <c r="G268" t="str">
        <f>"INV 5244/UNIT 5350"</f>
        <v>INV 5244/UNIT 5350</v>
      </c>
      <c r="H268" s="2">
        <v>547.72</v>
      </c>
      <c r="I268" t="str">
        <f>"INV 5244/UNIT 5350"</f>
        <v>INV 5244/UNIT 5350</v>
      </c>
    </row>
    <row r="269" spans="1:9" x14ac:dyDescent="0.3">
      <c r="A269" t="str">
        <f>""</f>
        <v/>
      </c>
      <c r="F269" t="str">
        <f>"201705172249"</f>
        <v>201705172249</v>
      </c>
      <c r="G269" t="str">
        <f>"INV 5254/UNIT 8217"</f>
        <v>INV 5254/UNIT 8217</v>
      </c>
      <c r="H269" s="2">
        <v>314.79000000000002</v>
      </c>
      <c r="I269" t="str">
        <f>"INV 5254/UNIT 8217"</f>
        <v>INV 5254/UNIT 8217</v>
      </c>
    </row>
    <row r="270" spans="1:9" x14ac:dyDescent="0.3">
      <c r="A270" t="str">
        <f>""</f>
        <v/>
      </c>
      <c r="F270" t="str">
        <f>"201705172251"</f>
        <v>201705172251</v>
      </c>
      <c r="G270" t="str">
        <f>"INV 5212/UNIT 0116"</f>
        <v>INV 5212/UNIT 0116</v>
      </c>
      <c r="H270" s="2">
        <v>311.91000000000003</v>
      </c>
      <c r="I270" t="str">
        <f>"INV 5212/UNIT 0116"</f>
        <v>INV 5212/UNIT 0116</v>
      </c>
    </row>
    <row r="271" spans="1:9" x14ac:dyDescent="0.3">
      <c r="A271" t="str">
        <f>""</f>
        <v/>
      </c>
      <c r="F271" t="str">
        <f>"201705172252"</f>
        <v>201705172252</v>
      </c>
      <c r="G271" t="str">
        <f>"INV 5087/UNIT 1669"</f>
        <v>INV 5087/UNIT 1669</v>
      </c>
      <c r="H271" s="2">
        <v>1038.1600000000001</v>
      </c>
      <c r="I271" t="str">
        <f>"INV 5087/UNIT 1669"</f>
        <v>INV 5087/UNIT 1669</v>
      </c>
    </row>
    <row r="272" spans="1:9" x14ac:dyDescent="0.3">
      <c r="A272" t="str">
        <f>""</f>
        <v/>
      </c>
      <c r="F272" t="str">
        <f>"201705172253"</f>
        <v>201705172253</v>
      </c>
      <c r="G272" t="str">
        <f>"INV 5172/UNIT 0127"</f>
        <v>INV 5172/UNIT 0127</v>
      </c>
      <c r="H272" s="2">
        <v>2275.61</v>
      </c>
      <c r="I272" t="str">
        <f>"INV 5172/UNIT 0127"</f>
        <v>INV 5172/UNIT 0127</v>
      </c>
    </row>
    <row r="273" spans="1:9" x14ac:dyDescent="0.3">
      <c r="A273" t="str">
        <f>""</f>
        <v/>
      </c>
      <c r="F273" t="str">
        <f>"201705172254"</f>
        <v>201705172254</v>
      </c>
      <c r="G273" t="str">
        <f>"INV 5206/UNIT 16229"</f>
        <v>INV 5206/UNIT 16229</v>
      </c>
      <c r="H273" s="2">
        <v>1062.55</v>
      </c>
      <c r="I273" t="str">
        <f>"INV 5206/UNIT 16229"</f>
        <v>INV 5206/UNIT 16229</v>
      </c>
    </row>
    <row r="274" spans="1:9" x14ac:dyDescent="0.3">
      <c r="A274" t="str">
        <f>""</f>
        <v/>
      </c>
      <c r="F274" t="str">
        <f>"5243 5247 5248"</f>
        <v>5243 5247 5248</v>
      </c>
      <c r="G274" t="str">
        <f>"INV 5243/UNIT 0119"</f>
        <v>INV 5243/UNIT 0119</v>
      </c>
      <c r="H274" s="2">
        <v>719.44</v>
      </c>
      <c r="I274" t="str">
        <f>"INV 5243/UNIT 0119"</f>
        <v>INV 5243/UNIT 0119</v>
      </c>
    </row>
    <row r="275" spans="1:9" x14ac:dyDescent="0.3">
      <c r="A275" t="str">
        <f>""</f>
        <v/>
      </c>
      <c r="F275" t="str">
        <f>""</f>
        <v/>
      </c>
      <c r="G275" t="str">
        <f>""</f>
        <v/>
      </c>
      <c r="I275" t="str">
        <f>"INV 5247/UNIT 0123"</f>
        <v>INV 5247/UNIT 0123</v>
      </c>
    </row>
    <row r="276" spans="1:9" x14ac:dyDescent="0.3">
      <c r="A276" t="str">
        <f>""</f>
        <v/>
      </c>
      <c r="F276" t="str">
        <f>""</f>
        <v/>
      </c>
      <c r="G276" t="str">
        <f>""</f>
        <v/>
      </c>
      <c r="I276" t="str">
        <f>"INV 5248/UNIT 8968"</f>
        <v>INV 5248/UNIT 8968</v>
      </c>
    </row>
    <row r="277" spans="1:9" x14ac:dyDescent="0.3">
      <c r="A277" t="str">
        <f>""</f>
        <v/>
      </c>
      <c r="F277" t="str">
        <f>""</f>
        <v/>
      </c>
      <c r="G277" t="str">
        <f>""</f>
        <v/>
      </c>
      <c r="I277" t="str">
        <f>"INV 5255/UNIT 8217"</f>
        <v>INV 5255/UNIT 8217</v>
      </c>
    </row>
    <row r="278" spans="1:9" x14ac:dyDescent="0.3">
      <c r="A278" t="str">
        <f>""</f>
        <v/>
      </c>
      <c r="F278" t="str">
        <f>""</f>
        <v/>
      </c>
      <c r="G278" t="str">
        <f>""</f>
        <v/>
      </c>
      <c r="I278" t="str">
        <f>"INV 5256/UNIT 0122"</f>
        <v>INV 5256/UNIT 0122</v>
      </c>
    </row>
    <row r="279" spans="1:9" x14ac:dyDescent="0.3">
      <c r="A279" t="str">
        <f>""</f>
        <v/>
      </c>
      <c r="F279" t="str">
        <f>""</f>
        <v/>
      </c>
      <c r="G279" t="str">
        <f>""</f>
        <v/>
      </c>
      <c r="I279" t="str">
        <f>"INV 5270/UNIT 5270"</f>
        <v>INV 5270/UNIT 5270</v>
      </c>
    </row>
    <row r="280" spans="1:9" x14ac:dyDescent="0.3">
      <c r="A280" t="str">
        <f>""</f>
        <v/>
      </c>
      <c r="F280" t="str">
        <f>""</f>
        <v/>
      </c>
      <c r="G280" t="str">
        <f>""</f>
        <v/>
      </c>
      <c r="I280" t="str">
        <f>"INV 5278/UNIT 3804"</f>
        <v>INV 5278/UNIT 3804</v>
      </c>
    </row>
    <row r="281" spans="1:9" x14ac:dyDescent="0.3">
      <c r="A281" t="str">
        <f>""</f>
        <v/>
      </c>
      <c r="F281" t="str">
        <f>"5245"</f>
        <v>5245</v>
      </c>
      <c r="G281" t="str">
        <f>"Ref  #5242"</f>
        <v>Ref  #5242</v>
      </c>
      <c r="H281" s="2">
        <v>43.36</v>
      </c>
      <c r="I281" t="str">
        <f>"Payment"</f>
        <v>Payment</v>
      </c>
    </row>
    <row r="282" spans="1:9" x14ac:dyDescent="0.3">
      <c r="A282" t="str">
        <f>"003996"</f>
        <v>003996</v>
      </c>
      <c r="B282" t="s">
        <v>77</v>
      </c>
      <c r="C282">
        <v>70391</v>
      </c>
      <c r="D282" s="2">
        <v>75</v>
      </c>
      <c r="E282" s="1">
        <v>42877</v>
      </c>
      <c r="F282" t="str">
        <f>"201705162027"</f>
        <v>201705162027</v>
      </c>
      <c r="G282" t="str">
        <f>"FERAL HOGS"</f>
        <v>FERAL HOGS</v>
      </c>
      <c r="H282" s="2">
        <v>75</v>
      </c>
      <c r="I282" t="str">
        <f>"FERAL HOGS"</f>
        <v>FERAL HOGS</v>
      </c>
    </row>
    <row r="283" spans="1:9" x14ac:dyDescent="0.3">
      <c r="A283" t="str">
        <f>"003702"</f>
        <v>003702</v>
      </c>
      <c r="B283" t="s">
        <v>78</v>
      </c>
      <c r="C283">
        <v>70115</v>
      </c>
      <c r="D283" s="2">
        <v>35</v>
      </c>
      <c r="E283" s="1">
        <v>42863</v>
      </c>
      <c r="F283" t="str">
        <f>"201705031784"</f>
        <v>201705031784</v>
      </c>
      <c r="G283" t="str">
        <f>"REIMBURSE CERTIFICATION"</f>
        <v>REIMBURSE CERTIFICATION</v>
      </c>
      <c r="H283" s="2">
        <v>35</v>
      </c>
      <c r="I283" t="str">
        <f>"REIMBURSEMENT FOR CERTIFI"</f>
        <v>REIMBURSEMENT FOR CERTIFI</v>
      </c>
    </row>
    <row r="284" spans="1:9" x14ac:dyDescent="0.3">
      <c r="A284" t="str">
        <f>"003337"</f>
        <v>003337</v>
      </c>
      <c r="B284" t="s">
        <v>79</v>
      </c>
      <c r="C284">
        <v>70116</v>
      </c>
      <c r="D284" s="2">
        <v>18.5</v>
      </c>
      <c r="E284" s="1">
        <v>42863</v>
      </c>
      <c r="F284" t="str">
        <f>"201705031790"</f>
        <v>201705031790</v>
      </c>
      <c r="G284" t="str">
        <f>"REIMBURSEMENT"</f>
        <v>REIMBURSEMENT</v>
      </c>
      <c r="H284" s="2">
        <v>18.5</v>
      </c>
      <c r="I284" t="str">
        <f>"REIMBURSEMENT"</f>
        <v>REIMBURSEMENT</v>
      </c>
    </row>
    <row r="285" spans="1:9" x14ac:dyDescent="0.3">
      <c r="A285" t="str">
        <f>"T9216"</f>
        <v>T9216</v>
      </c>
      <c r="B285" t="s">
        <v>80</v>
      </c>
      <c r="C285">
        <v>70117</v>
      </c>
      <c r="D285" s="2">
        <v>500</v>
      </c>
      <c r="E285" s="1">
        <v>42863</v>
      </c>
      <c r="F285" t="str">
        <f>"201705031711"</f>
        <v>201705031711</v>
      </c>
      <c r="G285" t="str">
        <f>"409096-2M"</f>
        <v>409096-2M</v>
      </c>
      <c r="H285" s="2">
        <v>250</v>
      </c>
      <c r="I285" t="str">
        <f>"409096-2M"</f>
        <v>409096-2M</v>
      </c>
    </row>
    <row r="286" spans="1:9" x14ac:dyDescent="0.3">
      <c r="A286" t="str">
        <f>""</f>
        <v/>
      </c>
      <c r="F286" t="str">
        <f>"201705031712"</f>
        <v>201705031712</v>
      </c>
      <c r="G286" t="str">
        <f>"54.650"</f>
        <v>54.650</v>
      </c>
      <c r="H286" s="2">
        <v>250</v>
      </c>
      <c r="I286" t="str">
        <f>"54.650"</f>
        <v>54.650</v>
      </c>
    </row>
    <row r="287" spans="1:9" x14ac:dyDescent="0.3">
      <c r="A287" t="str">
        <f>"T9216"</f>
        <v>T9216</v>
      </c>
      <c r="B287" t="s">
        <v>80</v>
      </c>
      <c r="C287">
        <v>70392</v>
      </c>
      <c r="D287" s="2">
        <v>500</v>
      </c>
      <c r="E287" s="1">
        <v>42877</v>
      </c>
      <c r="F287" t="str">
        <f>"201705172183"</f>
        <v>201705172183</v>
      </c>
      <c r="G287" t="str">
        <f>"55 124"</f>
        <v>55 124</v>
      </c>
      <c r="H287" s="2">
        <v>250</v>
      </c>
      <c r="I287" t="str">
        <f>"55 124"</f>
        <v>55 124</v>
      </c>
    </row>
    <row r="288" spans="1:9" x14ac:dyDescent="0.3">
      <c r="A288" t="str">
        <f>""</f>
        <v/>
      </c>
      <c r="F288" t="str">
        <f>"201705172184"</f>
        <v>201705172184</v>
      </c>
      <c r="G288" t="str">
        <f>"54 933"</f>
        <v>54 933</v>
      </c>
      <c r="H288" s="2">
        <v>250</v>
      </c>
      <c r="I288" t="str">
        <f>"54 933"</f>
        <v>54 933</v>
      </c>
    </row>
    <row r="289" spans="1:9" x14ac:dyDescent="0.3">
      <c r="A289" t="str">
        <f>"000205"</f>
        <v>000205</v>
      </c>
      <c r="B289" t="s">
        <v>81</v>
      </c>
      <c r="C289">
        <v>70393</v>
      </c>
      <c r="D289" s="2">
        <v>106.98</v>
      </c>
      <c r="E289" s="1">
        <v>42877</v>
      </c>
      <c r="F289" t="str">
        <f>"201705172238"</f>
        <v>201705172238</v>
      </c>
      <c r="G289" t="str">
        <f>"INV 139011"</f>
        <v>INV 139011</v>
      </c>
      <c r="H289" s="2">
        <v>106.98</v>
      </c>
      <c r="I289" t="str">
        <f>"INV 139011"</f>
        <v>INV 139011</v>
      </c>
    </row>
    <row r="290" spans="1:9" x14ac:dyDescent="0.3">
      <c r="A290" t="str">
        <f>"002356"</f>
        <v>002356</v>
      </c>
      <c r="B290" t="s">
        <v>82</v>
      </c>
      <c r="C290">
        <v>70118</v>
      </c>
      <c r="D290" s="2">
        <v>30</v>
      </c>
      <c r="E290" s="1">
        <v>42863</v>
      </c>
      <c r="F290" t="str">
        <f>"1718338"</f>
        <v>1718338</v>
      </c>
      <c r="G290" t="str">
        <f>"CAR FUND/5-3-17"</f>
        <v>CAR FUND/5-3-17</v>
      </c>
      <c r="H290" s="2">
        <v>15</v>
      </c>
      <c r="I290" t="str">
        <f>"CAR FUND/5-3-17"</f>
        <v>CAR FUND/5-3-17</v>
      </c>
    </row>
    <row r="291" spans="1:9" x14ac:dyDescent="0.3">
      <c r="A291" t="str">
        <f>""</f>
        <v/>
      </c>
      <c r="F291" t="str">
        <f>"423-4814"</f>
        <v>423-4814</v>
      </c>
      <c r="G291" t="str">
        <f>"CENTRAL ADOPTION REG.FUND/2-13"</f>
        <v>CENTRAL ADOPTION REG.FUND/2-13</v>
      </c>
      <c r="H291" s="2">
        <v>15</v>
      </c>
      <c r="I291" t="str">
        <f>"CENTRAL ADOPTION REG.FUND/2-13"</f>
        <v>CENTRAL ADOPTION REG.FUND/2-13</v>
      </c>
    </row>
    <row r="292" spans="1:9" x14ac:dyDescent="0.3">
      <c r="A292" t="str">
        <f>"002356"</f>
        <v>002356</v>
      </c>
      <c r="B292" t="s">
        <v>82</v>
      </c>
      <c r="C292">
        <v>70394</v>
      </c>
      <c r="D292" s="2">
        <v>15</v>
      </c>
      <c r="E292" s="1">
        <v>42877</v>
      </c>
      <c r="F292" t="str">
        <f>"201705162009"</f>
        <v>201705162009</v>
      </c>
      <c r="G292" t="str">
        <f>"CENTRAL ADOPTION FUND 17 18334"</f>
        <v>CENTRAL ADOPTION FUND 17 18334</v>
      </c>
      <c r="H292" s="2">
        <v>15</v>
      </c>
      <c r="I292" t="str">
        <f>"CENTRAL ADOPTION FUND 17 18334"</f>
        <v>CENTRAL ADOPTION FUND 17 18334</v>
      </c>
    </row>
    <row r="293" spans="1:9" x14ac:dyDescent="0.3">
      <c r="A293" t="str">
        <f>"000673"</f>
        <v>000673</v>
      </c>
      <c r="B293" t="s">
        <v>83</v>
      </c>
      <c r="C293">
        <v>70119</v>
      </c>
      <c r="D293" s="2">
        <v>24588.73</v>
      </c>
      <c r="E293" s="1">
        <v>42863</v>
      </c>
      <c r="F293" t="str">
        <f>"201705031772"</f>
        <v>201705031772</v>
      </c>
      <c r="G293" t="s">
        <v>84</v>
      </c>
      <c r="H293" s="2">
        <v>24588.73</v>
      </c>
      <c r="I293" t="s">
        <v>84</v>
      </c>
    </row>
    <row r="294" spans="1:9" x14ac:dyDescent="0.3">
      <c r="A294" t="str">
        <f>""</f>
        <v/>
      </c>
      <c r="F294" t="str">
        <f>""</f>
        <v/>
      </c>
      <c r="G294" t="str">
        <f>""</f>
        <v/>
      </c>
      <c r="I294" t="str">
        <f>"Floor Stand"</f>
        <v>Floor Stand</v>
      </c>
    </row>
    <row r="295" spans="1:9" x14ac:dyDescent="0.3">
      <c r="A295" t="str">
        <f>""</f>
        <v/>
      </c>
      <c r="F295" t="str">
        <f>""</f>
        <v/>
      </c>
      <c r="G295" t="str">
        <f>""</f>
        <v/>
      </c>
      <c r="I295" t="str">
        <f>"Aquos Board Display"</f>
        <v>Aquos Board Display</v>
      </c>
    </row>
    <row r="296" spans="1:9" x14ac:dyDescent="0.3">
      <c r="A296" t="str">
        <f>""</f>
        <v/>
      </c>
      <c r="F296" t="str">
        <f>""</f>
        <v/>
      </c>
      <c r="G296" t="str">
        <f>""</f>
        <v/>
      </c>
      <c r="I296" t="str">
        <f>"Shipping"</f>
        <v>Shipping</v>
      </c>
    </row>
    <row r="297" spans="1:9" x14ac:dyDescent="0.3">
      <c r="A297" t="str">
        <f>"000673"</f>
        <v>000673</v>
      </c>
      <c r="B297" t="s">
        <v>83</v>
      </c>
      <c r="C297">
        <v>70395</v>
      </c>
      <c r="D297" s="2">
        <v>469.25</v>
      </c>
      <c r="E297" s="1">
        <v>42877</v>
      </c>
      <c r="F297" t="str">
        <f>"201705172222"</f>
        <v>201705172222</v>
      </c>
      <c r="G297" t="str">
        <f>"FLASH DRIVE IT DEPT"</f>
        <v>FLASH DRIVE IT DEPT</v>
      </c>
      <c r="H297" s="2">
        <v>469.25</v>
      </c>
      <c r="I297" t="str">
        <f>"KEVIN UNGER"</f>
        <v>KEVIN UNGER</v>
      </c>
    </row>
    <row r="298" spans="1:9" x14ac:dyDescent="0.3">
      <c r="A298" t="str">
        <f>"005066"</f>
        <v>005066</v>
      </c>
      <c r="B298" t="s">
        <v>85</v>
      </c>
      <c r="C298">
        <v>70396</v>
      </c>
      <c r="D298" s="2">
        <v>75</v>
      </c>
      <c r="E298" s="1">
        <v>42877</v>
      </c>
      <c r="F298" t="str">
        <f>"201705162028"</f>
        <v>201705162028</v>
      </c>
      <c r="G298" t="str">
        <f>"FERAL HOGS"</f>
        <v>FERAL HOGS</v>
      </c>
      <c r="H298" s="2">
        <v>5</v>
      </c>
      <c r="I298" t="str">
        <f>"FERAL HOGS"</f>
        <v>FERAL HOGS</v>
      </c>
    </row>
    <row r="299" spans="1:9" x14ac:dyDescent="0.3">
      <c r="A299" t="str">
        <f>""</f>
        <v/>
      </c>
      <c r="F299" t="str">
        <f>"201705162029"</f>
        <v>201705162029</v>
      </c>
      <c r="G299" t="str">
        <f>"FERAL HOGS"</f>
        <v>FERAL HOGS</v>
      </c>
      <c r="H299" s="2">
        <v>70</v>
      </c>
      <c r="I299" t="str">
        <f>"FERAL HOGS"</f>
        <v>FERAL HOGS</v>
      </c>
    </row>
    <row r="300" spans="1:9" x14ac:dyDescent="0.3">
      <c r="A300" t="str">
        <f>"T5521"</f>
        <v>T5521</v>
      </c>
      <c r="B300" t="s">
        <v>86</v>
      </c>
      <c r="C300">
        <v>70120</v>
      </c>
      <c r="D300" s="2">
        <v>160</v>
      </c>
      <c r="E300" s="1">
        <v>42863</v>
      </c>
      <c r="F300" t="str">
        <f>"19234"</f>
        <v>19234</v>
      </c>
      <c r="G300" t="str">
        <f>"INV 19234"</f>
        <v>INV 19234</v>
      </c>
      <c r="H300" s="2">
        <v>20</v>
      </c>
      <c r="I300" t="str">
        <f>"INV 19234"</f>
        <v>INV 19234</v>
      </c>
    </row>
    <row r="301" spans="1:9" x14ac:dyDescent="0.3">
      <c r="A301" t="str">
        <f>""</f>
        <v/>
      </c>
      <c r="F301" t="str">
        <f>"19236"</f>
        <v>19236</v>
      </c>
      <c r="G301" t="str">
        <f>"INV 19236"</f>
        <v>INV 19236</v>
      </c>
      <c r="H301" s="2">
        <v>40</v>
      </c>
      <c r="I301" t="str">
        <f>"INV 19236"</f>
        <v>INV 19236</v>
      </c>
    </row>
    <row r="302" spans="1:9" x14ac:dyDescent="0.3">
      <c r="A302" t="str">
        <f>""</f>
        <v/>
      </c>
      <c r="F302" t="str">
        <f>"19238"</f>
        <v>19238</v>
      </c>
      <c r="G302" t="str">
        <f>"INV 19238"</f>
        <v>INV 19238</v>
      </c>
      <c r="H302" s="2">
        <v>25</v>
      </c>
      <c r="I302" t="str">
        <f>"INV 19238"</f>
        <v>INV 19238</v>
      </c>
    </row>
    <row r="303" spans="1:9" x14ac:dyDescent="0.3">
      <c r="A303" t="str">
        <f>""</f>
        <v/>
      </c>
      <c r="F303" t="str">
        <f>"19239"</f>
        <v>19239</v>
      </c>
      <c r="G303" t="str">
        <f>"INV 19239"</f>
        <v>INV 19239</v>
      </c>
      <c r="H303" s="2">
        <v>75</v>
      </c>
      <c r="I303" t="str">
        <f>"INV 19239"</f>
        <v>INV 19239</v>
      </c>
    </row>
    <row r="304" spans="1:9" x14ac:dyDescent="0.3">
      <c r="A304" t="str">
        <f>"T5521"</f>
        <v>T5521</v>
      </c>
      <c r="B304" t="s">
        <v>86</v>
      </c>
      <c r="C304">
        <v>70397</v>
      </c>
      <c r="D304" s="2">
        <v>120</v>
      </c>
      <c r="E304" s="1">
        <v>42877</v>
      </c>
      <c r="F304" t="str">
        <f>"201705172244"</f>
        <v>201705172244</v>
      </c>
      <c r="G304" t="str">
        <f>"INV 19291"</f>
        <v>INV 19291</v>
      </c>
      <c r="H304" s="2">
        <v>75</v>
      </c>
    </row>
    <row r="305" spans="1:9" x14ac:dyDescent="0.3">
      <c r="A305" t="str">
        <f>""</f>
        <v/>
      </c>
      <c r="F305" t="str">
        <f>"201705172245"</f>
        <v>201705172245</v>
      </c>
      <c r="G305" t="str">
        <f>"INV 19290"</f>
        <v>INV 19290</v>
      </c>
      <c r="H305" s="2">
        <v>45</v>
      </c>
    </row>
    <row r="306" spans="1:9" x14ac:dyDescent="0.3">
      <c r="A306" t="str">
        <f>"T5521"</f>
        <v>T5521</v>
      </c>
      <c r="B306" t="s">
        <v>86</v>
      </c>
      <c r="C306">
        <v>70397</v>
      </c>
      <c r="D306" s="2">
        <v>120</v>
      </c>
      <c r="E306" s="1">
        <v>42877</v>
      </c>
      <c r="F306" t="str">
        <f>"CHECK"</f>
        <v>CHECK</v>
      </c>
      <c r="G306" t="str">
        <f>""</f>
        <v/>
      </c>
      <c r="H306" s="2">
        <v>120</v>
      </c>
    </row>
    <row r="307" spans="1:9" x14ac:dyDescent="0.3">
      <c r="A307" t="str">
        <f>"T5521"</f>
        <v>T5521</v>
      </c>
      <c r="B307" t="s">
        <v>86</v>
      </c>
      <c r="C307">
        <v>70604</v>
      </c>
      <c r="D307" s="2">
        <v>75</v>
      </c>
      <c r="E307" s="1">
        <v>42878</v>
      </c>
      <c r="F307" t="str">
        <f>"19291"</f>
        <v>19291</v>
      </c>
      <c r="G307" t="str">
        <f>"REGISTRATION - K. LITTLE"</f>
        <v>REGISTRATION - K. LITTLE</v>
      </c>
      <c r="H307" s="2">
        <v>75</v>
      </c>
      <c r="I307" t="str">
        <f>"REGISTRATION - K. LITTLE"</f>
        <v>REGISTRATION - K. LITTLE</v>
      </c>
    </row>
    <row r="308" spans="1:9" x14ac:dyDescent="0.3">
      <c r="A308" t="str">
        <f>"002726"</f>
        <v>002726</v>
      </c>
      <c r="B308" t="s">
        <v>87</v>
      </c>
      <c r="C308">
        <v>70121</v>
      </c>
      <c r="D308" s="2">
        <v>4256.6099999999997</v>
      </c>
      <c r="E308" s="1">
        <v>42863</v>
      </c>
      <c r="F308" t="str">
        <f>"201705031768"</f>
        <v>201705031768</v>
      </c>
      <c r="G308" t="str">
        <f>"March 2017 to April 2017"</f>
        <v>March 2017 to April 2017</v>
      </c>
      <c r="H308" s="2">
        <v>4256.6099999999997</v>
      </c>
      <c r="I308" t="str">
        <f>"Post Office"</f>
        <v>Post Office</v>
      </c>
    </row>
    <row r="309" spans="1:9" x14ac:dyDescent="0.3">
      <c r="A309" t="str">
        <f>""</f>
        <v/>
      </c>
      <c r="F309" t="str">
        <f>""</f>
        <v/>
      </c>
      <c r="G309" t="str">
        <f>""</f>
        <v/>
      </c>
      <c r="I309" t="str">
        <f>"Lowes"</f>
        <v>Lowes</v>
      </c>
    </row>
    <row r="310" spans="1:9" x14ac:dyDescent="0.3">
      <c r="A310" t="str">
        <f>""</f>
        <v/>
      </c>
      <c r="F310" t="str">
        <f>""</f>
        <v/>
      </c>
      <c r="G310" t="str">
        <f>""</f>
        <v/>
      </c>
      <c r="I310" t="str">
        <f>"ROss"</f>
        <v>ROss</v>
      </c>
    </row>
    <row r="311" spans="1:9" x14ac:dyDescent="0.3">
      <c r="A311" t="str">
        <f>""</f>
        <v/>
      </c>
      <c r="F311" t="str">
        <f>""</f>
        <v/>
      </c>
      <c r="G311" t="str">
        <f>""</f>
        <v/>
      </c>
      <c r="I311" t="str">
        <f>"Walmart"</f>
        <v>Walmart</v>
      </c>
    </row>
    <row r="312" spans="1:9" x14ac:dyDescent="0.3">
      <c r="A312" t="str">
        <f>""</f>
        <v/>
      </c>
      <c r="F312" t="str">
        <f>""</f>
        <v/>
      </c>
      <c r="G312" t="str">
        <f>""</f>
        <v/>
      </c>
      <c r="I312" t="str">
        <f>"Southwest"</f>
        <v>Southwest</v>
      </c>
    </row>
    <row r="313" spans="1:9" x14ac:dyDescent="0.3">
      <c r="A313" t="str">
        <f>""</f>
        <v/>
      </c>
      <c r="F313" t="str">
        <f>""</f>
        <v/>
      </c>
      <c r="G313" t="str">
        <f>""</f>
        <v/>
      </c>
      <c r="I313" t="str">
        <f>"Luxor- Kevin"</f>
        <v>Luxor- Kevin</v>
      </c>
    </row>
    <row r="314" spans="1:9" x14ac:dyDescent="0.3">
      <c r="A314" t="str">
        <f>""</f>
        <v/>
      </c>
      <c r="F314" t="str">
        <f>""</f>
        <v/>
      </c>
      <c r="G314" t="str">
        <f>""</f>
        <v/>
      </c>
      <c r="I314" t="str">
        <f>"Luxor- rodger"</f>
        <v>Luxor- rodger</v>
      </c>
    </row>
    <row r="315" spans="1:9" x14ac:dyDescent="0.3">
      <c r="A315" t="str">
        <f>""</f>
        <v/>
      </c>
      <c r="F315" t="str">
        <f>""</f>
        <v/>
      </c>
      <c r="G315" t="str">
        <f>""</f>
        <v/>
      </c>
      <c r="I315" t="str">
        <f>"GoDaddy"</f>
        <v>GoDaddy</v>
      </c>
    </row>
    <row r="316" spans="1:9" x14ac:dyDescent="0.3">
      <c r="A316" t="str">
        <f>""</f>
        <v/>
      </c>
      <c r="F316" t="str">
        <f>""</f>
        <v/>
      </c>
      <c r="G316" t="str">
        <f>""</f>
        <v/>
      </c>
      <c r="I316" t="str">
        <f>"GoDaddy"</f>
        <v>GoDaddy</v>
      </c>
    </row>
    <row r="317" spans="1:9" x14ac:dyDescent="0.3">
      <c r="A317" t="str">
        <f>""</f>
        <v/>
      </c>
      <c r="F317" t="str">
        <f>""</f>
        <v/>
      </c>
      <c r="G317" t="str">
        <f>""</f>
        <v/>
      </c>
      <c r="I317" t="str">
        <f>"WebEx"</f>
        <v>WebEx</v>
      </c>
    </row>
    <row r="318" spans="1:9" x14ac:dyDescent="0.3">
      <c r="A318" t="str">
        <f>""</f>
        <v/>
      </c>
      <c r="F318" t="str">
        <f>""</f>
        <v/>
      </c>
      <c r="G318" t="str">
        <f>""</f>
        <v/>
      </c>
      <c r="I318" t="str">
        <f>"General Services"</f>
        <v>General Services</v>
      </c>
    </row>
    <row r="319" spans="1:9" x14ac:dyDescent="0.3">
      <c r="A319" t="str">
        <f>""</f>
        <v/>
      </c>
      <c r="F319" t="str">
        <f>""</f>
        <v/>
      </c>
      <c r="G319" t="str">
        <f>""</f>
        <v/>
      </c>
      <c r="I319" t="str">
        <f>"Amazon"</f>
        <v>Amazon</v>
      </c>
    </row>
    <row r="320" spans="1:9" x14ac:dyDescent="0.3">
      <c r="A320" t="str">
        <f>""</f>
        <v/>
      </c>
      <c r="F320" t="str">
        <f>""</f>
        <v/>
      </c>
      <c r="G320" t="str">
        <f>""</f>
        <v/>
      </c>
      <c r="I320" t="str">
        <f>"Rosanna Garza"</f>
        <v>Rosanna Garza</v>
      </c>
    </row>
    <row r="321" spans="1:9" x14ac:dyDescent="0.3">
      <c r="A321" t="str">
        <f>""</f>
        <v/>
      </c>
      <c r="F321" t="str">
        <f>""</f>
        <v/>
      </c>
      <c r="G321" t="str">
        <f>""</f>
        <v/>
      </c>
      <c r="I321" t="str">
        <f>"Robert Bennett"</f>
        <v>Robert Bennett</v>
      </c>
    </row>
    <row r="322" spans="1:9" x14ac:dyDescent="0.3">
      <c r="A322" t="str">
        <f>""</f>
        <v/>
      </c>
      <c r="F322" t="str">
        <f>""</f>
        <v/>
      </c>
      <c r="G322" t="str">
        <f>""</f>
        <v/>
      </c>
      <c r="I322" t="str">
        <f>"Charles Adams"</f>
        <v>Charles Adams</v>
      </c>
    </row>
    <row r="323" spans="1:9" x14ac:dyDescent="0.3">
      <c r="A323" t="str">
        <f>""</f>
        <v/>
      </c>
      <c r="F323" t="str">
        <f>""</f>
        <v/>
      </c>
      <c r="G323" t="str">
        <f>""</f>
        <v/>
      </c>
      <c r="I323" t="str">
        <f>"Erika Dejesus"</f>
        <v>Erika Dejesus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"Kenneth Leatherwood"</f>
        <v>Kenneth Leatherwood</v>
      </c>
    </row>
    <row r="325" spans="1:9" x14ac:dyDescent="0.3">
      <c r="A325" t="str">
        <f>""</f>
        <v/>
      </c>
      <c r="F325" t="str">
        <f>""</f>
        <v/>
      </c>
      <c r="G325" t="str">
        <f>""</f>
        <v/>
      </c>
      <c r="I325" t="str">
        <f>"Amazon"</f>
        <v>Amazon</v>
      </c>
    </row>
    <row r="326" spans="1:9" x14ac:dyDescent="0.3">
      <c r="A326" t="str">
        <f>""</f>
        <v/>
      </c>
      <c r="F326" t="str">
        <f>""</f>
        <v/>
      </c>
      <c r="G326" t="str">
        <f>""</f>
        <v/>
      </c>
      <c r="I326" t="str">
        <f>"Lowes"</f>
        <v>Lowes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"Bastrop Auto"</f>
        <v>Bastrop Auto</v>
      </c>
    </row>
    <row r="328" spans="1:9" x14ac:dyDescent="0.3">
      <c r="A328" t="str">
        <f>""</f>
        <v/>
      </c>
      <c r="F328" t="str">
        <f>""</f>
        <v/>
      </c>
      <c r="G328" t="str">
        <f>""</f>
        <v/>
      </c>
      <c r="I328" t="str">
        <f>"Bastrop Auto"</f>
        <v>Bastrop Auto</v>
      </c>
    </row>
    <row r="329" spans="1:9" x14ac:dyDescent="0.3">
      <c r="A329" t="str">
        <f>""</f>
        <v/>
      </c>
      <c r="F329" t="str">
        <f>""</f>
        <v/>
      </c>
      <c r="G329" t="str">
        <f>""</f>
        <v/>
      </c>
      <c r="I329" t="str">
        <f>"DoMyOwnPest"</f>
        <v>DoMyOwnPest</v>
      </c>
    </row>
    <row r="330" spans="1:9" x14ac:dyDescent="0.3">
      <c r="A330" t="str">
        <f>""</f>
        <v/>
      </c>
      <c r="F330" t="str">
        <f>""</f>
        <v/>
      </c>
      <c r="G330" t="str">
        <f>""</f>
        <v/>
      </c>
      <c r="I330" t="str">
        <f>"DoMyOwnPest"</f>
        <v>DoMyOwnPest</v>
      </c>
    </row>
    <row r="331" spans="1:9" x14ac:dyDescent="0.3">
      <c r="A331" t="str">
        <f>""</f>
        <v/>
      </c>
      <c r="F331" t="str">
        <f>""</f>
        <v/>
      </c>
      <c r="G331" t="str">
        <f>""</f>
        <v/>
      </c>
      <c r="I331" t="str">
        <f>"Amazon"</f>
        <v>Amazon</v>
      </c>
    </row>
    <row r="332" spans="1:9" x14ac:dyDescent="0.3">
      <c r="A332" t="str">
        <f>""</f>
        <v/>
      </c>
      <c r="F332" t="str">
        <f>""</f>
        <v/>
      </c>
      <c r="G332" t="str">
        <f>""</f>
        <v/>
      </c>
      <c r="I332" t="str">
        <f>"Amazon"</f>
        <v>Amazon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"Sam.Gov"</f>
        <v>Sam.Gov</v>
      </c>
    </row>
    <row r="334" spans="1:9" x14ac:dyDescent="0.3">
      <c r="A334" t="str">
        <f>"CARD"</f>
        <v>CARD</v>
      </c>
      <c r="B334" t="s">
        <v>87</v>
      </c>
      <c r="C334">
        <v>70398</v>
      </c>
      <c r="D334" s="2">
        <v>26.78</v>
      </c>
      <c r="E334" s="1">
        <v>42877</v>
      </c>
      <c r="F334" t="str">
        <f>"0525"</f>
        <v>0525</v>
      </c>
      <c r="G334" t="str">
        <f>"STATEMENT 03/24-04/21/17"</f>
        <v>STATEMENT 03/24-04/21/17</v>
      </c>
      <c r="H334" s="2">
        <v>26.78</v>
      </c>
      <c r="I334" t="str">
        <f>"DURY PLAZA - LODGING"</f>
        <v>DURY PLAZA - LODGING</v>
      </c>
    </row>
    <row r="335" spans="1:9" x14ac:dyDescent="0.3">
      <c r="A335" t="str">
        <f>""</f>
        <v/>
      </c>
      <c r="F335" t="str">
        <f>""</f>
        <v/>
      </c>
      <c r="G335" t="str">
        <f>""</f>
        <v/>
      </c>
      <c r="I335" t="str">
        <f>"USPS - SHIPPING"</f>
        <v>USPS - SHIPPING</v>
      </c>
    </row>
    <row r="336" spans="1:9" x14ac:dyDescent="0.3">
      <c r="A336" t="str">
        <f>""</f>
        <v/>
      </c>
      <c r="F336" t="str">
        <f>""</f>
        <v/>
      </c>
      <c r="G336" t="str">
        <f>""</f>
        <v/>
      </c>
      <c r="I336" t="str">
        <f>"USPS - SHIPPING"</f>
        <v>USPS - SHIPPING</v>
      </c>
    </row>
    <row r="337" spans="1:9" x14ac:dyDescent="0.3">
      <c r="A337" t="str">
        <f>"005053"</f>
        <v>005053</v>
      </c>
      <c r="B337" t="s">
        <v>88</v>
      </c>
      <c r="C337">
        <v>70122</v>
      </c>
      <c r="D337" s="2">
        <v>373.5</v>
      </c>
      <c r="E337" s="1">
        <v>42863</v>
      </c>
      <c r="F337" t="str">
        <f>"201705031754"</f>
        <v>201705031754</v>
      </c>
      <c r="G337" t="str">
        <f>"423-4780"</f>
        <v>423-4780</v>
      </c>
      <c r="H337" s="2">
        <v>373.5</v>
      </c>
      <c r="I337" t="str">
        <f>"423-4780"</f>
        <v>423-4780</v>
      </c>
    </row>
    <row r="338" spans="1:9" x14ac:dyDescent="0.3">
      <c r="A338" t="str">
        <f>"T12770"</f>
        <v>T12770</v>
      </c>
      <c r="B338" t="s">
        <v>89</v>
      </c>
      <c r="C338">
        <v>70123</v>
      </c>
      <c r="D338" s="2">
        <v>293</v>
      </c>
      <c r="E338" s="1">
        <v>42863</v>
      </c>
      <c r="F338" t="str">
        <f>"INB002565796"</f>
        <v>INB002565796</v>
      </c>
      <c r="G338" t="str">
        <f>"INB002565796 BOILER"</f>
        <v>INB002565796 BOILER</v>
      </c>
      <c r="H338" s="2">
        <v>293</v>
      </c>
      <c r="I338" t="str">
        <f>"INB002565796 BOILER"</f>
        <v>INB002565796 BOILER</v>
      </c>
    </row>
    <row r="339" spans="1:9" x14ac:dyDescent="0.3">
      <c r="A339" t="str">
        <f>"T4871"</f>
        <v>T4871</v>
      </c>
      <c r="B339" t="s">
        <v>90</v>
      </c>
      <c r="C339">
        <v>0</v>
      </c>
      <c r="D339" s="2">
        <v>908.3</v>
      </c>
      <c r="E339" s="1">
        <v>42857</v>
      </c>
      <c r="F339" t="str">
        <f>"201706223251"</f>
        <v>201706223251</v>
      </c>
      <c r="G339" t="str">
        <f>"ITEM #3196268"</f>
        <v>ITEM #3196268</v>
      </c>
      <c r="H339" s="2">
        <v>908.3</v>
      </c>
      <c r="I339" t="str">
        <f>"ITEM #3196268"</f>
        <v>ITEM #3196268</v>
      </c>
    </row>
    <row r="340" spans="1:9" x14ac:dyDescent="0.3">
      <c r="A340" t="str">
        <f>"T4871"</f>
        <v>T4871</v>
      </c>
      <c r="B340" t="s">
        <v>90</v>
      </c>
      <c r="C340">
        <v>0</v>
      </c>
      <c r="D340" s="2">
        <v>329.6</v>
      </c>
      <c r="E340" s="1">
        <v>42863</v>
      </c>
      <c r="F340" t="str">
        <f>"HQF6493"</f>
        <v>HQF6493</v>
      </c>
      <c r="G340" t="str">
        <f>"CUST#9566243/JP#1"</f>
        <v>CUST#9566243/JP#1</v>
      </c>
      <c r="H340" s="2">
        <v>329.6</v>
      </c>
      <c r="I340" t="str">
        <f>"CUST#9566243/JP#1"</f>
        <v>CUST#9566243/JP#1</v>
      </c>
    </row>
    <row r="341" spans="1:9" x14ac:dyDescent="0.3">
      <c r="A341" t="str">
        <f>"T4871"</f>
        <v>T4871</v>
      </c>
      <c r="B341" t="s">
        <v>90</v>
      </c>
      <c r="C341">
        <v>0</v>
      </c>
      <c r="D341" s="2">
        <v>908.3</v>
      </c>
      <c r="E341" s="1">
        <v>42857</v>
      </c>
      <c r="F341" t="str">
        <f>"201705021625"</f>
        <v>201705021625</v>
      </c>
      <c r="G341" t="str">
        <f>"ITEM #3196268"</f>
        <v>ITEM #3196268</v>
      </c>
      <c r="H341" s="2">
        <v>-908.3</v>
      </c>
      <c r="I341" t="str">
        <f>"ITEM #3196268"</f>
        <v>ITEM #3196268</v>
      </c>
    </row>
    <row r="342" spans="1:9" x14ac:dyDescent="0.3">
      <c r="A342" t="str">
        <f>""</f>
        <v/>
      </c>
      <c r="F342" t="str">
        <f>"201707073475"</f>
        <v>201707073475</v>
      </c>
      <c r="G342" t="str">
        <f>"ITEM #3196268"</f>
        <v>ITEM #3196268</v>
      </c>
      <c r="H342" s="2">
        <v>908.3</v>
      </c>
      <c r="I342" t="str">
        <f>"ITEM #3196268"</f>
        <v>ITEM #3196268</v>
      </c>
    </row>
    <row r="343" spans="1:9" x14ac:dyDescent="0.3">
      <c r="A343" t="str">
        <f>"003420"</f>
        <v>003420</v>
      </c>
      <c r="B343" t="s">
        <v>91</v>
      </c>
      <c r="C343">
        <v>70399</v>
      </c>
      <c r="D343" s="2">
        <v>3080</v>
      </c>
      <c r="E343" s="1">
        <v>42877</v>
      </c>
      <c r="F343" t="str">
        <f>"201705121929"</f>
        <v>201705121929</v>
      </c>
      <c r="G343" t="str">
        <f>"QUOTE CB-64997"</f>
        <v>QUOTE CB-64997</v>
      </c>
      <c r="H343" s="2">
        <v>3080</v>
      </c>
      <c r="I343" t="str">
        <f>"QUOTE CB-64997"</f>
        <v>QUOTE CB-64997</v>
      </c>
    </row>
    <row r="344" spans="1:9" x14ac:dyDescent="0.3">
      <c r="A344" t="str">
        <f>""</f>
        <v/>
      </c>
      <c r="F344" t="str">
        <f>""</f>
        <v/>
      </c>
      <c r="G344" t="str">
        <f>""</f>
        <v/>
      </c>
      <c r="I344" t="str">
        <f>"SHIPPING"</f>
        <v>SHIPPING</v>
      </c>
    </row>
    <row r="345" spans="1:9" x14ac:dyDescent="0.3">
      <c r="A345" t="str">
        <f>"CTRPNT"</f>
        <v>CTRPNT</v>
      </c>
      <c r="B345" t="s">
        <v>92</v>
      </c>
      <c r="C345">
        <v>70069</v>
      </c>
      <c r="D345" s="2">
        <v>1689.4</v>
      </c>
      <c r="E345" s="1">
        <v>42860</v>
      </c>
      <c r="F345" t="str">
        <f>"201705041811"</f>
        <v>201705041811</v>
      </c>
      <c r="G345" t="str">
        <f>"ACCT# 6400890108-0"</f>
        <v>ACCT# 6400890108-0</v>
      </c>
      <c r="H345" s="2">
        <v>36.880000000000003</v>
      </c>
      <c r="I345" t="str">
        <f>"ACCT# 6400890108-0"</f>
        <v>ACCT# 6400890108-0</v>
      </c>
    </row>
    <row r="346" spans="1:9" x14ac:dyDescent="0.3">
      <c r="A346" t="str">
        <f>""</f>
        <v/>
      </c>
      <c r="F346" t="str">
        <f>"201705041812"</f>
        <v>201705041812</v>
      </c>
      <c r="G346" t="str">
        <f>"ACCT# 3204433-1"</f>
        <v>ACCT# 3204433-1</v>
      </c>
      <c r="H346" s="2">
        <v>36.880000000000003</v>
      </c>
      <c r="I346" t="str">
        <f>"ACCT# 3204433-1"</f>
        <v>ACCT# 3204433-1</v>
      </c>
    </row>
    <row r="347" spans="1:9" x14ac:dyDescent="0.3">
      <c r="A347" t="str">
        <f>""</f>
        <v/>
      </c>
      <c r="F347" t="str">
        <f>"201705041813"</f>
        <v>201705041813</v>
      </c>
      <c r="G347" t="str">
        <f>"ACCT# 2959074-2"</f>
        <v>ACCT# 2959074-2</v>
      </c>
      <c r="H347" s="2">
        <v>41.7</v>
      </c>
      <c r="I347" t="str">
        <f>"ACCT# 2959074-2"</f>
        <v>ACCT# 2959074-2</v>
      </c>
    </row>
    <row r="348" spans="1:9" x14ac:dyDescent="0.3">
      <c r="A348" t="str">
        <f>""</f>
        <v/>
      </c>
      <c r="F348" t="str">
        <f>"201705041814"</f>
        <v>201705041814</v>
      </c>
      <c r="G348" t="str">
        <f>"ACCT # 2974567-6"</f>
        <v>ACCT # 2974567-6</v>
      </c>
      <c r="H348" s="2">
        <v>1537.06</v>
      </c>
      <c r="I348" t="str">
        <f>"ACCT # 2974567-6"</f>
        <v>ACCT # 2974567-6</v>
      </c>
    </row>
    <row r="349" spans="1:9" x14ac:dyDescent="0.3">
      <c r="A349" t="str">
        <f>""</f>
        <v/>
      </c>
      <c r="F349" t="str">
        <f>"201705041815"</f>
        <v>201705041815</v>
      </c>
      <c r="G349" t="str">
        <f>"ACCT # 3204434-9"</f>
        <v>ACCT # 3204434-9</v>
      </c>
      <c r="H349" s="2">
        <v>36.880000000000003</v>
      </c>
      <c r="I349" t="str">
        <f>"ACCT # 3204434-9"</f>
        <v>ACCT # 3204434-9</v>
      </c>
    </row>
    <row r="350" spans="1:9" x14ac:dyDescent="0.3">
      <c r="A350" t="str">
        <f>"CTRPNT"</f>
        <v>CTRPNT</v>
      </c>
      <c r="B350" t="s">
        <v>92</v>
      </c>
      <c r="C350">
        <v>70322</v>
      </c>
      <c r="D350" s="2">
        <v>114.38</v>
      </c>
      <c r="E350" s="1">
        <v>42870</v>
      </c>
      <c r="F350" t="str">
        <f>"2814197-6 - MAY"</f>
        <v>2814197-6 - MAY</v>
      </c>
      <c r="G350" t="str">
        <f>"ACCT #2814197-6"</f>
        <v>ACCT #2814197-6</v>
      </c>
      <c r="H350" s="2">
        <v>36.880000000000003</v>
      </c>
      <c r="I350" t="str">
        <f>"ACCT #2814197-6"</f>
        <v>ACCT #2814197-6</v>
      </c>
    </row>
    <row r="351" spans="1:9" x14ac:dyDescent="0.3">
      <c r="A351" t="str">
        <f>""</f>
        <v/>
      </c>
      <c r="F351" t="str">
        <f>"2959097-3 MAY"</f>
        <v>2959097-3 MAY</v>
      </c>
      <c r="G351" t="str">
        <f>"ACCT #2959097-3"</f>
        <v>ACCT #2959097-3</v>
      </c>
      <c r="H351" s="2">
        <v>37.26</v>
      </c>
      <c r="I351" t="str">
        <f>"ACCT #2959097-3"</f>
        <v>ACCT #2959097-3</v>
      </c>
    </row>
    <row r="352" spans="1:9" x14ac:dyDescent="0.3">
      <c r="A352" t="str">
        <f>""</f>
        <v/>
      </c>
      <c r="F352" t="str">
        <f>"6400893680-5 MAY"</f>
        <v>6400893680-5 MAY</v>
      </c>
      <c r="G352" t="str">
        <f>"ACCT #6400893680-5"</f>
        <v>ACCT #6400893680-5</v>
      </c>
      <c r="H352" s="2">
        <v>40.24</v>
      </c>
      <c r="I352" t="str">
        <f>"ACCT #6400893680-5"</f>
        <v>ACCT #6400893680-5</v>
      </c>
    </row>
    <row r="353" spans="1:9" x14ac:dyDescent="0.3">
      <c r="A353" t="str">
        <f>"CENTEX"</f>
        <v>CENTEX</v>
      </c>
      <c r="B353" t="s">
        <v>93</v>
      </c>
      <c r="C353">
        <v>70124</v>
      </c>
      <c r="D353" s="2">
        <v>6226.53</v>
      </c>
      <c r="E353" s="1">
        <v>42863</v>
      </c>
      <c r="F353" t="str">
        <f>"30117536"</f>
        <v>30117536</v>
      </c>
      <c r="G353" t="str">
        <f>"CUST#BASPCT3/BASE/PCT#3"</f>
        <v>CUST#BASPCT3/BASE/PCT#3</v>
      </c>
      <c r="H353" s="2">
        <v>1955.11</v>
      </c>
      <c r="I353" t="str">
        <f>"CUST#BASPCT3/BASE/PCT#3"</f>
        <v>CUST#BASPCT3/BASE/PCT#3</v>
      </c>
    </row>
    <row r="354" spans="1:9" x14ac:dyDescent="0.3">
      <c r="A354" t="str">
        <f>""</f>
        <v/>
      </c>
      <c r="F354" t="str">
        <f>"30117628"</f>
        <v>30117628</v>
      </c>
      <c r="G354" t="str">
        <f>"CUST#BASPCT3/BASE/PCT#3"</f>
        <v>CUST#BASPCT3/BASE/PCT#3</v>
      </c>
      <c r="H354" s="2">
        <v>1209.8599999999999</v>
      </c>
      <c r="I354" t="str">
        <f>"CUST#BASPCT3/BASE/PCT#3"</f>
        <v>CUST#BASPCT3/BASE/PCT#3</v>
      </c>
    </row>
    <row r="355" spans="1:9" x14ac:dyDescent="0.3">
      <c r="A355" t="str">
        <f>""</f>
        <v/>
      </c>
      <c r="F355" t="str">
        <f>"30117657"</f>
        <v>30117657</v>
      </c>
      <c r="G355" t="str">
        <f>"CUST#BASPCT3/BASE/PCT#3"</f>
        <v>CUST#BASPCT3/BASE/PCT#3</v>
      </c>
      <c r="H355" s="2">
        <v>1414.62</v>
      </c>
      <c r="I355" t="str">
        <f>"CUST#BASPCT3/BASE/PCT#3"</f>
        <v>CUST#BASPCT3/BASE/PCT#3</v>
      </c>
    </row>
    <row r="356" spans="1:9" x14ac:dyDescent="0.3">
      <c r="A356" t="str">
        <f>""</f>
        <v/>
      </c>
      <c r="F356" t="str">
        <f>"30117690"</f>
        <v>30117690</v>
      </c>
      <c r="G356" t="str">
        <f>"CUST#BASPCT3/BASE/PCT#3"</f>
        <v>CUST#BASPCT3/BASE/PCT#3</v>
      </c>
      <c r="H356" s="2">
        <v>1646.94</v>
      </c>
      <c r="I356" t="str">
        <f>"CUST#BASPCT3/BASE/PCT#3"</f>
        <v>CUST#BASPCT3/BASE/PCT#3</v>
      </c>
    </row>
    <row r="357" spans="1:9" x14ac:dyDescent="0.3">
      <c r="A357" t="str">
        <f>"CENTEX"</f>
        <v>CENTEX</v>
      </c>
      <c r="B357" t="s">
        <v>93</v>
      </c>
      <c r="C357">
        <v>70400</v>
      </c>
      <c r="D357" s="2">
        <v>20466.919999999998</v>
      </c>
      <c r="E357" s="1">
        <v>42877</v>
      </c>
      <c r="F357" t="str">
        <f>"201705162070"</f>
        <v>201705162070</v>
      </c>
      <c r="G357" t="str">
        <f>"CENTEX MATERIALS LLC"</f>
        <v>CENTEX MATERIALS LLC</v>
      </c>
      <c r="H357" s="2">
        <v>19491.03</v>
      </c>
      <c r="I357" t="str">
        <f>"INV 30117995"</f>
        <v>INV 30117995</v>
      </c>
    </row>
    <row r="358" spans="1:9" x14ac:dyDescent="0.3">
      <c r="A358" t="str">
        <f>""</f>
        <v/>
      </c>
      <c r="F358" t="str">
        <f>""</f>
        <v/>
      </c>
      <c r="G358" t="str">
        <f>""</f>
        <v/>
      </c>
      <c r="I358" t="str">
        <f>"INV 30117964"</f>
        <v>INV 30117964</v>
      </c>
    </row>
    <row r="359" spans="1:9" x14ac:dyDescent="0.3">
      <c r="A359" t="str">
        <f>""</f>
        <v/>
      </c>
      <c r="F359" t="str">
        <f>""</f>
        <v/>
      </c>
      <c r="G359" t="str">
        <f>""</f>
        <v/>
      </c>
      <c r="I359" t="str">
        <f>"INV 30117938"</f>
        <v>INV 30117938</v>
      </c>
    </row>
    <row r="360" spans="1:9" x14ac:dyDescent="0.3">
      <c r="A360" t="str">
        <f>""</f>
        <v/>
      </c>
      <c r="F360" t="str">
        <f>""</f>
        <v/>
      </c>
      <c r="G360" t="str">
        <f>""</f>
        <v/>
      </c>
      <c r="I360" t="str">
        <f>"INV 30117902"</f>
        <v>INV 30117902</v>
      </c>
    </row>
    <row r="361" spans="1:9" x14ac:dyDescent="0.3">
      <c r="A361" t="str">
        <f>""</f>
        <v/>
      </c>
      <c r="F361" t="str">
        <f>""</f>
        <v/>
      </c>
      <c r="G361" t="str">
        <f>""</f>
        <v/>
      </c>
      <c r="I361" t="str">
        <f>"INV 30117867"</f>
        <v>INV 30117867</v>
      </c>
    </row>
    <row r="362" spans="1:9" x14ac:dyDescent="0.3">
      <c r="A362" t="str">
        <f>""</f>
        <v/>
      </c>
      <c r="F362" t="str">
        <f>""</f>
        <v/>
      </c>
      <c r="G362" t="str">
        <f>""</f>
        <v/>
      </c>
      <c r="I362" t="str">
        <f>"INV 30117830"</f>
        <v>INV 30117830</v>
      </c>
    </row>
    <row r="363" spans="1:9" x14ac:dyDescent="0.3">
      <c r="A363" t="str">
        <f>""</f>
        <v/>
      </c>
      <c r="F363" t="str">
        <f>""</f>
        <v/>
      </c>
      <c r="G363" t="str">
        <f>""</f>
        <v/>
      </c>
      <c r="I363" t="str">
        <f>"INV 30117785"</f>
        <v>INV 30117785</v>
      </c>
    </row>
    <row r="364" spans="1:9" x14ac:dyDescent="0.3">
      <c r="A364" t="str">
        <f>""</f>
        <v/>
      </c>
      <c r="F364" t="str">
        <f>""</f>
        <v/>
      </c>
      <c r="G364" t="str">
        <f>""</f>
        <v/>
      </c>
      <c r="I364" t="str">
        <f>"INV 30118030"</f>
        <v>INV 30118030</v>
      </c>
    </row>
    <row r="365" spans="1:9" x14ac:dyDescent="0.3">
      <c r="A365" t="str">
        <f>""</f>
        <v/>
      </c>
      <c r="F365" t="str">
        <f>""</f>
        <v/>
      </c>
      <c r="G365" t="str">
        <f>""</f>
        <v/>
      </c>
      <c r="I365" t="str">
        <f>"INV 30118068"</f>
        <v>INV 30118068</v>
      </c>
    </row>
    <row r="366" spans="1:9" x14ac:dyDescent="0.3">
      <c r="A366" t="str">
        <f>""</f>
        <v/>
      </c>
      <c r="F366" t="str">
        <f>""</f>
        <v/>
      </c>
      <c r="G366" t="str">
        <f>""</f>
        <v/>
      </c>
      <c r="I366" t="str">
        <f>"INV 30118129"</f>
        <v>INV 30118129</v>
      </c>
    </row>
    <row r="367" spans="1:9" x14ac:dyDescent="0.3">
      <c r="A367" t="str">
        <f>""</f>
        <v/>
      </c>
      <c r="F367" t="str">
        <f>""</f>
        <v/>
      </c>
      <c r="G367" t="str">
        <f>""</f>
        <v/>
      </c>
      <c r="I367" t="str">
        <f>"INV 30118100"</f>
        <v>INV 30118100</v>
      </c>
    </row>
    <row r="368" spans="1:9" x14ac:dyDescent="0.3">
      <c r="A368" t="str">
        <f>""</f>
        <v/>
      </c>
      <c r="F368" t="str">
        <f>""</f>
        <v/>
      </c>
      <c r="G368" t="str">
        <f>""</f>
        <v/>
      </c>
      <c r="I368" t="str">
        <f>"INV 30118166"</f>
        <v>INV 30118166</v>
      </c>
    </row>
    <row r="369" spans="1:9" x14ac:dyDescent="0.3">
      <c r="A369" t="str">
        <f>""</f>
        <v/>
      </c>
      <c r="F369" t="str">
        <f>"30117756"</f>
        <v>30117756</v>
      </c>
      <c r="G369" t="str">
        <f>" CUST #BASPCT3"</f>
        <v xml:space="preserve"> CUST #BASPCT3</v>
      </c>
      <c r="H369" s="2">
        <v>975.89</v>
      </c>
      <c r="I369" t="str">
        <f>" CUST #BASPCT3"</f>
        <v xml:space="preserve"> CUST #BASPCT3</v>
      </c>
    </row>
    <row r="370" spans="1:9" x14ac:dyDescent="0.3">
      <c r="A370" t="str">
        <f>"003739"</f>
        <v>003739</v>
      </c>
      <c r="B370" t="s">
        <v>94</v>
      </c>
      <c r="C370">
        <v>70125</v>
      </c>
      <c r="D370" s="2">
        <v>1725</v>
      </c>
      <c r="E370" s="1">
        <v>42863</v>
      </c>
      <c r="F370" t="str">
        <f>"201705021599"</f>
        <v>201705021599</v>
      </c>
      <c r="G370" t="str">
        <f>"CENTEX MECHANICAL INC"</f>
        <v>CENTEX MECHANICAL INC</v>
      </c>
      <c r="H370" s="2">
        <v>1725</v>
      </c>
      <c r="I370" t="str">
        <f>"Invoice# 0000043171"</f>
        <v>Invoice# 0000043171</v>
      </c>
    </row>
    <row r="371" spans="1:9" x14ac:dyDescent="0.3">
      <c r="A371" t="str">
        <f>"002795"</f>
        <v>002795</v>
      </c>
      <c r="B371" t="s">
        <v>95</v>
      </c>
      <c r="C371">
        <v>70401</v>
      </c>
      <c r="D371" s="2">
        <v>10500</v>
      </c>
      <c r="E371" s="1">
        <v>42877</v>
      </c>
      <c r="F371" t="str">
        <f>"11698"</f>
        <v>11698</v>
      </c>
      <c r="G371" t="str">
        <f>"AUTOPSY CTA-117-17 WALLACE"</f>
        <v>AUTOPSY CTA-117-17 WALLACE</v>
      </c>
      <c r="H371" s="2">
        <v>2100</v>
      </c>
      <c r="I371" t="str">
        <f>"AUTOPSY CTA-117-17 WALLACE"</f>
        <v>AUTOPSY CTA-117-17 WALLACE</v>
      </c>
    </row>
    <row r="372" spans="1:9" x14ac:dyDescent="0.3">
      <c r="A372" t="str">
        <f>""</f>
        <v/>
      </c>
      <c r="F372" t="str">
        <f>"11699"</f>
        <v>11699</v>
      </c>
      <c r="G372" t="str">
        <f>"AUTOPSY CTA129-17 PHILLIPS"</f>
        <v>AUTOPSY CTA129-17 PHILLIPS</v>
      </c>
      <c r="H372" s="2">
        <v>2100</v>
      </c>
      <c r="I372" t="str">
        <f>"AUTOPSY CTA129-17 PHILLIPS"</f>
        <v>AUTOPSY CTA129-17 PHILLIPS</v>
      </c>
    </row>
    <row r="373" spans="1:9" x14ac:dyDescent="0.3">
      <c r="A373" t="str">
        <f>""</f>
        <v/>
      </c>
      <c r="F373" t="str">
        <f>"11701"</f>
        <v>11701</v>
      </c>
      <c r="G373" t="str">
        <f>"AUTOPSY CTA 137-17 HOLTER"</f>
        <v>AUTOPSY CTA 137-17 HOLTER</v>
      </c>
      <c r="H373" s="2">
        <v>2100</v>
      </c>
      <c r="I373" t="str">
        <f>"AUTOPSY CTA 137-17 HOLTER"</f>
        <v>AUTOPSY CTA 137-17 HOLTER</v>
      </c>
    </row>
    <row r="374" spans="1:9" x14ac:dyDescent="0.3">
      <c r="A374" t="str">
        <f>""</f>
        <v/>
      </c>
      <c r="F374" t="str">
        <f>"201705172280"</f>
        <v>201705172280</v>
      </c>
      <c r="G374" t="str">
        <f>"INV 11705 VIC SIMMONS"</f>
        <v>INV 11705 VIC SIMMONS</v>
      </c>
      <c r="H374" s="2">
        <v>2100</v>
      </c>
      <c r="I374" t="str">
        <f>"INV 11705"</f>
        <v>INV 11705</v>
      </c>
    </row>
    <row r="375" spans="1:9" x14ac:dyDescent="0.3">
      <c r="A375" t="str">
        <f>""</f>
        <v/>
      </c>
      <c r="F375" t="str">
        <f>"201705172281"</f>
        <v>201705172281</v>
      </c>
      <c r="G375" t="str">
        <f>"INV 11704 RODOLFO PAIZ"</f>
        <v>INV 11704 RODOLFO PAIZ</v>
      </c>
      <c r="H375" s="2">
        <v>2100</v>
      </c>
      <c r="I375" t="str">
        <f>"INV 11704"</f>
        <v>INV 11704</v>
      </c>
    </row>
    <row r="376" spans="1:9" x14ac:dyDescent="0.3">
      <c r="A376" t="str">
        <f>"004155"</f>
        <v>004155</v>
      </c>
      <c r="B376" t="s">
        <v>96</v>
      </c>
      <c r="C376">
        <v>70402</v>
      </c>
      <c r="D376" s="2">
        <v>3395</v>
      </c>
      <c r="E376" s="1">
        <v>42877</v>
      </c>
      <c r="F376" t="str">
        <f>"201705162091"</f>
        <v>201705162091</v>
      </c>
      <c r="G376" t="str">
        <f>"SHREDDING &amp; WEED EATING PAIGE"</f>
        <v>SHREDDING &amp; WEED EATING PAIGE</v>
      </c>
      <c r="H376" s="2">
        <v>3395</v>
      </c>
      <c r="I376" t="str">
        <f>"SHREDDING &amp; WEED EATING PAIGE"</f>
        <v>SHREDDING &amp; WEED EATING PAIGE</v>
      </c>
    </row>
    <row r="377" spans="1:9" x14ac:dyDescent="0.3">
      <c r="A377" t="str">
        <f>"004648"</f>
        <v>004648</v>
      </c>
      <c r="B377" t="s">
        <v>97</v>
      </c>
      <c r="C377">
        <v>70126</v>
      </c>
      <c r="D377" s="2">
        <v>100</v>
      </c>
      <c r="E377" s="1">
        <v>42863</v>
      </c>
      <c r="F377" t="str">
        <f>"201705031713"</f>
        <v>201705031713</v>
      </c>
      <c r="G377" t="str">
        <f>"17-18250"</f>
        <v>17-18250</v>
      </c>
      <c r="H377" s="2">
        <v>100</v>
      </c>
      <c r="I377" t="str">
        <f>"17-18250"</f>
        <v>17-18250</v>
      </c>
    </row>
    <row r="378" spans="1:9" x14ac:dyDescent="0.3">
      <c r="A378" t="str">
        <f>"T11408"</f>
        <v>T11408</v>
      </c>
      <c r="B378" t="s">
        <v>98</v>
      </c>
      <c r="C378">
        <v>70403</v>
      </c>
      <c r="D378" s="2">
        <v>65</v>
      </c>
      <c r="E378" s="1">
        <v>42877</v>
      </c>
      <c r="F378" t="str">
        <f>"201705162030"</f>
        <v>201705162030</v>
      </c>
      <c r="G378" t="str">
        <f>"FERAL HOGS"</f>
        <v>FERAL HOGS</v>
      </c>
      <c r="H378" s="2">
        <v>25</v>
      </c>
      <c r="I378" t="str">
        <f>"FERAL HOGS"</f>
        <v>FERAL HOGS</v>
      </c>
    </row>
    <row r="379" spans="1:9" x14ac:dyDescent="0.3">
      <c r="A379" t="str">
        <f>""</f>
        <v/>
      </c>
      <c r="F379" t="str">
        <f>"201705162031"</f>
        <v>201705162031</v>
      </c>
      <c r="G379" t="str">
        <f>"FERAL HOGS"</f>
        <v>FERAL HOGS</v>
      </c>
      <c r="H379" s="2">
        <v>40</v>
      </c>
      <c r="I379" t="str">
        <f>"FERAL HOGS"</f>
        <v>FERAL HOGS</v>
      </c>
    </row>
    <row r="380" spans="1:9" x14ac:dyDescent="0.3">
      <c r="A380" t="str">
        <f>"T11831"</f>
        <v>T11831</v>
      </c>
      <c r="B380" t="s">
        <v>99</v>
      </c>
      <c r="C380">
        <v>70127</v>
      </c>
      <c r="D380" s="2">
        <v>764</v>
      </c>
      <c r="E380" s="1">
        <v>42863</v>
      </c>
      <c r="F380" t="str">
        <f>"201705021595"</f>
        <v>201705021595</v>
      </c>
      <c r="G380" t="str">
        <f>"INV0139408-IN  BLANKETS"</f>
        <v>INV0139408-IN  BLANKETS</v>
      </c>
      <c r="H380" s="2">
        <v>764</v>
      </c>
      <c r="I380" t="str">
        <f>"INV0139408-IN  BLANKETS"</f>
        <v>INV0139408-IN  BLANKETS</v>
      </c>
    </row>
    <row r="381" spans="1:9" x14ac:dyDescent="0.3">
      <c r="A381" t="str">
        <f>""</f>
        <v/>
      </c>
      <c r="F381" t="str">
        <f>""</f>
        <v/>
      </c>
      <c r="G381" t="str">
        <f>""</f>
        <v/>
      </c>
      <c r="I381" t="str">
        <f>"INV0139408-IN  BLANKETS"</f>
        <v>INV0139408-IN  BLANKETS</v>
      </c>
    </row>
    <row r="382" spans="1:9" x14ac:dyDescent="0.3">
      <c r="A382" t="str">
        <f>"T9145"</f>
        <v>T9145</v>
      </c>
      <c r="B382" t="s">
        <v>100</v>
      </c>
      <c r="C382">
        <v>70128</v>
      </c>
      <c r="D382" s="2">
        <v>350</v>
      </c>
      <c r="E382" s="1">
        <v>42863</v>
      </c>
      <c r="F382" t="str">
        <f>"201705031714"</f>
        <v>201705031714</v>
      </c>
      <c r="G382" t="str">
        <f>"16-17715"</f>
        <v>16-17715</v>
      </c>
      <c r="H382" s="2">
        <v>250</v>
      </c>
      <c r="I382" t="str">
        <f>"16-17715"</f>
        <v>16-17715</v>
      </c>
    </row>
    <row r="383" spans="1:9" x14ac:dyDescent="0.3">
      <c r="A383" t="str">
        <f>""</f>
        <v/>
      </c>
      <c r="F383" t="str">
        <f>"201705031715"</f>
        <v>201705031715</v>
      </c>
      <c r="G383" t="str">
        <f>"16-17582"</f>
        <v>16-17582</v>
      </c>
      <c r="H383" s="2">
        <v>100</v>
      </c>
      <c r="I383" t="str">
        <f>"16-17582"</f>
        <v>16-17582</v>
      </c>
    </row>
    <row r="384" spans="1:9" x14ac:dyDescent="0.3">
      <c r="A384" t="str">
        <f>"T9145"</f>
        <v>T9145</v>
      </c>
      <c r="B384" t="s">
        <v>100</v>
      </c>
      <c r="C384">
        <v>70404</v>
      </c>
      <c r="D384" s="2">
        <v>2000</v>
      </c>
      <c r="E384" s="1">
        <v>42877</v>
      </c>
      <c r="F384" t="str">
        <f>"201705172172"</f>
        <v>201705172172</v>
      </c>
      <c r="G384" t="str">
        <f>"14 367"</f>
        <v>14 367</v>
      </c>
      <c r="H384" s="2">
        <v>400</v>
      </c>
      <c r="I384" t="str">
        <f>"14 367"</f>
        <v>14 367</v>
      </c>
    </row>
    <row r="385" spans="1:9" x14ac:dyDescent="0.3">
      <c r="A385" t="str">
        <f>""</f>
        <v/>
      </c>
      <c r="F385" t="str">
        <f>"201705172173"</f>
        <v>201705172173</v>
      </c>
      <c r="G385" t="str">
        <f>"16-02891"</f>
        <v>16-02891</v>
      </c>
      <c r="H385" s="2">
        <v>400</v>
      </c>
      <c r="I385" t="str">
        <f>"16-02891"</f>
        <v>16-02891</v>
      </c>
    </row>
    <row r="386" spans="1:9" x14ac:dyDescent="0.3">
      <c r="A386" t="str">
        <f>""</f>
        <v/>
      </c>
      <c r="F386" t="str">
        <f>"201705172174"</f>
        <v>201705172174</v>
      </c>
      <c r="G386" t="str">
        <f>"CHRIS MATT DILLON"</f>
        <v>CHRIS MATT DILLON</v>
      </c>
      <c r="H386" s="2">
        <v>400</v>
      </c>
      <c r="I386" t="str">
        <f>"CHRIS MATT DILLON"</f>
        <v>CHRIS MATT DILLON</v>
      </c>
    </row>
    <row r="387" spans="1:9" x14ac:dyDescent="0.3">
      <c r="A387" t="str">
        <f>""</f>
        <v/>
      </c>
      <c r="F387" t="str">
        <f>"201705172175"</f>
        <v>201705172175</v>
      </c>
      <c r="G387" t="str">
        <f>"16 179"</f>
        <v>16 179</v>
      </c>
      <c r="H387" s="2">
        <v>400</v>
      </c>
      <c r="I387" t="str">
        <f>"16 179"</f>
        <v>16 179</v>
      </c>
    </row>
    <row r="388" spans="1:9" x14ac:dyDescent="0.3">
      <c r="A388" t="str">
        <f>""</f>
        <v/>
      </c>
      <c r="F388" t="str">
        <f>"201705172176"</f>
        <v>201705172176</v>
      </c>
      <c r="G388" t="str">
        <f>"15617"</f>
        <v>15617</v>
      </c>
      <c r="H388" s="2">
        <v>400</v>
      </c>
      <c r="I388" t="str">
        <f>"15617"</f>
        <v>15617</v>
      </c>
    </row>
    <row r="389" spans="1:9" x14ac:dyDescent="0.3">
      <c r="A389" t="str">
        <f>"005030"</f>
        <v>005030</v>
      </c>
      <c r="B389" t="s">
        <v>101</v>
      </c>
      <c r="C389">
        <v>70405</v>
      </c>
      <c r="D389" s="2">
        <v>190.3</v>
      </c>
      <c r="E389" s="1">
        <v>42877</v>
      </c>
      <c r="F389" t="str">
        <f>"201705172224"</f>
        <v>201705172224</v>
      </c>
      <c r="G389" t="str">
        <f>"INV 1001 ANIMAL SHELTER"</f>
        <v>INV 1001 ANIMAL SHELTER</v>
      </c>
      <c r="H389" s="2">
        <v>171.64</v>
      </c>
      <c r="I389" t="str">
        <f>"INV 1001 ANIMAL SHELTER"</f>
        <v>INV 1001 ANIMAL SHELTER</v>
      </c>
    </row>
    <row r="390" spans="1:9" x14ac:dyDescent="0.3">
      <c r="A390" t="str">
        <f>""</f>
        <v/>
      </c>
      <c r="F390" t="str">
        <f>"201705172227"</f>
        <v>201705172227</v>
      </c>
      <c r="G390" t="str">
        <f>"INV 1002 ANIMAL CONTROL"</f>
        <v>INV 1002 ANIMAL CONTROL</v>
      </c>
      <c r="H390" s="2">
        <v>18.66</v>
      </c>
      <c r="I390" t="str">
        <f>"INV 1002 ANIMAL CONTROL"</f>
        <v>INV 1002 ANIMAL CONTROL</v>
      </c>
    </row>
    <row r="391" spans="1:9" x14ac:dyDescent="0.3">
      <c r="A391" t="str">
        <f>"004228"</f>
        <v>004228</v>
      </c>
      <c r="B391" t="s">
        <v>102</v>
      </c>
      <c r="C391">
        <v>70129</v>
      </c>
      <c r="D391" s="2">
        <v>838.61</v>
      </c>
      <c r="E391" s="1">
        <v>42863</v>
      </c>
      <c r="F391" t="str">
        <f>"201705031764"</f>
        <v>201705031764</v>
      </c>
      <c r="G391" t="str">
        <f>"REIMB-MILEAGE"</f>
        <v>REIMB-MILEAGE</v>
      </c>
      <c r="H391" s="2">
        <v>289.97000000000003</v>
      </c>
      <c r="I391" t="str">
        <f>"REIMB-MILEAGE"</f>
        <v>REIMB-MILEAGE</v>
      </c>
    </row>
    <row r="392" spans="1:9" x14ac:dyDescent="0.3">
      <c r="A392" t="str">
        <f>""</f>
        <v/>
      </c>
      <c r="F392" t="str">
        <f>"201705031765"</f>
        <v>201705031765</v>
      </c>
      <c r="G392" t="str">
        <f>"REIMB-HOTEL EARTH DAY DALLAS"</f>
        <v>REIMB-HOTEL EARTH DAY DALLAS</v>
      </c>
      <c r="H392" s="2">
        <v>548.64</v>
      </c>
      <c r="I392" t="str">
        <f>"REIMB-HOTEL EARTH DAY DALLAS"</f>
        <v>REIMB-HOTEL EARTH DAY DALLAS</v>
      </c>
    </row>
    <row r="393" spans="1:9" x14ac:dyDescent="0.3">
      <c r="A393" t="str">
        <f>"004228"</f>
        <v>004228</v>
      </c>
      <c r="B393" t="s">
        <v>102</v>
      </c>
      <c r="C393">
        <v>70406</v>
      </c>
      <c r="D393" s="2">
        <v>316.2</v>
      </c>
      <c r="E393" s="1">
        <v>42877</v>
      </c>
      <c r="F393" t="str">
        <f>"201705172274"</f>
        <v>201705172274</v>
      </c>
      <c r="G393" t="str">
        <f>"TX TRAVEL MAILING REIMN"</f>
        <v>TX TRAVEL MAILING REIMN</v>
      </c>
      <c r="H393" s="2">
        <v>113.94</v>
      </c>
      <c r="I393" t="str">
        <f>"TX TRAVEL MAILING REIMN"</f>
        <v>TX TRAVEL MAILING REIMN</v>
      </c>
    </row>
    <row r="394" spans="1:9" x14ac:dyDescent="0.3">
      <c r="A394" t="str">
        <f>""</f>
        <v/>
      </c>
      <c r="F394" t="str">
        <f>"201705172275"</f>
        <v>201705172275</v>
      </c>
      <c r="G394" t="str">
        <f>"CINDYE WOLFORD MILEAGE"</f>
        <v>CINDYE WOLFORD MILEAGE</v>
      </c>
      <c r="H394" s="2">
        <v>126.26</v>
      </c>
      <c r="I394" t="str">
        <f>"CINDYE WOLFORD MILEAGE"</f>
        <v>CINDYE WOLFORD MILEAGE</v>
      </c>
    </row>
    <row r="395" spans="1:9" x14ac:dyDescent="0.3">
      <c r="A395" t="str">
        <f>""</f>
        <v/>
      </c>
      <c r="F395" t="str">
        <f>"201705172276"</f>
        <v>201705172276</v>
      </c>
      <c r="G395" t="str">
        <f>"REIM POSTERS  BANNER"</f>
        <v>REIM POSTERS  BANNER</v>
      </c>
      <c r="H395" s="2">
        <v>76</v>
      </c>
      <c r="I395" t="str">
        <f>"REIM POSTERS  BANNER"</f>
        <v>REIM POSTERS  BANNER</v>
      </c>
    </row>
    <row r="396" spans="1:9" x14ac:dyDescent="0.3">
      <c r="A396" t="str">
        <f>"CINTAS"</f>
        <v>CINTAS</v>
      </c>
      <c r="B396" t="s">
        <v>103</v>
      </c>
      <c r="C396">
        <v>70130</v>
      </c>
      <c r="D396" s="2">
        <v>111.73</v>
      </c>
      <c r="E396" s="1">
        <v>42863</v>
      </c>
      <c r="F396" t="str">
        <f>"50077033997"</f>
        <v>50077033997</v>
      </c>
      <c r="G396" t="str">
        <f>"CUST#11167190/PCT#1"</f>
        <v>CUST#11167190/PCT#1</v>
      </c>
      <c r="H396" s="2">
        <v>111.73</v>
      </c>
      <c r="I396" t="str">
        <f>"CUST#11167190/PCT#1"</f>
        <v>CUST#11167190/PCT#1</v>
      </c>
    </row>
    <row r="397" spans="1:9" x14ac:dyDescent="0.3">
      <c r="A397" t="str">
        <f>"CINTAS"</f>
        <v>CINTAS</v>
      </c>
      <c r="B397" t="s">
        <v>103</v>
      </c>
      <c r="C397">
        <v>70407</v>
      </c>
      <c r="D397" s="2">
        <v>189.37</v>
      </c>
      <c r="E397" s="1">
        <v>42877</v>
      </c>
      <c r="F397" t="str">
        <f>"201705162079"</f>
        <v>201705162079</v>
      </c>
      <c r="G397" t="str">
        <f>"INV 8403153841"</f>
        <v>INV 8403153841</v>
      </c>
      <c r="H397" s="2">
        <v>130.08000000000001</v>
      </c>
      <c r="I397" t="str">
        <f>"INV 8403153841"</f>
        <v>INV 8403153841</v>
      </c>
    </row>
    <row r="398" spans="1:9" x14ac:dyDescent="0.3">
      <c r="A398" t="str">
        <f>""</f>
        <v/>
      </c>
      <c r="F398" t="str">
        <f>"8403146881"</f>
        <v>8403146881</v>
      </c>
      <c r="G398" t="str">
        <f>"CUST # 10342486 - 04-10-17"</f>
        <v>CUST # 10342486 - 04-10-17</v>
      </c>
      <c r="H398" s="2">
        <v>59.29</v>
      </c>
      <c r="I398" t="str">
        <f>"CUST # 10342486 - 04-10-17"</f>
        <v>CUST # 10342486 - 04-10-17</v>
      </c>
    </row>
    <row r="399" spans="1:9" x14ac:dyDescent="0.3">
      <c r="A399" t="str">
        <f>"004728"</f>
        <v>004728</v>
      </c>
      <c r="B399" t="s">
        <v>104</v>
      </c>
      <c r="C399">
        <v>70131</v>
      </c>
      <c r="D399" s="2">
        <v>1319.5</v>
      </c>
      <c r="E399" s="1">
        <v>42863</v>
      </c>
      <c r="F399" t="str">
        <f>"086502387/86512949"</f>
        <v>086502387/86512949</v>
      </c>
      <c r="G399" t="str">
        <f>"ACCT#086-11451/PCT#1"</f>
        <v>ACCT#086-11451/PCT#1</v>
      </c>
      <c r="H399" s="2">
        <v>585.37</v>
      </c>
      <c r="I399" t="str">
        <f>"ACCT#086-11451/PCT#1"</f>
        <v>ACCT#086-11451/PCT#1</v>
      </c>
    </row>
    <row r="400" spans="1:9" x14ac:dyDescent="0.3">
      <c r="A400" t="str">
        <f>""</f>
        <v/>
      </c>
      <c r="F400" t="str">
        <f>"86488488/86512950"</f>
        <v>86488488/86512950</v>
      </c>
      <c r="G400" t="str">
        <f>"ACCT#086-11458/ANIMAL SHELTER"</f>
        <v>ACCT#086-11458/ANIMAL SHELTER</v>
      </c>
      <c r="H400" s="2">
        <v>734.13</v>
      </c>
      <c r="I400" t="str">
        <f>"ACCT#086-11458/ANIMAL SHELTER"</f>
        <v>ACCT#086-11458/ANIMAL SHELTER</v>
      </c>
    </row>
    <row r="401" spans="1:9" x14ac:dyDescent="0.3">
      <c r="A401" t="str">
        <f>"004728"</f>
        <v>004728</v>
      </c>
      <c r="B401" t="s">
        <v>104</v>
      </c>
      <c r="C401">
        <v>70408</v>
      </c>
      <c r="D401" s="2">
        <v>3250.2</v>
      </c>
      <c r="E401" s="1">
        <v>42877</v>
      </c>
      <c r="F401" t="str">
        <f>"086-11375-043017"</f>
        <v>086-11375-043017</v>
      </c>
      <c r="G401" t="str">
        <f>"ACCT # 086-11375 APRIL 2017"</f>
        <v>ACCT # 086-11375 APRIL 2017</v>
      </c>
      <c r="H401" s="2">
        <v>411.04</v>
      </c>
      <c r="I401" t="str">
        <f>"ACCT # 086-11375 APRIL 2017"</f>
        <v>ACCT # 086-11375 APRIL 2017</v>
      </c>
    </row>
    <row r="402" spans="1:9" x14ac:dyDescent="0.3">
      <c r="A402" t="str">
        <f>""</f>
        <v/>
      </c>
      <c r="F402" t="str">
        <f>"201705121961"</f>
        <v>201705121961</v>
      </c>
      <c r="G402" t="str">
        <f>"PCT4 08611386 4/1 TO 4/30"</f>
        <v>PCT4 08611386 4/1 TO 4/30</v>
      </c>
      <c r="H402" s="2">
        <v>1956.99</v>
      </c>
      <c r="I402" t="str">
        <f>"PCT4 08611386 4/1 TO 4/30"</f>
        <v>PCT4 08611386 4/1 TO 4/30</v>
      </c>
    </row>
    <row r="403" spans="1:9" x14ac:dyDescent="0.3">
      <c r="A403" t="str">
        <f>""</f>
        <v/>
      </c>
      <c r="F403" t="str">
        <f>"201705121976"</f>
        <v>201705121976</v>
      </c>
      <c r="G403" t="str">
        <f>"ACCT 086-11451 PCT 1 4/1-4/30"</f>
        <v>ACCT 086-11451 PCT 1 4/1-4/30</v>
      </c>
      <c r="H403" s="2">
        <v>625.58000000000004</v>
      </c>
      <c r="I403" t="str">
        <f>"ACCT 086-11451 PCT 1 4/1-4/30"</f>
        <v>ACCT 086-11451 PCT 1 4/1-4/30</v>
      </c>
    </row>
    <row r="404" spans="1:9" x14ac:dyDescent="0.3">
      <c r="A404" t="str">
        <f>""</f>
        <v/>
      </c>
      <c r="F404" t="str">
        <f>"86488488 86491947"</f>
        <v>86488488 86491947</v>
      </c>
      <c r="G404" t="str">
        <f>"ACCT#086-11458"</f>
        <v>ACCT#086-11458</v>
      </c>
      <c r="H404" s="2">
        <v>256.58999999999997</v>
      </c>
      <c r="I404" t="str">
        <f>"ACCT#086-11458"</f>
        <v>ACCT#086-11458</v>
      </c>
    </row>
    <row r="405" spans="1:9" x14ac:dyDescent="0.3">
      <c r="A405" t="str">
        <f>"BCO"</f>
        <v>BCO</v>
      </c>
      <c r="B405" t="s">
        <v>105</v>
      </c>
      <c r="C405">
        <v>70323</v>
      </c>
      <c r="D405" s="2">
        <v>43282.77</v>
      </c>
      <c r="E405" s="1">
        <v>42870</v>
      </c>
      <c r="F405" t="str">
        <f>"BASTROP CO - MAY"</f>
        <v>BASTROP CO - MAY</v>
      </c>
      <c r="G405" t="str">
        <f>"COUNTY COURTHOUSE ACCOUNTS"</f>
        <v>COUNTY COURTHOUSE ACCOUNTS</v>
      </c>
      <c r="H405" s="2">
        <v>13766.34</v>
      </c>
      <c r="I405" t="str">
        <f>"COUNTY COURTHOUSE ACCOUNTS"</f>
        <v>COUNTY COURTHOUSE ACCOUNTS</v>
      </c>
    </row>
    <row r="406" spans="1:9" x14ac:dyDescent="0.3">
      <c r="A406" t="str">
        <f>""</f>
        <v/>
      </c>
      <c r="F406" t="str">
        <f>"COUNTY - MAY"</f>
        <v>COUNTY - MAY</v>
      </c>
      <c r="G406" t="str">
        <f>"LAW CENTER ACCOUNTS"</f>
        <v>LAW CENTER ACCOUNTS</v>
      </c>
      <c r="H406" s="2">
        <v>26497.23</v>
      </c>
      <c r="I406" t="str">
        <f>"LAW CENTER ACCOUNTS"</f>
        <v>LAW CENTER ACCOUNTS</v>
      </c>
    </row>
    <row r="407" spans="1:9" x14ac:dyDescent="0.3">
      <c r="A407" t="str">
        <f>""</f>
        <v/>
      </c>
      <c r="F407" t="str">
        <f>"CTY DEV CR - MAY"</f>
        <v>CTY DEV CR - MAY</v>
      </c>
      <c r="G407" t="str">
        <f>"ACCT #02-4500-00 / 02-4501-00"</f>
        <v>ACCT #02-4500-00 / 02-4501-00</v>
      </c>
      <c r="H407" s="2">
        <v>3019.2</v>
      </c>
      <c r="I407" t="str">
        <f>"ACCT #02-4500-00 / 02-4501-00"</f>
        <v>ACCT #02-4500-00 / 02-4501-00</v>
      </c>
    </row>
    <row r="408" spans="1:9" x14ac:dyDescent="0.3">
      <c r="A408" t="str">
        <f>"COB"</f>
        <v>COB</v>
      </c>
      <c r="B408" t="s">
        <v>105</v>
      </c>
      <c r="C408">
        <v>70409</v>
      </c>
      <c r="D408" s="2">
        <v>500</v>
      </c>
      <c r="E408" s="1">
        <v>42877</v>
      </c>
      <c r="F408" t="str">
        <f>"201705121947"</f>
        <v>201705121947</v>
      </c>
      <c r="G408" t="str">
        <f>"RENTAL PARKING LOT"</f>
        <v>RENTAL PARKING LOT</v>
      </c>
      <c r="H408" s="2">
        <v>500</v>
      </c>
      <c r="I408" t="str">
        <f>"RENTAL PARKING LOT"</f>
        <v>RENTAL PARKING LOT</v>
      </c>
    </row>
    <row r="409" spans="1:9" x14ac:dyDescent="0.3">
      <c r="A409" t="str">
        <f>"ECO"</f>
        <v>ECO</v>
      </c>
      <c r="B409" t="s">
        <v>106</v>
      </c>
      <c r="C409">
        <v>70070</v>
      </c>
      <c r="D409" s="2">
        <v>887.81</v>
      </c>
      <c r="E409" s="1">
        <v>42860</v>
      </c>
      <c r="F409" t="str">
        <f>"201705041816"</f>
        <v>201705041816</v>
      </c>
      <c r="G409" t="str">
        <f>"ACCT # 007-0008410-002"</f>
        <v>ACCT # 007-0008410-002</v>
      </c>
      <c r="H409" s="2">
        <v>96.02</v>
      </c>
      <c r="I409" t="str">
        <f>"ACCT # 007-0008410-002"</f>
        <v>ACCT # 007-0008410-002</v>
      </c>
    </row>
    <row r="410" spans="1:9" x14ac:dyDescent="0.3">
      <c r="A410" t="str">
        <f>""</f>
        <v/>
      </c>
      <c r="F410" t="str">
        <f>"201705041817"</f>
        <v>201705041817</v>
      </c>
      <c r="G410" t="str">
        <f>"ACCT # 007-0011510-000"</f>
        <v>ACCT # 007-0011510-000</v>
      </c>
      <c r="H410" s="2">
        <v>197.53</v>
      </c>
      <c r="I410" t="str">
        <f>"ACCT # 007-0011510-000"</f>
        <v>ACCT # 007-0011510-000</v>
      </c>
    </row>
    <row r="411" spans="1:9" x14ac:dyDescent="0.3">
      <c r="A411" t="str">
        <f>""</f>
        <v/>
      </c>
      <c r="F411" t="str">
        <f>"201705041818"</f>
        <v>201705041818</v>
      </c>
      <c r="G411" t="str">
        <f>"ACCT # 007-0011530-000"</f>
        <v>ACCT # 007-0011530-000</v>
      </c>
      <c r="H411" s="2">
        <v>77.09</v>
      </c>
      <c r="I411" t="str">
        <f>"ACCT # 007-0011530-000"</f>
        <v>ACCT # 007-0011530-000</v>
      </c>
    </row>
    <row r="412" spans="1:9" x14ac:dyDescent="0.3">
      <c r="A412" t="str">
        <f>""</f>
        <v/>
      </c>
      <c r="F412" t="str">
        <f>"201705041819"</f>
        <v>201705041819</v>
      </c>
      <c r="G412" t="str">
        <f>"ACCT # 007-0011534-001"</f>
        <v>ACCT # 007-0011534-001</v>
      </c>
      <c r="H412" s="2">
        <v>128.81</v>
      </c>
      <c r="I412" t="str">
        <f>"ACCT # 007-0011534-001"</f>
        <v>ACCT # 007-0011534-001</v>
      </c>
    </row>
    <row r="413" spans="1:9" x14ac:dyDescent="0.3">
      <c r="A413" t="str">
        <f>""</f>
        <v/>
      </c>
      <c r="F413" t="str">
        <f>"201705041820"</f>
        <v>201705041820</v>
      </c>
      <c r="G413" t="str">
        <f>"ACCT # 007-0011544-001"</f>
        <v>ACCT # 007-0011544-001</v>
      </c>
      <c r="H413" s="2">
        <v>89.34</v>
      </c>
      <c r="I413" t="str">
        <f>"ACCT # 007-0011544-001"</f>
        <v>ACCT # 007-0011544-001</v>
      </c>
    </row>
    <row r="414" spans="1:9" x14ac:dyDescent="0.3">
      <c r="A414" t="str">
        <f>""</f>
        <v/>
      </c>
      <c r="F414" t="str">
        <f>"201705041821"</f>
        <v>201705041821</v>
      </c>
      <c r="G414" t="str">
        <f>"ACCT # 007-0011501-000"</f>
        <v>ACCT # 007-0011501-000</v>
      </c>
      <c r="H414" s="2">
        <v>85.52</v>
      </c>
      <c r="I414" t="str">
        <f>"ACCT # 007-0011501-000"</f>
        <v>ACCT # 007-0011501-000</v>
      </c>
    </row>
    <row r="415" spans="1:9" x14ac:dyDescent="0.3">
      <c r="A415" t="str">
        <f>""</f>
        <v/>
      </c>
      <c r="F415" t="str">
        <f>"201705041822"</f>
        <v>201705041822</v>
      </c>
      <c r="G415" t="str">
        <f>"ACCT # 007-0011535-000"</f>
        <v>ACCT # 007-0011535-000</v>
      </c>
      <c r="H415" s="2">
        <v>213.5</v>
      </c>
      <c r="I415" t="str">
        <f>"ACCT # 007-0011535-000"</f>
        <v>ACCT # 007-0011535-000</v>
      </c>
    </row>
    <row r="416" spans="1:9" x14ac:dyDescent="0.3">
      <c r="A416" t="str">
        <f>"SCO"</f>
        <v>SCO</v>
      </c>
      <c r="B416" t="s">
        <v>107</v>
      </c>
      <c r="C416">
        <v>70071</v>
      </c>
      <c r="D416" s="2">
        <v>2691.95</v>
      </c>
      <c r="E416" s="1">
        <v>42860</v>
      </c>
      <c r="F416" t="str">
        <f>"201705041823"</f>
        <v>201705041823</v>
      </c>
      <c r="G416" t="str">
        <f>"ACCT # 001-0000183-000"</f>
        <v>ACCT # 001-0000183-000</v>
      </c>
      <c r="H416" s="2">
        <v>124.89</v>
      </c>
      <c r="I416" t="str">
        <f>"ACCT # 001-0000183-000"</f>
        <v>ACCT # 001-0000183-000</v>
      </c>
    </row>
    <row r="417" spans="1:9" x14ac:dyDescent="0.3">
      <c r="A417" t="str">
        <f>""</f>
        <v/>
      </c>
      <c r="F417" t="str">
        <f>"201705041824"</f>
        <v>201705041824</v>
      </c>
      <c r="G417" t="str">
        <f>"ACCT # 007-0000388-000"</f>
        <v>ACCT # 007-0000388-000</v>
      </c>
      <c r="H417" s="2">
        <v>488.78</v>
      </c>
      <c r="I417" t="str">
        <f>"ACCT # 007-0000388-000"</f>
        <v>ACCT # 007-0000388-000</v>
      </c>
    </row>
    <row r="418" spans="1:9" x14ac:dyDescent="0.3">
      <c r="A418" t="str">
        <f>""</f>
        <v/>
      </c>
      <c r="F418" t="str">
        <f>"201705041825"</f>
        <v>201705041825</v>
      </c>
      <c r="G418" t="str">
        <f>"ACCT # 007-0000389-000"</f>
        <v>ACCT # 007-0000389-000</v>
      </c>
      <c r="H418" s="2">
        <v>25.89</v>
      </c>
      <c r="I418" t="str">
        <f>"ACCT # 007-0000389-000"</f>
        <v>ACCT # 007-0000389-000</v>
      </c>
    </row>
    <row r="419" spans="1:9" x14ac:dyDescent="0.3">
      <c r="A419" t="str">
        <f>""</f>
        <v/>
      </c>
      <c r="F419" t="str">
        <f>"201705041826"</f>
        <v>201705041826</v>
      </c>
      <c r="G419" t="str">
        <f>"ACCT # 044-0001240-000"</f>
        <v>ACCT # 044-0001240-000</v>
      </c>
      <c r="H419" s="2">
        <v>301.07</v>
      </c>
      <c r="I419" t="str">
        <f>"ACCT # 044-0001240-000"</f>
        <v>ACCT # 044-0001240-000</v>
      </c>
    </row>
    <row r="420" spans="1:9" x14ac:dyDescent="0.3">
      <c r="A420" t="str">
        <f>""</f>
        <v/>
      </c>
      <c r="F420" t="str">
        <f>"201705041827"</f>
        <v>201705041827</v>
      </c>
      <c r="G420" t="str">
        <f>"ACCT # 044-0001250-000"</f>
        <v>ACCT # 044-0001250-000</v>
      </c>
      <c r="H420" s="2">
        <v>97.11</v>
      </c>
      <c r="I420" t="str">
        <f>"ACCT # 044-0001250-000"</f>
        <v>ACCT # 044-0001250-000</v>
      </c>
    </row>
    <row r="421" spans="1:9" x14ac:dyDescent="0.3">
      <c r="A421" t="str">
        <f>""</f>
        <v/>
      </c>
      <c r="F421" t="str">
        <f>"201705041828"</f>
        <v>201705041828</v>
      </c>
      <c r="G421" t="str">
        <f>"ACCT # 044-0001252-000"</f>
        <v>ACCT # 044-0001252-000</v>
      </c>
      <c r="H421" s="2">
        <v>1319.96</v>
      </c>
      <c r="I421" t="str">
        <f>"ACCT # 044-0001252-000"</f>
        <v>ACCT # 044-0001252-000</v>
      </c>
    </row>
    <row r="422" spans="1:9" x14ac:dyDescent="0.3">
      <c r="A422" t="str">
        <f>""</f>
        <v/>
      </c>
      <c r="F422" t="str">
        <f>"201705041829"</f>
        <v>201705041829</v>
      </c>
      <c r="G422" t="str">
        <f>"ACCT # 044-0001253-000"</f>
        <v>ACCT # 044-0001253-000</v>
      </c>
      <c r="H422" s="2">
        <v>334.25</v>
      </c>
      <c r="I422" t="str">
        <f>"ACCT # 044-0001253-000"</f>
        <v>ACCT # 044-0001253-000</v>
      </c>
    </row>
    <row r="423" spans="1:9" x14ac:dyDescent="0.3">
      <c r="A423" t="str">
        <f>"005076"</f>
        <v>005076</v>
      </c>
      <c r="B423" t="s">
        <v>108</v>
      </c>
      <c r="C423">
        <v>70410</v>
      </c>
      <c r="D423" s="2">
        <v>335</v>
      </c>
      <c r="E423" s="1">
        <v>42877</v>
      </c>
      <c r="F423" t="str">
        <f>"201705172145"</f>
        <v>201705172145</v>
      </c>
      <c r="G423" t="str">
        <f>"PCT#4 CABINETS REPAIR BARN"</f>
        <v>PCT#4 CABINETS REPAIR BARN</v>
      </c>
      <c r="H423" s="2">
        <v>335</v>
      </c>
      <c r="I423" t="str">
        <f>"PCT#4 CABINETS REPAIR BARN"</f>
        <v>PCT#4 CABINETS REPAIR BARN</v>
      </c>
    </row>
    <row r="424" spans="1:9" x14ac:dyDescent="0.3">
      <c r="A424" t="str">
        <f>"003318"</f>
        <v>003318</v>
      </c>
      <c r="B424" t="s">
        <v>109</v>
      </c>
      <c r="C424">
        <v>70411</v>
      </c>
      <c r="D424" s="2">
        <v>380</v>
      </c>
      <c r="E424" s="1">
        <v>42877</v>
      </c>
      <c r="F424" t="str">
        <f>"201705162032"</f>
        <v>201705162032</v>
      </c>
      <c r="G424" t="str">
        <f>"FERAL HOGS"</f>
        <v>FERAL HOGS</v>
      </c>
      <c r="H424" s="2">
        <v>330</v>
      </c>
      <c r="I424" t="str">
        <f>"FERAL HOGS"</f>
        <v>FERAL HOGS</v>
      </c>
    </row>
    <row r="425" spans="1:9" x14ac:dyDescent="0.3">
      <c r="A425" t="str">
        <f>""</f>
        <v/>
      </c>
      <c r="F425" t="str">
        <f>"201705162033"</f>
        <v>201705162033</v>
      </c>
      <c r="G425" t="str">
        <f>"FERAL HOGS"</f>
        <v>FERAL HOGS</v>
      </c>
      <c r="H425" s="2">
        <v>50</v>
      </c>
      <c r="I425" t="str">
        <f>"FERAL HOGS"</f>
        <v>FERAL HOGS</v>
      </c>
    </row>
    <row r="426" spans="1:9" x14ac:dyDescent="0.3">
      <c r="A426" t="str">
        <f>"002198"</f>
        <v>002198</v>
      </c>
      <c r="B426" t="s">
        <v>110</v>
      </c>
      <c r="C426">
        <v>70412</v>
      </c>
      <c r="D426" s="2">
        <v>749</v>
      </c>
      <c r="E426" s="1">
        <v>42877</v>
      </c>
      <c r="F426" t="str">
        <f>"00297527"</f>
        <v>00297527</v>
      </c>
      <c r="G426" t="str">
        <f>"INVPMA-0029527 GEN MAINT"</f>
        <v>INVPMA-0029527 GEN MAINT</v>
      </c>
      <c r="H426" s="2">
        <v>749</v>
      </c>
      <c r="I426" t="str">
        <f>"INVPMA-0029527 GEN MAINT"</f>
        <v>INVPMA-0029527 GEN MAINT</v>
      </c>
    </row>
    <row r="427" spans="1:9" x14ac:dyDescent="0.3">
      <c r="A427" t="str">
        <f>"CLINIC"</f>
        <v>CLINIC</v>
      </c>
      <c r="B427" t="s">
        <v>111</v>
      </c>
      <c r="C427">
        <v>70132</v>
      </c>
      <c r="D427" s="2">
        <v>50.58</v>
      </c>
      <c r="E427" s="1">
        <v>42863</v>
      </c>
      <c r="F427" t="str">
        <f>"201705031674"</f>
        <v>201705031674</v>
      </c>
      <c r="G427" t="str">
        <f>"INDIGENT HEALTH"</f>
        <v>INDIGENT HEALTH</v>
      </c>
      <c r="H427" s="2">
        <v>50.58</v>
      </c>
      <c r="I427" t="str">
        <f>"INDIGENT HEALTH"</f>
        <v>INDIGENT HEALTH</v>
      </c>
    </row>
    <row r="428" spans="1:9" x14ac:dyDescent="0.3">
      <c r="A428" t="str">
        <f>"CLINIC"</f>
        <v>CLINIC</v>
      </c>
      <c r="B428" t="s">
        <v>111</v>
      </c>
      <c r="C428">
        <v>70413</v>
      </c>
      <c r="D428" s="2">
        <v>640.76</v>
      </c>
      <c r="E428" s="1">
        <v>42877</v>
      </c>
      <c r="F428" t="str">
        <f>"201705172112"</f>
        <v>201705172112</v>
      </c>
      <c r="G428" t="str">
        <f>"INDIGENT HEALTH"</f>
        <v>INDIGENT HEALTH</v>
      </c>
      <c r="H428" s="2">
        <v>208.26</v>
      </c>
      <c r="I428" t="str">
        <f>"INDIGENT HEALTH"</f>
        <v>INDIGENT HEALTH</v>
      </c>
    </row>
    <row r="429" spans="1:9" x14ac:dyDescent="0.3">
      <c r="A429" t="str">
        <f>""</f>
        <v/>
      </c>
      <c r="F429" t="str">
        <f>""</f>
        <v/>
      </c>
      <c r="G429" t="str">
        <f>""</f>
        <v/>
      </c>
      <c r="I429" t="str">
        <f>"INDIGENT HEALTH"</f>
        <v>INDIGENT HEALTH</v>
      </c>
    </row>
    <row r="430" spans="1:9" x14ac:dyDescent="0.3">
      <c r="A430" t="str">
        <f>""</f>
        <v/>
      </c>
      <c r="F430" t="str">
        <f>"201705172223"</f>
        <v>201705172223</v>
      </c>
      <c r="G430" t="str">
        <f>"MEDICAL1278 1072"</f>
        <v>MEDICAL1278 1072</v>
      </c>
      <c r="H430" s="2">
        <v>359.15</v>
      </c>
      <c r="I430" t="str">
        <f>"MEDICAL/1278"</f>
        <v>MEDICAL/1278</v>
      </c>
    </row>
    <row r="431" spans="1:9" x14ac:dyDescent="0.3">
      <c r="A431" t="str">
        <f>""</f>
        <v/>
      </c>
      <c r="F431" t="str">
        <f>""</f>
        <v/>
      </c>
      <c r="G431" t="str">
        <f>""</f>
        <v/>
      </c>
      <c r="I431" t="str">
        <f>"MEDICAL/1072"</f>
        <v>MEDICAL/1072</v>
      </c>
    </row>
    <row r="432" spans="1:9" x14ac:dyDescent="0.3">
      <c r="A432" t="str">
        <f>""</f>
        <v/>
      </c>
      <c r="F432" t="str">
        <f>"201705172225"</f>
        <v>201705172225</v>
      </c>
      <c r="G432" t="str">
        <f>"MEDICAL b2826805 WILSON"</f>
        <v>MEDICAL b2826805 WILSON</v>
      </c>
      <c r="H432" s="2">
        <v>4.5</v>
      </c>
      <c r="I432" t="str">
        <f>"MEDICAL b2826805 WILSON"</f>
        <v>MEDICAL b2826805 WILSON</v>
      </c>
    </row>
    <row r="433" spans="1:9" x14ac:dyDescent="0.3">
      <c r="A433" t="str">
        <f>""</f>
        <v/>
      </c>
      <c r="F433" t="str">
        <f>"201705172255"</f>
        <v>201705172255</v>
      </c>
      <c r="G433" t="str">
        <f>"INV 4181980624"</f>
        <v>INV 4181980624</v>
      </c>
      <c r="H433" s="2">
        <v>68.849999999999994</v>
      </c>
      <c r="I433" t="str">
        <f>"INV 4181980624"</f>
        <v>INV 4181980624</v>
      </c>
    </row>
    <row r="434" spans="1:9" x14ac:dyDescent="0.3">
      <c r="A434" t="str">
        <f>"004905"</f>
        <v>004905</v>
      </c>
      <c r="B434" t="s">
        <v>112</v>
      </c>
      <c r="C434">
        <v>70414</v>
      </c>
      <c r="D434" s="2">
        <v>75</v>
      </c>
      <c r="E434" s="1">
        <v>42877</v>
      </c>
      <c r="F434" t="str">
        <f>"201705162034"</f>
        <v>201705162034</v>
      </c>
      <c r="G434" t="str">
        <f>"FERAL HOGS"</f>
        <v>FERAL HOGS</v>
      </c>
      <c r="H434" s="2">
        <v>5</v>
      </c>
      <c r="I434" t="str">
        <f>"FERAL HOGS"</f>
        <v>FERAL HOGS</v>
      </c>
    </row>
    <row r="435" spans="1:9" x14ac:dyDescent="0.3">
      <c r="A435" t="str">
        <f>""</f>
        <v/>
      </c>
      <c r="F435" t="str">
        <f>"201705162035"</f>
        <v>201705162035</v>
      </c>
      <c r="G435" t="str">
        <f>"FERAL HOGS"</f>
        <v>FERAL HOGS</v>
      </c>
      <c r="H435" s="2">
        <v>5</v>
      </c>
      <c r="I435" t="str">
        <f>"FERAL HOGS"</f>
        <v>FERAL HOGS</v>
      </c>
    </row>
    <row r="436" spans="1:9" x14ac:dyDescent="0.3">
      <c r="A436" t="str">
        <f>""</f>
        <v/>
      </c>
      <c r="F436" t="str">
        <f>"201705162036"</f>
        <v>201705162036</v>
      </c>
      <c r="G436" t="str">
        <f>"FERAL HOGS"</f>
        <v>FERAL HOGS</v>
      </c>
      <c r="H436" s="2">
        <v>65</v>
      </c>
      <c r="I436" t="str">
        <f>"FERAL HOGS"</f>
        <v>FERAL HOGS</v>
      </c>
    </row>
    <row r="437" spans="1:9" x14ac:dyDescent="0.3">
      <c r="A437" t="str">
        <f>"002809"</f>
        <v>002809</v>
      </c>
      <c r="B437" t="s">
        <v>113</v>
      </c>
      <c r="C437">
        <v>70133</v>
      </c>
      <c r="D437" s="2">
        <v>164</v>
      </c>
      <c r="E437" s="1">
        <v>42863</v>
      </c>
      <c r="F437" t="str">
        <f>"12463711838"</f>
        <v>12463711838</v>
      </c>
      <c r="G437" t="str">
        <f>"COFFEE INV12463711838"</f>
        <v>COFFEE INV12463711838</v>
      </c>
      <c r="H437" s="2">
        <v>164</v>
      </c>
      <c r="I437" t="str">
        <f>"COFFEE INV12463711838"</f>
        <v>COFFEE INV12463711838</v>
      </c>
    </row>
    <row r="438" spans="1:9" x14ac:dyDescent="0.3">
      <c r="A438" t="str">
        <f>"003939"</f>
        <v>003939</v>
      </c>
      <c r="B438" t="s">
        <v>114</v>
      </c>
      <c r="C438">
        <v>70134</v>
      </c>
      <c r="D438" s="2">
        <v>666.59</v>
      </c>
      <c r="E438" s="1">
        <v>42863</v>
      </c>
      <c r="F438" t="str">
        <f>"201705031675"</f>
        <v>201705031675</v>
      </c>
      <c r="G438" t="str">
        <f>"INDIGENT HEALTH"</f>
        <v>INDIGENT HEALTH</v>
      </c>
      <c r="H438" s="2">
        <v>666.59</v>
      </c>
      <c r="I438" t="str">
        <f>"INDIGENT HEALTH"</f>
        <v>INDIGENT HEALTH</v>
      </c>
    </row>
    <row r="439" spans="1:9" x14ac:dyDescent="0.3">
      <c r="A439" t="str">
        <f>""</f>
        <v/>
      </c>
      <c r="F439" t="str">
        <f>""</f>
        <v/>
      </c>
      <c r="G439" t="str">
        <f>""</f>
        <v/>
      </c>
      <c r="I439" t="str">
        <f>"INDIGENT HEALTH"</f>
        <v>INDIGENT HEALTH</v>
      </c>
    </row>
    <row r="440" spans="1:9" x14ac:dyDescent="0.3">
      <c r="A440" t="str">
        <f>"003939"</f>
        <v>003939</v>
      </c>
      <c r="B440" t="s">
        <v>114</v>
      </c>
      <c r="C440">
        <v>70415</v>
      </c>
      <c r="D440" s="2">
        <v>259.77999999999997</v>
      </c>
      <c r="E440" s="1">
        <v>42877</v>
      </c>
      <c r="F440" t="str">
        <f>"201705172113"</f>
        <v>201705172113</v>
      </c>
      <c r="G440" t="str">
        <f>"INDIGENT HEALTH"</f>
        <v>INDIGENT HEALTH</v>
      </c>
      <c r="H440" s="2">
        <v>259.77999999999997</v>
      </c>
      <c r="I440" t="str">
        <f>"INDIGENT HEALTH"</f>
        <v>INDIGENT HEALTH</v>
      </c>
    </row>
    <row r="441" spans="1:9" x14ac:dyDescent="0.3">
      <c r="A441" t="str">
        <f>""</f>
        <v/>
      </c>
      <c r="F441" t="str">
        <f>""</f>
        <v/>
      </c>
      <c r="G441" t="str">
        <f>""</f>
        <v/>
      </c>
      <c r="I441" t="str">
        <f>"INDIGENT HEALTH"</f>
        <v>INDIGENT HEALTH</v>
      </c>
    </row>
    <row r="442" spans="1:9" x14ac:dyDescent="0.3">
      <c r="A442" t="str">
        <f>"CONTEC"</f>
        <v>CONTEC</v>
      </c>
      <c r="B442" t="s">
        <v>115</v>
      </c>
      <c r="C442">
        <v>70135</v>
      </c>
      <c r="D442" s="2">
        <v>5067.2</v>
      </c>
      <c r="E442" s="1">
        <v>42863</v>
      </c>
      <c r="F442" t="str">
        <f>"14749100"</f>
        <v>14749100</v>
      </c>
      <c r="G442" t="str">
        <f>"REF#117267785 SO/PIPES/PCT#4"</f>
        <v>REF#117267785 SO/PIPES/PCT#4</v>
      </c>
      <c r="H442" s="2">
        <v>5067.2</v>
      </c>
      <c r="I442" t="str">
        <f>"REF#117267785 SO/PIPES/PCT#4"</f>
        <v>REF#117267785 SO/PIPES/PCT#4</v>
      </c>
    </row>
    <row r="443" spans="1:9" x14ac:dyDescent="0.3">
      <c r="A443" t="str">
        <f>"005052"</f>
        <v>005052</v>
      </c>
      <c r="B443" t="s">
        <v>116</v>
      </c>
      <c r="C443">
        <v>70136</v>
      </c>
      <c r="D443" s="2">
        <v>200</v>
      </c>
      <c r="E443" s="1">
        <v>42863</v>
      </c>
      <c r="F443" t="str">
        <f>"4116"</f>
        <v>4116</v>
      </c>
      <c r="G443" t="str">
        <f>"ORDER#M372980//BLDG MOVE/AC"</f>
        <v>ORDER#M372980//BLDG MOVE/AC</v>
      </c>
      <c r="H443" s="2">
        <v>200</v>
      </c>
      <c r="I443" t="str">
        <f>"ORDER#M372980//BLDG MOVE/AC"</f>
        <v>ORDER#M372980//BLDG MOVE/AC</v>
      </c>
    </row>
    <row r="444" spans="1:9" x14ac:dyDescent="0.3">
      <c r="A444" t="str">
        <f>"CEC"</f>
        <v>CEC</v>
      </c>
      <c r="B444" t="s">
        <v>117</v>
      </c>
      <c r="C444">
        <v>70137</v>
      </c>
      <c r="D444" s="2">
        <v>3669.96</v>
      </c>
      <c r="E444" s="1">
        <v>42863</v>
      </c>
      <c r="F444" t="str">
        <f>"WR17151"</f>
        <v>WR17151</v>
      </c>
      <c r="G444" t="str">
        <f>"CUST#353/PCT#2"</f>
        <v>CUST#353/PCT#2</v>
      </c>
      <c r="H444" s="2">
        <v>3669.96</v>
      </c>
      <c r="I444" t="str">
        <f>"CUST#353/PCT#2"</f>
        <v>CUST#353/PCT#2</v>
      </c>
    </row>
    <row r="445" spans="1:9" x14ac:dyDescent="0.3">
      <c r="A445" t="str">
        <f>"CEC"</f>
        <v>CEC</v>
      </c>
      <c r="B445" t="s">
        <v>117</v>
      </c>
      <c r="C445">
        <v>70416</v>
      </c>
      <c r="D445" s="2">
        <v>1661.81</v>
      </c>
      <c r="E445" s="1">
        <v>42877</v>
      </c>
      <c r="F445" t="str">
        <f>"201705162092"</f>
        <v>201705162092</v>
      </c>
      <c r="G445" t="str">
        <f>"INV WR17328"</f>
        <v>INV WR17328</v>
      </c>
      <c r="H445" s="2">
        <v>1661.81</v>
      </c>
      <c r="I445" t="str">
        <f>"INV WR17328 PCT 2"</f>
        <v>INV WR17328 PCT 2</v>
      </c>
    </row>
    <row r="446" spans="1:9" x14ac:dyDescent="0.3">
      <c r="A446" t="str">
        <f>"001457"</f>
        <v>001457</v>
      </c>
      <c r="B446" t="s">
        <v>118</v>
      </c>
      <c r="C446">
        <v>70138</v>
      </c>
      <c r="D446" s="2">
        <v>18437</v>
      </c>
      <c r="E446" s="1">
        <v>42863</v>
      </c>
      <c r="F446" t="str">
        <f>"15197"</f>
        <v>15197</v>
      </c>
      <c r="G446" t="str">
        <f>"ACCT#2510/PCT#4"</f>
        <v>ACCT#2510/PCT#4</v>
      </c>
      <c r="H446" s="2">
        <v>125</v>
      </c>
      <c r="I446" t="str">
        <f>"ACCT#2510/PCT#4"</f>
        <v>ACCT#2510/PCT#4</v>
      </c>
    </row>
    <row r="447" spans="1:9" x14ac:dyDescent="0.3">
      <c r="A447" t="str">
        <f>""</f>
        <v/>
      </c>
      <c r="F447" t="str">
        <f>"201705031776"</f>
        <v>201705031776</v>
      </c>
      <c r="G447" t="str">
        <f>"SO Key Card Upgrade"</f>
        <v>SO Key Card Upgrade</v>
      </c>
      <c r="H447" s="2">
        <v>18312</v>
      </c>
      <c r="I447" t="str">
        <f>"Door IP Controller"</f>
        <v>Door IP Controller</v>
      </c>
    </row>
    <row r="448" spans="1:9" x14ac:dyDescent="0.3">
      <c r="A448" t="str">
        <f>""</f>
        <v/>
      </c>
      <c r="F448" t="str">
        <f>""</f>
        <v/>
      </c>
      <c r="G448" t="str">
        <f>""</f>
        <v/>
      </c>
      <c r="I448" t="str">
        <f>"ES-2RSC2"</f>
        <v>ES-2RSC2</v>
      </c>
    </row>
    <row r="449" spans="1:9" x14ac:dyDescent="0.3">
      <c r="A449" t="str">
        <f>""</f>
        <v/>
      </c>
      <c r="F449" t="str">
        <f>""</f>
        <v/>
      </c>
      <c r="G449" t="str">
        <f>""</f>
        <v/>
      </c>
      <c r="I449" t="str">
        <f>"DNA-SC-10 additional"</f>
        <v>DNA-SC-10 additional</v>
      </c>
    </row>
    <row r="450" spans="1:9" x14ac:dyDescent="0.3">
      <c r="A450" t="str">
        <f>""</f>
        <v/>
      </c>
      <c r="F450" t="str">
        <f>""</f>
        <v/>
      </c>
      <c r="G450" t="str">
        <f>""</f>
        <v/>
      </c>
      <c r="I450" t="str">
        <f>"MultiClass Card Read"</f>
        <v>MultiClass Card Read</v>
      </c>
    </row>
    <row r="451" spans="1:9" x14ac:dyDescent="0.3">
      <c r="A451" t="str">
        <f>""</f>
        <v/>
      </c>
      <c r="F451" t="str">
        <f>""</f>
        <v/>
      </c>
      <c r="G451" t="str">
        <f>""</f>
        <v/>
      </c>
      <c r="I451" t="str">
        <f>"Power Supply"</f>
        <v>Power Supply</v>
      </c>
    </row>
    <row r="452" spans="1:9" x14ac:dyDescent="0.3">
      <c r="A452" t="str">
        <f>""</f>
        <v/>
      </c>
      <c r="F452" t="str">
        <f>""</f>
        <v/>
      </c>
      <c r="G452" t="str">
        <f>""</f>
        <v/>
      </c>
      <c r="I452" t="str">
        <f>"Wire  Misc  Material"</f>
        <v>Wire  Misc  Material</v>
      </c>
    </row>
    <row r="453" spans="1:9" x14ac:dyDescent="0.3">
      <c r="A453" t="str">
        <f>""</f>
        <v/>
      </c>
      <c r="F453" t="str">
        <f>""</f>
        <v/>
      </c>
      <c r="G453" t="str">
        <f>""</f>
        <v/>
      </c>
      <c r="I453" t="str">
        <f>"Installation"</f>
        <v>Installation</v>
      </c>
    </row>
    <row r="454" spans="1:9" x14ac:dyDescent="0.3">
      <c r="A454" t="str">
        <f>"001457"</f>
        <v>001457</v>
      </c>
      <c r="B454" t="s">
        <v>118</v>
      </c>
      <c r="C454">
        <v>70417</v>
      </c>
      <c r="D454" s="2">
        <v>1366</v>
      </c>
      <c r="E454" s="1">
        <v>42877</v>
      </c>
      <c r="F454" t="str">
        <f>"201705172271"</f>
        <v>201705172271</v>
      </c>
      <c r="G454" t="str">
        <f>"INV 14330 JULY 2016 UNPD"</f>
        <v>INV 14330 JULY 2016 UNPD</v>
      </c>
      <c r="H454" s="2">
        <v>1366</v>
      </c>
      <c r="I454" t="str">
        <f>"INV 14330 JULY 2016 UNPD"</f>
        <v>INV 14330 JULY 2016 UNPD</v>
      </c>
    </row>
    <row r="455" spans="1:9" x14ac:dyDescent="0.3">
      <c r="A455" t="str">
        <f>"001894"</f>
        <v>001894</v>
      </c>
      <c r="B455" t="s">
        <v>119</v>
      </c>
      <c r="C455">
        <v>70418</v>
      </c>
      <c r="D455" s="2">
        <v>438.18</v>
      </c>
      <c r="E455" s="1">
        <v>42877</v>
      </c>
      <c r="F455" t="str">
        <f>"201705121962"</f>
        <v>201705121962</v>
      </c>
      <c r="G455" t="str">
        <f>"INV P17907 P18005  BASTR002"</f>
        <v>INV P17907 P18005  BASTR002</v>
      </c>
      <c r="H455" s="2">
        <v>438.18</v>
      </c>
      <c r="I455" t="str">
        <f>"INV P17907 P18005  BASTR002"</f>
        <v>INV P17907 P18005  BASTR002</v>
      </c>
    </row>
    <row r="456" spans="1:9" x14ac:dyDescent="0.3">
      <c r="A456" t="str">
        <f>"002938"</f>
        <v>002938</v>
      </c>
      <c r="B456" t="s">
        <v>120</v>
      </c>
      <c r="C456">
        <v>70139</v>
      </c>
      <c r="D456" s="2">
        <v>88</v>
      </c>
      <c r="E456" s="1">
        <v>42863</v>
      </c>
      <c r="F456" t="str">
        <f>"21709"</f>
        <v>21709</v>
      </c>
      <c r="G456" t="str">
        <f>"INV 21709"</f>
        <v>INV 21709</v>
      </c>
      <c r="H456" s="2">
        <v>88</v>
      </c>
      <c r="I456" t="str">
        <f>"INV 21709"</f>
        <v>INV 21709</v>
      </c>
    </row>
    <row r="457" spans="1:9" x14ac:dyDescent="0.3">
      <c r="A457" t="str">
        <f>"004106"</f>
        <v>004106</v>
      </c>
      <c r="B457" t="s">
        <v>121</v>
      </c>
      <c r="C457">
        <v>70140</v>
      </c>
      <c r="D457" s="2">
        <v>1125</v>
      </c>
      <c r="E457" s="1">
        <v>42863</v>
      </c>
      <c r="F457" t="str">
        <f>"201705031650"</f>
        <v>201705031650</v>
      </c>
      <c r="G457" t="str">
        <f>"PSYCHOLOGICAL EVAL/J ELVING"</f>
        <v>PSYCHOLOGICAL EVAL/J ELVING</v>
      </c>
      <c r="H457" s="2">
        <v>250</v>
      </c>
      <c r="I457" t="str">
        <f>"PSYCHOLOGICAL EVAL/J ELVING"</f>
        <v>PSYCHOLOGICAL EVAL/J ELVING</v>
      </c>
    </row>
    <row r="458" spans="1:9" x14ac:dyDescent="0.3">
      <c r="A458" t="str">
        <f>""</f>
        <v/>
      </c>
      <c r="F458" t="str">
        <f>"201705031780"</f>
        <v>201705031780</v>
      </c>
      <c r="G458" t="str">
        <f>"APRIL SERVICES"</f>
        <v>APRIL SERVICES</v>
      </c>
      <c r="H458" s="2">
        <v>875</v>
      </c>
      <c r="I458" t="str">
        <f>"APRIL SERVICES"</f>
        <v>APRIL SERVICES</v>
      </c>
    </row>
    <row r="459" spans="1:9" x14ac:dyDescent="0.3">
      <c r="A459" t="str">
        <f>"T11708"</f>
        <v>T11708</v>
      </c>
      <c r="B459" t="s">
        <v>122</v>
      </c>
      <c r="C459">
        <v>70141</v>
      </c>
      <c r="D459" s="2">
        <v>150</v>
      </c>
      <c r="E459" s="1">
        <v>42863</v>
      </c>
      <c r="F459" t="str">
        <f>"201705031647"</f>
        <v>201705031647</v>
      </c>
      <c r="G459" t="str">
        <f>"2 OFFICE CLEANINGS/PCT#2"</f>
        <v>2 OFFICE CLEANINGS/PCT#2</v>
      </c>
      <c r="H459" s="2">
        <v>150</v>
      </c>
      <c r="I459" t="str">
        <f>"2 OFFICE CLEANINGS/PCT#2"</f>
        <v>2 OFFICE CLEANINGS/PCT#2</v>
      </c>
    </row>
    <row r="460" spans="1:9" x14ac:dyDescent="0.3">
      <c r="A460" t="str">
        <f>"003839"</f>
        <v>003839</v>
      </c>
      <c r="B460" t="s">
        <v>123</v>
      </c>
      <c r="C460">
        <v>70142</v>
      </c>
      <c r="D460" s="2">
        <v>1287</v>
      </c>
      <c r="E460" s="1">
        <v>42863</v>
      </c>
      <c r="F460" t="str">
        <f>"69819"</f>
        <v>69819</v>
      </c>
      <c r="G460" t="str">
        <f>"CUST#40-2498/CCAL"</f>
        <v>CUST#40-2498/CCAL</v>
      </c>
      <c r="H460" s="2">
        <v>346.5</v>
      </c>
      <c r="I460" t="str">
        <f>"CUST#40-2498/CCAL"</f>
        <v>CUST#40-2498/CCAL</v>
      </c>
    </row>
    <row r="461" spans="1:9" x14ac:dyDescent="0.3">
      <c r="A461" t="str">
        <f>""</f>
        <v/>
      </c>
      <c r="F461" t="str">
        <f>"80989"</f>
        <v>80989</v>
      </c>
      <c r="G461" t="str">
        <f>"CUST#40-2498/CCAL"</f>
        <v>CUST#40-2498/CCAL</v>
      </c>
      <c r="H461" s="2">
        <v>940.5</v>
      </c>
      <c r="I461" t="str">
        <f>"CUST#40-2498/CCAL"</f>
        <v>CUST#40-2498/CCAL</v>
      </c>
    </row>
    <row r="462" spans="1:9" x14ac:dyDescent="0.3">
      <c r="A462" t="str">
        <f>"003136"</f>
        <v>003136</v>
      </c>
      <c r="B462" t="s">
        <v>124</v>
      </c>
      <c r="C462">
        <v>70508</v>
      </c>
      <c r="D462" s="2">
        <v>110.5</v>
      </c>
      <c r="E462" s="1">
        <v>42877</v>
      </c>
      <c r="F462" t="str">
        <f>"201705172279"</f>
        <v>201705172279</v>
      </c>
      <c r="G462" t="str">
        <f>"TOLL BILLS ANIMAL CONTROL"</f>
        <v>TOLL BILLS ANIMAL CONTROL</v>
      </c>
      <c r="H462" s="2">
        <v>110.5</v>
      </c>
      <c r="I462" t="str">
        <f>"REF ID OJO165"</f>
        <v>REF ID OJO165</v>
      </c>
    </row>
    <row r="463" spans="1:9" x14ac:dyDescent="0.3">
      <c r="A463" t="str">
        <f>""</f>
        <v/>
      </c>
      <c r="F463" t="str">
        <f>""</f>
        <v/>
      </c>
      <c r="G463" t="str">
        <f>""</f>
        <v/>
      </c>
      <c r="I463" t="str">
        <f>"REF ID PIQ178"</f>
        <v>REF ID PIQ178</v>
      </c>
    </row>
    <row r="464" spans="1:9" x14ac:dyDescent="0.3">
      <c r="A464" t="str">
        <f>""</f>
        <v/>
      </c>
      <c r="F464" t="str">
        <f>""</f>
        <v/>
      </c>
      <c r="G464" t="str">
        <f>""</f>
        <v/>
      </c>
      <c r="I464" t="str">
        <f>"REF ID PQG066"</f>
        <v>REF ID PQG066</v>
      </c>
    </row>
    <row r="465" spans="1:9" x14ac:dyDescent="0.3">
      <c r="A465" t="str">
        <f>""</f>
        <v/>
      </c>
      <c r="F465" t="str">
        <f>""</f>
        <v/>
      </c>
      <c r="G465" t="str">
        <f>""</f>
        <v/>
      </c>
      <c r="I465" t="str">
        <f>"REF ID OUQ353"</f>
        <v>REF ID OUQ353</v>
      </c>
    </row>
    <row r="466" spans="1:9" x14ac:dyDescent="0.3">
      <c r="A466" t="str">
        <f>"T14390"</f>
        <v>T14390</v>
      </c>
      <c r="B466" t="s">
        <v>125</v>
      </c>
      <c r="C466">
        <v>70144</v>
      </c>
      <c r="D466" s="2">
        <v>1444.58</v>
      </c>
      <c r="E466" s="1">
        <v>42863</v>
      </c>
      <c r="F466" t="str">
        <f>"GV08726-228057"</f>
        <v>GV08726-228057</v>
      </c>
      <c r="G466" t="str">
        <f>"ACCT#0008726/HR"</f>
        <v>ACCT#0008726/HR</v>
      </c>
      <c r="H466" s="2">
        <v>1444.58</v>
      </c>
      <c r="I466" t="str">
        <f>"ACCT#0008726/HR"</f>
        <v>ACCT#0008726/HR</v>
      </c>
    </row>
    <row r="467" spans="1:9" x14ac:dyDescent="0.3">
      <c r="A467" t="str">
        <f>"T9280"</f>
        <v>T9280</v>
      </c>
      <c r="B467" t="s">
        <v>126</v>
      </c>
      <c r="C467">
        <v>70420</v>
      </c>
      <c r="D467" s="2">
        <v>3686.43</v>
      </c>
      <c r="E467" s="1">
        <v>42877</v>
      </c>
      <c r="F467" t="str">
        <f>"289268"</f>
        <v>289268</v>
      </c>
      <c r="G467" t="str">
        <f>"RE: 16BCP04A"</f>
        <v>RE: 16BCP04A</v>
      </c>
      <c r="H467" s="2">
        <v>3686.43</v>
      </c>
      <c r="I467" t="s">
        <v>127</v>
      </c>
    </row>
    <row r="468" spans="1:9" x14ac:dyDescent="0.3">
      <c r="A468" t="str">
        <f>""</f>
        <v/>
      </c>
      <c r="F468" t="str">
        <f>""</f>
        <v/>
      </c>
      <c r="G468" t="str">
        <f>""</f>
        <v/>
      </c>
      <c r="I468" t="str">
        <f>"10'x2# Green"</f>
        <v>10'x2# Green</v>
      </c>
    </row>
    <row r="469" spans="1:9" x14ac:dyDescent="0.3">
      <c r="A469" t="str">
        <f>""</f>
        <v/>
      </c>
      <c r="F469" t="str">
        <f>""</f>
        <v/>
      </c>
      <c r="G469" t="str">
        <f>""</f>
        <v/>
      </c>
      <c r="I469" t="str">
        <f>"12'x2# Green"</f>
        <v>12'x2# Green</v>
      </c>
    </row>
    <row r="470" spans="1:9" x14ac:dyDescent="0.3">
      <c r="A470" t="str">
        <f>""</f>
        <v/>
      </c>
      <c r="F470" t="str">
        <f>""</f>
        <v/>
      </c>
      <c r="G470" t="str">
        <f>""</f>
        <v/>
      </c>
      <c r="I470" t="s">
        <v>128</v>
      </c>
    </row>
    <row r="471" spans="1:9" x14ac:dyDescent="0.3">
      <c r="A471" t="str">
        <f>""</f>
        <v/>
      </c>
      <c r="F471" t="str">
        <f>""</f>
        <v/>
      </c>
      <c r="G471" t="str">
        <f>""</f>
        <v/>
      </c>
      <c r="I471" t="s">
        <v>129</v>
      </c>
    </row>
    <row r="472" spans="1:9" x14ac:dyDescent="0.3">
      <c r="A472" t="str">
        <f>"004072"</f>
        <v>004072</v>
      </c>
      <c r="B472" t="s">
        <v>130</v>
      </c>
      <c r="C472">
        <v>70421</v>
      </c>
      <c r="D472" s="2">
        <v>224.93</v>
      </c>
      <c r="E472" s="1">
        <v>42877</v>
      </c>
      <c r="F472" t="str">
        <f>"IN1176577"</f>
        <v>IN1176577</v>
      </c>
      <c r="G472" t="str">
        <f>"ACCT #BC11340R756"</f>
        <v>ACCT #BC11340R756</v>
      </c>
      <c r="H472" s="2">
        <v>224.93</v>
      </c>
      <c r="I472" t="str">
        <f>"ACCT #BC11340R756"</f>
        <v>ACCT #BC11340R756</v>
      </c>
    </row>
    <row r="473" spans="1:9" x14ac:dyDescent="0.3">
      <c r="A473" t="str">
        <f>"T7935"</f>
        <v>T7935</v>
      </c>
      <c r="B473" t="s">
        <v>131</v>
      </c>
      <c r="C473">
        <v>70145</v>
      </c>
      <c r="D473" s="2">
        <v>140.32</v>
      </c>
      <c r="E473" s="1">
        <v>42863</v>
      </c>
      <c r="F473" t="str">
        <f>"31512381-46"</f>
        <v>31512381-46</v>
      </c>
      <c r="G473" t="str">
        <f>"COPIER LEASE/PURCHASING"</f>
        <v>COPIER LEASE/PURCHASING</v>
      </c>
      <c r="H473" s="2">
        <v>140.32</v>
      </c>
      <c r="I473" t="str">
        <f>"COPIER LEASE/PURCHASING"</f>
        <v>COPIER LEASE/PURCHASING</v>
      </c>
    </row>
    <row r="474" spans="1:9" x14ac:dyDescent="0.3">
      <c r="A474" t="str">
        <f>"005054"</f>
        <v>005054</v>
      </c>
      <c r="B474" t="s">
        <v>132</v>
      </c>
      <c r="C474">
        <v>70146</v>
      </c>
      <c r="D474" s="2">
        <v>449.76</v>
      </c>
      <c r="E474" s="1">
        <v>42863</v>
      </c>
      <c r="F474" t="str">
        <f>"17-S-01446"</f>
        <v>17-S-01446</v>
      </c>
      <c r="G474" t="str">
        <f>"REIMB-DAMAGES"</f>
        <v>REIMB-DAMAGES</v>
      </c>
      <c r="H474" s="2">
        <v>449.76</v>
      </c>
      <c r="I474" t="str">
        <f>"REIMB-DAMAGES"</f>
        <v>REIMB-DAMAGES</v>
      </c>
    </row>
    <row r="475" spans="1:9" x14ac:dyDescent="0.3">
      <c r="A475" t="str">
        <f>"002352"</f>
        <v>002352</v>
      </c>
      <c r="B475" t="s">
        <v>133</v>
      </c>
      <c r="C475">
        <v>70147</v>
      </c>
      <c r="D475" s="2">
        <v>80</v>
      </c>
      <c r="E475" s="1">
        <v>42863</v>
      </c>
      <c r="F475" t="str">
        <f>"12450"</f>
        <v>12450</v>
      </c>
      <c r="G475" t="str">
        <f>"SERVICE/03-02-2017"</f>
        <v>SERVICE/03-02-2017</v>
      </c>
      <c r="H475" s="2">
        <v>80</v>
      </c>
      <c r="I475" t="str">
        <f>"SERVICE/03-02-2017"</f>
        <v>SERVICE/03-02-2017</v>
      </c>
    </row>
    <row r="476" spans="1:9" x14ac:dyDescent="0.3">
      <c r="A476" t="str">
        <f>"005043"</f>
        <v>005043</v>
      </c>
      <c r="B476" t="s">
        <v>134</v>
      </c>
      <c r="C476">
        <v>70148</v>
      </c>
      <c r="D476" s="2">
        <v>258.07</v>
      </c>
      <c r="E476" s="1">
        <v>42863</v>
      </c>
      <c r="F476" t="str">
        <f>"201705021635"</f>
        <v>201705021635</v>
      </c>
      <c r="G476" t="str">
        <f>"PER DIEM-TRAINING &amp; MILEAGE"</f>
        <v>PER DIEM-TRAINING &amp; MILEAGE</v>
      </c>
      <c r="H476" s="2">
        <v>258.07</v>
      </c>
      <c r="I476" t="str">
        <f>"PER DIEM-TRAINING &amp; MILEAGE"</f>
        <v>PER DIEM-TRAINING &amp; MILEAGE</v>
      </c>
    </row>
    <row r="477" spans="1:9" x14ac:dyDescent="0.3">
      <c r="A477" t="str">
        <f>"BROOKS"</f>
        <v>BROOKS</v>
      </c>
      <c r="B477" t="s">
        <v>135</v>
      </c>
      <c r="C477">
        <v>70149</v>
      </c>
      <c r="D477" s="2">
        <v>100</v>
      </c>
      <c r="E477" s="1">
        <v>42863</v>
      </c>
      <c r="F477" t="str">
        <f>"201705031660"</f>
        <v>201705031660</v>
      </c>
      <c r="G477" t="str">
        <f>"LEGAL CONSULT SERVICES/APR'17"</f>
        <v>LEGAL CONSULT SERVICES/APR'17</v>
      </c>
      <c r="H477" s="2">
        <v>100</v>
      </c>
      <c r="I477" t="str">
        <f>"LEGAL CONSULT SERVICES/APR'17"</f>
        <v>LEGAL CONSULT SERVICES/APR'17</v>
      </c>
    </row>
    <row r="478" spans="1:9" x14ac:dyDescent="0.3">
      <c r="A478" t="str">
        <f>"003335"</f>
        <v>003335</v>
      </c>
      <c r="B478" t="s">
        <v>136</v>
      </c>
      <c r="C478">
        <v>70150</v>
      </c>
      <c r="D478" s="2">
        <v>1160</v>
      </c>
      <c r="E478" s="1">
        <v>42863</v>
      </c>
      <c r="F478" t="str">
        <f>"201705031716"</f>
        <v>201705031716</v>
      </c>
      <c r="G478" t="str">
        <f>"16-17819"</f>
        <v>16-17819</v>
      </c>
      <c r="H478" s="2">
        <v>512.5</v>
      </c>
      <c r="I478" t="str">
        <f>"16-17819"</f>
        <v>16-17819</v>
      </c>
    </row>
    <row r="479" spans="1:9" x14ac:dyDescent="0.3">
      <c r="A479" t="str">
        <f>""</f>
        <v/>
      </c>
      <c r="F479" t="str">
        <f>"201705031717"</f>
        <v>201705031717</v>
      </c>
      <c r="G479" t="str">
        <f>"16-18043"</f>
        <v>16-18043</v>
      </c>
      <c r="H479" s="2">
        <v>360</v>
      </c>
      <c r="I479" t="str">
        <f>"16-18043"</f>
        <v>16-18043</v>
      </c>
    </row>
    <row r="480" spans="1:9" x14ac:dyDescent="0.3">
      <c r="A480" t="str">
        <f>""</f>
        <v/>
      </c>
      <c r="F480" t="str">
        <f>"201705031718"</f>
        <v>201705031718</v>
      </c>
      <c r="G480" t="str">
        <f>"15-17513"</f>
        <v>15-17513</v>
      </c>
      <c r="H480" s="2">
        <v>127.5</v>
      </c>
      <c r="I480" t="str">
        <f>"15-17513"</f>
        <v>15-17513</v>
      </c>
    </row>
    <row r="481" spans="1:9" x14ac:dyDescent="0.3">
      <c r="A481" t="str">
        <f>""</f>
        <v/>
      </c>
      <c r="F481" t="str">
        <f>"201705031719"</f>
        <v>201705031719</v>
      </c>
      <c r="G481" t="str">
        <f>"17-18273"</f>
        <v>17-18273</v>
      </c>
      <c r="H481" s="2">
        <v>160</v>
      </c>
      <c r="I481" t="str">
        <f>"17-18273"</f>
        <v>17-18273</v>
      </c>
    </row>
    <row r="482" spans="1:9" x14ac:dyDescent="0.3">
      <c r="A482" t="str">
        <f>"003335"</f>
        <v>003335</v>
      </c>
      <c r="B482" t="s">
        <v>136</v>
      </c>
      <c r="C482">
        <v>70422</v>
      </c>
      <c r="D482" s="2">
        <v>1017.5</v>
      </c>
      <c r="E482" s="1">
        <v>42877</v>
      </c>
      <c r="F482" t="str">
        <f>"201705172127"</f>
        <v>201705172127</v>
      </c>
      <c r="G482" t="str">
        <f>"J-3078 JOSPHINE VECCHIETTI"</f>
        <v>J-3078 JOSPHINE VECCHIETTI</v>
      </c>
      <c r="H482" s="2">
        <v>250</v>
      </c>
      <c r="I482" t="str">
        <f>"J-3078 JOSPHINE VECCHIETTI"</f>
        <v>J-3078 JOSPHINE VECCHIETTI</v>
      </c>
    </row>
    <row r="483" spans="1:9" x14ac:dyDescent="0.3">
      <c r="A483" t="str">
        <f>""</f>
        <v/>
      </c>
      <c r="F483" t="str">
        <f>"201705172202"</f>
        <v>201705172202</v>
      </c>
      <c r="G483" t="str">
        <f>"05-9958"</f>
        <v>05-9958</v>
      </c>
      <c r="H483" s="2">
        <v>130</v>
      </c>
      <c r="I483" t="str">
        <f>"05-9958"</f>
        <v>05-9958</v>
      </c>
    </row>
    <row r="484" spans="1:9" x14ac:dyDescent="0.3">
      <c r="A484" t="str">
        <f>""</f>
        <v/>
      </c>
      <c r="F484" t="str">
        <f>"201705172203"</f>
        <v>201705172203</v>
      </c>
      <c r="G484" t="str">
        <f>"17-18273"</f>
        <v>17-18273</v>
      </c>
      <c r="H484" s="2">
        <v>100</v>
      </c>
      <c r="I484" t="str">
        <f>"17-18273"</f>
        <v>17-18273</v>
      </c>
    </row>
    <row r="485" spans="1:9" x14ac:dyDescent="0.3">
      <c r="A485" t="str">
        <f>""</f>
        <v/>
      </c>
      <c r="F485" t="str">
        <f>"201705172204"</f>
        <v>201705172204</v>
      </c>
      <c r="G485" t="str">
        <f>"16-18023"</f>
        <v>16-18023</v>
      </c>
      <c r="H485" s="2">
        <v>310</v>
      </c>
      <c r="I485" t="str">
        <f>"16-18023"</f>
        <v>16-18023</v>
      </c>
    </row>
    <row r="486" spans="1:9" x14ac:dyDescent="0.3">
      <c r="A486" t="str">
        <f>""</f>
        <v/>
      </c>
      <c r="F486" t="str">
        <f>"201705172205"</f>
        <v>201705172205</v>
      </c>
      <c r="G486" t="str">
        <f>"16-18043"</f>
        <v>16-18043</v>
      </c>
      <c r="H486" s="2">
        <v>227.5</v>
      </c>
      <c r="I486" t="str">
        <f>"16-18043"</f>
        <v>16-18043</v>
      </c>
    </row>
    <row r="487" spans="1:9" x14ac:dyDescent="0.3">
      <c r="A487" t="str">
        <f>"US"</f>
        <v>US</v>
      </c>
      <c r="B487" t="s">
        <v>137</v>
      </c>
      <c r="C487">
        <v>70151</v>
      </c>
      <c r="D487" s="2">
        <v>1860.25</v>
      </c>
      <c r="E487" s="1">
        <v>42863</v>
      </c>
      <c r="F487" t="str">
        <f>"201705031664"</f>
        <v>201705031664</v>
      </c>
      <c r="G487" t="str">
        <f>"CASE#17-S-00957/A RUIZ"</f>
        <v>CASE#17-S-00957/A RUIZ</v>
      </c>
      <c r="H487" s="2">
        <v>1000</v>
      </c>
      <c r="I487" t="str">
        <f>"CASE#17-S-00957/A RUIZ"</f>
        <v>CASE#17-S-00957/A RUIZ</v>
      </c>
    </row>
    <row r="488" spans="1:9" x14ac:dyDescent="0.3">
      <c r="A488" t="str">
        <f>""</f>
        <v/>
      </c>
      <c r="F488" t="str">
        <f>"201705031665"</f>
        <v>201705031665</v>
      </c>
      <c r="G488" t="str">
        <f>"CASE#17-J00041/L DAWSON"</f>
        <v>CASE#17-J00041/L DAWSON</v>
      </c>
      <c r="H488" s="2">
        <v>860.25</v>
      </c>
      <c r="I488" t="str">
        <f>"CASE#17-J00041/L DAWSON"</f>
        <v>CASE#17-J00041/L DAWSON</v>
      </c>
    </row>
    <row r="489" spans="1:9" x14ac:dyDescent="0.3">
      <c r="A489" t="str">
        <f>"004270"</f>
        <v>004270</v>
      </c>
      <c r="B489" t="s">
        <v>138</v>
      </c>
      <c r="C489">
        <v>70152</v>
      </c>
      <c r="D489" s="2">
        <v>10875.36</v>
      </c>
      <c r="E489" s="1">
        <v>42863</v>
      </c>
      <c r="F489" t="str">
        <f>"201705021601"</f>
        <v>201705021601</v>
      </c>
      <c r="G489" t="str">
        <f>"HARD DRIVES"</f>
        <v>HARD DRIVES</v>
      </c>
      <c r="H489" s="2">
        <v>10875.36</v>
      </c>
      <c r="I489" t="str">
        <f>"HARD DRIVES"</f>
        <v>HARD DRIVES</v>
      </c>
    </row>
    <row r="490" spans="1:9" x14ac:dyDescent="0.3">
      <c r="A490" t="str">
        <f>"DENTRU"</f>
        <v>DENTRU</v>
      </c>
      <c r="B490" t="s">
        <v>139</v>
      </c>
      <c r="C490">
        <v>70423</v>
      </c>
      <c r="D490" s="2">
        <v>1830</v>
      </c>
      <c r="E490" s="1">
        <v>42877</v>
      </c>
      <c r="F490" t="str">
        <f>"BATX014661"</f>
        <v>BATX014661</v>
      </c>
      <c r="G490" t="str">
        <f>"APRIL DENTAL SERVICE"</f>
        <v>APRIL DENTAL SERVICE</v>
      </c>
      <c r="H490" s="2">
        <v>1830</v>
      </c>
      <c r="I490" t="str">
        <f>"APRIL DENTAL SERVICE"</f>
        <v>APRIL DENTAL SERVICE</v>
      </c>
    </row>
    <row r="491" spans="1:9" x14ac:dyDescent="0.3">
      <c r="A491" t="str">
        <f>"003766"</f>
        <v>003766</v>
      </c>
      <c r="B491" t="s">
        <v>140</v>
      </c>
      <c r="C491">
        <v>70153</v>
      </c>
      <c r="D491" s="2">
        <v>1272.45</v>
      </c>
      <c r="E491" s="1">
        <v>42863</v>
      </c>
      <c r="F491" t="str">
        <f>"94677"</f>
        <v>94677</v>
      </c>
      <c r="G491" t="str">
        <f>"INV94677 GLOVES"</f>
        <v>INV94677 GLOVES</v>
      </c>
      <c r="H491" s="2">
        <v>1272.45</v>
      </c>
      <c r="I491" t="str">
        <f>"INV94677 GLOVES"</f>
        <v>INV94677 GLOVES</v>
      </c>
    </row>
    <row r="492" spans="1:9" x14ac:dyDescent="0.3">
      <c r="A492" t="str">
        <f>"T5686"</f>
        <v>T5686</v>
      </c>
      <c r="B492" t="s">
        <v>141</v>
      </c>
      <c r="C492">
        <v>70424</v>
      </c>
      <c r="D492" s="2">
        <v>377.45</v>
      </c>
      <c r="E492" s="1">
        <v>42877</v>
      </c>
      <c r="F492" t="str">
        <f>"201705172213"</f>
        <v>201705172213</v>
      </c>
      <c r="G492" t="str">
        <f>"DICKENS LOCKSMITH INC"</f>
        <v>DICKENS LOCKSMITH INC</v>
      </c>
      <c r="H492" s="2">
        <v>320.5</v>
      </c>
      <c r="I492" t="str">
        <f>"DICKENS LOCKSMITH INC"</f>
        <v>DICKENS LOCKSMITH INC</v>
      </c>
    </row>
    <row r="493" spans="1:9" x14ac:dyDescent="0.3">
      <c r="A493" t="str">
        <f>""</f>
        <v/>
      </c>
      <c r="F493" t="str">
        <f>"23501"</f>
        <v>23501</v>
      </c>
      <c r="G493" t="str">
        <f>"KEYS PCT#1"</f>
        <v>KEYS PCT#1</v>
      </c>
      <c r="H493" s="2">
        <v>48.95</v>
      </c>
      <c r="I493" t="str">
        <f>"KEYS PCT#1"</f>
        <v>KEYS PCT#1</v>
      </c>
    </row>
    <row r="494" spans="1:9" x14ac:dyDescent="0.3">
      <c r="A494" t="str">
        <f>""</f>
        <v/>
      </c>
      <c r="F494" t="str">
        <f>"NO23471"</f>
        <v>NO23471</v>
      </c>
      <c r="G494" t="str">
        <f>"KEY NO23471"</f>
        <v>KEY NO23471</v>
      </c>
      <c r="H494" s="2">
        <v>8</v>
      </c>
      <c r="I494" t="str">
        <f>"KEY NO23471"</f>
        <v>KEY NO23471</v>
      </c>
    </row>
    <row r="495" spans="1:9" x14ac:dyDescent="0.3">
      <c r="A495" t="str">
        <f>"004013"</f>
        <v>004013</v>
      </c>
      <c r="B495" t="s">
        <v>142</v>
      </c>
      <c r="C495">
        <v>70425</v>
      </c>
      <c r="D495" s="2">
        <v>100</v>
      </c>
      <c r="E495" s="1">
        <v>42877</v>
      </c>
      <c r="F495" t="str">
        <f>"201705162037"</f>
        <v>201705162037</v>
      </c>
      <c r="G495" t="str">
        <f>"FERAL HOGS"</f>
        <v>FERAL HOGS</v>
      </c>
      <c r="H495" s="2">
        <v>100</v>
      </c>
      <c r="I495" t="str">
        <f>"FERAL HOGS"</f>
        <v>FERAL HOGS</v>
      </c>
    </row>
    <row r="496" spans="1:9" x14ac:dyDescent="0.3">
      <c r="A496" t="str">
        <f>"001911"</f>
        <v>001911</v>
      </c>
      <c r="B496" t="s">
        <v>143</v>
      </c>
      <c r="C496">
        <v>70154</v>
      </c>
      <c r="D496" s="2">
        <v>2390.2600000000002</v>
      </c>
      <c r="E496" s="1">
        <v>42863</v>
      </c>
      <c r="F496" t="str">
        <f>"201705021623"</f>
        <v>201705021623</v>
      </c>
      <c r="G496" t="str">
        <f>"CUST#PKE5000"</f>
        <v>CUST#PKE5000</v>
      </c>
      <c r="H496" s="2">
        <v>2390.2600000000002</v>
      </c>
      <c r="I496" t="str">
        <f>"CUST#PKE5000"</f>
        <v>CUST#PKE5000</v>
      </c>
    </row>
    <row r="497" spans="1:9" x14ac:dyDescent="0.3">
      <c r="A497" t="str">
        <f>""</f>
        <v/>
      </c>
      <c r="F497" t="str">
        <f>""</f>
        <v/>
      </c>
      <c r="G497" t="str">
        <f>""</f>
        <v/>
      </c>
      <c r="I497" t="str">
        <f>"CUST#PKE5000"</f>
        <v>CUST#PKE5000</v>
      </c>
    </row>
    <row r="498" spans="1:9" x14ac:dyDescent="0.3">
      <c r="A498" t="str">
        <f>"000573"</f>
        <v>000573</v>
      </c>
      <c r="B498" t="s">
        <v>144</v>
      </c>
      <c r="C498">
        <v>70155</v>
      </c>
      <c r="D498" s="2">
        <v>1428.5</v>
      </c>
      <c r="E498" s="1">
        <v>42863</v>
      </c>
      <c r="F498" t="str">
        <f>"81129"</f>
        <v>81129</v>
      </c>
      <c r="G498" t="str">
        <f>"ACCT#16787/DOME CAPS/PCT#3"</f>
        <v>ACCT#16787/DOME CAPS/PCT#3</v>
      </c>
      <c r="H498" s="2">
        <v>87</v>
      </c>
      <c r="I498" t="str">
        <f>"ACCT#16787/DOME CAPS/PCT#3"</f>
        <v>ACCT#16787/DOME CAPS/PCT#3</v>
      </c>
    </row>
    <row r="499" spans="1:9" x14ac:dyDescent="0.3">
      <c r="A499" t="str">
        <f>""</f>
        <v/>
      </c>
      <c r="F499" t="str">
        <f>"81133"</f>
        <v>81133</v>
      </c>
      <c r="G499" t="str">
        <f>"ACCT#161787/PIPE/PCT#3"</f>
        <v>ACCT#161787/PIPE/PCT#3</v>
      </c>
      <c r="H499" s="2">
        <v>1341.5</v>
      </c>
      <c r="I499" t="str">
        <f>"ACCT#161787/PIPE/PCT#3"</f>
        <v>ACCT#161787/PIPE/PCT#3</v>
      </c>
    </row>
    <row r="500" spans="1:9" x14ac:dyDescent="0.3">
      <c r="A500" t="str">
        <f>"000573"</f>
        <v>000573</v>
      </c>
      <c r="B500" t="s">
        <v>144</v>
      </c>
      <c r="C500">
        <v>70426</v>
      </c>
      <c r="D500" s="2">
        <v>676.39</v>
      </c>
      <c r="E500" s="1">
        <v>42877</v>
      </c>
      <c r="F500" t="str">
        <f>"13985"</f>
        <v>13985</v>
      </c>
      <c r="G500" t="str">
        <f>"INV 13985"</f>
        <v>INV 13985</v>
      </c>
      <c r="H500" s="2">
        <v>676.39</v>
      </c>
      <c r="I500" t="str">
        <f>"INV 13985"</f>
        <v>INV 13985</v>
      </c>
    </row>
    <row r="501" spans="1:9" x14ac:dyDescent="0.3">
      <c r="A501" t="str">
        <f>"DISCOU"</f>
        <v>DISCOU</v>
      </c>
      <c r="B501" t="s">
        <v>145</v>
      </c>
      <c r="C501">
        <v>70156</v>
      </c>
      <c r="D501" s="2">
        <v>225.74</v>
      </c>
      <c r="E501" s="1">
        <v>42863</v>
      </c>
      <c r="F501" t="str">
        <f>"1401"</f>
        <v>1401</v>
      </c>
      <c r="G501" t="str">
        <f>"INV 1401"</f>
        <v>INV 1401</v>
      </c>
      <c r="H501" s="2">
        <v>225.74</v>
      </c>
      <c r="I501" t="str">
        <f>"INV 1401"</f>
        <v>INV 1401</v>
      </c>
    </row>
    <row r="502" spans="1:9" x14ac:dyDescent="0.3">
      <c r="A502" t="str">
        <f>"004924"</f>
        <v>004924</v>
      </c>
      <c r="B502" t="s">
        <v>146</v>
      </c>
      <c r="C502">
        <v>70072</v>
      </c>
      <c r="D502" s="2">
        <v>562.04999999999995</v>
      </c>
      <c r="E502" s="1">
        <v>42860</v>
      </c>
      <c r="F502" t="str">
        <f>"201705041830"</f>
        <v>201705041830</v>
      </c>
      <c r="G502" t="str">
        <f>"ACCT# 2921"</f>
        <v>ACCT# 2921</v>
      </c>
      <c r="H502" s="2">
        <v>374.7</v>
      </c>
      <c r="I502" t="str">
        <f>"ACCT# 2921"</f>
        <v>ACCT# 2921</v>
      </c>
    </row>
    <row r="503" spans="1:9" x14ac:dyDescent="0.3">
      <c r="A503" t="str">
        <f>""</f>
        <v/>
      </c>
      <c r="F503" t="str">
        <f>"201705041831"</f>
        <v>201705041831</v>
      </c>
      <c r="G503" t="str">
        <f>"ACCT # 2922"</f>
        <v>ACCT # 2922</v>
      </c>
      <c r="H503" s="2">
        <v>187.35</v>
      </c>
      <c r="I503" t="str">
        <f>"ACCT # 2922"</f>
        <v>ACCT # 2922</v>
      </c>
    </row>
    <row r="504" spans="1:9" x14ac:dyDescent="0.3">
      <c r="A504" t="str">
        <f>"T13918"</f>
        <v>T13918</v>
      </c>
      <c r="B504" t="s">
        <v>147</v>
      </c>
      <c r="C504">
        <v>70157</v>
      </c>
      <c r="D504" s="2">
        <v>1363.36</v>
      </c>
      <c r="E504" s="1">
        <v>42863</v>
      </c>
      <c r="F504" t="str">
        <f>"29377"</f>
        <v>29377</v>
      </c>
      <c r="G504" t="str">
        <f>"ROLLER FOR BULL BAR/PCT#4"</f>
        <v>ROLLER FOR BULL BAR/PCT#4</v>
      </c>
      <c r="H504" s="2">
        <v>389</v>
      </c>
      <c r="I504" t="str">
        <f>"ROLLER FOR BULL BAR/PCT#4"</f>
        <v>ROLLER FOR BULL BAR/PCT#4</v>
      </c>
    </row>
    <row r="505" spans="1:9" x14ac:dyDescent="0.3">
      <c r="A505" t="str">
        <f>""</f>
        <v/>
      </c>
      <c r="F505" t="str">
        <f>"29483"</f>
        <v>29483</v>
      </c>
      <c r="G505" t="str">
        <f>"TARP  MOTOR/PCT#2"</f>
        <v>TARP  MOTOR/PCT#2</v>
      </c>
      <c r="H505" s="2">
        <v>974.36</v>
      </c>
      <c r="I505" t="str">
        <f>"TARP  MOTOR/PCT#2"</f>
        <v>TARP  MOTOR/PCT#2</v>
      </c>
    </row>
    <row r="506" spans="1:9" x14ac:dyDescent="0.3">
      <c r="A506" t="str">
        <f>"T13918"</f>
        <v>T13918</v>
      </c>
      <c r="B506" t="s">
        <v>147</v>
      </c>
      <c r="C506">
        <v>70427</v>
      </c>
      <c r="D506" s="2">
        <v>1772.54</v>
      </c>
      <c r="E506" s="1">
        <v>42877</v>
      </c>
      <c r="F506" t="str">
        <f>"201705162084"</f>
        <v>201705162084</v>
      </c>
      <c r="G506" t="str">
        <f>"INV 29502 29512 29410"</f>
        <v>INV 29502 29512 29410</v>
      </c>
      <c r="H506" s="2">
        <v>1772.54</v>
      </c>
      <c r="I506" t="str">
        <f>"INV 29502"</f>
        <v>INV 29502</v>
      </c>
    </row>
    <row r="507" spans="1:9" x14ac:dyDescent="0.3">
      <c r="A507" t="str">
        <f>""</f>
        <v/>
      </c>
      <c r="F507" t="str">
        <f>""</f>
        <v/>
      </c>
      <c r="G507" t="str">
        <f>""</f>
        <v/>
      </c>
      <c r="I507" t="str">
        <f>"INV 29512"</f>
        <v>INV 29512</v>
      </c>
    </row>
    <row r="508" spans="1:9" x14ac:dyDescent="0.3">
      <c r="A508" t="str">
        <f>""</f>
        <v/>
      </c>
      <c r="F508" t="str">
        <f>""</f>
        <v/>
      </c>
      <c r="G508" t="str">
        <f>""</f>
        <v/>
      </c>
      <c r="I508" t="str">
        <f>"INV 29410"</f>
        <v>INV 29410</v>
      </c>
    </row>
    <row r="509" spans="1:9" x14ac:dyDescent="0.3">
      <c r="A509" t="str">
        <f>"T9323"</f>
        <v>T9323</v>
      </c>
      <c r="B509" t="s">
        <v>148</v>
      </c>
      <c r="C509">
        <v>70158</v>
      </c>
      <c r="D509" s="2">
        <v>1275</v>
      </c>
      <c r="E509" s="1">
        <v>42863</v>
      </c>
      <c r="F509" t="str">
        <f>"201705031736"</f>
        <v>201705031736</v>
      </c>
      <c r="G509" t="str">
        <f>"AC-2017-0224  517-21"</f>
        <v>AC-2017-0224  517-21</v>
      </c>
      <c r="H509" s="2">
        <v>100</v>
      </c>
      <c r="I509" t="str">
        <f>"AC-2017-0224  517-21"</f>
        <v>AC-2017-0224  517-21</v>
      </c>
    </row>
    <row r="510" spans="1:9" x14ac:dyDescent="0.3">
      <c r="A510" t="str">
        <f>""</f>
        <v/>
      </c>
      <c r="F510" t="str">
        <f>"201705031737"</f>
        <v>201705031737</v>
      </c>
      <c r="G510" t="str">
        <f>"304162017 B AND C"</f>
        <v>304162017 B AND C</v>
      </c>
      <c r="H510" s="2">
        <v>200</v>
      </c>
      <c r="I510" t="str">
        <f>"304162017 B AND C"</f>
        <v>304162017 B AND C</v>
      </c>
    </row>
    <row r="511" spans="1:9" x14ac:dyDescent="0.3">
      <c r="A511" t="str">
        <f>""</f>
        <v/>
      </c>
      <c r="F511" t="str">
        <f>"201705031738"</f>
        <v>201705031738</v>
      </c>
      <c r="G511" t="str">
        <f>"02-10241X"</f>
        <v>02-10241X</v>
      </c>
      <c r="H511" s="2">
        <v>250</v>
      </c>
      <c r="I511" t="str">
        <f>"02-10241X"</f>
        <v>02-10241X</v>
      </c>
    </row>
    <row r="512" spans="1:9" x14ac:dyDescent="0.3">
      <c r="A512" t="str">
        <f>""</f>
        <v/>
      </c>
      <c r="F512" t="str">
        <f>"201705031739"</f>
        <v>201705031739</v>
      </c>
      <c r="G512" t="str">
        <f>"54884  54885  CH20161124A"</f>
        <v>54884  54885  CH20161124A</v>
      </c>
      <c r="H512" s="2">
        <v>625</v>
      </c>
      <c r="I512" t="str">
        <f>"54884  54885  CH20161124A"</f>
        <v>54884  54885  CH20161124A</v>
      </c>
    </row>
    <row r="513" spans="1:9" x14ac:dyDescent="0.3">
      <c r="A513" t="str">
        <f>""</f>
        <v/>
      </c>
      <c r="F513" t="str">
        <f>"201705031740"</f>
        <v>201705031740</v>
      </c>
      <c r="G513" t="str">
        <f>"11-14818"</f>
        <v>11-14818</v>
      </c>
      <c r="H513" s="2">
        <v>100</v>
      </c>
      <c r="I513" t="str">
        <f>"11-14818"</f>
        <v>11-14818</v>
      </c>
    </row>
    <row r="514" spans="1:9" x14ac:dyDescent="0.3">
      <c r="A514" t="str">
        <f>"T9323"</f>
        <v>T9323</v>
      </c>
      <c r="B514" t="s">
        <v>148</v>
      </c>
      <c r="C514">
        <v>70428</v>
      </c>
      <c r="D514" s="2">
        <v>2125</v>
      </c>
      <c r="E514" s="1">
        <v>42877</v>
      </c>
      <c r="F514" t="str">
        <f>"201705172133"</f>
        <v>201705172133</v>
      </c>
      <c r="G514" t="str">
        <f>"CASE 091337 AG CASE"</f>
        <v>CASE 091337 AG CASE</v>
      </c>
      <c r="H514" s="2">
        <v>400</v>
      </c>
      <c r="I514" t="str">
        <f>"CASE 091337 AG CASE"</f>
        <v>CASE 091337 AG CASE</v>
      </c>
    </row>
    <row r="515" spans="1:9" x14ac:dyDescent="0.3">
      <c r="A515" t="str">
        <f>""</f>
        <v/>
      </c>
      <c r="F515" t="str">
        <f>"201705172177"</f>
        <v>201705172177</v>
      </c>
      <c r="G515" t="str">
        <f>"16056"</f>
        <v>16056</v>
      </c>
      <c r="H515" s="2">
        <v>400</v>
      </c>
      <c r="I515" t="str">
        <f>"16056"</f>
        <v>16056</v>
      </c>
    </row>
    <row r="516" spans="1:9" x14ac:dyDescent="0.3">
      <c r="A516" t="str">
        <f>""</f>
        <v/>
      </c>
      <c r="F516" t="str">
        <f>"201705172179"</f>
        <v>201705172179</v>
      </c>
      <c r="G516" t="str">
        <f>"303142011G"</f>
        <v>303142011G</v>
      </c>
      <c r="H516" s="2">
        <v>200</v>
      </c>
      <c r="I516" t="str">
        <f>"303142011G"</f>
        <v>303142011G</v>
      </c>
    </row>
    <row r="517" spans="1:9" x14ac:dyDescent="0.3">
      <c r="A517" t="str">
        <f>""</f>
        <v/>
      </c>
      <c r="F517" t="str">
        <f>"201705172180"</f>
        <v>201705172180</v>
      </c>
      <c r="G517" t="str">
        <f>"407252-1MW"</f>
        <v>407252-1MW</v>
      </c>
      <c r="H517" s="2">
        <v>150</v>
      </c>
      <c r="I517" t="str">
        <f>"407252-1MW"</f>
        <v>407252-1MW</v>
      </c>
    </row>
    <row r="518" spans="1:9" x14ac:dyDescent="0.3">
      <c r="A518" t="str">
        <f>""</f>
        <v/>
      </c>
      <c r="F518" t="str">
        <f>"201705172181"</f>
        <v>201705172181</v>
      </c>
      <c r="G518" t="str">
        <f>"304042011A/304042011B"</f>
        <v>304042011A/304042011B</v>
      </c>
      <c r="H518" s="2">
        <v>600</v>
      </c>
      <c r="I518" t="str">
        <f>"304042011A/304042011B"</f>
        <v>304042011A/304042011B</v>
      </c>
    </row>
    <row r="519" spans="1:9" x14ac:dyDescent="0.3">
      <c r="A519" t="str">
        <f>""</f>
        <v/>
      </c>
      <c r="F519" t="str">
        <f>"201705172182"</f>
        <v>201705172182</v>
      </c>
      <c r="G519" t="str">
        <f>"55000 17-00174"</f>
        <v>55000 17-00174</v>
      </c>
      <c r="H519" s="2">
        <v>375</v>
      </c>
      <c r="I519" t="str">
        <f>"55000 17-00174"</f>
        <v>55000 17-00174</v>
      </c>
    </row>
    <row r="520" spans="1:9" x14ac:dyDescent="0.3">
      <c r="A520" t="str">
        <f>"ECOLAB"</f>
        <v>ECOLAB</v>
      </c>
      <c r="B520" t="s">
        <v>149</v>
      </c>
      <c r="C520">
        <v>70159</v>
      </c>
      <c r="D520" s="2">
        <v>941.76</v>
      </c>
      <c r="E520" s="1">
        <v>42863</v>
      </c>
      <c r="F520" t="str">
        <f>"201705021594"</f>
        <v>201705021594</v>
      </c>
      <c r="G520" t="str">
        <f>"INV5380317 KITCHEN"</f>
        <v>INV5380317 KITCHEN</v>
      </c>
      <c r="H520" s="2">
        <v>941.76</v>
      </c>
      <c r="I520" t="str">
        <f>"INV5380317 KITCHEN"</f>
        <v>INV5380317 KITCHEN</v>
      </c>
    </row>
    <row r="521" spans="1:9" x14ac:dyDescent="0.3">
      <c r="A521" t="str">
        <f>""</f>
        <v/>
      </c>
      <c r="F521" t="str">
        <f>""</f>
        <v/>
      </c>
      <c r="G521" t="str">
        <f>""</f>
        <v/>
      </c>
      <c r="I521" t="str">
        <f>"INV5380317 KITCHEN"</f>
        <v>INV5380317 KITCHEN</v>
      </c>
    </row>
    <row r="522" spans="1:9" x14ac:dyDescent="0.3">
      <c r="A522" t="str">
        <f>"005067"</f>
        <v>005067</v>
      </c>
      <c r="B522" t="s">
        <v>150</v>
      </c>
      <c r="C522">
        <v>70429</v>
      </c>
      <c r="D522" s="2">
        <v>30</v>
      </c>
      <c r="E522" s="1">
        <v>42877</v>
      </c>
      <c r="F522" t="str">
        <f>"201705162038"</f>
        <v>201705162038</v>
      </c>
      <c r="G522" t="str">
        <f>"FERAL HOGS"</f>
        <v>FERAL HOGS</v>
      </c>
      <c r="H522" s="2">
        <v>30</v>
      </c>
      <c r="I522" t="str">
        <f>"FERAL HOGS"</f>
        <v>FERAL HOGS</v>
      </c>
    </row>
    <row r="523" spans="1:9" x14ac:dyDescent="0.3">
      <c r="A523" t="str">
        <f>"004061"</f>
        <v>004061</v>
      </c>
      <c r="B523" t="s">
        <v>151</v>
      </c>
      <c r="C523">
        <v>70160</v>
      </c>
      <c r="D523" s="2">
        <v>67911.259999999995</v>
      </c>
      <c r="E523" s="1">
        <v>42863</v>
      </c>
      <c r="F523" t="str">
        <f>"201705031670"</f>
        <v>201705031670</v>
      </c>
      <c r="G523" t="str">
        <f>"ELGIN TIF AD VALOREM/FY 16/17"</f>
        <v>ELGIN TIF AD VALOREM/FY 16/17</v>
      </c>
      <c r="H523" s="2">
        <v>67911.259999999995</v>
      </c>
      <c r="I523" t="str">
        <f>"ELGIN TIF AD VALOREM/FY 16/17"</f>
        <v>ELGIN TIF AD VALOREM/FY 16/17</v>
      </c>
    </row>
    <row r="524" spans="1:9" x14ac:dyDescent="0.3">
      <c r="A524" t="str">
        <f>"003027"</f>
        <v>003027</v>
      </c>
      <c r="B524" t="s">
        <v>152</v>
      </c>
      <c r="C524">
        <v>70430</v>
      </c>
      <c r="D524" s="2">
        <v>22683.82</v>
      </c>
      <c r="E524" s="1">
        <v>42877</v>
      </c>
      <c r="F524" t="str">
        <f>"145-06561-02"</f>
        <v>145-06561-02</v>
      </c>
      <c r="G524" t="str">
        <f>"CANOPY LIGHTING PCT1 BARN"</f>
        <v>CANOPY LIGHTING PCT1 BARN</v>
      </c>
      <c r="H524" s="2">
        <v>8160</v>
      </c>
      <c r="I524" t="str">
        <f>"CANOPY LIGHTING PCT1 BARN"</f>
        <v>CANOPY LIGHTING PCT1 BARN</v>
      </c>
    </row>
    <row r="525" spans="1:9" x14ac:dyDescent="0.3">
      <c r="A525" t="str">
        <f>""</f>
        <v/>
      </c>
      <c r="F525" t="str">
        <f>"145-06561-03"</f>
        <v>145-06561-03</v>
      </c>
      <c r="G525" t="str">
        <f>"ELECTRICAL SUPPLIES PCT1 BARN"</f>
        <v>ELECTRICAL SUPPLIES PCT1 BARN</v>
      </c>
      <c r="H525" s="2">
        <v>49.64</v>
      </c>
      <c r="I525" t="str">
        <f>"ELECTRICAL SUPPLIES PCT1 BARN"</f>
        <v>ELECTRICAL SUPPLIES PCT1 BARN</v>
      </c>
    </row>
    <row r="526" spans="1:9" x14ac:dyDescent="0.3">
      <c r="A526" t="str">
        <f>""</f>
        <v/>
      </c>
      <c r="F526" t="str">
        <f>"145-06801-01"</f>
        <v>145-06801-01</v>
      </c>
      <c r="G526" t="str">
        <f>"CUST ID:  0888336"</f>
        <v>CUST ID:  0888336</v>
      </c>
      <c r="H526" s="2">
        <v>7758.77</v>
      </c>
      <c r="I526" t="str">
        <f>"CUST ID:  0888336"</f>
        <v>CUST ID:  0888336</v>
      </c>
    </row>
    <row r="527" spans="1:9" x14ac:dyDescent="0.3">
      <c r="A527" t="str">
        <f>""</f>
        <v/>
      </c>
      <c r="F527" t="str">
        <f>"145-07111-01"</f>
        <v>145-07111-01</v>
      </c>
      <c r="G527" t="str">
        <f>"CUST JOB PC1 BARN SUPPLIES"</f>
        <v>CUST JOB PC1 BARN SUPPLIES</v>
      </c>
      <c r="H527" s="2">
        <v>5866.53</v>
      </c>
      <c r="I527" t="str">
        <f>"CUST JOB PC1 BARN SUPPLIES"</f>
        <v>CUST JOB PC1 BARN SUPPLIES</v>
      </c>
    </row>
    <row r="528" spans="1:9" x14ac:dyDescent="0.3">
      <c r="A528" t="str">
        <f>""</f>
        <v/>
      </c>
      <c r="F528" t="str">
        <f>"145-07154-01"</f>
        <v>145-07154-01</v>
      </c>
      <c r="G528" t="str">
        <f>"ELECTRICAL SUPPLIES PCT1 BARN"</f>
        <v>ELECTRICAL SUPPLIES PCT1 BARN</v>
      </c>
      <c r="H528" s="2">
        <v>848.88</v>
      </c>
      <c r="I528" t="str">
        <f>"ELECTRICAL SUPPLIES PCT1 BARN"</f>
        <v>ELECTRICAL SUPPLIES PCT1 BARN</v>
      </c>
    </row>
    <row r="529" spans="1:9" x14ac:dyDescent="0.3">
      <c r="A529" t="str">
        <f>"000589"</f>
        <v>000589</v>
      </c>
      <c r="B529" t="s">
        <v>153</v>
      </c>
      <c r="C529">
        <v>70161</v>
      </c>
      <c r="D529" s="2">
        <v>5653.94</v>
      </c>
      <c r="E529" s="1">
        <v>42863</v>
      </c>
      <c r="F529" t="str">
        <f>"9401622321"</f>
        <v>9401622321</v>
      </c>
      <c r="G529" t="str">
        <f>"ACCT#912897/SS-1/PCT#3"</f>
        <v>ACCT#912897/SS-1/PCT#3</v>
      </c>
      <c r="H529" s="2">
        <v>5653.94</v>
      </c>
      <c r="I529" t="str">
        <f>"ACCT#912897/SS-1/PCT#3"</f>
        <v>ACCT#912897/SS-1/PCT#3</v>
      </c>
    </row>
    <row r="530" spans="1:9" x14ac:dyDescent="0.3">
      <c r="A530" t="str">
        <f>"000589"</f>
        <v>000589</v>
      </c>
      <c r="B530" t="s">
        <v>153</v>
      </c>
      <c r="C530">
        <v>70431</v>
      </c>
      <c r="D530" s="2">
        <v>4067.62</v>
      </c>
      <c r="E530" s="1">
        <v>42877</v>
      </c>
      <c r="F530" t="str">
        <f>"201705121952"</f>
        <v>201705121952</v>
      </c>
      <c r="G530" t="str">
        <f>"INV 9401626706 BID#16BCP04E"</f>
        <v>INV 9401626706 BID#16BCP04E</v>
      </c>
      <c r="H530" s="2">
        <v>3412.79</v>
      </c>
      <c r="I530" t="str">
        <f>"INV 9401626706 BID#16BCP04E"</f>
        <v>INV 9401626706 BID#16BCP04E</v>
      </c>
    </row>
    <row r="531" spans="1:9" x14ac:dyDescent="0.3">
      <c r="A531" t="str">
        <f>""</f>
        <v/>
      </c>
      <c r="F531" t="str">
        <f>"201705162085"</f>
        <v>201705162085</v>
      </c>
      <c r="G531" t="str">
        <f>"INV 9401629156"</f>
        <v>INV 9401629156</v>
      </c>
      <c r="H531" s="2">
        <v>654.83000000000004</v>
      </c>
      <c r="I531" t="str">
        <f>"INV 9401629156"</f>
        <v>INV 9401629156</v>
      </c>
    </row>
    <row r="532" spans="1:9" x14ac:dyDescent="0.3">
      <c r="A532" t="str">
        <f>"004780"</f>
        <v>004780</v>
      </c>
      <c r="B532" t="s">
        <v>154</v>
      </c>
      <c r="C532">
        <v>70432</v>
      </c>
      <c r="D532" s="2">
        <v>201.54</v>
      </c>
      <c r="E532" s="1">
        <v>42877</v>
      </c>
      <c r="F532" t="str">
        <f>"201705172234"</f>
        <v>201705172234</v>
      </c>
      <c r="G532" t="str">
        <f>"INV 4466991-00 TRAVIS"</f>
        <v>INV 4466991-00 TRAVIS</v>
      </c>
      <c r="H532" s="2">
        <v>201.54</v>
      </c>
      <c r="I532" t="str">
        <f>"INV 4466991-00 TRAVIS"</f>
        <v>INV 4466991-00 TRAVIS</v>
      </c>
    </row>
    <row r="533" spans="1:9" x14ac:dyDescent="0.3">
      <c r="A533" t="str">
        <f>"FCC"</f>
        <v>FCC</v>
      </c>
      <c r="B533" t="s">
        <v>155</v>
      </c>
      <c r="C533">
        <v>70162</v>
      </c>
      <c r="D533" s="2">
        <v>32125.42</v>
      </c>
      <c r="E533" s="1">
        <v>42863</v>
      </c>
      <c r="F533" t="str">
        <f>"201705031652"</f>
        <v>201705031652</v>
      </c>
      <c r="G533" t="str">
        <f>"REIMB-SEPT'16 THRU JAN'17"</f>
        <v>REIMB-SEPT'16 THRU JAN'17</v>
      </c>
      <c r="H533" s="2">
        <v>32125.42</v>
      </c>
      <c r="I533" t="str">
        <f>"REIMB-SEPT'16 THRU JAN'17"</f>
        <v>REIMB-SEPT'16 THRU JAN'17</v>
      </c>
    </row>
    <row r="534" spans="1:9" x14ac:dyDescent="0.3">
      <c r="A534" t="str">
        <f>"T526"</f>
        <v>T526</v>
      </c>
      <c r="B534" t="s">
        <v>156</v>
      </c>
      <c r="C534">
        <v>70163</v>
      </c>
      <c r="D534" s="2">
        <v>38.92</v>
      </c>
      <c r="E534" s="1">
        <v>42863</v>
      </c>
      <c r="F534" t="str">
        <f>"201705031787"</f>
        <v>201705031787</v>
      </c>
      <c r="G534" t="str">
        <f>"INV 5-776-62102"</f>
        <v>INV 5-776-62102</v>
      </c>
      <c r="H534" s="2">
        <v>38.92</v>
      </c>
      <c r="I534" t="str">
        <f>"SHIP TASER"</f>
        <v>SHIP TASER</v>
      </c>
    </row>
    <row r="535" spans="1:9" x14ac:dyDescent="0.3">
      <c r="A535" t="str">
        <f>""</f>
        <v/>
      </c>
      <c r="F535" t="str">
        <f>""</f>
        <v/>
      </c>
      <c r="G535" t="str">
        <f>""</f>
        <v/>
      </c>
      <c r="I535" t="str">
        <f>"LYNN PEAVEY CO."</f>
        <v>LYNN PEAVEY CO.</v>
      </c>
    </row>
    <row r="536" spans="1:9" x14ac:dyDescent="0.3">
      <c r="A536" t="str">
        <f>"T9733"</f>
        <v>T9733</v>
      </c>
      <c r="B536" t="s">
        <v>157</v>
      </c>
      <c r="C536">
        <v>70433</v>
      </c>
      <c r="D536" s="2">
        <v>340.56</v>
      </c>
      <c r="E536" s="1">
        <v>42877</v>
      </c>
      <c r="F536" t="str">
        <f>"201705121931"</f>
        <v>201705121931</v>
      </c>
      <c r="G536" t="str">
        <f>"ANNUAL RENTAL BOX#12110"</f>
        <v>ANNUAL RENTAL BOX#12110</v>
      </c>
      <c r="H536" s="2">
        <v>70</v>
      </c>
      <c r="I536" t="str">
        <f>"ANNUAL RENTAL BOX#12110"</f>
        <v>ANNUAL RENTAL BOX#12110</v>
      </c>
    </row>
    <row r="537" spans="1:9" x14ac:dyDescent="0.3">
      <c r="A537" t="str">
        <f>""</f>
        <v/>
      </c>
      <c r="F537" t="str">
        <f>"201705161997"</f>
        <v>201705161997</v>
      </c>
      <c r="G537" t="str">
        <f>"REST ALFRED KELLOUGH"</f>
        <v>REST ALFRED KELLOUGH</v>
      </c>
      <c r="H537" s="2">
        <v>50</v>
      </c>
      <c r="I537" t="str">
        <f>"REST ALFRED KELLOUGH"</f>
        <v>REST ALFRED KELLOUGH</v>
      </c>
    </row>
    <row r="538" spans="1:9" x14ac:dyDescent="0.3">
      <c r="A538" t="str">
        <f>""</f>
        <v/>
      </c>
      <c r="F538" t="str">
        <f>"201705162006"</f>
        <v>201705162006</v>
      </c>
      <c r="G538" t="str">
        <f>"REST FLOYD GREER JR 13 507"</f>
        <v>REST FLOYD GREER JR 13 507</v>
      </c>
      <c r="H538" s="2">
        <v>220.56</v>
      </c>
      <c r="I538" t="str">
        <f>"REST FLOYD GREER JR 13 507"</f>
        <v>REST FLOYD GREER JR 13 507</v>
      </c>
    </row>
    <row r="539" spans="1:9" x14ac:dyDescent="0.3">
      <c r="A539" t="str">
        <f>"004691"</f>
        <v>004691</v>
      </c>
      <c r="B539" t="s">
        <v>158</v>
      </c>
      <c r="C539">
        <v>70164</v>
      </c>
      <c r="D539" s="2">
        <v>11593.15</v>
      </c>
      <c r="E539" s="1">
        <v>42863</v>
      </c>
      <c r="F539" t="str">
        <f>"201705031771"</f>
        <v>201705031771</v>
      </c>
      <c r="G539" t="str">
        <f>"Stmt# NP50314481"</f>
        <v>Stmt# NP50314481</v>
      </c>
      <c r="H539" s="2">
        <v>574.54999999999995</v>
      </c>
      <c r="I539" t="str">
        <f>"General Service"</f>
        <v>General Service</v>
      </c>
    </row>
    <row r="540" spans="1:9" x14ac:dyDescent="0.3">
      <c r="A540" t="str">
        <f>""</f>
        <v/>
      </c>
      <c r="F540" t="str">
        <f>""</f>
        <v/>
      </c>
      <c r="G540" t="str">
        <f>""</f>
        <v/>
      </c>
      <c r="I540" t="str">
        <f>"Sign SHop"</f>
        <v>Sign SHop</v>
      </c>
    </row>
    <row r="541" spans="1:9" x14ac:dyDescent="0.3">
      <c r="A541" t="str">
        <f>""</f>
        <v/>
      </c>
      <c r="F541" t="str">
        <f>""</f>
        <v/>
      </c>
      <c r="G541" t="str">
        <f>""</f>
        <v/>
      </c>
      <c r="I541" t="str">
        <f>"Habitat Conservation"</f>
        <v>Habitat Conservation</v>
      </c>
    </row>
    <row r="542" spans="1:9" x14ac:dyDescent="0.3">
      <c r="A542" t="str">
        <f>""</f>
        <v/>
      </c>
      <c r="F542" t="str">
        <f>""</f>
        <v/>
      </c>
      <c r="G542" t="str">
        <f>""</f>
        <v/>
      </c>
      <c r="I542" t="str">
        <f>"Ag Extension"</f>
        <v>Ag Extension</v>
      </c>
    </row>
    <row r="543" spans="1:9" x14ac:dyDescent="0.3">
      <c r="A543" t="str">
        <f>""</f>
        <v/>
      </c>
      <c r="F543" t="str">
        <f>""</f>
        <v/>
      </c>
      <c r="G543" t="str">
        <f>""</f>
        <v/>
      </c>
      <c r="I543" t="str">
        <f>"Pct 1"</f>
        <v>Pct 1</v>
      </c>
    </row>
    <row r="544" spans="1:9" x14ac:dyDescent="0.3">
      <c r="A544" t="str">
        <f>""</f>
        <v/>
      </c>
      <c r="F544" t="str">
        <f>"NP50163558"</f>
        <v>NP50163558</v>
      </c>
      <c r="G544" t="str">
        <f>"INV NP50163558"</f>
        <v>INV NP50163558</v>
      </c>
      <c r="H544" s="2">
        <v>10629.54</v>
      </c>
      <c r="I544" t="str">
        <f>"INV NP50163558"</f>
        <v>INV NP50163558</v>
      </c>
    </row>
    <row r="545" spans="1:9" x14ac:dyDescent="0.3">
      <c r="A545" t="str">
        <f>""</f>
        <v/>
      </c>
      <c r="F545" t="str">
        <f>"NP50314752"</f>
        <v>NP50314752</v>
      </c>
      <c r="G545" t="str">
        <f>"Stmt# NP50314752"</f>
        <v>Stmt# NP50314752</v>
      </c>
      <c r="H545" s="2">
        <v>389.06</v>
      </c>
      <c r="I545" t="str">
        <f>"Payment"</f>
        <v>Payment</v>
      </c>
    </row>
    <row r="546" spans="1:9" x14ac:dyDescent="0.3">
      <c r="A546" t="str">
        <f>"004691"</f>
        <v>004691</v>
      </c>
      <c r="B546" t="s">
        <v>158</v>
      </c>
      <c r="C546">
        <v>70434</v>
      </c>
      <c r="D546" s="2">
        <v>13042.48</v>
      </c>
      <c r="E546" s="1">
        <v>42877</v>
      </c>
      <c r="F546" t="str">
        <f>"201705172217"</f>
        <v>201705172217</v>
      </c>
      <c r="G546" t="str">
        <f>"Stmt#NP50391513"</f>
        <v>Stmt#NP50391513</v>
      </c>
      <c r="H546" s="2">
        <v>735.35</v>
      </c>
      <c r="I546" t="str">
        <f>"General Services"</f>
        <v>General Services</v>
      </c>
    </row>
    <row r="547" spans="1:9" x14ac:dyDescent="0.3">
      <c r="A547" t="str">
        <f>""</f>
        <v/>
      </c>
      <c r="F547" t="str">
        <f>""</f>
        <v/>
      </c>
      <c r="G547" t="str">
        <f>""</f>
        <v/>
      </c>
      <c r="I547" t="str">
        <f>"Sign Shop"</f>
        <v>Sign Shop</v>
      </c>
    </row>
    <row r="548" spans="1:9" x14ac:dyDescent="0.3">
      <c r="A548" t="str">
        <f>""</f>
        <v/>
      </c>
      <c r="F548" t="str">
        <f>""</f>
        <v/>
      </c>
      <c r="G548" t="str">
        <f>""</f>
        <v/>
      </c>
      <c r="I548" t="str">
        <f>"Ag Extension"</f>
        <v>Ag Extension</v>
      </c>
    </row>
    <row r="549" spans="1:9" x14ac:dyDescent="0.3">
      <c r="A549" t="str">
        <f>""</f>
        <v/>
      </c>
      <c r="F549" t="str">
        <f>""</f>
        <v/>
      </c>
      <c r="G549" t="str">
        <f>""</f>
        <v/>
      </c>
      <c r="I549" t="str">
        <f>"Pct 1"</f>
        <v>Pct 1</v>
      </c>
    </row>
    <row r="550" spans="1:9" x14ac:dyDescent="0.3">
      <c r="A550" t="str">
        <f>""</f>
        <v/>
      </c>
      <c r="F550" t="str">
        <f>"50314714"</f>
        <v>50314714</v>
      </c>
      <c r="G550" t="str">
        <f>"INV NP50314714"</f>
        <v>INV NP50314714</v>
      </c>
      <c r="H550" s="2">
        <v>11990.01</v>
      </c>
      <c r="I550" t="str">
        <f>"INV NP50314714"</f>
        <v>INV NP50314714</v>
      </c>
    </row>
    <row r="551" spans="1:9" x14ac:dyDescent="0.3">
      <c r="A551" t="str">
        <f>""</f>
        <v/>
      </c>
      <c r="F551" t="str">
        <f>"NP50391780"</f>
        <v>NP50391780</v>
      </c>
      <c r="G551" t="str">
        <f>"Stmt# NP50391780"</f>
        <v>Stmt# NP50391780</v>
      </c>
      <c r="H551" s="2">
        <v>317.12</v>
      </c>
      <c r="I551" t="str">
        <f>"Payment"</f>
        <v>Payment</v>
      </c>
    </row>
    <row r="552" spans="1:9" x14ac:dyDescent="0.3">
      <c r="A552" t="str">
        <f>"T5062"</f>
        <v>T5062</v>
      </c>
      <c r="B552" t="s">
        <v>159</v>
      </c>
      <c r="C552">
        <v>70435</v>
      </c>
      <c r="D552" s="2">
        <v>116.5</v>
      </c>
      <c r="E552" s="1">
        <v>42877</v>
      </c>
      <c r="F552" t="str">
        <f>"201705121957"</f>
        <v>201705121957</v>
      </c>
      <c r="G552" t="str">
        <f>"INV 84348413 CO#80975-002"</f>
        <v>INV 84348413 CO#80975-002</v>
      </c>
      <c r="H552" s="2">
        <v>116.5</v>
      </c>
      <c r="I552" t="str">
        <f>"INV 84348413 CO#80975-002"</f>
        <v>INV 84348413 CO#80975-002</v>
      </c>
    </row>
    <row r="553" spans="1:9" x14ac:dyDescent="0.3">
      <c r="A553" t="str">
        <f>"AT&amp;EI"</f>
        <v>AT&amp;EI</v>
      </c>
      <c r="B553" t="s">
        <v>160</v>
      </c>
      <c r="C553">
        <v>70165</v>
      </c>
      <c r="D553" s="2">
        <v>1516.34</v>
      </c>
      <c r="E553" s="1">
        <v>42863</v>
      </c>
      <c r="F553" t="str">
        <f>"AP333854/336076"</f>
        <v>AP333854/336076</v>
      </c>
      <c r="G553" t="str">
        <f>"ACCT#3325/PCT#2"</f>
        <v>ACCT#3325/PCT#2</v>
      </c>
      <c r="H553" s="2">
        <v>1516.34</v>
      </c>
      <c r="I553" t="str">
        <f>"ACCT#3325/PCT#2"</f>
        <v>ACCT#3325/PCT#2</v>
      </c>
    </row>
    <row r="554" spans="1:9" x14ac:dyDescent="0.3">
      <c r="A554" t="str">
        <f>"AT&amp;EI"</f>
        <v>AT&amp;EI</v>
      </c>
      <c r="B554" t="s">
        <v>160</v>
      </c>
      <c r="C554">
        <v>70436</v>
      </c>
      <c r="D554" s="2">
        <v>1880.33</v>
      </c>
      <c r="E554" s="1">
        <v>42877</v>
      </c>
      <c r="F554" t="str">
        <f>"201705121959"</f>
        <v>201705121959</v>
      </c>
      <c r="G554" t="str">
        <f>"INV AP337156 ACCT 3326"</f>
        <v>INV AP337156 ACCT 3326</v>
      </c>
      <c r="H554" s="2">
        <v>11.04</v>
      </c>
      <c r="I554" t="str">
        <f>"INV AP337156 ACCT 3326"</f>
        <v>INV AP337156 ACCT 3326</v>
      </c>
    </row>
    <row r="555" spans="1:9" x14ac:dyDescent="0.3">
      <c r="A555" t="str">
        <f>""</f>
        <v/>
      </c>
      <c r="F555" t="str">
        <f>"201705162071"</f>
        <v>201705162071</v>
      </c>
      <c r="G555" t="str">
        <f>"ACCT 3324 PCT 3"</f>
        <v>ACCT 3324 PCT 3</v>
      </c>
      <c r="H555" s="2">
        <v>1199.6300000000001</v>
      </c>
      <c r="I555" t="str">
        <f>"ACCT 3324 PCT 3"</f>
        <v>ACCT 3324 PCT 3</v>
      </c>
    </row>
    <row r="556" spans="1:9" x14ac:dyDescent="0.3">
      <c r="A556" t="str">
        <f>""</f>
        <v/>
      </c>
      <c r="F556" t="str">
        <f>"201705162093"</f>
        <v>201705162093</v>
      </c>
      <c r="G556" t="str">
        <f>"PCT 2 ACC 3325  762 375 448"</f>
        <v>PCT 2 ACC 3325  762 375 448</v>
      </c>
      <c r="H556" s="2">
        <v>669.66</v>
      </c>
      <c r="I556" t="str">
        <f>"PCT 2 ACC 3325  762 375 448"</f>
        <v>PCT 2 ACC 3325  762 375 448</v>
      </c>
    </row>
    <row r="557" spans="1:9" x14ac:dyDescent="0.3">
      <c r="A557" t="str">
        <f>"G&amp;C"</f>
        <v>G&amp;C</v>
      </c>
      <c r="B557" t="s">
        <v>161</v>
      </c>
      <c r="C557">
        <v>70166</v>
      </c>
      <c r="D557" s="2">
        <v>62.22</v>
      </c>
      <c r="E557" s="1">
        <v>42863</v>
      </c>
      <c r="F557" t="str">
        <f>"101490"</f>
        <v>101490</v>
      </c>
      <c r="G557" t="str">
        <f>"CIVIL DOCKET/DIST CLERK"</f>
        <v>CIVIL DOCKET/DIST CLERK</v>
      </c>
      <c r="H557" s="2">
        <v>62.22</v>
      </c>
      <c r="I557" t="str">
        <f>"CIVIL DOCKET/DIST CLERK"</f>
        <v>CIVIL DOCKET/DIST CLERK</v>
      </c>
    </row>
    <row r="558" spans="1:9" x14ac:dyDescent="0.3">
      <c r="A558" t="str">
        <f>"G&amp;C"</f>
        <v>G&amp;C</v>
      </c>
      <c r="B558" t="s">
        <v>161</v>
      </c>
      <c r="C558">
        <v>70437</v>
      </c>
      <c r="D558" s="2">
        <v>280.93</v>
      </c>
      <c r="E558" s="1">
        <v>42877</v>
      </c>
      <c r="F558" t="str">
        <f>"101644"</f>
        <v>101644</v>
      </c>
      <c r="G558" t="str">
        <f>"INV101644 MEDICAL FORMS"</f>
        <v>INV101644 MEDICAL FORMS</v>
      </c>
      <c r="H558" s="2">
        <v>58.1</v>
      </c>
      <c r="I558" t="str">
        <f>"INV101644 MEDICAL FORMS"</f>
        <v>INV101644 MEDICAL FORMS</v>
      </c>
    </row>
    <row r="559" spans="1:9" x14ac:dyDescent="0.3">
      <c r="A559" t="str">
        <f>""</f>
        <v/>
      </c>
      <c r="F559" t="str">
        <f>"101783"</f>
        <v>101783</v>
      </c>
      <c r="G559" t="str">
        <f>"INV GC 101783"</f>
        <v>INV GC 101783</v>
      </c>
      <c r="H559" s="2">
        <v>192.11</v>
      </c>
      <c r="I559" t="str">
        <f>"INV GC 101783"</f>
        <v>INV GC 101783</v>
      </c>
    </row>
    <row r="560" spans="1:9" x14ac:dyDescent="0.3">
      <c r="A560" t="str">
        <f>""</f>
        <v/>
      </c>
      <c r="F560" t="str">
        <f>"201705172258"</f>
        <v>201705172258</v>
      </c>
      <c r="G560" t="str">
        <f>"INV GC 101784"</f>
        <v>INV GC 101784</v>
      </c>
      <c r="H560" s="2">
        <v>30.72</v>
      </c>
      <c r="I560" t="str">
        <f>"INV GC 101784"</f>
        <v>INV GC 101784</v>
      </c>
    </row>
    <row r="561" spans="1:9" x14ac:dyDescent="0.3">
      <c r="A561" t="str">
        <f>"002605"</f>
        <v>002605</v>
      </c>
      <c r="B561" t="s">
        <v>162</v>
      </c>
      <c r="C561">
        <v>70438</v>
      </c>
      <c r="D561" s="2">
        <v>528.29999999999995</v>
      </c>
      <c r="E561" s="1">
        <v>42877</v>
      </c>
      <c r="F561" t="str">
        <f>"201705162077"</f>
        <v>201705162077</v>
      </c>
      <c r="G561" t="str">
        <f>"CUST 2179855 232 526 799 089"</f>
        <v>CUST 2179855 232 526 799 089</v>
      </c>
      <c r="H561" s="2">
        <v>528.29999999999995</v>
      </c>
      <c r="I561" t="str">
        <f>"CUST 2179855 232 526 799 089"</f>
        <v>CUST 2179855 232 526 799 089</v>
      </c>
    </row>
    <row r="562" spans="1:9" x14ac:dyDescent="0.3">
      <c r="A562" t="str">
        <f>"T3839"</f>
        <v>T3839</v>
      </c>
      <c r="B562" t="s">
        <v>163</v>
      </c>
      <c r="C562">
        <v>70439</v>
      </c>
      <c r="D562" s="2">
        <v>1079.8</v>
      </c>
      <c r="E562" s="1">
        <v>42877</v>
      </c>
      <c r="F562" t="str">
        <f>"007519090"</f>
        <v>007519090</v>
      </c>
      <c r="G562" t="str">
        <f>"INV 007466361"</f>
        <v>INV 007466361</v>
      </c>
      <c r="H562" s="2">
        <v>1079.8</v>
      </c>
      <c r="I562" t="str">
        <f>"SD158"</f>
        <v>SD158</v>
      </c>
    </row>
    <row r="563" spans="1:9" x14ac:dyDescent="0.3">
      <c r="A563" t="str">
        <f>""</f>
        <v/>
      </c>
      <c r="F563" t="str">
        <f>""</f>
        <v/>
      </c>
      <c r="G563" t="str">
        <f>""</f>
        <v/>
      </c>
      <c r="I563" t="str">
        <f>"SD086"</f>
        <v>SD086</v>
      </c>
    </row>
    <row r="564" spans="1:9" x14ac:dyDescent="0.3">
      <c r="A564" t="str">
        <f>""</f>
        <v/>
      </c>
      <c r="F564" t="str">
        <f>""</f>
        <v/>
      </c>
      <c r="G564" t="str">
        <f>""</f>
        <v/>
      </c>
      <c r="I564" t="str">
        <f>"SD034"</f>
        <v>SD034</v>
      </c>
    </row>
    <row r="565" spans="1:9" x14ac:dyDescent="0.3">
      <c r="A565" t="str">
        <f>""</f>
        <v/>
      </c>
      <c r="F565" t="str">
        <f>""</f>
        <v/>
      </c>
      <c r="G565" t="str">
        <f>""</f>
        <v/>
      </c>
      <c r="I565" t="str">
        <f>"SD033"</f>
        <v>SD033</v>
      </c>
    </row>
    <row r="566" spans="1:9" x14ac:dyDescent="0.3">
      <c r="A566" t="str">
        <f>""</f>
        <v/>
      </c>
      <c r="F566" t="str">
        <f>""</f>
        <v/>
      </c>
      <c r="G566" t="str">
        <f>""</f>
        <v/>
      </c>
      <c r="I566" t="str">
        <f>"EW539"</f>
        <v>EW539</v>
      </c>
    </row>
    <row r="567" spans="1:9" x14ac:dyDescent="0.3">
      <c r="A567" t="str">
        <f>""</f>
        <v/>
      </c>
      <c r="F567" t="str">
        <f>""</f>
        <v/>
      </c>
      <c r="G567" t="str">
        <f>""</f>
        <v/>
      </c>
      <c r="I567" t="str">
        <f>"HP051"</f>
        <v>HP051</v>
      </c>
    </row>
    <row r="568" spans="1:9" x14ac:dyDescent="0.3">
      <c r="A568" t="str">
        <f>""</f>
        <v/>
      </c>
      <c r="F568" t="str">
        <f>""</f>
        <v/>
      </c>
      <c r="G568" t="str">
        <f>""</f>
        <v/>
      </c>
      <c r="I568" t="str">
        <f>"SHIPPING"</f>
        <v>SHIPPING</v>
      </c>
    </row>
    <row r="569" spans="1:9" x14ac:dyDescent="0.3">
      <c r="A569" t="str">
        <f>"T5794"</f>
        <v>T5794</v>
      </c>
      <c r="B569" t="s">
        <v>164</v>
      </c>
      <c r="C569">
        <v>70440</v>
      </c>
      <c r="D569" s="2">
        <v>446.85</v>
      </c>
      <c r="E569" s="1">
        <v>42877</v>
      </c>
      <c r="F569" t="str">
        <f>"00704"</f>
        <v>00704</v>
      </c>
      <c r="G569" t="str">
        <f>"ORDER #S39383"</f>
        <v>ORDER #S39383</v>
      </c>
      <c r="H569" s="2">
        <v>446.85</v>
      </c>
      <c r="I569" t="str">
        <f>"ORDER #S39383"</f>
        <v>ORDER #S39383</v>
      </c>
    </row>
    <row r="570" spans="1:9" x14ac:dyDescent="0.3">
      <c r="A570" t="str">
        <f>""</f>
        <v/>
      </c>
      <c r="F570" t="str">
        <f>""</f>
        <v/>
      </c>
      <c r="G570" t="str">
        <f>""</f>
        <v/>
      </c>
      <c r="I570" t="str">
        <f>"ORDER #S39383"</f>
        <v>ORDER #S39383</v>
      </c>
    </row>
    <row r="571" spans="1:9" x14ac:dyDescent="0.3">
      <c r="A571" t="str">
        <f>"002712"</f>
        <v>002712</v>
      </c>
      <c r="B571" t="s">
        <v>165</v>
      </c>
      <c r="C571">
        <v>70441</v>
      </c>
      <c r="D571" s="2">
        <v>1016</v>
      </c>
      <c r="E571" s="1">
        <v>42877</v>
      </c>
      <c r="F571" t="str">
        <f>"201705162081"</f>
        <v>201705162081</v>
      </c>
      <c r="G571" t="str">
        <f>"INV 165185 PCT 3"</f>
        <v>INV 165185 PCT 3</v>
      </c>
      <c r="H571" s="2">
        <v>1016</v>
      </c>
      <c r="I571" t="str">
        <f>"INV 165185 PCT 3"</f>
        <v>INV 165185 PCT 3</v>
      </c>
    </row>
    <row r="572" spans="1:9" x14ac:dyDescent="0.3">
      <c r="A572" t="str">
        <f>"005077"</f>
        <v>005077</v>
      </c>
      <c r="B572" t="s">
        <v>166</v>
      </c>
      <c r="C572">
        <v>70442</v>
      </c>
      <c r="D572" s="2">
        <v>150</v>
      </c>
      <c r="E572" s="1">
        <v>42877</v>
      </c>
      <c r="F572" t="str">
        <f>"201705172239"</f>
        <v>201705172239</v>
      </c>
      <c r="G572" t="str">
        <f>"GERMAINE SWENSON 2389"</f>
        <v>GERMAINE SWENSON 2389</v>
      </c>
      <c r="H572" s="2">
        <v>150</v>
      </c>
      <c r="I572" t="str">
        <f>"GERMAINE SWENSON 2389"</f>
        <v>GERMAINE SWENSON 2389</v>
      </c>
    </row>
    <row r="573" spans="1:9" x14ac:dyDescent="0.3">
      <c r="A573" t="str">
        <f>"004605"</f>
        <v>004605</v>
      </c>
      <c r="B573" t="s">
        <v>167</v>
      </c>
      <c r="C573">
        <v>70443</v>
      </c>
      <c r="D573" s="2">
        <v>50</v>
      </c>
      <c r="E573" s="1">
        <v>42877</v>
      </c>
      <c r="F573" t="str">
        <f>"201705162001"</f>
        <v>201705162001</v>
      </c>
      <c r="G573" t="str">
        <f>"REST ELUID ACOSTA"</f>
        <v>REST ELUID ACOSTA</v>
      </c>
      <c r="H573" s="2">
        <v>50</v>
      </c>
      <c r="I573" t="str">
        <f>"REST ELUID ACOSTA 12 085"</f>
        <v>REST ELUID ACOSTA 12 085</v>
      </c>
    </row>
    <row r="574" spans="1:9" x14ac:dyDescent="0.3">
      <c r="A574" t="str">
        <f>"005078"</f>
        <v>005078</v>
      </c>
      <c r="B574" t="s">
        <v>168</v>
      </c>
      <c r="C574">
        <v>70444</v>
      </c>
      <c r="D574" s="2">
        <v>250</v>
      </c>
      <c r="E574" s="1">
        <v>42877</v>
      </c>
      <c r="F574" t="str">
        <f>"201705172240"</f>
        <v>201705172240</v>
      </c>
      <c r="G574" t="str">
        <f>"GILBERTO CURIEL REFUND 2509"</f>
        <v>GILBERTO CURIEL REFUND 2509</v>
      </c>
      <c r="H574" s="2">
        <v>250</v>
      </c>
      <c r="I574" t="str">
        <f>"GILBERTO CURIEL REFUND 2509"</f>
        <v>GILBERTO CURIEL REFUND 2509</v>
      </c>
    </row>
    <row r="575" spans="1:9" x14ac:dyDescent="0.3">
      <c r="A575" t="str">
        <f>""</f>
        <v/>
      </c>
      <c r="F575" t="str">
        <f>""</f>
        <v/>
      </c>
      <c r="G575" t="str">
        <f>""</f>
        <v/>
      </c>
      <c r="I575" t="str">
        <f>"GILBERTO CURIEL REFUND 2509"</f>
        <v>GILBERTO CURIEL REFUND 2509</v>
      </c>
    </row>
    <row r="576" spans="1:9" x14ac:dyDescent="0.3">
      <c r="A576" t="str">
        <f>"004353"</f>
        <v>004353</v>
      </c>
      <c r="B576" t="s">
        <v>169</v>
      </c>
      <c r="C576">
        <v>70445</v>
      </c>
      <c r="D576" s="2">
        <v>775.6</v>
      </c>
      <c r="E576" s="1">
        <v>42877</v>
      </c>
      <c r="F576" t="str">
        <f>"201705162020"</f>
        <v>201705162020</v>
      </c>
      <c r="G576" t="str">
        <f>"NANCY ALTVATER DECEASED"</f>
        <v>NANCY ALTVATER DECEASED</v>
      </c>
      <c r="H576" s="2">
        <v>775.6</v>
      </c>
      <c r="I576" t="str">
        <f>"NANCY ALTVATER DECEASED"</f>
        <v>NANCY ALTVATER DECEASED</v>
      </c>
    </row>
    <row r="577" spans="1:9" x14ac:dyDescent="0.3">
      <c r="A577" t="str">
        <f>"T12872"</f>
        <v>T12872</v>
      </c>
      <c r="B577" t="s">
        <v>170</v>
      </c>
      <c r="C577">
        <v>70167</v>
      </c>
      <c r="D577" s="2">
        <v>167029.5</v>
      </c>
      <c r="E577" s="1">
        <v>42863</v>
      </c>
      <c r="F577" t="str">
        <f>"201705021605"</f>
        <v>201705021605</v>
      </c>
      <c r="G577" t="str">
        <f>"Dell Rugged Computers"</f>
        <v>Dell Rugged Computers</v>
      </c>
      <c r="H577" s="2">
        <v>167029.5</v>
      </c>
      <c r="I577" t="s">
        <v>171</v>
      </c>
    </row>
    <row r="578" spans="1:9" x14ac:dyDescent="0.3">
      <c r="A578" t="str">
        <f>""</f>
        <v/>
      </c>
      <c r="F578" t="str">
        <f>""</f>
        <v/>
      </c>
      <c r="G578" t="str">
        <f>""</f>
        <v/>
      </c>
      <c r="I578" t="str">
        <f>"Havis DS-DELL-402-3"</f>
        <v>Havis DS-DELL-402-3</v>
      </c>
    </row>
    <row r="579" spans="1:9" x14ac:dyDescent="0.3">
      <c r="A579" t="str">
        <f>"WWGI"</f>
        <v>WWGI</v>
      </c>
      <c r="B579" t="s">
        <v>172</v>
      </c>
      <c r="C579">
        <v>70168</v>
      </c>
      <c r="D579" s="2">
        <v>86.85</v>
      </c>
      <c r="E579" s="1">
        <v>42863</v>
      </c>
      <c r="F579" t="str">
        <f>"9432861012"</f>
        <v>9432861012</v>
      </c>
      <c r="G579" t="str">
        <f>"INV9432861012 TSTAT"</f>
        <v>INV9432861012 TSTAT</v>
      </c>
      <c r="H579" s="2">
        <v>86.85</v>
      </c>
      <c r="I579" t="str">
        <f>"INV9432861012 TSTAT"</f>
        <v>INV9432861012 TSTAT</v>
      </c>
    </row>
    <row r="580" spans="1:9" x14ac:dyDescent="0.3">
      <c r="A580" t="str">
        <f>"WWGI"</f>
        <v>WWGI</v>
      </c>
      <c r="B580" t="s">
        <v>172</v>
      </c>
      <c r="C580">
        <v>70446</v>
      </c>
      <c r="D580" s="2">
        <v>1299.69</v>
      </c>
      <c r="E580" s="1">
        <v>42877</v>
      </c>
      <c r="F580" t="str">
        <f>"201705161988"</f>
        <v>201705161988</v>
      </c>
      <c r="G580" t="str">
        <f>"MIRROR 9435031779"</f>
        <v>MIRROR 9435031779</v>
      </c>
      <c r="H580" s="2">
        <v>721.2</v>
      </c>
      <c r="I580" t="str">
        <f>"MIRROR 9435031779"</f>
        <v>MIRROR 9435031779</v>
      </c>
    </row>
    <row r="581" spans="1:9" x14ac:dyDescent="0.3">
      <c r="A581" t="str">
        <f>""</f>
        <v/>
      </c>
      <c r="F581" t="str">
        <f>"9446310162"</f>
        <v>9446310162</v>
      </c>
      <c r="G581" t="str">
        <f>"Items for HHW Project"</f>
        <v>Items for HHW Project</v>
      </c>
      <c r="H581" s="2">
        <v>578.49</v>
      </c>
      <c r="I581" t="str">
        <f>"Inv#9446310162"</f>
        <v>Inv#9446310162</v>
      </c>
    </row>
    <row r="582" spans="1:9" x14ac:dyDescent="0.3">
      <c r="A582" t="str">
        <f>""</f>
        <v/>
      </c>
      <c r="F582" t="str">
        <f>""</f>
        <v/>
      </c>
      <c r="G582" t="str">
        <f>""</f>
        <v/>
      </c>
      <c r="I582" t="str">
        <f>"Inv# 9446310170"</f>
        <v>Inv# 9446310170</v>
      </c>
    </row>
    <row r="583" spans="1:9" x14ac:dyDescent="0.3">
      <c r="A583" t="str">
        <f>"T3667"</f>
        <v>T3667</v>
      </c>
      <c r="B583" t="s">
        <v>173</v>
      </c>
      <c r="C583">
        <v>70169</v>
      </c>
      <c r="D583" s="2">
        <v>2257.08</v>
      </c>
      <c r="E583" s="1">
        <v>42863</v>
      </c>
      <c r="F583" t="str">
        <f>"1313091"</f>
        <v>1313091</v>
      </c>
      <c r="G583" t="str">
        <f>"CUST#01/0007014928/GENERAL SER"</f>
        <v>CUST#01/0007014928/GENERAL SER</v>
      </c>
      <c r="H583" s="2">
        <v>415.62</v>
      </c>
      <c r="I583" t="str">
        <f>"CUST#01/0007014928/GENERAL SER"</f>
        <v>CUST#01/0007014928/GENERAL SER</v>
      </c>
    </row>
    <row r="584" spans="1:9" x14ac:dyDescent="0.3">
      <c r="A584" t="str">
        <f>""</f>
        <v/>
      </c>
      <c r="F584" t="str">
        <f>"201705021591"</f>
        <v>201705021591</v>
      </c>
      <c r="G584" t="str">
        <f>"INV1309408 TOILET PAPER"</f>
        <v>INV1309408 TOILET PAPER</v>
      </c>
      <c r="H584" s="2">
        <v>1777</v>
      </c>
      <c r="I584" t="str">
        <f>"INV1309408 TOILET PAPER"</f>
        <v>INV1309408 TOILET PAPER</v>
      </c>
    </row>
    <row r="585" spans="1:9" x14ac:dyDescent="0.3">
      <c r="A585" t="str">
        <f>""</f>
        <v/>
      </c>
      <c r="F585" t="str">
        <f>"201705021597"</f>
        <v>201705021597</v>
      </c>
      <c r="G585" t="str">
        <f>"INV 11291443"</f>
        <v>INV 11291443</v>
      </c>
      <c r="H585" s="2">
        <v>64.459999999999994</v>
      </c>
      <c r="I585" t="str">
        <f>"CLR DRUM LINER"</f>
        <v>CLR DRUM LINER</v>
      </c>
    </row>
    <row r="586" spans="1:9" x14ac:dyDescent="0.3">
      <c r="A586" t="str">
        <f>""</f>
        <v/>
      </c>
      <c r="F586" t="str">
        <f>""</f>
        <v/>
      </c>
      <c r="G586" t="str">
        <f>""</f>
        <v/>
      </c>
      <c r="I586" t="str">
        <f>"SHIPPING"</f>
        <v>SHIPPING</v>
      </c>
    </row>
    <row r="587" spans="1:9" x14ac:dyDescent="0.3">
      <c r="A587" t="str">
        <f>"T3667"</f>
        <v>T3667</v>
      </c>
      <c r="B587" t="s">
        <v>173</v>
      </c>
      <c r="C587">
        <v>70447</v>
      </c>
      <c r="D587" s="2">
        <v>871.7</v>
      </c>
      <c r="E587" s="1">
        <v>42877</v>
      </c>
      <c r="F587" t="str">
        <f>"1320603"</f>
        <v>1320603</v>
      </c>
      <c r="G587" t="str">
        <f>"CUST #0007014928 GEN SERVICES"</f>
        <v>CUST #0007014928 GEN SERVICES</v>
      </c>
      <c r="H587" s="2">
        <v>41.67</v>
      </c>
      <c r="I587" t="str">
        <f>"CUST #0007014928 GEN SERVICES"</f>
        <v>CUST #0007014928 GEN SERVICES</v>
      </c>
    </row>
    <row r="588" spans="1:9" x14ac:dyDescent="0.3">
      <c r="A588" t="str">
        <f>""</f>
        <v/>
      </c>
      <c r="F588" t="str">
        <f>"201705172235"</f>
        <v>201705172235</v>
      </c>
      <c r="G588" t="str">
        <f>"INV 1316866"</f>
        <v>INV 1316866</v>
      </c>
      <c r="H588" s="2">
        <v>414.41</v>
      </c>
      <c r="I588" t="str">
        <f>"INV 1316866"</f>
        <v>INV 1316866</v>
      </c>
    </row>
    <row r="589" spans="1:9" x14ac:dyDescent="0.3">
      <c r="A589" t="str">
        <f>""</f>
        <v/>
      </c>
      <c r="F589" t="str">
        <f>""</f>
        <v/>
      </c>
      <c r="G589" t="str">
        <f>""</f>
        <v/>
      </c>
      <c r="I589" t="str">
        <f>"INV 1316866"</f>
        <v>INV 1316866</v>
      </c>
    </row>
    <row r="590" spans="1:9" x14ac:dyDescent="0.3">
      <c r="A590" t="str">
        <f>""</f>
        <v/>
      </c>
      <c r="F590" t="str">
        <f>"201705172236"</f>
        <v>201705172236</v>
      </c>
      <c r="G590" t="str">
        <f>"INV 1313091"</f>
        <v>INV 1313091</v>
      </c>
      <c r="H590" s="2">
        <v>415.62</v>
      </c>
      <c r="I590" t="str">
        <f>"INV 1313091"</f>
        <v>INV 1313091</v>
      </c>
    </row>
    <row r="591" spans="1:9" x14ac:dyDescent="0.3">
      <c r="A591" t="str">
        <f>"T13876"</f>
        <v>T13876</v>
      </c>
      <c r="B591" t="s">
        <v>174</v>
      </c>
      <c r="C591">
        <v>70170</v>
      </c>
      <c r="D591" s="2">
        <v>4980.96</v>
      </c>
      <c r="E591" s="1">
        <v>42863</v>
      </c>
      <c r="F591" t="str">
        <f>"A224037"</f>
        <v>A224037</v>
      </c>
      <c r="G591" t="str">
        <f>"CLIENT#BASTRO/15 MEM.FLOOD"</f>
        <v>CLIENT#BASTRO/15 MEM.FLOOD</v>
      </c>
      <c r="H591" s="2">
        <v>4980.96</v>
      </c>
      <c r="I591" t="str">
        <f>"CLIENT#BASTRO/15 MEM.FLOOD"</f>
        <v>CLIENT#BASTRO/15 MEM.FLOOD</v>
      </c>
    </row>
    <row r="592" spans="1:9" x14ac:dyDescent="0.3">
      <c r="A592" t="str">
        <f>"HEWI"</f>
        <v>HEWI</v>
      </c>
      <c r="B592" t="s">
        <v>175</v>
      </c>
      <c r="C592">
        <v>70448</v>
      </c>
      <c r="D592" s="2">
        <v>47.42</v>
      </c>
      <c r="E592" s="1">
        <v>42877</v>
      </c>
      <c r="F592" t="str">
        <f>"201705172237"</f>
        <v>201705172237</v>
      </c>
      <c r="G592" t="str">
        <f>"INV 539156"</f>
        <v>INV 539156</v>
      </c>
      <c r="H592" s="2">
        <v>47.42</v>
      </c>
      <c r="I592" t="str">
        <f>"INV 539156"</f>
        <v>INV 539156</v>
      </c>
    </row>
    <row r="593" spans="1:9" x14ac:dyDescent="0.3">
      <c r="A593" t="str">
        <f>"002751"</f>
        <v>002751</v>
      </c>
      <c r="B593" t="s">
        <v>176</v>
      </c>
      <c r="C593">
        <v>70171</v>
      </c>
      <c r="D593" s="2">
        <v>75</v>
      </c>
      <c r="E593" s="1">
        <v>42863</v>
      </c>
      <c r="F593" t="str">
        <f>"12617"</f>
        <v>12617</v>
      </c>
      <c r="G593" t="str">
        <f>"SERVICE/2-27-17"</f>
        <v>SERVICE/2-27-17</v>
      </c>
      <c r="H593" s="2">
        <v>75</v>
      </c>
      <c r="I593" t="str">
        <f>"SERVICE/2-27-17"</f>
        <v>SERVICE/2-27-17</v>
      </c>
    </row>
    <row r="594" spans="1:9" x14ac:dyDescent="0.3">
      <c r="A594" t="str">
        <f>"T4987"</f>
        <v>T4987</v>
      </c>
      <c r="B594" t="s">
        <v>177</v>
      </c>
      <c r="C594">
        <v>70449</v>
      </c>
      <c r="D594" s="2">
        <v>30</v>
      </c>
      <c r="E594" s="1">
        <v>42877</v>
      </c>
      <c r="F594" t="str">
        <f>"201705172231"</f>
        <v>201705172231</v>
      </c>
      <c r="G594" t="str">
        <f>"TRAINING"</f>
        <v>TRAINING</v>
      </c>
      <c r="H594" s="2">
        <v>30</v>
      </c>
      <c r="I594" t="str">
        <f>"TRAINING"</f>
        <v>TRAINING</v>
      </c>
    </row>
    <row r="595" spans="1:9" x14ac:dyDescent="0.3">
      <c r="A595" t="str">
        <f>"HP&amp;S"</f>
        <v>HP&amp;S</v>
      </c>
      <c r="B595" t="s">
        <v>178</v>
      </c>
      <c r="C595">
        <v>70450</v>
      </c>
      <c r="D595" s="2">
        <v>696.45</v>
      </c>
      <c r="E595" s="1">
        <v>42877</v>
      </c>
      <c r="F595" t="str">
        <f>"38478"</f>
        <v>38478</v>
      </c>
      <c r="G595" t="str">
        <f>"SUPPLIES JP1 2 3 4"</f>
        <v>SUPPLIES JP1 2 3 4</v>
      </c>
      <c r="H595" s="2">
        <v>696.45</v>
      </c>
      <c r="I595" t="str">
        <f>"SUPPLIES JP1 2 3 4"</f>
        <v>SUPPLIES JP1 2 3 4</v>
      </c>
    </row>
    <row r="596" spans="1:9" x14ac:dyDescent="0.3">
      <c r="A596" t="str">
        <f>""</f>
        <v/>
      </c>
      <c r="F596" t="str">
        <f>""</f>
        <v/>
      </c>
      <c r="G596" t="str">
        <f>""</f>
        <v/>
      </c>
      <c r="I596" t="str">
        <f>"SUPPLIES JP1 2 3 4"</f>
        <v>SUPPLIES JP1 2 3 4</v>
      </c>
    </row>
    <row r="597" spans="1:9" x14ac:dyDescent="0.3">
      <c r="A597" t="str">
        <f>""</f>
        <v/>
      </c>
      <c r="F597" t="str">
        <f>""</f>
        <v/>
      </c>
      <c r="G597" t="str">
        <f>""</f>
        <v/>
      </c>
      <c r="I597" t="str">
        <f>"SUPPLIES JP1 2 3 4"</f>
        <v>SUPPLIES JP1 2 3 4</v>
      </c>
    </row>
    <row r="598" spans="1:9" x14ac:dyDescent="0.3">
      <c r="A598" t="str">
        <f>""</f>
        <v/>
      </c>
      <c r="F598" t="str">
        <f>""</f>
        <v/>
      </c>
      <c r="G598" t="str">
        <f>""</f>
        <v/>
      </c>
      <c r="I598" t="str">
        <f>"SUPPLIES JP1 2 3 4"</f>
        <v>SUPPLIES JP1 2 3 4</v>
      </c>
    </row>
    <row r="599" spans="1:9" x14ac:dyDescent="0.3">
      <c r="A599" t="str">
        <f>"000061"</f>
        <v>000061</v>
      </c>
      <c r="B599" t="s">
        <v>179</v>
      </c>
      <c r="C599">
        <v>70172</v>
      </c>
      <c r="D599" s="2">
        <v>1133.02</v>
      </c>
      <c r="E599" s="1">
        <v>42863</v>
      </c>
      <c r="F599" t="str">
        <f>"242067"</f>
        <v>242067</v>
      </c>
      <c r="G599" t="str">
        <f>"ACCT#002628/PCT#3"</f>
        <v>ACCT#002628/PCT#3</v>
      </c>
      <c r="H599" s="2">
        <v>478.04</v>
      </c>
      <c r="I599" t="str">
        <f>"ACCT#002628/PCT#3"</f>
        <v>ACCT#002628/PCT#3</v>
      </c>
    </row>
    <row r="600" spans="1:9" x14ac:dyDescent="0.3">
      <c r="A600" t="str">
        <f>""</f>
        <v/>
      </c>
      <c r="F600" t="str">
        <f>"246221"</f>
        <v>246221</v>
      </c>
      <c r="G600" t="str">
        <f>"ACCT#002628/PCT#2"</f>
        <v>ACCT#002628/PCT#2</v>
      </c>
      <c r="H600" s="2">
        <v>654.98</v>
      </c>
      <c r="I600" t="str">
        <f>"ACCT#002628/PCT#2"</f>
        <v>ACCT#002628/PCT#2</v>
      </c>
    </row>
    <row r="601" spans="1:9" x14ac:dyDescent="0.3">
      <c r="A601" t="str">
        <f>"005068"</f>
        <v>005068</v>
      </c>
      <c r="B601" t="s">
        <v>180</v>
      </c>
      <c r="C601">
        <v>70451</v>
      </c>
      <c r="D601" s="2">
        <v>10</v>
      </c>
      <c r="E601" s="1">
        <v>42877</v>
      </c>
      <c r="F601" t="str">
        <f>"201705162039"</f>
        <v>201705162039</v>
      </c>
      <c r="G601" t="str">
        <f>"FERAL HOGS"</f>
        <v>FERAL HOGS</v>
      </c>
      <c r="H601" s="2">
        <v>10</v>
      </c>
      <c r="I601" t="str">
        <f>"FERAL HOGS"</f>
        <v>FERAL HOGS</v>
      </c>
    </row>
    <row r="602" spans="1:9" x14ac:dyDescent="0.3">
      <c r="A602" t="str">
        <f>"004368"</f>
        <v>004368</v>
      </c>
      <c r="B602" t="s">
        <v>181</v>
      </c>
      <c r="C602">
        <v>70452</v>
      </c>
      <c r="D602" s="2">
        <v>35</v>
      </c>
      <c r="E602" s="1">
        <v>42877</v>
      </c>
      <c r="F602" t="str">
        <f>"201705162040"</f>
        <v>201705162040</v>
      </c>
      <c r="G602" t="str">
        <f>"FERAL HOGS"</f>
        <v>FERAL HOGS</v>
      </c>
      <c r="H602" s="2">
        <v>30</v>
      </c>
      <c r="I602" t="str">
        <f>"FERAL HOGS"</f>
        <v>FERAL HOGS</v>
      </c>
    </row>
    <row r="603" spans="1:9" x14ac:dyDescent="0.3">
      <c r="A603" t="str">
        <f>""</f>
        <v/>
      </c>
      <c r="F603" t="str">
        <f>"201705162041"</f>
        <v>201705162041</v>
      </c>
      <c r="G603" t="str">
        <f>"FERAL HOGS"</f>
        <v>FERAL HOGS</v>
      </c>
      <c r="H603" s="2">
        <v>5</v>
      </c>
      <c r="I603" t="str">
        <f>"FERAL HOGS"</f>
        <v>FERAL HOGS</v>
      </c>
    </row>
    <row r="604" spans="1:9" x14ac:dyDescent="0.3">
      <c r="A604" t="str">
        <f>"004624"</f>
        <v>004624</v>
      </c>
      <c r="B604" t="s">
        <v>182</v>
      </c>
      <c r="C604">
        <v>70453</v>
      </c>
      <c r="D604" s="2">
        <v>100</v>
      </c>
      <c r="E604" s="1">
        <v>42877</v>
      </c>
      <c r="F604" t="str">
        <f>"201705162002"</f>
        <v>201705162002</v>
      </c>
      <c r="G604" t="str">
        <f>"REST MICHAEL FELTS 10 658"</f>
        <v>REST MICHAEL FELTS 10 658</v>
      </c>
      <c r="H604" s="2">
        <v>100</v>
      </c>
      <c r="I604" t="str">
        <f>"REST MICHAEL FELTS 10 658"</f>
        <v>REST MICHAEL FELTS 10 658</v>
      </c>
    </row>
    <row r="605" spans="1:9" x14ac:dyDescent="0.3">
      <c r="A605" t="str">
        <f>"004351"</f>
        <v>004351</v>
      </c>
      <c r="B605" t="s">
        <v>183</v>
      </c>
      <c r="C605">
        <v>70454</v>
      </c>
      <c r="D605" s="2">
        <v>470.9</v>
      </c>
      <c r="E605" s="1">
        <v>42877</v>
      </c>
      <c r="F605" t="str">
        <f>"201705162069"</f>
        <v>201705162069</v>
      </c>
      <c r="G605" t="str">
        <f>"HILLARY LONG REIMB"</f>
        <v>HILLARY LONG REIMB</v>
      </c>
      <c r="H605" s="2">
        <v>113.42</v>
      </c>
    </row>
    <row r="606" spans="1:9" x14ac:dyDescent="0.3">
      <c r="A606" t="str">
        <f>""</f>
        <v/>
      </c>
      <c r="F606" t="str">
        <f>"201705162102"</f>
        <v>201705162102</v>
      </c>
      <c r="G606" t="str">
        <f>"STATE 4-H ROUNDUP"</f>
        <v>STATE 4-H ROUNDUP</v>
      </c>
      <c r="H606" s="2">
        <v>254.65</v>
      </c>
    </row>
    <row r="607" spans="1:9" x14ac:dyDescent="0.3">
      <c r="A607" t="str">
        <f>""</f>
        <v/>
      </c>
      <c r="F607" t="str">
        <f>"201705162103"</f>
        <v>201705162103</v>
      </c>
      <c r="G607" t="str">
        <f>"DIST 10 AGENT SPRING MEETING"</f>
        <v>DIST 10 AGENT SPRING MEETING</v>
      </c>
      <c r="H607" s="2">
        <v>102.83</v>
      </c>
    </row>
    <row r="608" spans="1:9" x14ac:dyDescent="0.3">
      <c r="A608" t="str">
        <f>"HPC"</f>
        <v>HPC</v>
      </c>
      <c r="B608" t="s">
        <v>184</v>
      </c>
      <c r="C608">
        <v>70455</v>
      </c>
      <c r="D608" s="2">
        <v>650</v>
      </c>
      <c r="E608" s="1">
        <v>42877</v>
      </c>
      <c r="F608" t="str">
        <f>"201705121928"</f>
        <v>201705121928</v>
      </c>
      <c r="G608" t="str">
        <f>"HODGES PEST MAY SERVICE"</f>
        <v>HODGES PEST MAY SERVICE</v>
      </c>
      <c r="H608" s="2">
        <v>650</v>
      </c>
      <c r="I608" t="str">
        <f>"HODGES PEST MAY SERVICE"</f>
        <v>HODGES PEST MAY SERVICE</v>
      </c>
    </row>
    <row r="609" spans="1:9" x14ac:dyDescent="0.3">
      <c r="A609" t="str">
        <f>"ECKEL"</f>
        <v>ECKEL</v>
      </c>
      <c r="B609" t="s">
        <v>185</v>
      </c>
      <c r="C609">
        <v>70173</v>
      </c>
      <c r="D609" s="2">
        <v>250</v>
      </c>
      <c r="E609" s="1">
        <v>42863</v>
      </c>
      <c r="F609" t="str">
        <f>"201705031720"</f>
        <v>201705031720</v>
      </c>
      <c r="G609" t="str">
        <f>"54.920"</f>
        <v>54.920</v>
      </c>
      <c r="H609" s="2">
        <v>250</v>
      </c>
      <c r="I609" t="str">
        <f>"54.920"</f>
        <v>54.920</v>
      </c>
    </row>
    <row r="610" spans="1:9" x14ac:dyDescent="0.3">
      <c r="A610" t="str">
        <f>"ECKEL"</f>
        <v>ECKEL</v>
      </c>
      <c r="B610" t="s">
        <v>185</v>
      </c>
      <c r="C610">
        <v>70456</v>
      </c>
      <c r="D610" s="2">
        <v>1087.5</v>
      </c>
      <c r="E610" s="1">
        <v>42877</v>
      </c>
      <c r="F610" t="str">
        <f>"201705172135"</f>
        <v>201705172135</v>
      </c>
      <c r="G610" t="str">
        <f>"CASE 54 480"</f>
        <v>CASE 54 480</v>
      </c>
      <c r="H610" s="2">
        <v>250</v>
      </c>
      <c r="I610" t="str">
        <f>"CASE 54 480"</f>
        <v>CASE 54 480</v>
      </c>
    </row>
    <row r="611" spans="1:9" x14ac:dyDescent="0.3">
      <c r="A611" t="str">
        <f>""</f>
        <v/>
      </c>
      <c r="F611" t="str">
        <f>"201705172136"</f>
        <v>201705172136</v>
      </c>
      <c r="G611" t="str">
        <f>"CASE 98-4613"</f>
        <v>CASE 98-4613</v>
      </c>
      <c r="H611" s="2">
        <v>100</v>
      </c>
      <c r="I611" t="str">
        <f>"CASE 98-4613"</f>
        <v>CASE 98-4613</v>
      </c>
    </row>
    <row r="612" spans="1:9" x14ac:dyDescent="0.3">
      <c r="A612" t="str">
        <f>""</f>
        <v/>
      </c>
      <c r="F612" t="str">
        <f>"201705172137"</f>
        <v>201705172137</v>
      </c>
      <c r="G612" t="str">
        <f>"CASE 04-9338"</f>
        <v>CASE 04-9338</v>
      </c>
      <c r="H612" s="2">
        <v>137.5</v>
      </c>
      <c r="I612" t="str">
        <f>"CASE 04-9338"</f>
        <v>CASE 04-9338</v>
      </c>
    </row>
    <row r="613" spans="1:9" x14ac:dyDescent="0.3">
      <c r="A613" t="str">
        <f>""</f>
        <v/>
      </c>
      <c r="F613" t="str">
        <f>"201705172138"</f>
        <v>201705172138</v>
      </c>
      <c r="G613" t="str">
        <f>"CASE 16-17760"</f>
        <v>CASE 16-17760</v>
      </c>
      <c r="H613" s="2">
        <v>600</v>
      </c>
      <c r="I613" t="str">
        <f>"CASE 16-17760"</f>
        <v>CASE 16-17760</v>
      </c>
    </row>
    <row r="614" spans="1:9" x14ac:dyDescent="0.3">
      <c r="A614" t="str">
        <f>"HM"</f>
        <v>HM</v>
      </c>
      <c r="B614" t="s">
        <v>186</v>
      </c>
      <c r="C614">
        <v>70174</v>
      </c>
      <c r="D614" s="2">
        <v>30.44</v>
      </c>
      <c r="E614" s="1">
        <v>42863</v>
      </c>
      <c r="F614" t="str">
        <f>"PIMP0234818"</f>
        <v>PIMP0234818</v>
      </c>
      <c r="G614" t="str">
        <f>"CUST#0129200/PCT#4"</f>
        <v>CUST#0129200/PCT#4</v>
      </c>
      <c r="H614" s="2">
        <v>30.44</v>
      </c>
      <c r="I614" t="str">
        <f>"CUST#0129200/PCT#4"</f>
        <v>CUST#0129200/PCT#4</v>
      </c>
    </row>
    <row r="615" spans="1:9" x14ac:dyDescent="0.3">
      <c r="A615" t="str">
        <f>"HM"</f>
        <v>HM</v>
      </c>
      <c r="B615" t="s">
        <v>186</v>
      </c>
      <c r="C615">
        <v>70457</v>
      </c>
      <c r="D615" s="2">
        <v>790.67</v>
      </c>
      <c r="E615" s="1">
        <v>42877</v>
      </c>
      <c r="F615" t="str">
        <f>"201705121964"</f>
        <v>201705121964</v>
      </c>
      <c r="G615" t="str">
        <f>"INV PIM4818 6038 6098 WIM91941"</f>
        <v>INV PIM4818 6038 6098 WIM91941</v>
      </c>
      <c r="H615" s="2">
        <v>790.67</v>
      </c>
      <c r="I615" t="str">
        <f>"INV PIM4818 6038 6098 WIM91941"</f>
        <v>INV PIM4818 6038 6098 WIM91941</v>
      </c>
    </row>
    <row r="616" spans="1:9" x14ac:dyDescent="0.3">
      <c r="A616" t="str">
        <f>"T8869"</f>
        <v>T8869</v>
      </c>
      <c r="B616" t="s">
        <v>187</v>
      </c>
      <c r="C616">
        <v>70175</v>
      </c>
      <c r="D616" s="2">
        <v>6699.07</v>
      </c>
      <c r="E616" s="1">
        <v>42863</v>
      </c>
      <c r="F616" t="str">
        <f>"201705031769"</f>
        <v>201705031769</v>
      </c>
      <c r="G616" t="str">
        <f>"Stmt Date 4/28/2017"</f>
        <v>Stmt Date 4/28/2017</v>
      </c>
      <c r="H616" s="2">
        <v>6699.07</v>
      </c>
      <c r="I616" t="str">
        <f>"Inv# 5200611"</f>
        <v>Inv# 5200611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"Inv# 6015471"</f>
        <v>Inv# 6015471</v>
      </c>
    </row>
    <row r="618" spans="1:9" x14ac:dyDescent="0.3">
      <c r="A618" t="str">
        <f>""</f>
        <v/>
      </c>
      <c r="F618" t="str">
        <f>""</f>
        <v/>
      </c>
      <c r="G618" t="str">
        <f>""</f>
        <v/>
      </c>
      <c r="I618" t="str">
        <f>"Inv# 8023897"</f>
        <v>Inv# 8023897</v>
      </c>
    </row>
    <row r="619" spans="1:9" x14ac:dyDescent="0.3">
      <c r="A619" t="str">
        <f>""</f>
        <v/>
      </c>
      <c r="F619" t="str">
        <f>""</f>
        <v/>
      </c>
      <c r="G619" t="str">
        <f>""</f>
        <v/>
      </c>
      <c r="I619" t="str">
        <f>"Inv# 7023957"</f>
        <v>Inv# 7023957</v>
      </c>
    </row>
    <row r="620" spans="1:9" x14ac:dyDescent="0.3">
      <c r="A620" t="str">
        <f>""</f>
        <v/>
      </c>
      <c r="F620" t="str">
        <f>""</f>
        <v/>
      </c>
      <c r="G620" t="str">
        <f>""</f>
        <v/>
      </c>
      <c r="I620" t="str">
        <f>"Inv# 7023967"</f>
        <v>Inv# 7023967</v>
      </c>
    </row>
    <row r="621" spans="1:9" x14ac:dyDescent="0.3">
      <c r="A621" t="str">
        <f>""</f>
        <v/>
      </c>
      <c r="F621" t="str">
        <f>""</f>
        <v/>
      </c>
      <c r="G621" t="str">
        <f>""</f>
        <v/>
      </c>
      <c r="I621" t="str">
        <f>"Inv# 3013955"</f>
        <v>Inv# 3013955</v>
      </c>
    </row>
    <row r="622" spans="1:9" x14ac:dyDescent="0.3">
      <c r="A622" t="str">
        <f>""</f>
        <v/>
      </c>
      <c r="F622" t="str">
        <f>""</f>
        <v/>
      </c>
      <c r="G622" t="str">
        <f>""</f>
        <v/>
      </c>
      <c r="I622" t="str">
        <f>"Inv# 2014065"</f>
        <v>Inv# 2014065</v>
      </c>
    </row>
    <row r="623" spans="1:9" x14ac:dyDescent="0.3">
      <c r="A623" t="str">
        <f>""</f>
        <v/>
      </c>
      <c r="F623" t="str">
        <f>""</f>
        <v/>
      </c>
      <c r="G623" t="str">
        <f>""</f>
        <v/>
      </c>
      <c r="I623" t="str">
        <f>"Inv# 5182337"</f>
        <v>Inv# 5182337</v>
      </c>
    </row>
    <row r="624" spans="1:9" x14ac:dyDescent="0.3">
      <c r="A624" t="str">
        <f>""</f>
        <v/>
      </c>
      <c r="F624" t="str">
        <f>""</f>
        <v/>
      </c>
      <c r="G624" t="str">
        <f>""</f>
        <v/>
      </c>
      <c r="I624" t="str">
        <f>"Inv# 7015334"</f>
        <v>Inv# 7015334</v>
      </c>
    </row>
    <row r="625" spans="1:9" x14ac:dyDescent="0.3">
      <c r="A625" t="str">
        <f>""</f>
        <v/>
      </c>
      <c r="F625" t="str">
        <f>""</f>
        <v/>
      </c>
      <c r="G625" t="str">
        <f>""</f>
        <v/>
      </c>
      <c r="I625" t="str">
        <f>"Inv# 5033116"</f>
        <v>Inv# 5033116</v>
      </c>
    </row>
    <row r="626" spans="1:9" x14ac:dyDescent="0.3">
      <c r="A626" t="str">
        <f>""</f>
        <v/>
      </c>
      <c r="F626" t="str">
        <f>""</f>
        <v/>
      </c>
      <c r="G626" t="str">
        <f>""</f>
        <v/>
      </c>
      <c r="I626" t="str">
        <f>"Inv# 4033206"</f>
        <v>Inv# 4033206</v>
      </c>
    </row>
    <row r="627" spans="1:9" x14ac:dyDescent="0.3">
      <c r="A627" t="str">
        <f>""</f>
        <v/>
      </c>
      <c r="F627" t="str">
        <f>""</f>
        <v/>
      </c>
      <c r="G627" t="str">
        <f>""</f>
        <v/>
      </c>
      <c r="I627" t="str">
        <f>"Inv# 4200620"</f>
        <v>Inv# 4200620</v>
      </c>
    </row>
    <row r="628" spans="1:9" x14ac:dyDescent="0.3">
      <c r="A628" t="str">
        <f>""</f>
        <v/>
      </c>
      <c r="F628" t="str">
        <f>""</f>
        <v/>
      </c>
      <c r="G628" t="str">
        <f>""</f>
        <v/>
      </c>
      <c r="I628" t="str">
        <f>"Inv# 3200624"</f>
        <v>Inv# 3200624</v>
      </c>
    </row>
    <row r="629" spans="1:9" x14ac:dyDescent="0.3">
      <c r="A629" t="str">
        <f>""</f>
        <v/>
      </c>
      <c r="F629" t="str">
        <f>""</f>
        <v/>
      </c>
      <c r="G629" t="str">
        <f>""</f>
        <v/>
      </c>
      <c r="I629" t="str">
        <f>"Inv# 9023710"</f>
        <v>Inv# 9023710</v>
      </c>
    </row>
    <row r="630" spans="1:9" x14ac:dyDescent="0.3">
      <c r="A630" t="str">
        <f>""</f>
        <v/>
      </c>
      <c r="F630" t="str">
        <f>""</f>
        <v/>
      </c>
      <c r="G630" t="str">
        <f>""</f>
        <v/>
      </c>
      <c r="I630" t="str">
        <f>"Inv# 8013541"</f>
        <v>Inv# 8013541</v>
      </c>
    </row>
    <row r="631" spans="1:9" x14ac:dyDescent="0.3">
      <c r="A631" t="str">
        <f>""</f>
        <v/>
      </c>
      <c r="F631" t="str">
        <f>""</f>
        <v/>
      </c>
      <c r="G631" t="str">
        <f>""</f>
        <v/>
      </c>
      <c r="I631" t="str">
        <f>"Inv# 2024402"</f>
        <v>Inv# 2024402</v>
      </c>
    </row>
    <row r="632" spans="1:9" x14ac:dyDescent="0.3">
      <c r="A632" t="str">
        <f>""</f>
        <v/>
      </c>
      <c r="F632" t="str">
        <f>""</f>
        <v/>
      </c>
      <c r="G632" t="str">
        <f>""</f>
        <v/>
      </c>
      <c r="I632" t="str">
        <f>"Inv# 1014124"</f>
        <v>Inv# 1014124</v>
      </c>
    </row>
    <row r="633" spans="1:9" x14ac:dyDescent="0.3">
      <c r="A633" t="str">
        <f>""</f>
        <v/>
      </c>
      <c r="F633" t="str">
        <f>""</f>
        <v/>
      </c>
      <c r="G633" t="str">
        <f>""</f>
        <v/>
      </c>
      <c r="I633" t="str">
        <f>"Inv# 1024449"</f>
        <v>Inv# 1024449</v>
      </c>
    </row>
    <row r="634" spans="1:9" x14ac:dyDescent="0.3">
      <c r="A634" t="str">
        <f>""</f>
        <v/>
      </c>
      <c r="F634" t="str">
        <f>""</f>
        <v/>
      </c>
      <c r="G634" t="str">
        <f>""</f>
        <v/>
      </c>
      <c r="I634" t="str">
        <f>"Inv# 14225"</f>
        <v>Inv# 14225</v>
      </c>
    </row>
    <row r="635" spans="1:9" x14ac:dyDescent="0.3">
      <c r="A635" t="str">
        <f>""</f>
        <v/>
      </c>
      <c r="F635" t="str">
        <f>""</f>
        <v/>
      </c>
      <c r="G635" t="str">
        <f>""</f>
        <v/>
      </c>
      <c r="I635" t="str">
        <f>"Inv# 6014579"</f>
        <v>Inv# 6014579</v>
      </c>
    </row>
    <row r="636" spans="1:9" x14ac:dyDescent="0.3">
      <c r="A636" t="str">
        <f>""</f>
        <v/>
      </c>
      <c r="F636" t="str">
        <f>""</f>
        <v/>
      </c>
      <c r="G636" t="str">
        <f>""</f>
        <v/>
      </c>
      <c r="I636" t="str">
        <f>"Inv# 6024868"</f>
        <v>Inv# 6024868</v>
      </c>
    </row>
    <row r="637" spans="1:9" x14ac:dyDescent="0.3">
      <c r="A637" t="str">
        <f>""</f>
        <v/>
      </c>
      <c r="F637" t="str">
        <f>""</f>
        <v/>
      </c>
      <c r="G637" t="str">
        <f>""</f>
        <v/>
      </c>
      <c r="I637" t="str">
        <f>"Inv# 5044697"</f>
        <v>Inv# 5044697</v>
      </c>
    </row>
    <row r="638" spans="1:9" x14ac:dyDescent="0.3">
      <c r="A638" t="str">
        <f>""</f>
        <v/>
      </c>
      <c r="F638" t="str">
        <f>""</f>
        <v/>
      </c>
      <c r="G638" t="str">
        <f>""</f>
        <v/>
      </c>
      <c r="I638" t="str">
        <f>"Inv# 5025007"</f>
        <v>Inv# 5025007</v>
      </c>
    </row>
    <row r="639" spans="1:9" x14ac:dyDescent="0.3">
      <c r="A639" t="str">
        <f>""</f>
        <v/>
      </c>
      <c r="F639" t="str">
        <f>""</f>
        <v/>
      </c>
      <c r="G639" t="str">
        <f>""</f>
        <v/>
      </c>
      <c r="I639" t="str">
        <f>"Inv# 4014756"</f>
        <v>Inv# 4014756</v>
      </c>
    </row>
    <row r="640" spans="1:9" x14ac:dyDescent="0.3">
      <c r="A640" t="str">
        <f>""</f>
        <v/>
      </c>
      <c r="F640" t="str">
        <f>""</f>
        <v/>
      </c>
      <c r="G640" t="str">
        <f>""</f>
        <v/>
      </c>
      <c r="I640" t="str">
        <f>"Inv# 4020007"</f>
        <v>Inv# 4020007</v>
      </c>
    </row>
    <row r="641" spans="1:9" x14ac:dyDescent="0.3">
      <c r="A641" t="str">
        <f>""</f>
        <v/>
      </c>
      <c r="F641" t="str">
        <f>""</f>
        <v/>
      </c>
      <c r="G641" t="str">
        <f>""</f>
        <v/>
      </c>
      <c r="I641" t="str">
        <f>"Inv# 3014822"</f>
        <v>Inv# 3014822</v>
      </c>
    </row>
    <row r="642" spans="1:9" x14ac:dyDescent="0.3">
      <c r="A642" t="str">
        <f>""</f>
        <v/>
      </c>
      <c r="F642" t="str">
        <f>""</f>
        <v/>
      </c>
      <c r="G642" t="str">
        <f>""</f>
        <v/>
      </c>
      <c r="I642" t="str">
        <f>"Inv# 3020158"</f>
        <v>Inv# 3020158</v>
      </c>
    </row>
    <row r="643" spans="1:9" x14ac:dyDescent="0.3">
      <c r="A643" t="str">
        <f>""</f>
        <v/>
      </c>
      <c r="F643" t="str">
        <f>""</f>
        <v/>
      </c>
      <c r="G643" t="str">
        <f>""</f>
        <v/>
      </c>
      <c r="I643" t="str">
        <f>"Inv# 2020194"</f>
        <v>Inv# 2020194</v>
      </c>
    </row>
    <row r="644" spans="1:9" x14ac:dyDescent="0.3">
      <c r="A644" t="str">
        <f>""</f>
        <v/>
      </c>
      <c r="F644" t="str">
        <f>""</f>
        <v/>
      </c>
      <c r="G644" t="str">
        <f>""</f>
        <v/>
      </c>
      <c r="I644" t="str">
        <f>"Inv# 1020298"</f>
        <v>Inv# 1020298</v>
      </c>
    </row>
    <row r="645" spans="1:9" x14ac:dyDescent="0.3">
      <c r="A645" t="str">
        <f>""</f>
        <v/>
      </c>
      <c r="F645" t="str">
        <f>""</f>
        <v/>
      </c>
      <c r="G645" t="str">
        <f>""</f>
        <v/>
      </c>
      <c r="I645" t="str">
        <f>"Inv# 8015240"</f>
        <v>Inv# 8015240</v>
      </c>
    </row>
    <row r="646" spans="1:9" x14ac:dyDescent="0.3">
      <c r="A646" t="str">
        <f>""</f>
        <v/>
      </c>
      <c r="F646" t="str">
        <f>""</f>
        <v/>
      </c>
      <c r="G646" t="str">
        <f>""</f>
        <v/>
      </c>
      <c r="I646" t="str">
        <f>"Inv# 8972410"</f>
        <v>Inv# 8972410</v>
      </c>
    </row>
    <row r="647" spans="1:9" x14ac:dyDescent="0.3">
      <c r="A647" t="str">
        <f>""</f>
        <v/>
      </c>
      <c r="F647" t="str">
        <f>""</f>
        <v/>
      </c>
      <c r="G647" t="str">
        <f>""</f>
        <v/>
      </c>
      <c r="I647" t="str">
        <f>"Inv# 7584956"</f>
        <v>Inv# 7584956</v>
      </c>
    </row>
    <row r="648" spans="1:9" x14ac:dyDescent="0.3">
      <c r="A648" t="str">
        <f>""</f>
        <v/>
      </c>
      <c r="F648" t="str">
        <f>""</f>
        <v/>
      </c>
      <c r="G648" t="str">
        <f>""</f>
        <v/>
      </c>
      <c r="I648" t="str">
        <f>"Inv# 6015460"</f>
        <v>Inv# 6015460</v>
      </c>
    </row>
    <row r="649" spans="1:9" x14ac:dyDescent="0.3">
      <c r="A649" t="str">
        <f>""</f>
        <v/>
      </c>
      <c r="F649" t="str">
        <f>""</f>
        <v/>
      </c>
      <c r="G649" t="str">
        <f>""</f>
        <v/>
      </c>
      <c r="I649" t="str">
        <f>"Inv# 6153989"</f>
        <v>Inv# 6153989</v>
      </c>
    </row>
    <row r="650" spans="1:9" x14ac:dyDescent="0.3">
      <c r="A650" t="str">
        <f>""</f>
        <v/>
      </c>
      <c r="F650" t="str">
        <f>""</f>
        <v/>
      </c>
      <c r="G650" t="str">
        <f>""</f>
        <v/>
      </c>
      <c r="I650" t="str">
        <f>"Previously BIlled"</f>
        <v>Previously BIlled</v>
      </c>
    </row>
    <row r="651" spans="1:9" x14ac:dyDescent="0.3">
      <c r="A651" t="str">
        <f>""</f>
        <v/>
      </c>
      <c r="F651" t="str">
        <f>""</f>
        <v/>
      </c>
      <c r="G651" t="str">
        <f>""</f>
        <v/>
      </c>
      <c r="I651" t="str">
        <f>"Inv# 4033211"</f>
        <v>Inv# 4033211</v>
      </c>
    </row>
    <row r="652" spans="1:9" x14ac:dyDescent="0.3">
      <c r="A652" t="str">
        <f>""</f>
        <v/>
      </c>
      <c r="F652" t="str">
        <f>""</f>
        <v/>
      </c>
      <c r="G652" t="str">
        <f>""</f>
        <v/>
      </c>
      <c r="I652" t="str">
        <f>"Inv# 7020695"</f>
        <v>Inv# 7020695</v>
      </c>
    </row>
    <row r="653" spans="1:9" x14ac:dyDescent="0.3">
      <c r="A653" t="str">
        <f>""</f>
        <v/>
      </c>
      <c r="F653" t="str">
        <f>""</f>
        <v/>
      </c>
      <c r="G653" t="str">
        <f>""</f>
        <v/>
      </c>
      <c r="I653" t="str">
        <f>"Inv# 6012962"</f>
        <v>Inv# 6012962</v>
      </c>
    </row>
    <row r="654" spans="1:9" x14ac:dyDescent="0.3">
      <c r="A654" t="str">
        <f>""</f>
        <v/>
      </c>
      <c r="F654" t="str">
        <f>""</f>
        <v/>
      </c>
      <c r="G654" t="str">
        <f>""</f>
        <v/>
      </c>
      <c r="I654" t="str">
        <f>"Inv# 9023787"</f>
        <v>Inv# 9023787</v>
      </c>
    </row>
    <row r="655" spans="1:9" x14ac:dyDescent="0.3">
      <c r="A655" t="str">
        <f>""</f>
        <v/>
      </c>
      <c r="F655" t="str">
        <f>""</f>
        <v/>
      </c>
      <c r="G655" t="str">
        <f>""</f>
        <v/>
      </c>
      <c r="I655" t="str">
        <f>"Inv# 9153194"</f>
        <v>Inv# 9153194</v>
      </c>
    </row>
    <row r="656" spans="1:9" x14ac:dyDescent="0.3">
      <c r="A656" t="str">
        <f>""</f>
        <v/>
      </c>
      <c r="F656" t="str">
        <f>""</f>
        <v/>
      </c>
      <c r="G656" t="str">
        <f>""</f>
        <v/>
      </c>
      <c r="I656" t="str">
        <f>"Inv# 6012948"</f>
        <v>Inv# 6012948</v>
      </c>
    </row>
    <row r="657" spans="1:9" x14ac:dyDescent="0.3">
      <c r="A657" t="str">
        <f>""</f>
        <v/>
      </c>
      <c r="F657" t="str">
        <f>""</f>
        <v/>
      </c>
      <c r="G657" t="str">
        <f>""</f>
        <v/>
      </c>
      <c r="I657" t="str">
        <f>"Inv# 6033025"</f>
        <v>Inv# 6033025</v>
      </c>
    </row>
    <row r="658" spans="1:9" x14ac:dyDescent="0.3">
      <c r="A658" t="str">
        <f>""</f>
        <v/>
      </c>
      <c r="F658" t="str">
        <f>""</f>
        <v/>
      </c>
      <c r="G658" t="str">
        <f>""</f>
        <v/>
      </c>
      <c r="I658" t="str">
        <f>"Inv# 5033116"</f>
        <v>Inv# 5033116</v>
      </c>
    </row>
    <row r="659" spans="1:9" x14ac:dyDescent="0.3">
      <c r="A659" t="str">
        <f>""</f>
        <v/>
      </c>
      <c r="F659" t="str">
        <f>""</f>
        <v/>
      </c>
      <c r="G659" t="str">
        <f>""</f>
        <v/>
      </c>
      <c r="I659" t="str">
        <f>"Inv# 5573243"</f>
        <v>Inv# 5573243</v>
      </c>
    </row>
    <row r="660" spans="1:9" x14ac:dyDescent="0.3">
      <c r="A660" t="str">
        <f>""</f>
        <v/>
      </c>
      <c r="F660" t="str">
        <f>""</f>
        <v/>
      </c>
      <c r="G660" t="str">
        <f>""</f>
        <v/>
      </c>
      <c r="I660" t="str">
        <f>"Inv# 8153928"</f>
        <v>Inv# 8153928</v>
      </c>
    </row>
    <row r="661" spans="1:9" x14ac:dyDescent="0.3">
      <c r="A661" t="str">
        <f>""</f>
        <v/>
      </c>
      <c r="F661" t="str">
        <f>""</f>
        <v/>
      </c>
      <c r="G661" t="str">
        <f>""</f>
        <v/>
      </c>
      <c r="I661" t="str">
        <f>"Inv# 5573243"</f>
        <v>Inv# 5573243</v>
      </c>
    </row>
    <row r="662" spans="1:9" x14ac:dyDescent="0.3">
      <c r="A662" t="str">
        <f>""</f>
        <v/>
      </c>
      <c r="F662" t="str">
        <f>""</f>
        <v/>
      </c>
      <c r="G662" t="str">
        <f>""</f>
        <v/>
      </c>
      <c r="I662" t="str">
        <f>"Inv# 6584133"</f>
        <v>Inv# 6584133</v>
      </c>
    </row>
    <row r="663" spans="1:9" x14ac:dyDescent="0.3">
      <c r="A663" t="str">
        <f>""</f>
        <v/>
      </c>
      <c r="F663" t="str">
        <f>""</f>
        <v/>
      </c>
      <c r="G663" t="str">
        <f>""</f>
        <v/>
      </c>
      <c r="I663" t="str">
        <f>"Inv# 1584347"</f>
        <v>Inv# 1584347</v>
      </c>
    </row>
    <row r="664" spans="1:9" x14ac:dyDescent="0.3">
      <c r="A664" t="str">
        <f>""</f>
        <v/>
      </c>
      <c r="F664" t="str">
        <f>""</f>
        <v/>
      </c>
      <c r="G664" t="str">
        <f>""</f>
        <v/>
      </c>
      <c r="I664" t="str">
        <f>"Inv# 8153929"</f>
        <v>Inv# 8153929</v>
      </c>
    </row>
    <row r="665" spans="1:9" x14ac:dyDescent="0.3">
      <c r="A665" t="str">
        <f>""</f>
        <v/>
      </c>
      <c r="F665" t="str">
        <f>""</f>
        <v/>
      </c>
      <c r="G665" t="str">
        <f>""</f>
        <v/>
      </c>
      <c r="I665" t="str">
        <f>"Inv# 8153930"</f>
        <v>Inv# 8153930</v>
      </c>
    </row>
    <row r="666" spans="1:9" x14ac:dyDescent="0.3">
      <c r="A666" t="str">
        <f>""</f>
        <v/>
      </c>
      <c r="F666" t="str">
        <f>""</f>
        <v/>
      </c>
      <c r="G666" t="str">
        <f>""</f>
        <v/>
      </c>
      <c r="I666" t="str">
        <f>"Inv# 8153931"</f>
        <v>Inv# 8153931</v>
      </c>
    </row>
    <row r="667" spans="1:9" x14ac:dyDescent="0.3">
      <c r="A667" t="str">
        <f>""</f>
        <v/>
      </c>
      <c r="F667" t="str">
        <f>""</f>
        <v/>
      </c>
      <c r="G667" t="str">
        <f>""</f>
        <v/>
      </c>
      <c r="I667" t="str">
        <f>"Inv# 6200608"</f>
        <v>Inv# 6200608</v>
      </c>
    </row>
    <row r="668" spans="1:9" x14ac:dyDescent="0.3">
      <c r="A668" t="str">
        <f>""</f>
        <v/>
      </c>
      <c r="F668" t="str">
        <f>""</f>
        <v/>
      </c>
      <c r="G668" t="str">
        <f>""</f>
        <v/>
      </c>
      <c r="I668" t="str">
        <f>"Inv# 14284"</f>
        <v>Inv# 14284</v>
      </c>
    </row>
    <row r="669" spans="1:9" x14ac:dyDescent="0.3">
      <c r="A669" t="str">
        <f>""</f>
        <v/>
      </c>
      <c r="F669" t="str">
        <f>""</f>
        <v/>
      </c>
      <c r="G669" t="str">
        <f>""</f>
        <v/>
      </c>
      <c r="I669" t="str">
        <f>"Inv# 5210480"</f>
        <v>Inv# 5210480</v>
      </c>
    </row>
    <row r="670" spans="1:9" x14ac:dyDescent="0.3">
      <c r="A670" t="str">
        <f>""</f>
        <v/>
      </c>
      <c r="F670" t="str">
        <f>""</f>
        <v/>
      </c>
      <c r="G670" t="str">
        <f>""</f>
        <v/>
      </c>
      <c r="I670" t="str">
        <f>"Inv# 5014710"</f>
        <v>Inv# 5014710</v>
      </c>
    </row>
    <row r="671" spans="1:9" x14ac:dyDescent="0.3">
      <c r="A671" t="str">
        <f>""</f>
        <v/>
      </c>
      <c r="F671" t="str">
        <f>""</f>
        <v/>
      </c>
      <c r="G671" t="str">
        <f>""</f>
        <v/>
      </c>
      <c r="I671" t="str">
        <f>"Inv# 6020764"</f>
        <v>Inv# 6020764</v>
      </c>
    </row>
    <row r="672" spans="1:9" x14ac:dyDescent="0.3">
      <c r="A672" t="str">
        <f>""</f>
        <v/>
      </c>
      <c r="F672" t="str">
        <f>""</f>
        <v/>
      </c>
      <c r="G672" t="str">
        <f>""</f>
        <v/>
      </c>
      <c r="I672" t="str">
        <f>"Inv# 2024371"</f>
        <v>Inv# 2024371</v>
      </c>
    </row>
    <row r="673" spans="1:9" x14ac:dyDescent="0.3">
      <c r="A673" t="str">
        <f>""</f>
        <v/>
      </c>
      <c r="F673" t="str">
        <f>""</f>
        <v/>
      </c>
      <c r="G673" t="str">
        <f>""</f>
        <v/>
      </c>
      <c r="I673" t="str">
        <f>"Inv# 2160695"</f>
        <v>Inv# 2160695</v>
      </c>
    </row>
    <row r="674" spans="1:9" x14ac:dyDescent="0.3">
      <c r="A674" t="str">
        <f>""</f>
        <v/>
      </c>
      <c r="F674" t="str">
        <f>""</f>
        <v/>
      </c>
      <c r="G674" t="str">
        <f>""</f>
        <v/>
      </c>
      <c r="I674" t="str">
        <f>"Inv# 2153466"</f>
        <v>Inv# 2153466</v>
      </c>
    </row>
    <row r="675" spans="1:9" x14ac:dyDescent="0.3">
      <c r="A675" t="str">
        <f>""</f>
        <v/>
      </c>
      <c r="F675" t="str">
        <f>""</f>
        <v/>
      </c>
      <c r="G675" t="str">
        <f>""</f>
        <v/>
      </c>
      <c r="I675" t="str">
        <f>"Inv# 7565762"</f>
        <v>Inv# 7565762</v>
      </c>
    </row>
    <row r="676" spans="1:9" x14ac:dyDescent="0.3">
      <c r="A676" t="str">
        <f>""</f>
        <v/>
      </c>
      <c r="F676" t="str">
        <f>""</f>
        <v/>
      </c>
      <c r="G676" t="str">
        <f>""</f>
        <v/>
      </c>
      <c r="I676" t="str">
        <f>"Inv# 7153254"</f>
        <v>Inv# 7153254</v>
      </c>
    </row>
    <row r="677" spans="1:9" x14ac:dyDescent="0.3">
      <c r="A677" t="str">
        <f>""</f>
        <v/>
      </c>
      <c r="F677" t="str">
        <f>""</f>
        <v/>
      </c>
      <c r="G677" t="str">
        <f>""</f>
        <v/>
      </c>
      <c r="I677" t="str">
        <f>"Inv# 5033123"</f>
        <v>Inv# 5033123</v>
      </c>
    </row>
    <row r="678" spans="1:9" x14ac:dyDescent="0.3">
      <c r="A678" t="str">
        <f>""</f>
        <v/>
      </c>
      <c r="F678" t="str">
        <f>""</f>
        <v/>
      </c>
      <c r="G678" t="str">
        <f>""</f>
        <v/>
      </c>
      <c r="I678" t="str">
        <f>"Inv# 9023717"</f>
        <v>Inv# 9023717</v>
      </c>
    </row>
    <row r="679" spans="1:9" x14ac:dyDescent="0.3">
      <c r="A679" t="str">
        <f>""</f>
        <v/>
      </c>
      <c r="F679" t="str">
        <f>""</f>
        <v/>
      </c>
      <c r="G679" t="str">
        <f>""</f>
        <v/>
      </c>
      <c r="I679" t="str">
        <f>"Inv# 9023761"</f>
        <v>Inv# 9023761</v>
      </c>
    </row>
    <row r="680" spans="1:9" x14ac:dyDescent="0.3">
      <c r="A680" t="str">
        <f>""</f>
        <v/>
      </c>
      <c r="F680" t="str">
        <f>""</f>
        <v/>
      </c>
      <c r="G680" t="str">
        <f>""</f>
        <v/>
      </c>
      <c r="I680" t="str">
        <f>"Inv# 7023978"</f>
        <v>Inv# 7023978</v>
      </c>
    </row>
    <row r="681" spans="1:9" x14ac:dyDescent="0.3">
      <c r="A681" t="str">
        <f>""</f>
        <v/>
      </c>
      <c r="F681" t="str">
        <f>""</f>
        <v/>
      </c>
      <c r="G681" t="str">
        <f>""</f>
        <v/>
      </c>
      <c r="I681" t="str">
        <f>"Inv# 2024372"</f>
        <v>Inv# 2024372</v>
      </c>
    </row>
    <row r="682" spans="1:9" x14ac:dyDescent="0.3">
      <c r="A682" t="str">
        <f>""</f>
        <v/>
      </c>
      <c r="F682" t="str">
        <f>""</f>
        <v/>
      </c>
      <c r="G682" t="str">
        <f>""</f>
        <v/>
      </c>
      <c r="I682" t="str">
        <f>"Inv# 14226"</f>
        <v>Inv# 14226</v>
      </c>
    </row>
    <row r="683" spans="1:9" x14ac:dyDescent="0.3">
      <c r="A683" t="str">
        <f>""</f>
        <v/>
      </c>
      <c r="F683" t="str">
        <f>""</f>
        <v/>
      </c>
      <c r="G683" t="str">
        <f>""</f>
        <v/>
      </c>
      <c r="I683" t="str">
        <f>"Inv# 82186"</f>
        <v>Inv# 82186</v>
      </c>
    </row>
    <row r="684" spans="1:9" x14ac:dyDescent="0.3">
      <c r="A684" t="str">
        <f>""</f>
        <v/>
      </c>
      <c r="F684" t="str">
        <f>""</f>
        <v/>
      </c>
      <c r="G684" t="str">
        <f>""</f>
        <v/>
      </c>
      <c r="I684" t="str">
        <f>"Inv# 7024856"</f>
        <v>Inv# 7024856</v>
      </c>
    </row>
    <row r="685" spans="1:9" x14ac:dyDescent="0.3">
      <c r="A685" t="str">
        <f>""</f>
        <v/>
      </c>
      <c r="F685" t="str">
        <f>""</f>
        <v/>
      </c>
      <c r="G685" t="str">
        <f>""</f>
        <v/>
      </c>
      <c r="I685" t="str">
        <f>"Inv# 5025014"</f>
        <v>Inv# 5025014</v>
      </c>
    </row>
    <row r="686" spans="1:9" x14ac:dyDescent="0.3">
      <c r="A686" t="str">
        <f>""</f>
        <v/>
      </c>
      <c r="F686" t="str">
        <f>""</f>
        <v/>
      </c>
      <c r="G686" t="str">
        <f>""</f>
        <v/>
      </c>
      <c r="I686" t="str">
        <f>"Inv# 8592832"</f>
        <v>Inv# 8592832</v>
      </c>
    </row>
    <row r="687" spans="1:9" x14ac:dyDescent="0.3">
      <c r="A687" t="str">
        <f>""</f>
        <v/>
      </c>
      <c r="F687" t="str">
        <f>""</f>
        <v/>
      </c>
      <c r="G687" t="str">
        <f>""</f>
        <v/>
      </c>
      <c r="I687" t="str">
        <f>"Inv# 7015332"</f>
        <v>Inv# 7015332</v>
      </c>
    </row>
    <row r="688" spans="1:9" x14ac:dyDescent="0.3">
      <c r="A688" t="str">
        <f>""</f>
        <v/>
      </c>
      <c r="F688" t="str">
        <f>""</f>
        <v/>
      </c>
      <c r="G688" t="str">
        <f>""</f>
        <v/>
      </c>
      <c r="I688" t="str">
        <f>"Inv# 6015427"</f>
        <v>Inv# 6015427</v>
      </c>
    </row>
    <row r="689" spans="1:9" x14ac:dyDescent="0.3">
      <c r="A689" t="str">
        <f>""</f>
        <v/>
      </c>
      <c r="F689" t="str">
        <f>""</f>
        <v/>
      </c>
      <c r="G689" t="str">
        <f>""</f>
        <v/>
      </c>
      <c r="I689" t="str">
        <f>"Inv# 6560598"</f>
        <v>Inv# 6560598</v>
      </c>
    </row>
    <row r="690" spans="1:9" x14ac:dyDescent="0.3">
      <c r="A690" t="str">
        <f>"T8205"</f>
        <v>T8205</v>
      </c>
      <c r="B690" t="s">
        <v>188</v>
      </c>
      <c r="C690">
        <v>70458</v>
      </c>
      <c r="D690" s="2">
        <v>49.04</v>
      </c>
      <c r="E690" s="1">
        <v>42877</v>
      </c>
      <c r="F690" t="str">
        <f>"82120"</f>
        <v>82120</v>
      </c>
      <c r="G690" t="str">
        <f>"CUST #BASTROP1 PCT#1"</f>
        <v>CUST #BASTROP1 PCT#1</v>
      </c>
      <c r="H690" s="2">
        <v>49.04</v>
      </c>
      <c r="I690" t="str">
        <f>"CUST #BASTROP1 PCT#1"</f>
        <v>CUST #BASTROP1 PCT#1</v>
      </c>
    </row>
    <row r="691" spans="1:9" x14ac:dyDescent="0.3">
      <c r="A691" t="str">
        <f>"003653"</f>
        <v>003653</v>
      </c>
      <c r="B691" t="s">
        <v>189</v>
      </c>
      <c r="C691">
        <v>70459</v>
      </c>
      <c r="D691" s="2">
        <v>241.99</v>
      </c>
      <c r="E691" s="1">
        <v>42877</v>
      </c>
      <c r="F691" t="str">
        <f>"201705121951"</f>
        <v>201705121951</v>
      </c>
      <c r="G691" t="str">
        <f>"S1705020001-00122 STMT#"</f>
        <v>S1705020001-00122 STMT#</v>
      </c>
      <c r="H691" s="2">
        <v>241.99</v>
      </c>
      <c r="I691" t="str">
        <f>"S1705020001-00122 STMT#"</f>
        <v>S1705020001-00122 STMT#</v>
      </c>
    </row>
    <row r="692" spans="1:9" x14ac:dyDescent="0.3">
      <c r="A692" t="str">
        <f>"000693"</f>
        <v>000693</v>
      </c>
      <c r="B692" t="s">
        <v>190</v>
      </c>
      <c r="C692">
        <v>70460</v>
      </c>
      <c r="D692" s="2">
        <v>125.9</v>
      </c>
      <c r="E692" s="1">
        <v>42877</v>
      </c>
      <c r="F692" t="str">
        <f>"201705172221"</f>
        <v>201705172221</v>
      </c>
      <c r="G692" t="str">
        <f>"INV 3016129177"</f>
        <v>INV 3016129177</v>
      </c>
      <c r="H692" s="2">
        <v>125.9</v>
      </c>
      <c r="I692" t="str">
        <f>"INV 3016129177"</f>
        <v>INV 3016129177</v>
      </c>
    </row>
    <row r="693" spans="1:9" x14ac:dyDescent="0.3">
      <c r="A693" t="str">
        <f>"T11576"</f>
        <v>T11576</v>
      </c>
      <c r="B693" t="s">
        <v>191</v>
      </c>
      <c r="C693">
        <v>70176</v>
      </c>
      <c r="D693" s="2">
        <v>2430</v>
      </c>
      <c r="E693" s="1">
        <v>42863</v>
      </c>
      <c r="F693" t="str">
        <f>"64048"</f>
        <v>64048</v>
      </c>
      <c r="G693" t="str">
        <f>"PROF.SERVICES/JUNE'17"</f>
        <v>PROF.SERVICES/JUNE'17</v>
      </c>
      <c r="H693" s="2">
        <v>2430</v>
      </c>
      <c r="I693" t="str">
        <f>"PROF.SERVICES/JUNE'17"</f>
        <v>PROF.SERVICES/JUNE'17</v>
      </c>
    </row>
    <row r="694" spans="1:9" x14ac:dyDescent="0.3">
      <c r="A694" t="str">
        <f>""</f>
        <v/>
      </c>
      <c r="F694" t="str">
        <f>""</f>
        <v/>
      </c>
      <c r="G694" t="str">
        <f>""</f>
        <v/>
      </c>
      <c r="I694" t="str">
        <f>"PROF.SERVICES/JUNE'17"</f>
        <v>PROF.SERVICES/JUNE'17</v>
      </c>
    </row>
    <row r="695" spans="1:9" x14ac:dyDescent="0.3">
      <c r="A695" t="str">
        <f>"005050"</f>
        <v>005050</v>
      </c>
      <c r="B695" t="s">
        <v>192</v>
      </c>
      <c r="C695">
        <v>70177</v>
      </c>
      <c r="D695" s="2">
        <v>530</v>
      </c>
      <c r="E695" s="1">
        <v>42863</v>
      </c>
      <c r="F695" t="str">
        <f>"GOOZE6EKSF"</f>
        <v>GOOZE6EKSF</v>
      </c>
      <c r="G695" t="str">
        <f>"REG-K UNGER"</f>
        <v>REG-K UNGER</v>
      </c>
      <c r="H695" s="2">
        <v>265</v>
      </c>
      <c r="I695" t="str">
        <f>"REG-K UNGER"</f>
        <v>REG-K UNGER</v>
      </c>
    </row>
    <row r="696" spans="1:9" x14ac:dyDescent="0.3">
      <c r="A696" t="str">
        <f>""</f>
        <v/>
      </c>
      <c r="F696" t="str">
        <f>"SV5X6G15M9"</f>
        <v>SV5X6G15M9</v>
      </c>
      <c r="G696" t="str">
        <f>"REG-D ADAMS"</f>
        <v>REG-D ADAMS</v>
      </c>
      <c r="H696" s="2">
        <v>265</v>
      </c>
      <c r="I696" t="str">
        <f>"REG-D ADAMS"</f>
        <v>REG-D ADAMS</v>
      </c>
    </row>
    <row r="697" spans="1:9" x14ac:dyDescent="0.3">
      <c r="A697" t="str">
        <f>"IRON"</f>
        <v>IRON</v>
      </c>
      <c r="B697" t="s">
        <v>193</v>
      </c>
      <c r="C697">
        <v>70461</v>
      </c>
      <c r="D697" s="2">
        <v>66.12</v>
      </c>
      <c r="E697" s="1">
        <v>42877</v>
      </c>
      <c r="F697" t="str">
        <f>"NTR6074"</f>
        <v>NTR6074</v>
      </c>
      <c r="G697" t="str">
        <f>"CUST#AX773/BASTROP CNTYCLERK"</f>
        <v>CUST#AX773/BASTROP CNTYCLERK</v>
      </c>
      <c r="H697" s="2">
        <v>66.12</v>
      </c>
      <c r="I697" t="str">
        <f>"CUST#AX773/BASTROP CNTYCLERK"</f>
        <v>CUST#AX773/BASTROP CNTYCLERK</v>
      </c>
    </row>
    <row r="698" spans="1:9" x14ac:dyDescent="0.3">
      <c r="A698" t="str">
        <f>"T7585"</f>
        <v>T7585</v>
      </c>
      <c r="B698" t="s">
        <v>194</v>
      </c>
      <c r="C698">
        <v>70178</v>
      </c>
      <c r="D698" s="2">
        <v>260</v>
      </c>
      <c r="E698" s="1">
        <v>42863</v>
      </c>
      <c r="F698" t="str">
        <f>"14046"</f>
        <v>14046</v>
      </c>
      <c r="G698" t="str">
        <f>"UNIT RENTAL/HANDICAP/CC PARK"</f>
        <v>UNIT RENTAL/HANDICAP/CC PARK</v>
      </c>
      <c r="H698" s="2">
        <v>260</v>
      </c>
      <c r="I698" t="str">
        <f>"UNIT RENTAL/HANDICAP/CC PARK"</f>
        <v>UNIT RENTAL/HANDICAP/CC PARK</v>
      </c>
    </row>
    <row r="699" spans="1:9" x14ac:dyDescent="0.3">
      <c r="A699" t="str">
        <f>"002310"</f>
        <v>002310</v>
      </c>
      <c r="B699" t="s">
        <v>195</v>
      </c>
      <c r="C699">
        <v>70179</v>
      </c>
      <c r="D699" s="2">
        <v>258</v>
      </c>
      <c r="E699" s="1">
        <v>42863</v>
      </c>
      <c r="F699" t="str">
        <f>"201705021636"</f>
        <v>201705021636</v>
      </c>
      <c r="G699" t="str">
        <f>"PER DIEM-TRAINING"</f>
        <v>PER DIEM-TRAINING</v>
      </c>
      <c r="H699" s="2">
        <v>258</v>
      </c>
      <c r="I699" t="str">
        <f>"PER DIEM-TRAINING"</f>
        <v>PER DIEM-TRAINING</v>
      </c>
    </row>
    <row r="700" spans="1:9" x14ac:dyDescent="0.3">
      <c r="A700" t="str">
        <f>"004787"</f>
        <v>004787</v>
      </c>
      <c r="B700" t="s">
        <v>196</v>
      </c>
      <c r="C700">
        <v>70180</v>
      </c>
      <c r="D700" s="2">
        <v>150</v>
      </c>
      <c r="E700" s="1">
        <v>42863</v>
      </c>
      <c r="F700" t="str">
        <f>"201705021633"</f>
        <v>201705021633</v>
      </c>
      <c r="G700" t="str">
        <f>"PER DIEM-TRAINING"</f>
        <v>PER DIEM-TRAINING</v>
      </c>
      <c r="H700" s="2">
        <v>150</v>
      </c>
      <c r="I700" t="str">
        <f>"PER DIEM-TRAINING"</f>
        <v>PER DIEM-TRAINING</v>
      </c>
    </row>
    <row r="701" spans="1:9" x14ac:dyDescent="0.3">
      <c r="A701" t="str">
        <f>"003534"</f>
        <v>003534</v>
      </c>
      <c r="B701" t="s">
        <v>197</v>
      </c>
      <c r="C701">
        <v>70064</v>
      </c>
      <c r="D701" s="2">
        <v>250</v>
      </c>
      <c r="E701" s="1">
        <v>42859</v>
      </c>
      <c r="F701" t="str">
        <f>"062058"</f>
        <v>062058</v>
      </c>
      <c r="G701" t="str">
        <f>"LABOR CHARGES"</f>
        <v>LABOR CHARGES</v>
      </c>
      <c r="H701" s="2">
        <v>250</v>
      </c>
      <c r="I701" t="str">
        <f>"LABOR CHARGES"</f>
        <v>LABOR CHARGES</v>
      </c>
    </row>
    <row r="702" spans="1:9" x14ac:dyDescent="0.3">
      <c r="A702" t="str">
        <f>"JOB"</f>
        <v>JOB</v>
      </c>
      <c r="B702" t="s">
        <v>198</v>
      </c>
      <c r="C702">
        <v>70181</v>
      </c>
      <c r="D702" s="2">
        <v>500</v>
      </c>
      <c r="E702" s="1">
        <v>42863</v>
      </c>
      <c r="F702" t="str">
        <f>"201705031726"</f>
        <v>201705031726</v>
      </c>
      <c r="G702" t="str">
        <f>"54.494"</f>
        <v>54.494</v>
      </c>
      <c r="H702" s="2">
        <v>250</v>
      </c>
      <c r="I702" t="str">
        <f>"54.494"</f>
        <v>54.494</v>
      </c>
    </row>
    <row r="703" spans="1:9" x14ac:dyDescent="0.3">
      <c r="A703" t="str">
        <f>""</f>
        <v/>
      </c>
      <c r="F703" t="str">
        <f>"201705031727"</f>
        <v>201705031727</v>
      </c>
      <c r="G703" t="str">
        <f>"54.222"</f>
        <v>54.222</v>
      </c>
      <c r="H703" s="2">
        <v>250</v>
      </c>
      <c r="I703" t="str">
        <f>"54.222"</f>
        <v>54.222</v>
      </c>
    </row>
    <row r="704" spans="1:9" x14ac:dyDescent="0.3">
      <c r="A704" t="str">
        <f>"JOB"</f>
        <v>JOB</v>
      </c>
      <c r="B704" t="s">
        <v>198</v>
      </c>
      <c r="C704">
        <v>70462</v>
      </c>
      <c r="D704" s="2">
        <v>750</v>
      </c>
      <c r="E704" s="1">
        <v>42877</v>
      </c>
      <c r="F704" t="str">
        <f>"201705172139"</f>
        <v>201705172139</v>
      </c>
      <c r="G704" t="str">
        <f>"CASE 54 317"</f>
        <v>CASE 54 317</v>
      </c>
      <c r="H704" s="2">
        <v>250</v>
      </c>
      <c r="I704" t="str">
        <f>"CASE 54 317"</f>
        <v>CASE 54 317</v>
      </c>
    </row>
    <row r="705" spans="1:10" x14ac:dyDescent="0.3">
      <c r="A705" t="str">
        <f>""</f>
        <v/>
      </c>
      <c r="F705" t="str">
        <f>"201705172140"</f>
        <v>201705172140</v>
      </c>
      <c r="G705" t="str">
        <f>"CASE 53 976"</f>
        <v>CASE 53 976</v>
      </c>
      <c r="H705" s="2">
        <v>250</v>
      </c>
      <c r="I705" t="str">
        <f>"CASE 53 976"</f>
        <v>CASE 53 976</v>
      </c>
    </row>
    <row r="706" spans="1:10" x14ac:dyDescent="0.3">
      <c r="A706" t="str">
        <f>""</f>
        <v/>
      </c>
      <c r="F706" t="str">
        <f>"201705172141"</f>
        <v>201705172141</v>
      </c>
      <c r="G706" t="str">
        <f>"CASE 1JP330170"</f>
        <v>CASE 1JP330170</v>
      </c>
      <c r="H706" s="2">
        <v>250</v>
      </c>
      <c r="I706" t="str">
        <f>"CASE 1JP330170"</f>
        <v>CASE 1JP330170</v>
      </c>
    </row>
    <row r="707" spans="1:10" x14ac:dyDescent="0.3">
      <c r="A707" t="str">
        <f>"T13801"</f>
        <v>T13801</v>
      </c>
      <c r="B707" t="s">
        <v>199</v>
      </c>
      <c r="C707">
        <v>70182</v>
      </c>
      <c r="D707" s="2">
        <v>478.68</v>
      </c>
      <c r="E707" s="1">
        <v>42863</v>
      </c>
      <c r="F707" t="str">
        <f>"4160*06021*4"</f>
        <v>4160*06021*4</v>
      </c>
      <c r="G707" t="str">
        <f>"CLIENT#4160 K COOK"</f>
        <v>CLIENT#4160 K COOK</v>
      </c>
      <c r="H707" s="2">
        <v>118.42</v>
      </c>
      <c r="I707" t="str">
        <f>"CLIENT#4160 K COOK"</f>
        <v>CLIENT#4160 K COOK</v>
      </c>
    </row>
    <row r="708" spans="1:10" x14ac:dyDescent="0.3">
      <c r="A708" t="str">
        <f>""</f>
        <v/>
      </c>
      <c r="F708" t="s">
        <v>200</v>
      </c>
      <c r="G708" t="s">
        <v>201</v>
      </c>
      <c r="H708" s="2" t="str">
        <f>"PATIENT-K COOK  B S SMITH"</f>
        <v>PATIENT-K COOK  B S SMITH</v>
      </c>
      <c r="I708" t="str">
        <f>"562-3333"</f>
        <v>562-3333</v>
      </c>
      <c r="J708">
        <v>360.26</v>
      </c>
    </row>
    <row r="709" spans="1:10" x14ac:dyDescent="0.3">
      <c r="A709" t="str">
        <f>"004314"</f>
        <v>004314</v>
      </c>
      <c r="B709" t="s">
        <v>202</v>
      </c>
      <c r="C709">
        <v>70463</v>
      </c>
      <c r="D709" s="2">
        <v>435</v>
      </c>
      <c r="E709" s="1">
        <v>42877</v>
      </c>
      <c r="F709" t="str">
        <f>"201705162042"</f>
        <v>201705162042</v>
      </c>
      <c r="G709" t="str">
        <f>"FERAL HOGS"</f>
        <v>FERAL HOGS</v>
      </c>
      <c r="H709" s="2">
        <v>20</v>
      </c>
      <c r="I709" t="str">
        <f>"FERAL HOGS"</f>
        <v>FERAL HOGS</v>
      </c>
    </row>
    <row r="710" spans="1:10" x14ac:dyDescent="0.3">
      <c r="A710" t="str">
        <f>""</f>
        <v/>
      </c>
      <c r="F710" t="str">
        <f>"201705162043"</f>
        <v>201705162043</v>
      </c>
      <c r="G710" t="str">
        <f>"FERAL HOGS"</f>
        <v>FERAL HOGS</v>
      </c>
      <c r="H710" s="2">
        <v>230</v>
      </c>
      <c r="I710" t="str">
        <f>"FERAL HOGS"</f>
        <v>FERAL HOGS</v>
      </c>
    </row>
    <row r="711" spans="1:10" x14ac:dyDescent="0.3">
      <c r="A711" t="str">
        <f>""</f>
        <v/>
      </c>
      <c r="F711" t="str">
        <f>"201705162044"</f>
        <v>201705162044</v>
      </c>
      <c r="G711" t="str">
        <f>"FERAL HOGS"</f>
        <v>FERAL HOGS</v>
      </c>
      <c r="H711" s="2">
        <v>185</v>
      </c>
      <c r="I711" t="str">
        <f>"FERAL HOGS"</f>
        <v>FERAL HOGS</v>
      </c>
    </row>
    <row r="712" spans="1:10" x14ac:dyDescent="0.3">
      <c r="A712" t="str">
        <f>"T7860"</f>
        <v>T7860</v>
      </c>
      <c r="B712" t="s">
        <v>203</v>
      </c>
      <c r="C712">
        <v>70183</v>
      </c>
      <c r="D712" s="2">
        <v>450</v>
      </c>
      <c r="E712" s="1">
        <v>42863</v>
      </c>
      <c r="F712" t="str">
        <f>"201705031728"</f>
        <v>201705031728</v>
      </c>
      <c r="G712" t="str">
        <f>"CH-20170408-A  9253452846A004"</f>
        <v>CH-20170408-A  9253452846A004</v>
      </c>
      <c r="H712" s="2">
        <v>250</v>
      </c>
      <c r="I712" t="str">
        <f>"CH-20170408-A  9253452846A004"</f>
        <v>CH-20170408-A  9253452846A004</v>
      </c>
    </row>
    <row r="713" spans="1:10" x14ac:dyDescent="0.3">
      <c r="A713" t="str">
        <f>""</f>
        <v/>
      </c>
      <c r="F713" t="str">
        <f>"201705031729"</f>
        <v>201705031729</v>
      </c>
      <c r="G713" t="str">
        <f>"16-18067"</f>
        <v>16-18067</v>
      </c>
      <c r="H713" s="2">
        <v>100</v>
      </c>
      <c r="I713" t="str">
        <f>"16-18067"</f>
        <v>16-18067</v>
      </c>
    </row>
    <row r="714" spans="1:10" x14ac:dyDescent="0.3">
      <c r="A714" t="str">
        <f>""</f>
        <v/>
      </c>
      <c r="F714" t="str">
        <f>"201705031730"</f>
        <v>201705031730</v>
      </c>
      <c r="G714" t="str">
        <f>"16-18043"</f>
        <v>16-18043</v>
      </c>
      <c r="H714" s="2">
        <v>100</v>
      </c>
      <c r="I714" t="str">
        <f>"16-18043"</f>
        <v>16-18043</v>
      </c>
    </row>
    <row r="715" spans="1:10" x14ac:dyDescent="0.3">
      <c r="A715" t="str">
        <f>"T7860"</f>
        <v>T7860</v>
      </c>
      <c r="B715" t="s">
        <v>203</v>
      </c>
      <c r="C715">
        <v>70464</v>
      </c>
      <c r="D715" s="2">
        <v>875</v>
      </c>
      <c r="E715" s="1">
        <v>42877</v>
      </c>
      <c r="F715" t="str">
        <f>"201705172142"</f>
        <v>201705172142</v>
      </c>
      <c r="G715" t="str">
        <f>"CASE 55 042 55 043"</f>
        <v>CASE 55 042 55 043</v>
      </c>
      <c r="H715" s="2">
        <v>375</v>
      </c>
      <c r="I715" t="str">
        <f>"CASE 55 042 55 043"</f>
        <v>CASE 55 042 55 043</v>
      </c>
    </row>
    <row r="716" spans="1:10" x14ac:dyDescent="0.3">
      <c r="A716" t="str">
        <f>""</f>
        <v/>
      </c>
      <c r="F716" t="str">
        <f>"201705172143"</f>
        <v>201705172143</v>
      </c>
      <c r="G716" t="str">
        <f>"CASE 55 041"</f>
        <v>CASE 55 041</v>
      </c>
      <c r="H716" s="2">
        <v>250</v>
      </c>
      <c r="I716" t="str">
        <f>"CASE 55 041"</f>
        <v>CASE 55 041</v>
      </c>
    </row>
    <row r="717" spans="1:10" x14ac:dyDescent="0.3">
      <c r="A717" t="str">
        <f>""</f>
        <v/>
      </c>
      <c r="F717" t="str">
        <f>"201705172144"</f>
        <v>201705172144</v>
      </c>
      <c r="G717" t="str">
        <f>"CASE 54 863"</f>
        <v>CASE 54 863</v>
      </c>
      <c r="H717" s="2">
        <v>250</v>
      </c>
      <c r="I717" t="str">
        <f>"CASE 54 863"</f>
        <v>CASE 54 863</v>
      </c>
    </row>
    <row r="718" spans="1:10" x14ac:dyDescent="0.3">
      <c r="A718" t="str">
        <f>"004891"</f>
        <v>004891</v>
      </c>
      <c r="B718" t="s">
        <v>204</v>
      </c>
      <c r="C718">
        <v>70465</v>
      </c>
      <c r="D718" s="2">
        <v>50</v>
      </c>
      <c r="E718" s="1">
        <v>42877</v>
      </c>
      <c r="F718" t="str">
        <f>"201705162004"</f>
        <v>201705162004</v>
      </c>
      <c r="G718" t="str">
        <f>"REST MARITIN ALMS 14 505"</f>
        <v>REST MARITIN ALMS 14 505</v>
      </c>
      <c r="H718" s="2">
        <v>50</v>
      </c>
      <c r="I718" t="str">
        <f>"REST MARITIN ALMS 14 505"</f>
        <v>REST MARITIN ALMS 14 505</v>
      </c>
    </row>
    <row r="719" spans="1:10" x14ac:dyDescent="0.3">
      <c r="A719" t="str">
        <f>"T14487"</f>
        <v>T14487</v>
      </c>
      <c r="B719" t="s">
        <v>205</v>
      </c>
      <c r="C719">
        <v>70466</v>
      </c>
      <c r="D719" s="2">
        <v>25</v>
      </c>
      <c r="E719" s="1">
        <v>42877</v>
      </c>
      <c r="F719" t="str">
        <f>"201705162045"</f>
        <v>201705162045</v>
      </c>
      <c r="G719" t="str">
        <f>"FERAL HOGS"</f>
        <v>FERAL HOGS</v>
      </c>
      <c r="H719" s="2">
        <v>25</v>
      </c>
      <c r="I719" t="str">
        <f>"FERAL HOGS"</f>
        <v>FERAL HOGS</v>
      </c>
    </row>
    <row r="720" spans="1:10" x14ac:dyDescent="0.3">
      <c r="A720" t="str">
        <f>"005069"</f>
        <v>005069</v>
      </c>
      <c r="B720" t="s">
        <v>206</v>
      </c>
      <c r="C720">
        <v>70467</v>
      </c>
      <c r="D720" s="2">
        <v>5</v>
      </c>
      <c r="E720" s="1">
        <v>42877</v>
      </c>
      <c r="F720" t="str">
        <f>"201705162046"</f>
        <v>201705162046</v>
      </c>
      <c r="G720" t="str">
        <f>"FERAL HOGS"</f>
        <v>FERAL HOGS</v>
      </c>
      <c r="H720" s="2">
        <v>5</v>
      </c>
      <c r="I720" t="str">
        <f>"FERAL HOGS"</f>
        <v>FERAL HOGS</v>
      </c>
    </row>
    <row r="721" spans="1:9" x14ac:dyDescent="0.3">
      <c r="A721" t="str">
        <f>"005026"</f>
        <v>005026</v>
      </c>
      <c r="B721" t="s">
        <v>207</v>
      </c>
      <c r="C721">
        <v>70184</v>
      </c>
      <c r="D721" s="2">
        <v>900</v>
      </c>
      <c r="E721" s="1">
        <v>42863</v>
      </c>
      <c r="F721" t="str">
        <f>"100"</f>
        <v>100</v>
      </c>
      <c r="G721" t="str">
        <f>"VETERINARY SERVICES/AC"</f>
        <v>VETERINARY SERVICES/AC</v>
      </c>
      <c r="H721" s="2">
        <v>900</v>
      </c>
      <c r="I721" t="str">
        <f>"VETERINARY SERVICES/AC"</f>
        <v>VETERINARY SERVICES/AC</v>
      </c>
    </row>
    <row r="722" spans="1:9" x14ac:dyDescent="0.3">
      <c r="A722" t="str">
        <f>"004606"</f>
        <v>004606</v>
      </c>
      <c r="B722" t="s">
        <v>208</v>
      </c>
      <c r="C722">
        <v>70469</v>
      </c>
      <c r="D722" s="2">
        <v>188</v>
      </c>
      <c r="E722" s="1">
        <v>42877</v>
      </c>
      <c r="F722" t="str">
        <f>"201705172233"</f>
        <v>201705172233</v>
      </c>
      <c r="G722" t="str">
        <f>"STATE BAR OF TX REIM"</f>
        <v>STATE BAR OF TX REIM</v>
      </c>
      <c r="H722" s="2">
        <v>188</v>
      </c>
      <c r="I722" t="str">
        <f>"STATE BAR OF TX REIM"</f>
        <v>STATE BAR OF TX REIM</v>
      </c>
    </row>
    <row r="723" spans="1:9" x14ac:dyDescent="0.3">
      <c r="A723" t="str">
        <f>"004675"</f>
        <v>004675</v>
      </c>
      <c r="B723" t="s">
        <v>209</v>
      </c>
      <c r="C723">
        <v>70470</v>
      </c>
      <c r="D723" s="2">
        <v>100</v>
      </c>
      <c r="E723" s="1">
        <v>42877</v>
      </c>
      <c r="F723" t="str">
        <f>"201705162003"</f>
        <v>201705162003</v>
      </c>
      <c r="G723" t="str">
        <f>"REST PAUL  MILLER 15 204"</f>
        <v>REST PAUL  MILLER 15 204</v>
      </c>
      <c r="H723" s="2">
        <v>100</v>
      </c>
      <c r="I723" t="str">
        <f>"REST PAUL  MILLER 15 204"</f>
        <v>REST PAUL  MILLER 15 204</v>
      </c>
    </row>
    <row r="724" spans="1:9" x14ac:dyDescent="0.3">
      <c r="A724" t="str">
        <f>"001889"</f>
        <v>001889</v>
      </c>
      <c r="B724" t="s">
        <v>210</v>
      </c>
      <c r="C724">
        <v>70471</v>
      </c>
      <c r="D724" s="2">
        <v>200</v>
      </c>
      <c r="E724" s="1">
        <v>42877</v>
      </c>
      <c r="F724" t="str">
        <f>"426544"</f>
        <v>426544</v>
      </c>
      <c r="G724" t="str">
        <f>"WATTERSON RADIO TOWER"</f>
        <v>WATTERSON RADIO TOWER</v>
      </c>
      <c r="H724" s="2">
        <v>200</v>
      </c>
      <c r="I724" t="str">
        <f>"WATTERSON RADIO TOWER"</f>
        <v>WATTERSON RADIO TOWER</v>
      </c>
    </row>
    <row r="725" spans="1:9" x14ac:dyDescent="0.3">
      <c r="A725" t="str">
        <f>"JULIE"</f>
        <v>JULIE</v>
      </c>
      <c r="B725" t="s">
        <v>211</v>
      </c>
      <c r="C725">
        <v>70472</v>
      </c>
      <c r="D725" s="2">
        <v>355.88</v>
      </c>
      <c r="E725" s="1">
        <v>42877</v>
      </c>
      <c r="F725" t="str">
        <f>"201705162019"</f>
        <v>201705162019</v>
      </c>
      <c r="G725" t="str">
        <f>"MILEAGE REIM OCT TO MAY"</f>
        <v>MILEAGE REIM OCT TO MAY</v>
      </c>
      <c r="H725" s="2">
        <v>355.88</v>
      </c>
      <c r="I725" t="str">
        <f>"MILEAGE REIM OCT TO MAY"</f>
        <v>MILEAGE REIM OCT TO MAY</v>
      </c>
    </row>
    <row r="726" spans="1:9" x14ac:dyDescent="0.3">
      <c r="A726" t="str">
        <f>"T14548"</f>
        <v>T14548</v>
      </c>
      <c r="B726" t="s">
        <v>212</v>
      </c>
      <c r="C726">
        <v>70185</v>
      </c>
      <c r="D726" s="2">
        <v>850</v>
      </c>
      <c r="E726" s="1">
        <v>42863</v>
      </c>
      <c r="F726" t="str">
        <f>"201705031731"</f>
        <v>201705031731</v>
      </c>
      <c r="G726" t="str">
        <f>"15456  16136"</f>
        <v>15456  16136</v>
      </c>
      <c r="H726" s="2">
        <v>600</v>
      </c>
      <c r="I726" t="str">
        <f>"15456  16136"</f>
        <v>15456  16136</v>
      </c>
    </row>
    <row r="727" spans="1:9" x14ac:dyDescent="0.3">
      <c r="A727" t="str">
        <f>""</f>
        <v/>
      </c>
      <c r="F727" t="str">
        <f>"201705031732"</f>
        <v>201705031732</v>
      </c>
      <c r="G727" t="str">
        <f>"54393"</f>
        <v>54393</v>
      </c>
      <c r="H727" s="2">
        <v>250</v>
      </c>
      <c r="I727" t="str">
        <f>"54393"</f>
        <v>54393</v>
      </c>
    </row>
    <row r="728" spans="1:9" x14ac:dyDescent="0.3">
      <c r="A728" t="str">
        <f>"T14548"</f>
        <v>T14548</v>
      </c>
      <c r="B728" t="s">
        <v>212</v>
      </c>
      <c r="C728">
        <v>70473</v>
      </c>
      <c r="D728" s="2">
        <v>450</v>
      </c>
      <c r="E728" s="1">
        <v>42877</v>
      </c>
      <c r="F728" t="str">
        <f>"201705172126"</f>
        <v>201705172126</v>
      </c>
      <c r="G728" t="str">
        <f>"CALEB COMEZ"</f>
        <v>CALEB COMEZ</v>
      </c>
      <c r="H728" s="2">
        <v>100</v>
      </c>
      <c r="I728" t="str">
        <f>"CALEB COMEZ"</f>
        <v>CALEB COMEZ</v>
      </c>
    </row>
    <row r="729" spans="1:9" x14ac:dyDescent="0.3">
      <c r="A729" t="str">
        <f>""</f>
        <v/>
      </c>
      <c r="F729" t="str">
        <f>"201705172199"</f>
        <v>201705172199</v>
      </c>
      <c r="G729" t="str">
        <f>"CH20150523-F"</f>
        <v>CH20150523-F</v>
      </c>
      <c r="H729" s="2">
        <v>250</v>
      </c>
      <c r="I729" t="str">
        <f>"CH20150523-F"</f>
        <v>CH20150523-F</v>
      </c>
    </row>
    <row r="730" spans="1:9" x14ac:dyDescent="0.3">
      <c r="A730" t="str">
        <f>""</f>
        <v/>
      </c>
      <c r="F730" t="str">
        <f>"201705172201"</f>
        <v>201705172201</v>
      </c>
      <c r="G730" t="str">
        <f>"WRIT-MISD"</f>
        <v>WRIT-MISD</v>
      </c>
      <c r="H730" s="2">
        <v>100</v>
      </c>
      <c r="I730" t="str">
        <f>"WRIT-MISD"</f>
        <v>WRIT-MISD</v>
      </c>
    </row>
    <row r="731" spans="1:9" x14ac:dyDescent="0.3">
      <c r="A731" t="str">
        <f>"004892"</f>
        <v>004892</v>
      </c>
      <c r="B731" t="s">
        <v>213</v>
      </c>
      <c r="C731">
        <v>70474</v>
      </c>
      <c r="D731" s="2">
        <v>25</v>
      </c>
      <c r="E731" s="1">
        <v>42877</v>
      </c>
      <c r="F731" t="str">
        <f>"201705161996"</f>
        <v>201705161996</v>
      </c>
      <c r="G731" t="str">
        <f>"REST JOHNY HOFFMAN"</f>
        <v>REST JOHNY HOFFMAN</v>
      </c>
      <c r="H731" s="2">
        <v>25</v>
      </c>
      <c r="I731" t="str">
        <f>"KAREN STARKS REFUND"</f>
        <v>KAREN STARKS REFUND</v>
      </c>
    </row>
    <row r="732" spans="1:9" x14ac:dyDescent="0.3">
      <c r="A732" t="str">
        <f>"003976"</f>
        <v>003976</v>
      </c>
      <c r="B732" t="s">
        <v>214</v>
      </c>
      <c r="C732">
        <v>70186</v>
      </c>
      <c r="D732" s="2">
        <v>258.07</v>
      </c>
      <c r="E732" s="1">
        <v>42863</v>
      </c>
      <c r="F732" t="str">
        <f>"201705021632"</f>
        <v>201705021632</v>
      </c>
      <c r="G732" t="str">
        <f>"PER DIEM &amp; MILEAGE/TRAINING"</f>
        <v>PER DIEM &amp; MILEAGE/TRAINING</v>
      </c>
      <c r="H732" s="2">
        <v>258.07</v>
      </c>
      <c r="I732" t="str">
        <f>"PER DIEM &amp; MILEAGE/TRAINING"</f>
        <v>PER DIEM &amp; MILEAGE/TRAINING</v>
      </c>
    </row>
    <row r="733" spans="1:9" x14ac:dyDescent="0.3">
      <c r="A733" t="str">
        <f>"003677"</f>
        <v>003677</v>
      </c>
      <c r="B733" t="s">
        <v>215</v>
      </c>
      <c r="C733">
        <v>70475</v>
      </c>
      <c r="D733" s="2">
        <v>25</v>
      </c>
      <c r="E733" s="1">
        <v>42877</v>
      </c>
      <c r="F733" t="str">
        <f>"201705162000"</f>
        <v>201705162000</v>
      </c>
      <c r="G733" t="str">
        <f>"REST DAVID SPURK"</f>
        <v>REST DAVID SPURK</v>
      </c>
      <c r="H733" s="2">
        <v>25</v>
      </c>
      <c r="I733" t="str">
        <f>"REST DAVID SPURK 10 393"</f>
        <v>REST DAVID SPURK 10 393</v>
      </c>
    </row>
    <row r="734" spans="1:9" x14ac:dyDescent="0.3">
      <c r="A734" t="str">
        <f>"005070"</f>
        <v>005070</v>
      </c>
      <c r="B734" t="s">
        <v>216</v>
      </c>
      <c r="C734">
        <v>70477</v>
      </c>
      <c r="D734" s="2">
        <v>10</v>
      </c>
      <c r="E734" s="1">
        <v>42877</v>
      </c>
      <c r="F734" t="str">
        <f>"201705162047"</f>
        <v>201705162047</v>
      </c>
      <c r="G734" t="str">
        <f>"FERAL HOGS"</f>
        <v>FERAL HOGS</v>
      </c>
      <c r="H734" s="2">
        <v>10</v>
      </c>
      <c r="I734" t="str">
        <f>"FERAL HOGS"</f>
        <v>FERAL HOGS</v>
      </c>
    </row>
    <row r="735" spans="1:9" x14ac:dyDescent="0.3">
      <c r="A735" t="str">
        <f>"KMPC"</f>
        <v>KMPC</v>
      </c>
      <c r="B735" t="s">
        <v>217</v>
      </c>
      <c r="C735">
        <v>70188</v>
      </c>
      <c r="D735" s="2">
        <v>472.76</v>
      </c>
      <c r="E735" s="1">
        <v>42863</v>
      </c>
      <c r="F735" t="str">
        <f>"1520-00000126399"</f>
        <v>1520-00000126399</v>
      </c>
      <c r="G735" t="str">
        <f>"INV1520-00000126399 PAINT"</f>
        <v>INV1520-00000126399 PAINT</v>
      </c>
      <c r="H735" s="2">
        <v>145.79</v>
      </c>
      <c r="I735" t="str">
        <f>"INV1520-00000126399 PAINT"</f>
        <v>INV1520-00000126399 PAINT</v>
      </c>
    </row>
    <row r="736" spans="1:9" x14ac:dyDescent="0.3">
      <c r="A736" t="str">
        <f>""</f>
        <v/>
      </c>
      <c r="F736" t="str">
        <f>"201705021610"</f>
        <v>201705021610</v>
      </c>
      <c r="G736" t="str">
        <f>"INV1520-00000126218"</f>
        <v>INV1520-00000126218</v>
      </c>
      <c r="H736" s="2">
        <v>326.97000000000003</v>
      </c>
      <c r="I736" t="str">
        <f>"INV1520-00000126218"</f>
        <v>INV1520-00000126218</v>
      </c>
    </row>
    <row r="737" spans="1:9" x14ac:dyDescent="0.3">
      <c r="A737" t="str">
        <f>"T12139"</f>
        <v>T12139</v>
      </c>
      <c r="B737" t="s">
        <v>218</v>
      </c>
      <c r="C737">
        <v>70478</v>
      </c>
      <c r="D737" s="2">
        <v>340</v>
      </c>
      <c r="E737" s="1">
        <v>42877</v>
      </c>
      <c r="F737" t="str">
        <f>"587737"</f>
        <v>587737</v>
      </c>
      <c r="G737" t="str">
        <f>"SHILOH RD MAINTENANCE"</f>
        <v>SHILOH RD MAINTENANCE</v>
      </c>
      <c r="H737" s="2">
        <v>340</v>
      </c>
      <c r="I737" t="str">
        <f>"SHILOH RD MAINTENANCE"</f>
        <v>SHILOH RD MAINTENANCE</v>
      </c>
    </row>
    <row r="738" spans="1:9" x14ac:dyDescent="0.3">
      <c r="A738" t="str">
        <f>"KFT"</f>
        <v>KFT</v>
      </c>
      <c r="B738" t="s">
        <v>219</v>
      </c>
      <c r="C738">
        <v>70189</v>
      </c>
      <c r="D738" s="2">
        <v>954.47</v>
      </c>
      <c r="E738" s="1">
        <v>42863</v>
      </c>
      <c r="F738" t="str">
        <f>"241773"</f>
        <v>241773</v>
      </c>
      <c r="G738" t="str">
        <f>"ACCT#BASCO3/PCT#3"</f>
        <v>ACCT#BASCO3/PCT#3</v>
      </c>
      <c r="H738" s="2">
        <v>646.29</v>
      </c>
      <c r="I738" t="str">
        <f>"ACCT#BASCO3/PCT#3"</f>
        <v>ACCT#BASCO3/PCT#3</v>
      </c>
    </row>
    <row r="739" spans="1:9" x14ac:dyDescent="0.3">
      <c r="A739" t="str">
        <f>""</f>
        <v/>
      </c>
      <c r="F739" t="str">
        <f>"241854"</f>
        <v>241854</v>
      </c>
      <c r="G739" t="str">
        <f>"ACCT#BASCO3/PCT#3"</f>
        <v>ACCT#BASCO3/PCT#3</v>
      </c>
      <c r="H739" s="2">
        <v>308.18</v>
      </c>
      <c r="I739" t="str">
        <f>"ACCT#BASCO3/PCT#3"</f>
        <v>ACCT#BASCO3/PCT#3</v>
      </c>
    </row>
    <row r="740" spans="1:9" x14ac:dyDescent="0.3">
      <c r="A740" t="str">
        <f>"KFT"</f>
        <v>KFT</v>
      </c>
      <c r="B740" t="s">
        <v>219</v>
      </c>
      <c r="C740">
        <v>70479</v>
      </c>
      <c r="D740" s="2">
        <v>5889.61</v>
      </c>
      <c r="E740" s="1">
        <v>42877</v>
      </c>
      <c r="F740" t="str">
        <f>"201705162098"</f>
        <v>201705162098</v>
      </c>
      <c r="G740" t="str">
        <f>"WO92348"</f>
        <v>WO92348</v>
      </c>
      <c r="H740" s="2">
        <v>5280.89</v>
      </c>
      <c r="I740" t="str">
        <f>"WO92348 PCT 2"</f>
        <v>WO92348 PCT 2</v>
      </c>
    </row>
    <row r="741" spans="1:9" x14ac:dyDescent="0.3">
      <c r="A741" t="str">
        <f>""</f>
        <v/>
      </c>
      <c r="F741" t="str">
        <f>"242365"</f>
        <v>242365</v>
      </c>
      <c r="G741" t="str">
        <f>"ACCT#BASCO1 PCT#1"</f>
        <v>ACCT#BASCO1 PCT#1</v>
      </c>
      <c r="H741" s="2">
        <v>35.56</v>
      </c>
      <c r="I741" t="str">
        <f>"ACCT#BASCO1 PCT#1"</f>
        <v>ACCT#BASCO1 PCT#1</v>
      </c>
    </row>
    <row r="742" spans="1:9" x14ac:dyDescent="0.3">
      <c r="A742" t="str">
        <f>""</f>
        <v/>
      </c>
      <c r="F742" t="str">
        <f>"242645"</f>
        <v>242645</v>
      </c>
      <c r="G742" t="str">
        <f>"ACCT#BASCO1 PCT#1"</f>
        <v>ACCT#BASCO1 PCT#1</v>
      </c>
      <c r="H742" s="2">
        <v>560</v>
      </c>
      <c r="I742" t="str">
        <f>"ACCT#BASCO1 PCT#1"</f>
        <v>ACCT#BASCO1 PCT#1</v>
      </c>
    </row>
    <row r="743" spans="1:9" x14ac:dyDescent="0.3">
      <c r="A743" t="str">
        <f>""</f>
        <v/>
      </c>
      <c r="F743" t="str">
        <f>"242655"</f>
        <v>242655</v>
      </c>
      <c r="G743" t="str">
        <f>"ACCT #BASCO1"</f>
        <v>ACCT #BASCO1</v>
      </c>
      <c r="H743" s="2">
        <v>13.16</v>
      </c>
      <c r="I743" t="str">
        <f>"ACCT #BASCO1"</f>
        <v>ACCT #BASCO1</v>
      </c>
    </row>
    <row r="744" spans="1:9" x14ac:dyDescent="0.3">
      <c r="A744" t="str">
        <f>"003916"</f>
        <v>003916</v>
      </c>
      <c r="B744" t="s">
        <v>220</v>
      </c>
      <c r="C744">
        <v>70480</v>
      </c>
      <c r="D744" s="2">
        <v>1140</v>
      </c>
      <c r="E744" s="1">
        <v>42877</v>
      </c>
      <c r="F744" t="str">
        <f>"201705162012"</f>
        <v>201705162012</v>
      </c>
      <c r="G744" t="str">
        <f>"INV 259668 GROUND FAULT"</f>
        <v>INV 259668 GROUND FAULT</v>
      </c>
      <c r="H744" s="2">
        <v>1140</v>
      </c>
      <c r="I744" t="str">
        <f>"INV 259668 GROUND FAULT"</f>
        <v>INV 259668 GROUND FAULT</v>
      </c>
    </row>
    <row r="745" spans="1:9" x14ac:dyDescent="0.3">
      <c r="A745" t="str">
        <f>"005071"</f>
        <v>005071</v>
      </c>
      <c r="B745" t="s">
        <v>221</v>
      </c>
      <c r="C745">
        <v>70481</v>
      </c>
      <c r="D745" s="2">
        <v>105</v>
      </c>
      <c r="E745" s="1">
        <v>42877</v>
      </c>
      <c r="F745" t="str">
        <f>"201705162048"</f>
        <v>201705162048</v>
      </c>
      <c r="G745" t="str">
        <f>"FERAL HOGS"</f>
        <v>FERAL HOGS</v>
      </c>
      <c r="H745" s="2">
        <v>105</v>
      </c>
      <c r="I745" t="str">
        <f>"FERAL HOGS"</f>
        <v>FERAL HOGS</v>
      </c>
    </row>
    <row r="746" spans="1:9" x14ac:dyDescent="0.3">
      <c r="A746" t="str">
        <f>"005079"</f>
        <v>005079</v>
      </c>
      <c r="B746" t="s">
        <v>222</v>
      </c>
      <c r="C746">
        <v>70482</v>
      </c>
      <c r="D746" s="2">
        <v>455.95</v>
      </c>
      <c r="E746" s="1">
        <v>42877</v>
      </c>
      <c r="F746" t="str">
        <f>"201705172261"</f>
        <v>201705172261</v>
      </c>
      <c r="G746" t="str">
        <f>"PHILLIP MERINO RSVP 3219848223"</f>
        <v>PHILLIP MERINO RSVP 3219848223</v>
      </c>
      <c r="H746" s="2">
        <v>455.95</v>
      </c>
      <c r="I746" t="str">
        <f>"PHILLIP MERINO RSVP 3219848223"</f>
        <v>PHILLIP MERINO RSVP 3219848223</v>
      </c>
    </row>
    <row r="747" spans="1:9" x14ac:dyDescent="0.3">
      <c r="A747" t="str">
        <f>"005057"</f>
        <v>005057</v>
      </c>
      <c r="B747" t="s">
        <v>223</v>
      </c>
      <c r="C747">
        <v>70065</v>
      </c>
      <c r="D747" s="2">
        <v>407.22</v>
      </c>
      <c r="E747" s="1">
        <v>42859</v>
      </c>
      <c r="F747" t="str">
        <f>"395305"</f>
        <v>395305</v>
      </c>
      <c r="G747" t="str">
        <f>"05/08 - 05/12 HOTEL EXPENSES"</f>
        <v>05/08 - 05/12 HOTEL EXPENSES</v>
      </c>
      <c r="H747" s="2">
        <v>407.22</v>
      </c>
    </row>
    <row r="748" spans="1:9" x14ac:dyDescent="0.3">
      <c r="A748" t="str">
        <f>"005057"</f>
        <v>005057</v>
      </c>
      <c r="B748" t="s">
        <v>223</v>
      </c>
      <c r="C748">
        <v>70065</v>
      </c>
      <c r="D748" s="2">
        <v>407.22</v>
      </c>
      <c r="E748" s="1">
        <v>42859</v>
      </c>
      <c r="F748" t="str">
        <f>"CHECK"</f>
        <v>CHECK</v>
      </c>
      <c r="G748" t="str">
        <f>""</f>
        <v/>
      </c>
      <c r="H748" s="2">
        <v>407.22</v>
      </c>
    </row>
    <row r="749" spans="1:9" x14ac:dyDescent="0.3">
      <c r="A749" t="str">
        <f>"001722"</f>
        <v>001722</v>
      </c>
      <c r="B749" t="s">
        <v>224</v>
      </c>
      <c r="C749">
        <v>70190</v>
      </c>
      <c r="D749" s="2">
        <v>2383.2600000000002</v>
      </c>
      <c r="E749" s="1">
        <v>42863</v>
      </c>
      <c r="F749" t="str">
        <f>"04269618"</f>
        <v>04269618</v>
      </c>
      <c r="G749" t="str">
        <f>"INV04269618"</f>
        <v>INV04269618</v>
      </c>
      <c r="H749" s="2">
        <v>1177.3900000000001</v>
      </c>
      <c r="I749" t="str">
        <f>"INV04269618"</f>
        <v>INV04269618</v>
      </c>
    </row>
    <row r="750" spans="1:9" x14ac:dyDescent="0.3">
      <c r="A750" t="str">
        <f>""</f>
        <v/>
      </c>
      <c r="F750" t="str">
        <f>"201705021622"</f>
        <v>201705021622</v>
      </c>
      <c r="G750" t="str">
        <f>"INV04191817"</f>
        <v>INV04191817</v>
      </c>
      <c r="H750" s="2">
        <v>1205.8699999999999</v>
      </c>
      <c r="I750" t="str">
        <f>"INV04191817"</f>
        <v>INV04191817</v>
      </c>
    </row>
    <row r="751" spans="1:9" x14ac:dyDescent="0.3">
      <c r="A751" t="str">
        <f>"001722"</f>
        <v>001722</v>
      </c>
      <c r="B751" t="s">
        <v>224</v>
      </c>
      <c r="C751">
        <v>70483</v>
      </c>
      <c r="D751" s="2">
        <v>2117.71</v>
      </c>
      <c r="E751" s="1">
        <v>42877</v>
      </c>
      <c r="F751" t="str">
        <f>"05037358"</f>
        <v>05037358</v>
      </c>
      <c r="G751" t="str">
        <f>"FOOD INV05037358"</f>
        <v>FOOD INV05037358</v>
      </c>
      <c r="H751" s="2">
        <v>1063.19</v>
      </c>
      <c r="I751" t="str">
        <f>"FOOD ACCT 535311"</f>
        <v>FOOD ACCT 535311</v>
      </c>
    </row>
    <row r="752" spans="1:9" x14ac:dyDescent="0.3">
      <c r="A752" t="str">
        <f>""</f>
        <v/>
      </c>
      <c r="F752" t="str">
        <f>"05105487"</f>
        <v>05105487</v>
      </c>
      <c r="G752" t="str">
        <f>"FOOD INV05105487"</f>
        <v>FOOD INV05105487</v>
      </c>
      <c r="H752" s="2">
        <v>1054.52</v>
      </c>
      <c r="I752" t="str">
        <f>"FOOD INV05105487"</f>
        <v>FOOD INV05105487</v>
      </c>
    </row>
    <row r="753" spans="1:9" x14ac:dyDescent="0.3">
      <c r="A753" t="str">
        <f>"T13475"</f>
        <v>T13475</v>
      </c>
      <c r="B753" t="s">
        <v>225</v>
      </c>
      <c r="C753">
        <v>70319</v>
      </c>
      <c r="D753" s="2">
        <v>4500</v>
      </c>
      <c r="E753" s="1">
        <v>42866</v>
      </c>
      <c r="F753" t="str">
        <f>"3243"</f>
        <v>3243</v>
      </c>
      <c r="G753" t="str">
        <f>"#7215030-2015 SEWER PROJECT"</f>
        <v>#7215030-2015 SEWER PROJECT</v>
      </c>
      <c r="H753" s="2">
        <v>4500</v>
      </c>
      <c r="I753" t="str">
        <f>"#7215030-2015 SEWER PROJECT"</f>
        <v>#7215030-2015 SEWER PROJECT</v>
      </c>
    </row>
    <row r="754" spans="1:9" x14ac:dyDescent="0.3">
      <c r="A754" t="str">
        <f>"000900"</f>
        <v>000900</v>
      </c>
      <c r="B754" t="s">
        <v>226</v>
      </c>
      <c r="C754">
        <v>70191</v>
      </c>
      <c r="D754" s="2">
        <v>2973</v>
      </c>
      <c r="E754" s="1">
        <v>42863</v>
      </c>
      <c r="F754" t="str">
        <f>"252485"</f>
        <v>252485</v>
      </c>
      <c r="G754" t="str">
        <f>"CUSWT#BASCOU/PCT#1"</f>
        <v>CUSWT#BASCOU/PCT#1</v>
      </c>
      <c r="H754" s="2">
        <v>2973</v>
      </c>
      <c r="I754" t="str">
        <f>"CUSWT#BASCOU/PCT#1"</f>
        <v>CUSWT#BASCOU/PCT#1</v>
      </c>
    </row>
    <row r="755" spans="1:9" x14ac:dyDescent="0.3">
      <c r="A755" t="str">
        <f>"005073"</f>
        <v>005073</v>
      </c>
      <c r="B755" t="s">
        <v>227</v>
      </c>
      <c r="C755">
        <v>70484</v>
      </c>
      <c r="D755" s="2">
        <v>105.4</v>
      </c>
      <c r="E755" s="1">
        <v>42877</v>
      </c>
      <c r="F755" t="str">
        <f>"201705172114"</f>
        <v>201705172114</v>
      </c>
      <c r="G755" t="str">
        <f>"INDIGENT HEALTH"</f>
        <v>INDIGENT HEALTH</v>
      </c>
      <c r="H755" s="2">
        <v>105.4</v>
      </c>
      <c r="I755" t="str">
        <f>"INDIGENT HEALTH"</f>
        <v>INDIGENT HEALTH</v>
      </c>
    </row>
    <row r="756" spans="1:9" x14ac:dyDescent="0.3">
      <c r="A756" t="str">
        <f>"T11826"</f>
        <v>T11826</v>
      </c>
      <c r="B756" t="s">
        <v>228</v>
      </c>
      <c r="C756">
        <v>70192</v>
      </c>
      <c r="D756" s="2">
        <v>164</v>
      </c>
      <c r="E756" s="1">
        <v>42863</v>
      </c>
      <c r="F756" t="str">
        <f>"35770/36616"</f>
        <v>35770/36616</v>
      </c>
      <c r="G756" t="str">
        <f>"TIRE REPAIRS/PCT#4"</f>
        <v>TIRE REPAIRS/PCT#4</v>
      </c>
      <c r="H756" s="2">
        <v>164</v>
      </c>
      <c r="I756" t="str">
        <f>"TIRE REPAIRS/PCT#4"</f>
        <v>TIRE REPAIRS/PCT#4</v>
      </c>
    </row>
    <row r="757" spans="1:9" x14ac:dyDescent="0.3">
      <c r="A757" t="str">
        <f>"T11826"</f>
        <v>T11826</v>
      </c>
      <c r="B757" t="s">
        <v>228</v>
      </c>
      <c r="C757">
        <v>70485</v>
      </c>
      <c r="D757" s="2">
        <v>12</v>
      </c>
      <c r="E757" s="1">
        <v>42877</v>
      </c>
      <c r="F757" t="str">
        <f>"201705172228"</f>
        <v>201705172228</v>
      </c>
      <c r="G757" t="str">
        <f>"TIRE REPAIR UNIT 4111"</f>
        <v>TIRE REPAIR UNIT 4111</v>
      </c>
      <c r="H757" s="2">
        <v>12</v>
      </c>
      <c r="I757" t="str">
        <f>"TIRE REPAIR UNIT 4111"</f>
        <v>TIRE REPAIR UNIT 4111</v>
      </c>
    </row>
    <row r="758" spans="1:9" x14ac:dyDescent="0.3">
      <c r="A758" t="str">
        <f>"T9279"</f>
        <v>T9279</v>
      </c>
      <c r="B758" t="s">
        <v>229</v>
      </c>
      <c r="C758">
        <v>70073</v>
      </c>
      <c r="D758" s="2">
        <v>100.5</v>
      </c>
      <c r="E758" s="1">
        <v>42860</v>
      </c>
      <c r="F758" t="str">
        <f>"201705041832"</f>
        <v>201705041832</v>
      </c>
      <c r="G758" t="str">
        <f>"ACCT # 3-09-00175-03"</f>
        <v>ACCT # 3-09-00175-03</v>
      </c>
      <c r="H758" s="2">
        <v>50.25</v>
      </c>
      <c r="I758" t="str">
        <f>"ACCT # 3-09-00175-03"</f>
        <v>ACCT # 3-09-00175-03</v>
      </c>
    </row>
    <row r="759" spans="1:9" x14ac:dyDescent="0.3">
      <c r="A759" t="str">
        <f>""</f>
        <v/>
      </c>
      <c r="F759" t="str">
        <f>"201705041833"</f>
        <v>201705041833</v>
      </c>
      <c r="G759" t="str">
        <f>"ACCT # 1-09-00072-02"</f>
        <v>ACCT # 1-09-00072-02</v>
      </c>
      <c r="H759" s="2">
        <v>50.25</v>
      </c>
      <c r="I759" t="str">
        <f>"ACCT # 1-09-00072-02"</f>
        <v>ACCT # 1-09-00072-02</v>
      </c>
    </row>
    <row r="760" spans="1:9" x14ac:dyDescent="0.3">
      <c r="A760" t="str">
        <f>"001530"</f>
        <v>001530</v>
      </c>
      <c r="B760" t="s">
        <v>230</v>
      </c>
      <c r="C760">
        <v>70193</v>
      </c>
      <c r="D760" s="2">
        <v>221</v>
      </c>
      <c r="E760" s="1">
        <v>42863</v>
      </c>
      <c r="F760" t="str">
        <f>"1211621-20170331"</f>
        <v>1211621-20170331</v>
      </c>
      <c r="G760" t="str">
        <f>"ID#1211621/HEALTH SERVICES"</f>
        <v>ID#1211621/HEALTH SERVICES</v>
      </c>
      <c r="H760" s="2">
        <v>100</v>
      </c>
      <c r="I760" t="str">
        <f>"ID#1211621/HEALTH SERVICES"</f>
        <v>ID#1211621/HEALTH SERVICES</v>
      </c>
    </row>
    <row r="761" spans="1:9" x14ac:dyDescent="0.3">
      <c r="A761" t="str">
        <f>""</f>
        <v/>
      </c>
      <c r="F761" t="str">
        <f>"1361725-20170430"</f>
        <v>1361725-20170430</v>
      </c>
      <c r="G761" t="str">
        <f>"ACCT#1361725/INDIGENT"</f>
        <v>ACCT#1361725/INDIGENT</v>
      </c>
      <c r="H761" s="2">
        <v>121</v>
      </c>
      <c r="I761" t="str">
        <f>"ACCT#1361725/INDIGENT"</f>
        <v>ACCT#1361725/INDIGENT</v>
      </c>
    </row>
    <row r="762" spans="1:9" x14ac:dyDescent="0.3">
      <c r="A762" t="str">
        <f>"001530"</f>
        <v>001530</v>
      </c>
      <c r="B762" t="s">
        <v>230</v>
      </c>
      <c r="C762">
        <v>70486</v>
      </c>
      <c r="D762" s="2">
        <v>433</v>
      </c>
      <c r="E762" s="1">
        <v>42877</v>
      </c>
      <c r="F762" t="str">
        <f>"1211621-20170430"</f>
        <v>1211621-20170430</v>
      </c>
      <c r="G762" t="str">
        <f>"APRIL'17 BALANCE DEV SVCS"</f>
        <v>APRIL'17 BALANCE DEV SVCS</v>
      </c>
      <c r="H762" s="2">
        <v>50</v>
      </c>
      <c r="I762" t="str">
        <f>"APRIL'17 BALANCE DEV SVCS"</f>
        <v>APRIL'17 BALANCE DEV SVCS</v>
      </c>
    </row>
    <row r="763" spans="1:9" x14ac:dyDescent="0.3">
      <c r="A763" t="str">
        <f>""</f>
        <v/>
      </c>
      <c r="F763" t="str">
        <f>"1394645-20170430"</f>
        <v>1394645-20170430</v>
      </c>
      <c r="G763" t="str">
        <f>"ACCT# 1394645 - APRIL 2017"</f>
        <v>ACCT# 1394645 - APRIL 2017</v>
      </c>
      <c r="H763" s="2">
        <v>50</v>
      </c>
      <c r="I763" t="str">
        <f>"ACCT# 1394645 - APRIL 2017"</f>
        <v>ACCT# 1394645 - APRIL 2017</v>
      </c>
    </row>
    <row r="764" spans="1:9" x14ac:dyDescent="0.3">
      <c r="A764" t="str">
        <f>""</f>
        <v/>
      </c>
      <c r="F764" t="str">
        <f>"1420944-20170430"</f>
        <v>1420944-20170430</v>
      </c>
      <c r="G764" t="str">
        <f>"REAL TIME PHONE SEARCHES"</f>
        <v>REAL TIME PHONE SEARCHES</v>
      </c>
      <c r="H764" s="2">
        <v>283</v>
      </c>
      <c r="I764" t="str">
        <f>"REAL TIME PHONE SEARCHES"</f>
        <v>REAL TIME PHONE SEARCHES</v>
      </c>
    </row>
    <row r="765" spans="1:9" x14ac:dyDescent="0.3">
      <c r="A765" t="str">
        <f>""</f>
        <v/>
      </c>
      <c r="F765" t="str">
        <f>"1489870-20170430"</f>
        <v>1489870-20170430</v>
      </c>
      <c r="G765" t="str">
        <f>"APRIL'17 FEES/DIST CLERK"</f>
        <v>APRIL'17 FEES/DIST CLERK</v>
      </c>
      <c r="H765" s="2">
        <v>50</v>
      </c>
      <c r="I765" t="str">
        <f>"APRIL'17 FEES/DIST CLERK"</f>
        <v>APRIL'17 FEES/DIST CLERK</v>
      </c>
    </row>
    <row r="766" spans="1:9" x14ac:dyDescent="0.3">
      <c r="A766" t="str">
        <f>"000684"</f>
        <v>000684</v>
      </c>
      <c r="B766" t="s">
        <v>231</v>
      </c>
      <c r="C766">
        <v>70194</v>
      </c>
      <c r="D766" s="2">
        <v>352.04</v>
      </c>
      <c r="E766" s="1">
        <v>42863</v>
      </c>
      <c r="F766" t="str">
        <f>"1101601"</f>
        <v>1101601</v>
      </c>
      <c r="G766" t="str">
        <f>"ACCT#15717/TRANSFER STATIONG"</f>
        <v>ACCT#15717/TRANSFER STATIONG</v>
      </c>
      <c r="H766" s="2">
        <v>352.04</v>
      </c>
      <c r="I766" t="str">
        <f>"ACCT#15717/TRANSFER STATIONG"</f>
        <v>ACCT#15717/TRANSFER STATIONG</v>
      </c>
    </row>
    <row r="767" spans="1:9" x14ac:dyDescent="0.3">
      <c r="A767" t="str">
        <f>"000684"</f>
        <v>000684</v>
      </c>
      <c r="B767" t="s">
        <v>231</v>
      </c>
      <c r="C767">
        <v>70487</v>
      </c>
      <c r="D767" s="2">
        <v>180.84</v>
      </c>
      <c r="E767" s="1">
        <v>42877</v>
      </c>
      <c r="F767" t="str">
        <f>"1119618"</f>
        <v>1119618</v>
      </c>
      <c r="G767" t="str">
        <f>"ACCT #15717 TIRE RECYCLING"</f>
        <v>ACCT #15717 TIRE RECYCLING</v>
      </c>
      <c r="H767" s="2">
        <v>180.84</v>
      </c>
      <c r="I767" t="str">
        <f>"ACCT #15717 TIRE RECYCLING"</f>
        <v>ACCT #15717 TIRE RECYCLING</v>
      </c>
    </row>
    <row r="768" spans="1:9" x14ac:dyDescent="0.3">
      <c r="A768" t="str">
        <f>"T11113"</f>
        <v>T11113</v>
      </c>
      <c r="B768" t="s">
        <v>232</v>
      </c>
      <c r="C768">
        <v>0</v>
      </c>
      <c r="D768" s="2">
        <v>105</v>
      </c>
      <c r="E768" s="1">
        <v>42877</v>
      </c>
      <c r="F768" t="str">
        <f>"201705162096"</f>
        <v>201705162096</v>
      </c>
      <c r="G768" t="str">
        <f>"PCT 2 VEHICLE"</f>
        <v>PCT 2 VEHICLE</v>
      </c>
      <c r="H768" s="2">
        <v>45</v>
      </c>
      <c r="I768" t="str">
        <f>"PCT 2 VEHICLES INSPECTION"</f>
        <v>PCT 2 VEHICLES INSPECTION</v>
      </c>
    </row>
    <row r="769" spans="1:9" x14ac:dyDescent="0.3">
      <c r="A769" t="str">
        <f>""</f>
        <v/>
      </c>
      <c r="F769" t="str">
        <f>"201705172241"</f>
        <v>201705172241</v>
      </c>
      <c r="G769" t="str">
        <f>"SO VEHICLE REGISTRATIONS"</f>
        <v>SO VEHICLE REGISTRATIONS</v>
      </c>
      <c r="H769" s="2">
        <v>22.5</v>
      </c>
      <c r="I769" t="str">
        <f>"SO VEHICLE INSPECTIONS"</f>
        <v>SO VEHICLE INSPECTIONS</v>
      </c>
    </row>
    <row r="770" spans="1:9" x14ac:dyDescent="0.3">
      <c r="A770" t="str">
        <f>""</f>
        <v/>
      </c>
      <c r="F770" t="str">
        <f>"201705182287"</f>
        <v>201705182287</v>
      </c>
      <c r="G770" t="str">
        <f>"SO VEHICLE REGISTRATIONS"</f>
        <v>SO VEHICLE REGISTRATIONS</v>
      </c>
      <c r="H770" s="2">
        <v>37.5</v>
      </c>
      <c r="I770" t="str">
        <f>"SO VEHICLE REGISTRATIONS"</f>
        <v>SO VEHICLE REGISTRATIONS</v>
      </c>
    </row>
    <row r="771" spans="1:9" x14ac:dyDescent="0.3">
      <c r="A771" t="str">
        <f>"T11113"</f>
        <v>T11113</v>
      </c>
      <c r="B771" t="s">
        <v>232</v>
      </c>
      <c r="C771">
        <v>70195</v>
      </c>
      <c r="D771" s="2">
        <v>412.74</v>
      </c>
      <c r="E771" s="1">
        <v>42863</v>
      </c>
      <c r="F771" t="str">
        <f>"201705031657"</f>
        <v>201705031657</v>
      </c>
      <c r="G771" t="str">
        <f>"COVER CHECK EXPENSE/TAX OFF."</f>
        <v>COVER CHECK EXPENSE/TAX OFF.</v>
      </c>
      <c r="H771" s="2">
        <v>412.74</v>
      </c>
      <c r="I771" t="str">
        <f>"COVER CHECK EXPENSE/TAX OFF."</f>
        <v>COVER CHECK EXPENSE/TAX OFF.</v>
      </c>
    </row>
    <row r="772" spans="1:9" x14ac:dyDescent="0.3">
      <c r="A772" t="str">
        <f>"T11113"</f>
        <v>T11113</v>
      </c>
      <c r="B772" t="s">
        <v>232</v>
      </c>
      <c r="C772">
        <v>70488</v>
      </c>
      <c r="D772" s="2">
        <v>211.75</v>
      </c>
      <c r="E772" s="1">
        <v>42877</v>
      </c>
      <c r="F772" t="str">
        <f>"201705162021"</f>
        <v>201705162021</v>
      </c>
      <c r="G772" t="str">
        <f>"FNB CHARGE FOR CHECKS"</f>
        <v>FNB CHARGE FOR CHECKS</v>
      </c>
      <c r="H772" s="2">
        <v>211.75</v>
      </c>
      <c r="I772" t="str">
        <f>"FNB CHARGE FOR CHECKS"</f>
        <v>FNB CHARGE FOR CHECKS</v>
      </c>
    </row>
    <row r="773" spans="1:9" x14ac:dyDescent="0.3">
      <c r="A773" t="str">
        <f>"T7299"</f>
        <v>T7299</v>
      </c>
      <c r="B773" t="s">
        <v>233</v>
      </c>
      <c r="C773">
        <v>70489</v>
      </c>
      <c r="D773" s="2">
        <v>135.88</v>
      </c>
      <c r="E773" s="1">
        <v>42877</v>
      </c>
      <c r="F773" t="str">
        <f>"201705121932"</f>
        <v>201705121932</v>
      </c>
      <c r="G773" t="str">
        <f>"EXPENS REIMB CONFERENCE"</f>
        <v>EXPENS REIMB CONFERENCE</v>
      </c>
      <c r="H773" s="2">
        <v>135.88</v>
      </c>
      <c r="I773" t="str">
        <f>"EXPENS REIMB CONFERENCE"</f>
        <v>EXPENS REIMB CONFERENCE</v>
      </c>
    </row>
    <row r="774" spans="1:9" x14ac:dyDescent="0.3">
      <c r="A774" t="str">
        <f>"004851"</f>
        <v>004851</v>
      </c>
      <c r="B774" t="s">
        <v>234</v>
      </c>
      <c r="C774">
        <v>70196</v>
      </c>
      <c r="D774" s="2">
        <v>746.94</v>
      </c>
      <c r="E774" s="1">
        <v>42863</v>
      </c>
      <c r="F774" t="str">
        <f>"201705031677"</f>
        <v>201705031677</v>
      </c>
      <c r="G774" t="str">
        <f>"INDIGENT HEALTH"</f>
        <v>INDIGENT HEALTH</v>
      </c>
      <c r="H774" s="2">
        <v>746.94</v>
      </c>
      <c r="I774" t="str">
        <f>"INDIGENT HEALTH"</f>
        <v>INDIGENT HEALTH</v>
      </c>
    </row>
    <row r="775" spans="1:9" x14ac:dyDescent="0.3">
      <c r="A775" t="str">
        <f>""</f>
        <v/>
      </c>
      <c r="F775" t="str">
        <f>""</f>
        <v/>
      </c>
      <c r="G775" t="str">
        <f>""</f>
        <v/>
      </c>
      <c r="I775" t="str">
        <f>"INDIGENT HEALTH"</f>
        <v>INDIGENT HEALTH</v>
      </c>
    </row>
    <row r="776" spans="1:9" x14ac:dyDescent="0.3">
      <c r="A776" t="str">
        <f>"004557"</f>
        <v>004557</v>
      </c>
      <c r="B776" t="s">
        <v>235</v>
      </c>
      <c r="C776">
        <v>70197</v>
      </c>
      <c r="D776" s="2">
        <v>2355.92</v>
      </c>
      <c r="E776" s="1">
        <v>42863</v>
      </c>
      <c r="F776" t="str">
        <f>"LS-164DPIBCSO"</f>
        <v>LS-164DPIBCSO</v>
      </c>
      <c r="G776" t="str">
        <f>"INV LS-164DPI-BCSO / 8968"</f>
        <v>INV LS-164DPI-BCSO / 8968</v>
      </c>
      <c r="H776" s="2">
        <v>2355.92</v>
      </c>
      <c r="I776" t="str">
        <f>"INV LS-164DPI-BCSO / 8968"</f>
        <v>INV LS-164DPI-BCSO / 8968</v>
      </c>
    </row>
    <row r="777" spans="1:9" x14ac:dyDescent="0.3">
      <c r="A777" t="str">
        <f>"004109"</f>
        <v>004109</v>
      </c>
      <c r="B777" t="s">
        <v>236</v>
      </c>
      <c r="C777">
        <v>70198</v>
      </c>
      <c r="D777" s="2">
        <v>105.4</v>
      </c>
      <c r="E777" s="1">
        <v>42863</v>
      </c>
      <c r="F777" t="str">
        <f>"201705031678"</f>
        <v>201705031678</v>
      </c>
      <c r="G777" t="str">
        <f>"INDIGENT HEALTH"</f>
        <v>INDIGENT HEALTH</v>
      </c>
      <c r="H777" s="2">
        <v>105.4</v>
      </c>
      <c r="I777" t="str">
        <f>"INDIGENT HEALTH"</f>
        <v>INDIGENT HEALTH</v>
      </c>
    </row>
    <row r="778" spans="1:9" x14ac:dyDescent="0.3">
      <c r="A778" t="str">
        <f>"004109"</f>
        <v>004109</v>
      </c>
      <c r="B778" t="s">
        <v>236</v>
      </c>
      <c r="C778">
        <v>70490</v>
      </c>
      <c r="D778" s="2">
        <v>104.97</v>
      </c>
      <c r="E778" s="1">
        <v>42877</v>
      </c>
      <c r="F778" t="str">
        <f>"65846338-178-14709"</f>
        <v>65846338-178-14709</v>
      </c>
      <c r="G778" t="str">
        <f>"65846338-178-14709"</f>
        <v>65846338-178-14709</v>
      </c>
      <c r="H778" s="2">
        <v>104.97</v>
      </c>
      <c r="I778" t="str">
        <f>"65846338-178-14709"</f>
        <v>65846338-178-14709</v>
      </c>
    </row>
    <row r="779" spans="1:9" x14ac:dyDescent="0.3">
      <c r="A779" t="str">
        <f>"T13085"</f>
        <v>T13085</v>
      </c>
      <c r="B779" t="s">
        <v>237</v>
      </c>
      <c r="C779">
        <v>70199</v>
      </c>
      <c r="D779" s="2">
        <v>392</v>
      </c>
      <c r="E779" s="1">
        <v>42863</v>
      </c>
      <c r="F779" t="str">
        <f>"201705031786"</f>
        <v>201705031786</v>
      </c>
      <c r="G779" t="str">
        <f>"APRIL SERVICE"</f>
        <v>APRIL SERVICE</v>
      </c>
      <c r="H779" s="2">
        <v>392</v>
      </c>
      <c r="I779" t="str">
        <f>"APRIL SERVICE"</f>
        <v>APRIL SERVICE</v>
      </c>
    </row>
    <row r="780" spans="1:9" x14ac:dyDescent="0.3">
      <c r="A780" t="str">
        <f>"T5843"</f>
        <v>T5843</v>
      </c>
      <c r="B780" t="s">
        <v>238</v>
      </c>
      <c r="C780">
        <v>70491</v>
      </c>
      <c r="D780" s="2">
        <v>10366.68</v>
      </c>
      <c r="E780" s="1">
        <v>42877</v>
      </c>
      <c r="F780" t="str">
        <f>"201705172264"</f>
        <v>201705172264</v>
      </c>
      <c r="G780" t="str">
        <f>"INV 14487 / UNIT 1670"</f>
        <v>INV 14487 / UNIT 1670</v>
      </c>
      <c r="H780" s="2">
        <v>10366.68</v>
      </c>
      <c r="I780" t="str">
        <f>"INV 14487 / UNIT 1670"</f>
        <v>INV 14487 / UNIT 1670</v>
      </c>
    </row>
    <row r="781" spans="1:9" x14ac:dyDescent="0.3">
      <c r="A781" t="str">
        <f>"000888"</f>
        <v>000888</v>
      </c>
      <c r="B781" t="s">
        <v>239</v>
      </c>
      <c r="C781">
        <v>70492</v>
      </c>
      <c r="D781" s="2">
        <v>1998.67</v>
      </c>
      <c r="E781" s="1">
        <v>42877</v>
      </c>
      <c r="F781" t="str">
        <f>"201705161995"</f>
        <v>201705161995</v>
      </c>
      <c r="G781" t="str">
        <f>"Acct#99006938692"</f>
        <v>Acct#99006938692</v>
      </c>
      <c r="H781" s="2">
        <v>1998.67</v>
      </c>
      <c r="I781" t="str">
        <f>"Inv# 918948"</f>
        <v>Inv# 918948</v>
      </c>
    </row>
    <row r="782" spans="1:9" x14ac:dyDescent="0.3">
      <c r="A782" t="str">
        <f>""</f>
        <v/>
      </c>
      <c r="F782" t="str">
        <f>""</f>
        <v/>
      </c>
      <c r="G782" t="str">
        <f>""</f>
        <v/>
      </c>
      <c r="I782" t="str">
        <f>"Inv# 914221"</f>
        <v>Inv# 914221</v>
      </c>
    </row>
    <row r="783" spans="1:9" x14ac:dyDescent="0.3">
      <c r="A783" t="str">
        <f>""</f>
        <v/>
      </c>
      <c r="F783" t="str">
        <f>""</f>
        <v/>
      </c>
      <c r="G783" t="str">
        <f>""</f>
        <v/>
      </c>
      <c r="I783" t="str">
        <f>"Inv# 914203"</f>
        <v>Inv# 914203</v>
      </c>
    </row>
    <row r="784" spans="1:9" x14ac:dyDescent="0.3">
      <c r="A784" t="str">
        <f>""</f>
        <v/>
      </c>
      <c r="F784" t="str">
        <f>""</f>
        <v/>
      </c>
      <c r="G784" t="str">
        <f>""</f>
        <v/>
      </c>
      <c r="I784" t="str">
        <f>"Inv# 983785"</f>
        <v>Inv# 983785</v>
      </c>
    </row>
    <row r="785" spans="1:9" x14ac:dyDescent="0.3">
      <c r="A785" t="str">
        <f>"MARIA"</f>
        <v>MARIA</v>
      </c>
      <c r="B785" t="s">
        <v>240</v>
      </c>
      <c r="C785">
        <v>70200</v>
      </c>
      <c r="D785" s="2">
        <v>965.85</v>
      </c>
      <c r="E785" s="1">
        <v>42863</v>
      </c>
      <c r="F785" t="str">
        <f>"201705031741"</f>
        <v>201705031741</v>
      </c>
      <c r="G785" t="str">
        <f>"15.866"</f>
        <v>15.866</v>
      </c>
      <c r="H785" s="2">
        <v>183.17</v>
      </c>
      <c r="I785" t="str">
        <f>"15.866"</f>
        <v>15.866</v>
      </c>
    </row>
    <row r="786" spans="1:9" x14ac:dyDescent="0.3">
      <c r="A786" t="str">
        <f>""</f>
        <v/>
      </c>
      <c r="F786" t="str">
        <f>"201705031742"</f>
        <v>201705031742</v>
      </c>
      <c r="G786" t="str">
        <f>"CRIMINAL"</f>
        <v>CRIMINAL</v>
      </c>
      <c r="H786" s="2">
        <v>183.17</v>
      </c>
      <c r="I786" t="str">
        <f>"CRIMINAL"</f>
        <v>CRIMINAL</v>
      </c>
    </row>
    <row r="787" spans="1:9" x14ac:dyDescent="0.3">
      <c r="A787" t="str">
        <f>""</f>
        <v/>
      </c>
      <c r="F787" t="str">
        <f>"201705031743"</f>
        <v>201705031743</v>
      </c>
      <c r="G787" t="str">
        <f>"CRIMINAL"</f>
        <v>CRIMINAL</v>
      </c>
      <c r="H787" s="2">
        <v>183.17</v>
      </c>
      <c r="I787" t="str">
        <f>"CRIMINAL"</f>
        <v>CRIMINAL</v>
      </c>
    </row>
    <row r="788" spans="1:9" x14ac:dyDescent="0.3">
      <c r="A788" t="str">
        <f>""</f>
        <v/>
      </c>
      <c r="F788" t="str">
        <f>"201705031744"</f>
        <v>201705031744</v>
      </c>
      <c r="G788" t="str">
        <f>"08-12462"</f>
        <v>08-12462</v>
      </c>
      <c r="H788" s="2">
        <v>50</v>
      </c>
      <c r="I788" t="str">
        <f>"08-12462"</f>
        <v>08-12462</v>
      </c>
    </row>
    <row r="789" spans="1:9" x14ac:dyDescent="0.3">
      <c r="A789" t="str">
        <f>""</f>
        <v/>
      </c>
      <c r="F789" t="str">
        <f>"201705031745"</f>
        <v>201705031745</v>
      </c>
      <c r="G789" t="str">
        <f>"12-15232"</f>
        <v>12-15232</v>
      </c>
      <c r="H789" s="2">
        <v>50</v>
      </c>
      <c r="I789" t="str">
        <f>"12-15232"</f>
        <v>12-15232</v>
      </c>
    </row>
    <row r="790" spans="1:9" x14ac:dyDescent="0.3">
      <c r="A790" t="str">
        <f>""</f>
        <v/>
      </c>
      <c r="F790" t="str">
        <f>"201705031746"</f>
        <v>201705031746</v>
      </c>
      <c r="G790" t="str">
        <f>"423-4853"</f>
        <v>423-4853</v>
      </c>
      <c r="H790" s="2">
        <v>50</v>
      </c>
      <c r="I790" t="str">
        <f>"423-4853"</f>
        <v>423-4853</v>
      </c>
    </row>
    <row r="791" spans="1:9" x14ac:dyDescent="0.3">
      <c r="A791" t="str">
        <f>""</f>
        <v/>
      </c>
      <c r="F791" t="str">
        <f>"201705031747"</f>
        <v>201705031747</v>
      </c>
      <c r="G791" t="str">
        <f>"423-4720"</f>
        <v>423-4720</v>
      </c>
      <c r="H791" s="2">
        <v>83.17</v>
      </c>
      <c r="I791" t="str">
        <f>"423-4720"</f>
        <v>423-4720</v>
      </c>
    </row>
    <row r="792" spans="1:9" x14ac:dyDescent="0.3">
      <c r="A792" t="str">
        <f>""</f>
        <v/>
      </c>
      <c r="F792" t="str">
        <f>"201705031748"</f>
        <v>201705031748</v>
      </c>
      <c r="G792" t="str">
        <f>"CRIMINAL"</f>
        <v>CRIMINAL</v>
      </c>
      <c r="H792" s="2">
        <v>183.17</v>
      </c>
      <c r="I792" t="str">
        <f>"CRIMINAL"</f>
        <v>CRIMINAL</v>
      </c>
    </row>
    <row r="793" spans="1:9" x14ac:dyDescent="0.3">
      <c r="A793" t="str">
        <f>"MARIA"</f>
        <v>MARIA</v>
      </c>
      <c r="B793" t="s">
        <v>240</v>
      </c>
      <c r="C793">
        <v>70493</v>
      </c>
      <c r="D793" s="2">
        <v>732.68</v>
      </c>
      <c r="E793" s="1">
        <v>42877</v>
      </c>
      <c r="F793" t="str">
        <f>"201705172122"</f>
        <v>201705172122</v>
      </c>
      <c r="G793" t="str">
        <f>"MARIA CELESTE COSTLEY 5/4"</f>
        <v>MARIA CELESTE COSTLEY 5/4</v>
      </c>
      <c r="H793" s="2">
        <v>183.17</v>
      </c>
      <c r="I793" t="str">
        <f>"MARIA CELESTE COSTLEY"</f>
        <v>MARIA CELESTE COSTLEY</v>
      </c>
    </row>
    <row r="794" spans="1:9" x14ac:dyDescent="0.3">
      <c r="A794" t="str">
        <f>""</f>
        <v/>
      </c>
      <c r="F794" t="str">
        <f>"201705172123"</f>
        <v>201705172123</v>
      </c>
      <c r="G794" t="str">
        <f>"MARIA CELESTE COSTLEY 5/11"</f>
        <v>MARIA CELESTE COSTLEY 5/11</v>
      </c>
      <c r="H794" s="2">
        <v>183.17</v>
      </c>
      <c r="I794" t="str">
        <f>"MARIA CELESTE COSTLEY 5/11"</f>
        <v>MARIA CELESTE COSTLEY 5/11</v>
      </c>
    </row>
    <row r="795" spans="1:9" x14ac:dyDescent="0.3">
      <c r="A795" t="str">
        <f>""</f>
        <v/>
      </c>
      <c r="F795" t="str">
        <f>"201705172185"</f>
        <v>201705172185</v>
      </c>
      <c r="G795" t="str">
        <f>"CRIMINAL"</f>
        <v>CRIMINAL</v>
      </c>
      <c r="H795" s="2">
        <v>183.17</v>
      </c>
      <c r="I795" t="str">
        <f>"CRIMINAL"</f>
        <v>CRIMINAL</v>
      </c>
    </row>
    <row r="796" spans="1:9" x14ac:dyDescent="0.3">
      <c r="A796" t="str">
        <f>""</f>
        <v/>
      </c>
      <c r="F796" t="str">
        <f>"201705172186"</f>
        <v>201705172186</v>
      </c>
      <c r="G796" t="str">
        <f>"16 126"</f>
        <v>16 126</v>
      </c>
      <c r="H796" s="2">
        <v>183.17</v>
      </c>
      <c r="I796" t="str">
        <f>"16 126"</f>
        <v>16 126</v>
      </c>
    </row>
    <row r="797" spans="1:9" x14ac:dyDescent="0.3">
      <c r="A797" t="str">
        <f>"002282"</f>
        <v>002282</v>
      </c>
      <c r="B797" t="s">
        <v>241</v>
      </c>
      <c r="C797">
        <v>70201</v>
      </c>
      <c r="D797" s="2">
        <v>2700</v>
      </c>
      <c r="E797" s="1">
        <v>42863</v>
      </c>
      <c r="F797" t="str">
        <f>"201705031667"</f>
        <v>201705031667</v>
      </c>
      <c r="G797" t="str">
        <f>"VETERINARY SERVICES/MAR'17"</f>
        <v>VETERINARY SERVICES/MAR'17</v>
      </c>
      <c r="H797" s="2">
        <v>2700</v>
      </c>
      <c r="I797" t="str">
        <f>"VETERINARY SERVICES/MAR'17"</f>
        <v>VETERINARY SERVICES/MAR'17</v>
      </c>
    </row>
    <row r="798" spans="1:9" x14ac:dyDescent="0.3">
      <c r="A798" t="str">
        <f>"002282"</f>
        <v>002282</v>
      </c>
      <c r="B798" t="s">
        <v>241</v>
      </c>
      <c r="C798">
        <v>70202</v>
      </c>
      <c r="D798" s="2">
        <v>2700</v>
      </c>
      <c r="E798" s="1">
        <v>42863</v>
      </c>
      <c r="F798" t="str">
        <f>"201705031668"</f>
        <v>201705031668</v>
      </c>
      <c r="G798" t="str">
        <f>"VETERINARY SERVCIES/APRIL'17"</f>
        <v>VETERINARY SERVCIES/APRIL'17</v>
      </c>
      <c r="H798" s="2">
        <v>2700</v>
      </c>
      <c r="I798" t="str">
        <f>"VETERINARY SERVCIES/APRIL'17"</f>
        <v>VETERINARY SERVCIES/APRIL'17</v>
      </c>
    </row>
    <row r="799" spans="1:9" x14ac:dyDescent="0.3">
      <c r="A799" t="str">
        <f>"T13936"</f>
        <v>T13936</v>
      </c>
      <c r="B799" t="s">
        <v>242</v>
      </c>
      <c r="C799">
        <v>70203</v>
      </c>
      <c r="D799" s="2">
        <v>5444.51</v>
      </c>
      <c r="E799" s="1">
        <v>42863</v>
      </c>
      <c r="F799" t="str">
        <f>"201705031679"</f>
        <v>201705031679</v>
      </c>
      <c r="G799" t="str">
        <f>"INDIGENT HEALTH"</f>
        <v>INDIGENT HEALTH</v>
      </c>
      <c r="H799" s="2">
        <v>5444.51</v>
      </c>
      <c r="I799" t="str">
        <f>"INDIGENT HEALTH"</f>
        <v>INDIGENT HEALTH</v>
      </c>
    </row>
    <row r="800" spans="1:9" x14ac:dyDescent="0.3">
      <c r="A800" t="str">
        <f>""</f>
        <v/>
      </c>
      <c r="F800" t="str">
        <f>""</f>
        <v/>
      </c>
      <c r="G800" t="str">
        <f>""</f>
        <v/>
      </c>
      <c r="I800" t="str">
        <f>"INDIGENT HEALTH"</f>
        <v>INDIGENT HEALTH</v>
      </c>
    </row>
    <row r="801" spans="1:9" x14ac:dyDescent="0.3">
      <c r="A801" t="str">
        <f>"T13936"</f>
        <v>T13936</v>
      </c>
      <c r="B801" t="s">
        <v>242</v>
      </c>
      <c r="C801">
        <v>70494</v>
      </c>
      <c r="D801" s="2">
        <v>9864.32</v>
      </c>
      <c r="E801" s="1">
        <v>42877</v>
      </c>
      <c r="F801" t="str">
        <f>"201705172115"</f>
        <v>201705172115</v>
      </c>
      <c r="G801" t="str">
        <f>"INDIGENT HEALTH"</f>
        <v>INDIGENT HEALTH</v>
      </c>
      <c r="H801" s="2">
        <v>9864.32</v>
      </c>
      <c r="I801" t="str">
        <f>"INDIGENT HEALTH"</f>
        <v>INDIGENT HEALTH</v>
      </c>
    </row>
    <row r="802" spans="1:9" x14ac:dyDescent="0.3">
      <c r="A802" t="str">
        <f>""</f>
        <v/>
      </c>
      <c r="F802" t="str">
        <f>""</f>
        <v/>
      </c>
      <c r="G802" t="str">
        <f>""</f>
        <v/>
      </c>
      <c r="I802" t="str">
        <f>"INDIGENT HEALTH"</f>
        <v>INDIGENT HEALTH</v>
      </c>
    </row>
    <row r="803" spans="1:9" x14ac:dyDescent="0.3">
      <c r="A803" t="str">
        <f>"T12624"</f>
        <v>T12624</v>
      </c>
      <c r="B803" t="s">
        <v>243</v>
      </c>
      <c r="C803">
        <v>70204</v>
      </c>
      <c r="D803" s="2">
        <v>1453.94</v>
      </c>
      <c r="E803" s="1">
        <v>42863</v>
      </c>
      <c r="F803" t="str">
        <f>"201705021592"</f>
        <v>201705021592</v>
      </c>
      <c r="G803" t="str">
        <f>"INV001609188 PLUMBING"</f>
        <v>INV001609188 PLUMBING</v>
      </c>
      <c r="H803" s="2">
        <v>1453.94</v>
      </c>
      <c r="I803" t="str">
        <f>"INV001609188 PLUMBING"</f>
        <v>INV001609188 PLUMBING</v>
      </c>
    </row>
    <row r="804" spans="1:9" x14ac:dyDescent="0.3">
      <c r="A804" t="str">
        <f>"T12624"</f>
        <v>T12624</v>
      </c>
      <c r="B804" t="s">
        <v>243</v>
      </c>
      <c r="C804">
        <v>70495</v>
      </c>
      <c r="D804" s="2">
        <v>254.24</v>
      </c>
      <c r="E804" s="1">
        <v>42877</v>
      </c>
      <c r="F804" t="str">
        <f>"001614074"</f>
        <v>001614074</v>
      </c>
      <c r="G804" t="str">
        <f>"PLUMBINGINV001614074"</f>
        <v>PLUMBINGINV001614074</v>
      </c>
      <c r="H804" s="2">
        <v>254.24</v>
      </c>
      <c r="I804" t="str">
        <f>"PLUMBINGINV001614074"</f>
        <v>PLUMBINGINV001614074</v>
      </c>
    </row>
    <row r="805" spans="1:9" x14ac:dyDescent="0.3">
      <c r="A805" t="str">
        <f>"005051"</f>
        <v>005051</v>
      </c>
      <c r="B805" t="s">
        <v>244</v>
      </c>
      <c r="C805">
        <v>70205</v>
      </c>
      <c r="D805" s="2">
        <v>3361.26</v>
      </c>
      <c r="E805" s="1">
        <v>42863</v>
      </c>
      <c r="F805" t="str">
        <f>"201705021637"</f>
        <v>201705021637</v>
      </c>
      <c r="G805" t="str">
        <f>"RESERVATIONS OEM"</f>
        <v>RESERVATIONS OEM</v>
      </c>
      <c r="H805" s="2">
        <v>3361.26</v>
      </c>
      <c r="I805" t="str">
        <f>"RESERVATIONS OEM"</f>
        <v>RESERVATIONS OEM</v>
      </c>
    </row>
    <row r="806" spans="1:9" x14ac:dyDescent="0.3">
      <c r="A806" t="str">
        <f>"004144"</f>
        <v>004144</v>
      </c>
      <c r="B806" t="s">
        <v>245</v>
      </c>
      <c r="C806">
        <v>70206</v>
      </c>
      <c r="D806" s="2">
        <v>1033.75</v>
      </c>
      <c r="E806" s="1">
        <v>42863</v>
      </c>
      <c r="F806" t="str">
        <f>"201705031749"</f>
        <v>201705031749</v>
      </c>
      <c r="G806" t="str">
        <f>"54.441"</f>
        <v>54.441</v>
      </c>
      <c r="H806" s="2">
        <v>250</v>
      </c>
      <c r="I806" t="str">
        <f>"54.441"</f>
        <v>54.441</v>
      </c>
    </row>
    <row r="807" spans="1:9" x14ac:dyDescent="0.3">
      <c r="A807" t="str">
        <f>""</f>
        <v/>
      </c>
      <c r="F807" t="str">
        <f>"201705031750"</f>
        <v>201705031750</v>
      </c>
      <c r="G807" t="str">
        <f>"17-18167"</f>
        <v>17-18167</v>
      </c>
      <c r="H807" s="2">
        <v>508.75</v>
      </c>
      <c r="I807" t="str">
        <f>"17-18167"</f>
        <v>17-18167</v>
      </c>
    </row>
    <row r="808" spans="1:9" x14ac:dyDescent="0.3">
      <c r="A808" t="str">
        <f>""</f>
        <v/>
      </c>
      <c r="F808" t="str">
        <f>"201705031752"</f>
        <v>201705031752</v>
      </c>
      <c r="G808" t="str">
        <f>"16-17987"</f>
        <v>16-17987</v>
      </c>
      <c r="H808" s="2">
        <v>100</v>
      </c>
      <c r="I808" t="str">
        <f>"16-17987"</f>
        <v>16-17987</v>
      </c>
    </row>
    <row r="809" spans="1:9" x14ac:dyDescent="0.3">
      <c r="A809" t="str">
        <f>""</f>
        <v/>
      </c>
      <c r="F809" t="str">
        <f>"201705031753"</f>
        <v>201705031753</v>
      </c>
      <c r="G809" t="str">
        <f>"16-17698"</f>
        <v>16-17698</v>
      </c>
      <c r="H809" s="2">
        <v>175</v>
      </c>
      <c r="I809" t="str">
        <f>"16-17698"</f>
        <v>16-17698</v>
      </c>
    </row>
    <row r="810" spans="1:9" x14ac:dyDescent="0.3">
      <c r="A810" t="str">
        <f>"005049"</f>
        <v>005049</v>
      </c>
      <c r="B810" t="s">
        <v>246</v>
      </c>
      <c r="C810">
        <v>70207</v>
      </c>
      <c r="D810" s="2">
        <v>75</v>
      </c>
      <c r="E810" s="1">
        <v>42863</v>
      </c>
      <c r="F810" t="str">
        <f>"12625"</f>
        <v>12625</v>
      </c>
      <c r="G810" t="str">
        <f>"SERVICE/2-27-17"</f>
        <v>SERVICE/2-27-17</v>
      </c>
      <c r="H810" s="2">
        <v>75</v>
      </c>
      <c r="I810" t="str">
        <f>"SERVICE/2-27-17"</f>
        <v>SERVICE/2-27-17</v>
      </c>
    </row>
    <row r="811" spans="1:9" x14ac:dyDescent="0.3">
      <c r="A811" t="str">
        <f>"TRIGA"</f>
        <v>TRIGA</v>
      </c>
      <c r="B811" t="s">
        <v>247</v>
      </c>
      <c r="C811">
        <v>70208</v>
      </c>
      <c r="D811" s="2">
        <v>134.56</v>
      </c>
      <c r="E811" s="1">
        <v>42863</v>
      </c>
      <c r="F811" t="str">
        <f>"15286323"</f>
        <v>15286323</v>
      </c>
      <c r="G811" t="str">
        <f>"ACCT#45057/PCT#4"</f>
        <v>ACCT#45057/PCT#4</v>
      </c>
      <c r="H811" s="2">
        <v>134.56</v>
      </c>
      <c r="I811" t="str">
        <f>"ACCT#45057/PCT#4"</f>
        <v>ACCT#45057/PCT#4</v>
      </c>
    </row>
    <row r="812" spans="1:9" x14ac:dyDescent="0.3">
      <c r="A812" t="str">
        <f>"TRIGA"</f>
        <v>TRIGA</v>
      </c>
      <c r="B812" t="s">
        <v>247</v>
      </c>
      <c r="C812">
        <v>70496</v>
      </c>
      <c r="D812" s="2">
        <v>180.1</v>
      </c>
      <c r="E812" s="1">
        <v>42877</v>
      </c>
      <c r="F812" t="str">
        <f>"15355115"</f>
        <v>15355115</v>
      </c>
      <c r="G812" t="str">
        <f>"MONTHLY RENTAL"</f>
        <v>MONTHLY RENTAL</v>
      </c>
      <c r="H812" s="2">
        <v>47.64</v>
      </c>
      <c r="I812" t="str">
        <f>"MONTHLY RENTAL"</f>
        <v>MONTHLY RENTAL</v>
      </c>
    </row>
    <row r="813" spans="1:9" x14ac:dyDescent="0.3">
      <c r="A813" t="str">
        <f>""</f>
        <v/>
      </c>
      <c r="F813" t="str">
        <f>"201705121965"</f>
        <v>201705121965</v>
      </c>
      <c r="G813" t="str">
        <f>"BRN# 706 CUST45057 DOC 5355044"</f>
        <v>BRN# 706 CUST45057 DOC 5355044</v>
      </c>
      <c r="H813" s="2">
        <v>36.729999999999997</v>
      </c>
      <c r="I813" t="str">
        <f>"MATHESON TRI-GAS INC"</f>
        <v>MATHESON TRI-GAS INC</v>
      </c>
    </row>
    <row r="814" spans="1:9" x14ac:dyDescent="0.3">
      <c r="A814" t="str">
        <f>""</f>
        <v/>
      </c>
      <c r="F814" t="str">
        <f>"201705121977"</f>
        <v>201705121977</v>
      </c>
      <c r="G814" t="str">
        <f>"BRN#706 PCT 1 DOC15354932"</f>
        <v>BRN#706 PCT 1 DOC15354932</v>
      </c>
      <c r="H814" s="2">
        <v>20.73</v>
      </c>
      <c r="I814" t="str">
        <f>"BRN#706 PCT 1 DOC15354932"</f>
        <v>BRN#706 PCT 1 DOC15354932</v>
      </c>
    </row>
    <row r="815" spans="1:9" x14ac:dyDescent="0.3">
      <c r="A815" t="str">
        <f>""</f>
        <v/>
      </c>
      <c r="F815" t="str">
        <f>"201705121978"</f>
        <v>201705121978</v>
      </c>
      <c r="G815" t="str">
        <f>"BRN#DC6 DOC 15363508 PCT 1"</f>
        <v>BRN#DC6 DOC 15363508 PCT 1</v>
      </c>
      <c r="H815" s="2">
        <v>75</v>
      </c>
      <c r="I815" t="str">
        <f>"BRN#DC6 DOC 15363508 PCT 1"</f>
        <v>BRN#DC6 DOC 15363508 PCT 1</v>
      </c>
    </row>
    <row r="816" spans="1:9" x14ac:dyDescent="0.3">
      <c r="A816" t="str">
        <f>"MC COY"</f>
        <v>MC COY</v>
      </c>
      <c r="B816" t="s">
        <v>248</v>
      </c>
      <c r="C816">
        <v>70209</v>
      </c>
      <c r="D816" s="2">
        <v>344.62</v>
      </c>
      <c r="E816" s="1">
        <v>42863</v>
      </c>
      <c r="F816" t="str">
        <f>"6-00636408-3"</f>
        <v>6-00636408-3</v>
      </c>
      <c r="G816" t="str">
        <f>"ACCT#900-98011130-001/PCT#2"</f>
        <v>ACCT#900-98011130-001/PCT#2</v>
      </c>
      <c r="H816" s="2">
        <v>319.74</v>
      </c>
      <c r="I816" t="str">
        <f>"ACCT#900-98011130-001/PCT#2"</f>
        <v>ACCT#900-98011130-001/PCT#2</v>
      </c>
    </row>
    <row r="817" spans="1:9" x14ac:dyDescent="0.3">
      <c r="A817" t="str">
        <f>""</f>
        <v/>
      </c>
      <c r="F817" t="str">
        <f>"6-00636709"</f>
        <v>6-00636709</v>
      </c>
      <c r="G817" t="str">
        <f>"ACCT#900-98011130 001"</f>
        <v>ACCT#900-98011130 001</v>
      </c>
      <c r="H817" s="2">
        <v>24.88</v>
      </c>
      <c r="I817" t="str">
        <f>"ACCT#900-98011130 001"</f>
        <v>ACCT#900-98011130 001</v>
      </c>
    </row>
    <row r="818" spans="1:9" x14ac:dyDescent="0.3">
      <c r="A818" t="str">
        <f>"MC COY"</f>
        <v>MC COY</v>
      </c>
      <c r="B818" t="s">
        <v>248</v>
      </c>
      <c r="C818">
        <v>70497</v>
      </c>
      <c r="D818" s="2">
        <v>62.23</v>
      </c>
      <c r="E818" s="1">
        <v>42877</v>
      </c>
      <c r="F818" t="str">
        <f>"637571"</f>
        <v>637571</v>
      </c>
      <c r="G818" t="str">
        <f>"ACCT#0900-9801130-001"</f>
        <v>ACCT#0900-9801130-001</v>
      </c>
      <c r="H818" s="2">
        <v>36.22</v>
      </c>
      <c r="I818" t="str">
        <f>"ACCT#0900-9801130-001"</f>
        <v>ACCT#0900-9801130-001</v>
      </c>
    </row>
    <row r="819" spans="1:9" x14ac:dyDescent="0.3">
      <c r="A819" t="str">
        <f>""</f>
        <v/>
      </c>
      <c r="F819" t="str">
        <f>"638283"</f>
        <v>638283</v>
      </c>
      <c r="G819" t="str">
        <f>"ACCT#0900-98011130-001"</f>
        <v>ACCT#0900-98011130-001</v>
      </c>
      <c r="H819" s="2">
        <v>26.01</v>
      </c>
      <c r="I819" t="str">
        <f>"ACCT#0900-98011130-001"</f>
        <v>ACCT#0900-98011130-001</v>
      </c>
    </row>
    <row r="820" spans="1:9" x14ac:dyDescent="0.3">
      <c r="A820" t="str">
        <f>"MC CRE"</f>
        <v>MC CRE</v>
      </c>
      <c r="B820" t="s">
        <v>249</v>
      </c>
      <c r="C820">
        <v>70210</v>
      </c>
      <c r="D820" s="2">
        <v>8157.93</v>
      </c>
      <c r="E820" s="1">
        <v>42863</v>
      </c>
      <c r="F820" t="str">
        <f>"12375"</f>
        <v>12375</v>
      </c>
      <c r="G820" t="str">
        <f>"ABST FEE-2-27-17"</f>
        <v>ABST FEE-2-27-17</v>
      </c>
      <c r="H820" s="2">
        <v>175</v>
      </c>
      <c r="I820" t="str">
        <f>"ABST FEE-2-27-17"</f>
        <v>ABST FEE-2-27-17</v>
      </c>
    </row>
    <row r="821" spans="1:9" x14ac:dyDescent="0.3">
      <c r="A821" t="str">
        <f>""</f>
        <v/>
      </c>
      <c r="F821" t="str">
        <f>"12450"</f>
        <v>12450</v>
      </c>
      <c r="G821" t="str">
        <f>"ABST FEE/3-2-17"</f>
        <v>ABST FEE/3-2-17</v>
      </c>
      <c r="H821" s="2">
        <v>175</v>
      </c>
      <c r="I821" t="str">
        <f>"ABST FEE/3-2-17"</f>
        <v>ABST FEE/3-2-17</v>
      </c>
    </row>
    <row r="822" spans="1:9" x14ac:dyDescent="0.3">
      <c r="A822" t="str">
        <f>""</f>
        <v/>
      </c>
      <c r="F822" t="str">
        <f>"12521"</f>
        <v>12521</v>
      </c>
      <c r="G822" t="str">
        <f>"ABST FEE/2-28-17"</f>
        <v>ABST FEE/2-28-17</v>
      </c>
      <c r="H822" s="2">
        <v>5</v>
      </c>
      <c r="I822" t="str">
        <f>"ABST FEE/2-28-17"</f>
        <v>ABST FEE/2-28-17</v>
      </c>
    </row>
    <row r="823" spans="1:9" x14ac:dyDescent="0.3">
      <c r="A823" t="str">
        <f>""</f>
        <v/>
      </c>
      <c r="F823" t="str">
        <f>"12617"</f>
        <v>12617</v>
      </c>
      <c r="G823" t="str">
        <f>"ABST FEE/2-27-17"</f>
        <v>ABST FEE/2-27-17</v>
      </c>
      <c r="H823" s="2">
        <v>225</v>
      </c>
      <c r="I823" t="str">
        <f>"ABST FEE/2-27-17"</f>
        <v>ABST FEE/2-27-17</v>
      </c>
    </row>
    <row r="824" spans="1:9" x14ac:dyDescent="0.3">
      <c r="A824" t="str">
        <f>""</f>
        <v/>
      </c>
      <c r="F824" t="str">
        <f>"12625"</f>
        <v>12625</v>
      </c>
      <c r="G824" t="str">
        <f>"ABST FEE/2-27-17"</f>
        <v>ABST FEE/2-27-17</v>
      </c>
      <c r="H824" s="2">
        <v>225</v>
      </c>
      <c r="I824" t="str">
        <f>"ABST FEE/2-27-17"</f>
        <v>ABST FEE/2-27-17</v>
      </c>
    </row>
    <row r="825" spans="1:9" x14ac:dyDescent="0.3">
      <c r="A825" t="str">
        <f>""</f>
        <v/>
      </c>
      <c r="F825" t="str">
        <f>"12626"</f>
        <v>12626</v>
      </c>
      <c r="G825" t="str">
        <f>"ABST FEE/3-1-17"</f>
        <v>ABST FEE/3-1-17</v>
      </c>
      <c r="H825" s="2">
        <v>225</v>
      </c>
      <c r="I825" t="str">
        <f>"ABST FEE/3-1-17"</f>
        <v>ABST FEE/3-1-17</v>
      </c>
    </row>
    <row r="826" spans="1:9" x14ac:dyDescent="0.3">
      <c r="A826" t="str">
        <f>""</f>
        <v/>
      </c>
      <c r="F826" t="str">
        <f>"12629"</f>
        <v>12629</v>
      </c>
      <c r="G826" t="str">
        <f>"ABST FEE/2-24-17"</f>
        <v>ABST FEE/2-24-17</v>
      </c>
      <c r="H826" s="2">
        <v>225</v>
      </c>
      <c r="I826" t="str">
        <f>"ABST FEE/2-24-17"</f>
        <v>ABST FEE/2-24-17</v>
      </c>
    </row>
    <row r="827" spans="1:9" x14ac:dyDescent="0.3">
      <c r="A827" t="str">
        <f>""</f>
        <v/>
      </c>
      <c r="F827" t="str">
        <f>"12631"</f>
        <v>12631</v>
      </c>
      <c r="G827" t="str">
        <f>"ABST FEE/3-3-17"</f>
        <v>ABST FEE/3-3-17</v>
      </c>
      <c r="H827" s="2">
        <v>225</v>
      </c>
      <c r="I827" t="str">
        <f>"ABST FEE/3-3-17"</f>
        <v>ABST FEE/3-3-17</v>
      </c>
    </row>
    <row r="828" spans="1:9" x14ac:dyDescent="0.3">
      <c r="A828" t="str">
        <f>""</f>
        <v/>
      </c>
      <c r="F828" t="str">
        <f>"201705031655"</f>
        <v>201705031655</v>
      </c>
      <c r="G828" t="str">
        <f>"DELINQUENT TAXES/APRIL'17"</f>
        <v>DELINQUENT TAXES/APRIL'17</v>
      </c>
      <c r="H828" s="2">
        <v>6677.93</v>
      </c>
      <c r="I828" t="str">
        <f>"DELINQUENT TAXES/APRIL'17"</f>
        <v>DELINQUENT TAXES/APRIL'17</v>
      </c>
    </row>
    <row r="829" spans="1:9" x14ac:dyDescent="0.3">
      <c r="A829" t="str">
        <f>"002271"</f>
        <v>002271</v>
      </c>
      <c r="B829" t="s">
        <v>250</v>
      </c>
      <c r="C829">
        <v>70211</v>
      </c>
      <c r="D829" s="2">
        <v>1239.02</v>
      </c>
      <c r="E829" s="1">
        <v>42863</v>
      </c>
      <c r="F829" t="str">
        <f>"201705031680"</f>
        <v>201705031680</v>
      </c>
      <c r="G829" t="str">
        <f>"INDIGENT HEALTH"</f>
        <v>INDIGENT HEALTH</v>
      </c>
      <c r="H829" s="2">
        <v>1239.02</v>
      </c>
      <c r="I829" t="str">
        <f>"INDIGENT HEALTH"</f>
        <v>INDIGENT HEALTH</v>
      </c>
    </row>
    <row r="830" spans="1:9" x14ac:dyDescent="0.3">
      <c r="A830" t="str">
        <f>"002271"</f>
        <v>002271</v>
      </c>
      <c r="B830" t="s">
        <v>250</v>
      </c>
      <c r="C830">
        <v>70498</v>
      </c>
      <c r="D830" s="2">
        <v>1350.54</v>
      </c>
      <c r="E830" s="1">
        <v>42877</v>
      </c>
      <c r="F830" t="str">
        <f>"201705172121"</f>
        <v>201705172121</v>
      </c>
      <c r="G830" t="str">
        <f>"INDIGENT HEALTH"</f>
        <v>INDIGENT HEALTH</v>
      </c>
      <c r="H830" s="2">
        <v>1350.54</v>
      </c>
      <c r="I830" t="str">
        <f>"INDIGENT HEALTH"</f>
        <v>INDIGENT HEALTH</v>
      </c>
    </row>
    <row r="831" spans="1:9" x14ac:dyDescent="0.3">
      <c r="A831" t="str">
        <f>"003745"</f>
        <v>003745</v>
      </c>
      <c r="B831" t="s">
        <v>251</v>
      </c>
      <c r="C831">
        <v>70499</v>
      </c>
      <c r="D831" s="2">
        <v>25</v>
      </c>
      <c r="E831" s="1">
        <v>42877</v>
      </c>
      <c r="F831" t="str">
        <f>"201705161999"</f>
        <v>201705161999</v>
      </c>
      <c r="G831" t="str">
        <f>"REST DAVID SPURK"</f>
        <v>REST DAVID SPURK</v>
      </c>
      <c r="H831" s="2">
        <v>25</v>
      </c>
      <c r="I831" t="str">
        <f>"REST DAVID SPURK"</f>
        <v>REST DAVID SPURK</v>
      </c>
    </row>
    <row r="832" spans="1:9" x14ac:dyDescent="0.3">
      <c r="A832" t="str">
        <f>"005075"</f>
        <v>005075</v>
      </c>
      <c r="B832" t="s">
        <v>252</v>
      </c>
      <c r="C832">
        <v>70500</v>
      </c>
      <c r="D832" s="2">
        <v>4750</v>
      </c>
      <c r="E832" s="1">
        <v>42877</v>
      </c>
      <c r="F832" t="str">
        <f>"201705172220"</f>
        <v>201705172220</v>
      </c>
      <c r="G832" t="str">
        <f>"Inv# 17-0021"</f>
        <v>Inv# 17-0021</v>
      </c>
      <c r="H832" s="2">
        <v>4750</v>
      </c>
      <c r="I832" t="str">
        <f>"Inv# 17-0021"</f>
        <v>Inv# 17-0021</v>
      </c>
    </row>
    <row r="833" spans="1:9" x14ac:dyDescent="0.3">
      <c r="A833" t="str">
        <f>"005025"</f>
        <v>005025</v>
      </c>
      <c r="B833" t="s">
        <v>253</v>
      </c>
      <c r="C833">
        <v>70212</v>
      </c>
      <c r="D833" s="2">
        <v>950</v>
      </c>
      <c r="E833" s="1">
        <v>42863</v>
      </c>
      <c r="F833" t="str">
        <f>"16-17698"</f>
        <v>16-17698</v>
      </c>
      <c r="G833" t="str">
        <f>"MEDIATION-RE J.S.&amp;A.T.CHILD"</f>
        <v>MEDIATION-RE J.S.&amp;A.T.CHILD</v>
      </c>
      <c r="H833" s="2">
        <v>475</v>
      </c>
      <c r="I833" t="str">
        <f>"MEDIATION-RE J.S.&amp;A.T.CHILD"</f>
        <v>MEDIATION-RE J.S.&amp;A.T.CHILD</v>
      </c>
    </row>
    <row r="834" spans="1:9" x14ac:dyDescent="0.3">
      <c r="A834" t="str">
        <f>""</f>
        <v/>
      </c>
      <c r="F834" t="str">
        <f>"16-17709"</f>
        <v>16-17709</v>
      </c>
      <c r="G834" t="str">
        <f>"MEDIATION-RE.J.J &amp; A.J. CHILD"</f>
        <v>MEDIATION-RE.J.J &amp; A.J. CHILD</v>
      </c>
      <c r="H834" s="2">
        <v>475</v>
      </c>
      <c r="I834" t="str">
        <f>"MEDIATION-RE.J.J &amp; A.J. CHILD"</f>
        <v>MEDIATION-RE.J.J &amp; A.J. CHILD</v>
      </c>
    </row>
    <row r="835" spans="1:9" x14ac:dyDescent="0.3">
      <c r="A835" t="str">
        <f>"003533"</f>
        <v>003533</v>
      </c>
      <c r="B835" t="s">
        <v>254</v>
      </c>
      <c r="C835">
        <v>70213</v>
      </c>
      <c r="D835" s="2">
        <v>16.77</v>
      </c>
      <c r="E835" s="1">
        <v>42863</v>
      </c>
      <c r="F835" t="str">
        <f>"201705021624"</f>
        <v>201705021624</v>
      </c>
      <c r="G835" t="str">
        <f>"REIMB-BREAKFAST FOR JP#3 TAX"</f>
        <v>REIMB-BREAKFAST FOR JP#3 TAX</v>
      </c>
      <c r="H835" s="2">
        <v>16.77</v>
      </c>
    </row>
    <row r="836" spans="1:9" x14ac:dyDescent="0.3">
      <c r="A836" t="str">
        <f>"003533"</f>
        <v>003533</v>
      </c>
      <c r="B836" t="s">
        <v>254</v>
      </c>
      <c r="C836">
        <v>70213</v>
      </c>
      <c r="D836" s="2">
        <v>16.77</v>
      </c>
      <c r="E836" s="1">
        <v>42863</v>
      </c>
      <c r="F836" t="str">
        <f>"CHECK"</f>
        <v>CHECK</v>
      </c>
      <c r="G836" t="str">
        <f>""</f>
        <v/>
      </c>
      <c r="H836" s="2">
        <v>16.77</v>
      </c>
    </row>
    <row r="837" spans="1:9" x14ac:dyDescent="0.3">
      <c r="A837" t="str">
        <f>"T4755"</f>
        <v>T4755</v>
      </c>
      <c r="B837" t="s">
        <v>255</v>
      </c>
      <c r="C837">
        <v>70501</v>
      </c>
      <c r="D837" s="2">
        <v>524</v>
      </c>
      <c r="E837" s="1">
        <v>42877</v>
      </c>
      <c r="F837" t="str">
        <f>"201705162088"</f>
        <v>201705162088</v>
      </c>
      <c r="G837" t="str">
        <f>"INV 178519"</f>
        <v>INV 178519</v>
      </c>
      <c r="H837" s="2">
        <v>524</v>
      </c>
      <c r="I837" t="str">
        <f>"INV 178519 PCT 2"</f>
        <v>INV 178519 PCT 2</v>
      </c>
    </row>
    <row r="838" spans="1:9" x14ac:dyDescent="0.3">
      <c r="A838" t="str">
        <f>"000754"</f>
        <v>000754</v>
      </c>
      <c r="B838" t="s">
        <v>256</v>
      </c>
      <c r="C838">
        <v>70502</v>
      </c>
      <c r="D838" s="2">
        <v>4200</v>
      </c>
      <c r="E838" s="1">
        <v>42877</v>
      </c>
      <c r="F838" t="str">
        <f>"201705121937"</f>
        <v>201705121937</v>
      </c>
      <c r="G838" t="str">
        <f>"HCP SURVEY APRIL'17"</f>
        <v>HCP SURVEY APRIL'17</v>
      </c>
      <c r="H838" s="2">
        <v>4200</v>
      </c>
      <c r="I838" t="str">
        <f>"HCP SURVEY APRIL'17"</f>
        <v>HCP SURVEY APRIL'17</v>
      </c>
    </row>
    <row r="839" spans="1:9" x14ac:dyDescent="0.3">
      <c r="A839" t="str">
        <f>"MU&amp;E"</f>
        <v>MU&amp;E</v>
      </c>
      <c r="B839" t="s">
        <v>257</v>
      </c>
      <c r="C839">
        <v>70214</v>
      </c>
      <c r="D839" s="2">
        <v>2025.06</v>
      </c>
      <c r="E839" s="1">
        <v>42863</v>
      </c>
      <c r="F839" t="str">
        <f>"201705021589"</f>
        <v>201705021589</v>
      </c>
      <c r="G839" t="str">
        <f>"UNIFORM"</f>
        <v>UNIFORM</v>
      </c>
      <c r="H839" s="2">
        <v>12.5</v>
      </c>
      <c r="I839" t="str">
        <f>"UNIFORM"</f>
        <v>UNIFORM</v>
      </c>
    </row>
    <row r="840" spans="1:9" x14ac:dyDescent="0.3">
      <c r="A840" t="str">
        <f>""</f>
        <v/>
      </c>
      <c r="F840" t="str">
        <f>"201705021590"</f>
        <v>201705021590</v>
      </c>
      <c r="G840" t="str">
        <f>"UNIFORMS"</f>
        <v>UNIFORMS</v>
      </c>
      <c r="H840" s="2">
        <v>208.5</v>
      </c>
      <c r="I840" t="str">
        <f>"UNIFORMS"</f>
        <v>UNIFORMS</v>
      </c>
    </row>
    <row r="841" spans="1:9" x14ac:dyDescent="0.3">
      <c r="A841" t="str">
        <f>""</f>
        <v/>
      </c>
      <c r="F841" t="str">
        <f>"201705021609"</f>
        <v>201705021609</v>
      </c>
      <c r="G841" t="str">
        <f>"71028 72344"</f>
        <v>71028 72344</v>
      </c>
      <c r="H841" s="2">
        <v>258.11</v>
      </c>
      <c r="I841" t="str">
        <f>"71028 72344"</f>
        <v>71028 72344</v>
      </c>
    </row>
    <row r="842" spans="1:9" x14ac:dyDescent="0.3">
      <c r="A842" t="str">
        <f>""</f>
        <v/>
      </c>
      <c r="F842" t="str">
        <f>""</f>
        <v/>
      </c>
      <c r="G842" t="str">
        <f>""</f>
        <v/>
      </c>
      <c r="I842" t="str">
        <f>"71028 72344"</f>
        <v>71028 72344</v>
      </c>
    </row>
    <row r="843" spans="1:9" x14ac:dyDescent="0.3">
      <c r="A843" t="str">
        <f>""</f>
        <v/>
      </c>
      <c r="F843" t="str">
        <f>"201705021611"</f>
        <v>201705021611</v>
      </c>
      <c r="G843" t="str">
        <f>"HAMLIN"</f>
        <v>HAMLIN</v>
      </c>
      <c r="H843" s="2">
        <v>429.5</v>
      </c>
      <c r="I843" t="str">
        <f>"HAMLIN 69413"</f>
        <v>HAMLIN 69413</v>
      </c>
    </row>
    <row r="844" spans="1:9" x14ac:dyDescent="0.3">
      <c r="A844" t="str">
        <f>""</f>
        <v/>
      </c>
      <c r="F844" t="str">
        <f>""</f>
        <v/>
      </c>
      <c r="G844" t="str">
        <f>""</f>
        <v/>
      </c>
      <c r="I844" t="str">
        <f>"HAMLIN 66726"</f>
        <v>HAMLIN 66726</v>
      </c>
    </row>
    <row r="845" spans="1:9" x14ac:dyDescent="0.3">
      <c r="A845" t="str">
        <f>""</f>
        <v/>
      </c>
      <c r="F845" t="str">
        <f>""</f>
        <v/>
      </c>
      <c r="G845" t="str">
        <f>""</f>
        <v/>
      </c>
      <c r="I845" t="str">
        <f>"HAMLIN 68530"</f>
        <v>HAMLIN 68530</v>
      </c>
    </row>
    <row r="846" spans="1:9" x14ac:dyDescent="0.3">
      <c r="A846" t="str">
        <f>""</f>
        <v/>
      </c>
      <c r="F846" t="str">
        <f>"57910"</f>
        <v>57910</v>
      </c>
      <c r="G846" t="str">
        <f>"INV 57910/59014/71621"</f>
        <v>INV 57910/59014/71621</v>
      </c>
      <c r="H846" s="2">
        <v>645.95000000000005</v>
      </c>
      <c r="I846" t="str">
        <f>"INV 57910"</f>
        <v>INV 57910</v>
      </c>
    </row>
    <row r="847" spans="1:9" x14ac:dyDescent="0.3">
      <c r="A847" t="str">
        <f>""</f>
        <v/>
      </c>
      <c r="F847" t="str">
        <f>""</f>
        <v/>
      </c>
      <c r="G847" t="str">
        <f>""</f>
        <v/>
      </c>
      <c r="I847" t="str">
        <f>"INV 59014"</f>
        <v>INV 59014</v>
      </c>
    </row>
    <row r="848" spans="1:9" x14ac:dyDescent="0.3">
      <c r="A848" t="str">
        <f>""</f>
        <v/>
      </c>
      <c r="F848" t="str">
        <f>""</f>
        <v/>
      </c>
      <c r="G848" t="str">
        <f>""</f>
        <v/>
      </c>
      <c r="I848" t="str">
        <f>"INV 71621"</f>
        <v>INV 71621</v>
      </c>
    </row>
    <row r="849" spans="1:9" x14ac:dyDescent="0.3">
      <c r="A849" t="str">
        <f>""</f>
        <v/>
      </c>
      <c r="F849" t="str">
        <f>"62530"</f>
        <v>62530</v>
      </c>
      <c r="G849" t="str">
        <f>"INV 62530"</f>
        <v>INV 62530</v>
      </c>
      <c r="H849" s="2">
        <v>470.5</v>
      </c>
      <c r="I849" t="str">
        <f>"INV 62530"</f>
        <v>INV 62530</v>
      </c>
    </row>
    <row r="850" spans="1:9" x14ac:dyDescent="0.3">
      <c r="A850" t="str">
        <f>"MU&amp;E"</f>
        <v>MU&amp;E</v>
      </c>
      <c r="B850" t="s">
        <v>257</v>
      </c>
      <c r="C850">
        <v>70503</v>
      </c>
      <c r="D850" s="2">
        <v>474.25</v>
      </c>
      <c r="E850" s="1">
        <v>42877</v>
      </c>
      <c r="F850" t="str">
        <f>"201705172246"</f>
        <v>201705172246</v>
      </c>
      <c r="G850" t="str">
        <f>"SALES ORDER #48074"</f>
        <v>SALES ORDER #48074</v>
      </c>
      <c r="H850" s="2">
        <v>311</v>
      </c>
      <c r="I850" t="str">
        <f>"LS SHIRTS"</f>
        <v>LS SHIRTS</v>
      </c>
    </row>
    <row r="851" spans="1:9" x14ac:dyDescent="0.3">
      <c r="A851" t="str">
        <f>""</f>
        <v/>
      </c>
      <c r="F851" t="str">
        <f>""</f>
        <v/>
      </c>
      <c r="G851" t="str">
        <f>""</f>
        <v/>
      </c>
      <c r="I851" t="str">
        <f>"ARMOR SKIN"</f>
        <v>ARMOR SKIN</v>
      </c>
    </row>
    <row r="852" spans="1:9" x14ac:dyDescent="0.3">
      <c r="A852" t="str">
        <f>""</f>
        <v/>
      </c>
      <c r="F852" t="str">
        <f>"73008"</f>
        <v>73008</v>
      </c>
      <c r="G852" t="str">
        <f>"INV 73008"</f>
        <v>INV 73008</v>
      </c>
      <c r="H852" s="2">
        <v>89.5</v>
      </c>
      <c r="I852" t="str">
        <f>"INV 73008"</f>
        <v>INV 73008</v>
      </c>
    </row>
    <row r="853" spans="1:9" x14ac:dyDescent="0.3">
      <c r="A853" t="str">
        <f>""</f>
        <v/>
      </c>
      <c r="F853" t="str">
        <f>"74231"</f>
        <v>74231</v>
      </c>
      <c r="G853" t="str">
        <f>"UNIFORM"</f>
        <v>UNIFORM</v>
      </c>
      <c r="H853" s="2">
        <v>73.75</v>
      </c>
      <c r="I853" t="str">
        <f>"SHIRT"</f>
        <v>SHIRT</v>
      </c>
    </row>
    <row r="854" spans="1:9" x14ac:dyDescent="0.3">
      <c r="A854" t="str">
        <f>""</f>
        <v/>
      </c>
      <c r="F854" t="str">
        <f>""</f>
        <v/>
      </c>
      <c r="G854" t="str">
        <f>""</f>
        <v/>
      </c>
      <c r="I854" t="str">
        <f>"CHEVRONS"</f>
        <v>CHEVRONS</v>
      </c>
    </row>
    <row r="855" spans="1:9" x14ac:dyDescent="0.3">
      <c r="A855" t="str">
        <f t="shared" ref="A855:A886" si="3">"1"</f>
        <v>1</v>
      </c>
      <c r="B855" t="s">
        <v>258</v>
      </c>
      <c r="C855">
        <v>70608</v>
      </c>
      <c r="D855" s="2">
        <v>40</v>
      </c>
      <c r="E855" s="1">
        <v>42878</v>
      </c>
      <c r="F855" t="str">
        <f>"201705232302"</f>
        <v>201705232302</v>
      </c>
      <c r="G855" t="str">
        <f>"Miscellaneous"</f>
        <v>Miscellaneous</v>
      </c>
      <c r="H855" s="2">
        <v>40</v>
      </c>
      <c r="I855" t="str">
        <f>"ROY JOSE PINA"</f>
        <v>ROY JOSE PINA</v>
      </c>
    </row>
    <row r="856" spans="1:9" x14ac:dyDescent="0.3">
      <c r="A856" t="str">
        <f t="shared" si="3"/>
        <v>1</v>
      </c>
      <c r="B856" t="s">
        <v>259</v>
      </c>
      <c r="C856">
        <v>70609</v>
      </c>
      <c r="D856" s="2">
        <v>40</v>
      </c>
      <c r="E856" s="1">
        <v>42878</v>
      </c>
      <c r="F856" t="str">
        <f>"201705232303"</f>
        <v>201705232303</v>
      </c>
      <c r="G856" t="str">
        <f>"Miscel"</f>
        <v>Miscel</v>
      </c>
      <c r="H856" s="2">
        <v>40</v>
      </c>
      <c r="I856" t="str">
        <f>"SUSAN STERLING NALLEY"</f>
        <v>SUSAN STERLING NALLEY</v>
      </c>
    </row>
    <row r="857" spans="1:9" x14ac:dyDescent="0.3">
      <c r="A857" t="str">
        <f t="shared" si="3"/>
        <v>1</v>
      </c>
      <c r="B857" t="s">
        <v>260</v>
      </c>
      <c r="C857">
        <v>70610</v>
      </c>
      <c r="D857" s="2">
        <v>40</v>
      </c>
      <c r="E857" s="1">
        <v>42878</v>
      </c>
      <c r="F857" t="str">
        <f>"201705232304"</f>
        <v>201705232304</v>
      </c>
      <c r="G857" t="str">
        <f>"Miscel"</f>
        <v>Miscel</v>
      </c>
      <c r="H857" s="2">
        <v>40</v>
      </c>
      <c r="I857" t="str">
        <f>"DONALD DEWAYNE SNOOTS"</f>
        <v>DONALD DEWAYNE SNOOTS</v>
      </c>
    </row>
    <row r="858" spans="1:9" x14ac:dyDescent="0.3">
      <c r="A858" t="str">
        <f t="shared" si="3"/>
        <v>1</v>
      </c>
      <c r="B858" t="s">
        <v>261</v>
      </c>
      <c r="C858">
        <v>70611</v>
      </c>
      <c r="D858" s="2">
        <v>40</v>
      </c>
      <c r="E858" s="1">
        <v>42878</v>
      </c>
      <c r="F858" t="str">
        <f>"201705232305"</f>
        <v>201705232305</v>
      </c>
      <c r="G858" t="str">
        <f>"Miscell"</f>
        <v>Miscell</v>
      </c>
      <c r="H858" s="2">
        <v>40</v>
      </c>
      <c r="I858" t="str">
        <f>"DWAYNE TYRONE VASSAR"</f>
        <v>DWAYNE TYRONE VASSAR</v>
      </c>
    </row>
    <row r="859" spans="1:9" x14ac:dyDescent="0.3">
      <c r="A859" t="str">
        <f t="shared" si="3"/>
        <v>1</v>
      </c>
      <c r="B859" t="s">
        <v>262</v>
      </c>
      <c r="C859">
        <v>70612</v>
      </c>
      <c r="D859" s="2">
        <v>40</v>
      </c>
      <c r="E859" s="1">
        <v>42878</v>
      </c>
      <c r="F859" t="str">
        <f>"201705232306"</f>
        <v>201705232306</v>
      </c>
      <c r="G859" t="str">
        <f>"Miscella"</f>
        <v>Miscella</v>
      </c>
      <c r="H859" s="2">
        <v>40</v>
      </c>
    </row>
    <row r="860" spans="1:9" x14ac:dyDescent="0.3">
      <c r="A860" t="str">
        <f t="shared" si="3"/>
        <v>1</v>
      </c>
      <c r="B860" t="s">
        <v>263</v>
      </c>
      <c r="C860">
        <v>70613</v>
      </c>
      <c r="D860" s="2">
        <v>40</v>
      </c>
      <c r="E860" s="1">
        <v>42878</v>
      </c>
      <c r="F860" t="str">
        <f>"201705232307"</f>
        <v>201705232307</v>
      </c>
      <c r="G860" t="str">
        <f>"Miscellan"</f>
        <v>Miscellan</v>
      </c>
      <c r="H860" s="2">
        <v>40</v>
      </c>
      <c r="I860" t="str">
        <f>"REBEKAH JEAN HIBBS"</f>
        <v>REBEKAH JEAN HIBBS</v>
      </c>
    </row>
    <row r="861" spans="1:9" x14ac:dyDescent="0.3">
      <c r="A861" t="str">
        <f t="shared" si="3"/>
        <v>1</v>
      </c>
      <c r="B861" t="s">
        <v>264</v>
      </c>
      <c r="C861">
        <v>70614</v>
      </c>
      <c r="D861" s="2">
        <v>40</v>
      </c>
      <c r="E861" s="1">
        <v>42878</v>
      </c>
      <c r="F861" t="str">
        <f>"201705232308"</f>
        <v>201705232308</v>
      </c>
      <c r="G861" t="str">
        <f>""</f>
        <v/>
      </c>
      <c r="H861" s="2">
        <v>40</v>
      </c>
      <c r="I861" t="str">
        <f>"THOMAS ANTHONY BRISTOLL III"</f>
        <v>THOMAS ANTHONY BRISTOLL III</v>
      </c>
    </row>
    <row r="862" spans="1:9" x14ac:dyDescent="0.3">
      <c r="A862" t="str">
        <f t="shared" si="3"/>
        <v>1</v>
      </c>
      <c r="B862" t="s">
        <v>265</v>
      </c>
      <c r="C862">
        <v>70615</v>
      </c>
      <c r="D862" s="2">
        <v>40</v>
      </c>
      <c r="E862" s="1">
        <v>42878</v>
      </c>
      <c r="F862" t="str">
        <f>"201705232309"</f>
        <v>201705232309</v>
      </c>
      <c r="G862" t="str">
        <f>"Miscel"</f>
        <v>Miscel</v>
      </c>
      <c r="H862" s="2">
        <v>40</v>
      </c>
      <c r="I862" t="str">
        <f>"APRIL RENEA ALEXANDER"</f>
        <v>APRIL RENEA ALEXANDER</v>
      </c>
    </row>
    <row r="863" spans="1:9" x14ac:dyDescent="0.3">
      <c r="A863" t="str">
        <f t="shared" si="3"/>
        <v>1</v>
      </c>
      <c r="B863" t="s">
        <v>266</v>
      </c>
      <c r="C863">
        <v>70616</v>
      </c>
      <c r="D863" s="2">
        <v>40</v>
      </c>
      <c r="E863" s="1">
        <v>42878</v>
      </c>
      <c r="F863" t="str">
        <f>"201705232310"</f>
        <v>201705232310</v>
      </c>
      <c r="G863" t="str">
        <f>"Misce"</f>
        <v>Misce</v>
      </c>
      <c r="H863" s="2">
        <v>40</v>
      </c>
      <c r="I863" t="str">
        <f>"NICK ALBERT BUHLER III"</f>
        <v>NICK ALBERT BUHLER III</v>
      </c>
    </row>
    <row r="864" spans="1:9" x14ac:dyDescent="0.3">
      <c r="A864" t="str">
        <f t="shared" si="3"/>
        <v>1</v>
      </c>
      <c r="B864" t="s">
        <v>267</v>
      </c>
      <c r="C864">
        <v>70617</v>
      </c>
      <c r="D864" s="2">
        <v>40</v>
      </c>
      <c r="E864" s="1">
        <v>42878</v>
      </c>
      <c r="F864" t="str">
        <f>"201705232311"</f>
        <v>201705232311</v>
      </c>
      <c r="G864" t="str">
        <f>"Miscellan"</f>
        <v>Miscellan</v>
      </c>
      <c r="H864" s="2">
        <v>40</v>
      </c>
      <c r="I864" t="str">
        <f>"JERRY LEE HENRICHS"</f>
        <v>JERRY LEE HENRICHS</v>
      </c>
    </row>
    <row r="865" spans="1:9" x14ac:dyDescent="0.3">
      <c r="A865" t="str">
        <f t="shared" si="3"/>
        <v>1</v>
      </c>
      <c r="B865" t="s">
        <v>268</v>
      </c>
      <c r="C865">
        <v>70618</v>
      </c>
      <c r="D865" s="2">
        <v>40</v>
      </c>
      <c r="E865" s="1">
        <v>42878</v>
      </c>
      <c r="F865" t="str">
        <f>"201705232312"</f>
        <v>201705232312</v>
      </c>
      <c r="G865" t="str">
        <f>"Miscella"</f>
        <v>Miscella</v>
      </c>
      <c r="H865" s="2">
        <v>40</v>
      </c>
      <c r="I865" t="str">
        <f>"JON CRAIG ETHEREDGE"</f>
        <v>JON CRAIG ETHEREDGE</v>
      </c>
    </row>
    <row r="866" spans="1:9" x14ac:dyDescent="0.3">
      <c r="A866" t="str">
        <f t="shared" si="3"/>
        <v>1</v>
      </c>
      <c r="B866" t="s">
        <v>269</v>
      </c>
      <c r="C866">
        <v>70623</v>
      </c>
      <c r="D866" s="2">
        <v>152</v>
      </c>
      <c r="E866" s="1">
        <v>42886</v>
      </c>
      <c r="F866" t="str">
        <f>"201705312387"</f>
        <v>201705312387</v>
      </c>
      <c r="G866" t="str">
        <f>"M"</f>
        <v>M</v>
      </c>
      <c r="H866" s="2">
        <v>152</v>
      </c>
      <c r="I866" t="str">
        <f>"Children's Advocacy Center"</f>
        <v>Children's Advocacy Center</v>
      </c>
    </row>
    <row r="867" spans="1:9" x14ac:dyDescent="0.3">
      <c r="A867" t="str">
        <f t="shared" si="3"/>
        <v>1</v>
      </c>
      <c r="B867" t="s">
        <v>270</v>
      </c>
      <c r="C867">
        <v>70624</v>
      </c>
      <c r="D867" s="2">
        <v>146</v>
      </c>
      <c r="E867" s="1">
        <v>42886</v>
      </c>
      <c r="F867" t="str">
        <f>"201705312388"</f>
        <v>201705312388</v>
      </c>
      <c r="G867" t="str">
        <f>"Mi"</f>
        <v>Mi</v>
      </c>
      <c r="H867" s="2">
        <v>146</v>
      </c>
      <c r="I867" t="str">
        <f>"Child Protective Services"</f>
        <v>Child Protective Services</v>
      </c>
    </row>
    <row r="868" spans="1:9" x14ac:dyDescent="0.3">
      <c r="A868" t="str">
        <f t="shared" si="3"/>
        <v>1</v>
      </c>
      <c r="B868" t="s">
        <v>271</v>
      </c>
      <c r="C868">
        <v>70625</v>
      </c>
      <c r="D868" s="2">
        <v>134</v>
      </c>
      <c r="E868" s="1">
        <v>42886</v>
      </c>
      <c r="F868" t="str">
        <f>"201705312389"</f>
        <v>201705312389</v>
      </c>
      <c r="G868" t="str">
        <f>"Miscell"</f>
        <v>Miscell</v>
      </c>
      <c r="H868" s="2">
        <v>134</v>
      </c>
      <c r="I868" t="str">
        <f>"Family Crisis Center"</f>
        <v>Family Crisis Center</v>
      </c>
    </row>
    <row r="869" spans="1:9" x14ac:dyDescent="0.3">
      <c r="A869" t="str">
        <f t="shared" si="3"/>
        <v>1</v>
      </c>
      <c r="B869" t="s">
        <v>272</v>
      </c>
      <c r="C869">
        <v>70626</v>
      </c>
      <c r="D869" s="2">
        <v>24</v>
      </c>
      <c r="E869" s="1">
        <v>42886</v>
      </c>
      <c r="F869" t="str">
        <f>"201705312390"</f>
        <v>201705312390</v>
      </c>
      <c r="G869" t="str">
        <f>""</f>
        <v/>
      </c>
      <c r="H869" s="2">
        <v>24</v>
      </c>
      <c r="I869" t="str">
        <f>"COURT APPOINTED SPECIAL ADVOCA"</f>
        <v>COURT APPOINTED SPECIAL ADVOCA</v>
      </c>
    </row>
    <row r="870" spans="1:9" x14ac:dyDescent="0.3">
      <c r="A870" t="str">
        <f t="shared" si="3"/>
        <v>1</v>
      </c>
      <c r="B870" t="s">
        <v>273</v>
      </c>
      <c r="C870">
        <v>70627</v>
      </c>
      <c r="D870" s="2">
        <v>86</v>
      </c>
      <c r="E870" s="1">
        <v>42886</v>
      </c>
      <c r="F870" t="str">
        <f>"201705312391"</f>
        <v>201705312391</v>
      </c>
      <c r="G870" t="str">
        <f>"Miscellaneous"</f>
        <v>Miscellaneous</v>
      </c>
      <c r="H870" s="2">
        <v>86</v>
      </c>
      <c r="I870" t="str">
        <f>"NORA MIRANDA"</f>
        <v>NORA MIRANDA</v>
      </c>
    </row>
    <row r="871" spans="1:9" x14ac:dyDescent="0.3">
      <c r="A871" t="str">
        <f t="shared" si="3"/>
        <v>1</v>
      </c>
      <c r="B871" t="s">
        <v>274</v>
      </c>
      <c r="C871">
        <v>70628</v>
      </c>
      <c r="D871" s="2">
        <v>6</v>
      </c>
      <c r="E871" s="1">
        <v>42886</v>
      </c>
      <c r="F871" t="str">
        <f>"201705312392"</f>
        <v>201705312392</v>
      </c>
      <c r="G871" t="str">
        <f>"Misce"</f>
        <v>Misce</v>
      </c>
      <c r="H871" s="2">
        <v>6</v>
      </c>
      <c r="I871" t="str">
        <f>"SUSAN HANCOCK MATHISON"</f>
        <v>SUSAN HANCOCK MATHISON</v>
      </c>
    </row>
    <row r="872" spans="1:9" x14ac:dyDescent="0.3">
      <c r="A872" t="str">
        <f t="shared" si="3"/>
        <v>1</v>
      </c>
      <c r="B872" t="s">
        <v>275</v>
      </c>
      <c r="C872">
        <v>70629</v>
      </c>
      <c r="D872" s="2">
        <v>6</v>
      </c>
      <c r="E872" s="1">
        <v>42886</v>
      </c>
      <c r="F872" t="str">
        <f>"201705312393"</f>
        <v>201705312393</v>
      </c>
      <c r="G872" t="str">
        <f>"Miscell"</f>
        <v>Miscell</v>
      </c>
      <c r="H872" s="2">
        <v>6</v>
      </c>
      <c r="I872" t="str">
        <f>"JOSEPH CLARENCE LUKE"</f>
        <v>JOSEPH CLARENCE LUKE</v>
      </c>
    </row>
    <row r="873" spans="1:9" x14ac:dyDescent="0.3">
      <c r="A873" t="str">
        <f t="shared" si="3"/>
        <v>1</v>
      </c>
      <c r="B873" t="s">
        <v>276</v>
      </c>
      <c r="C873">
        <v>70630</v>
      </c>
      <c r="D873" s="2">
        <v>6</v>
      </c>
      <c r="E873" s="1">
        <v>42886</v>
      </c>
      <c r="F873" t="str">
        <f>"201705312394"</f>
        <v>201705312394</v>
      </c>
      <c r="G873" t="str">
        <f>"Miscella"</f>
        <v>Miscella</v>
      </c>
      <c r="H873" s="2">
        <v>6</v>
      </c>
      <c r="I873" t="str">
        <f>"DIANE TURMAN MILLER"</f>
        <v>DIANE TURMAN MILLER</v>
      </c>
    </row>
    <row r="874" spans="1:9" x14ac:dyDescent="0.3">
      <c r="A874" t="str">
        <f t="shared" si="3"/>
        <v>1</v>
      </c>
      <c r="B874" t="s">
        <v>277</v>
      </c>
      <c r="C874">
        <v>70631</v>
      </c>
      <c r="D874" s="2">
        <v>6</v>
      </c>
      <c r="E874" s="1">
        <v>42886</v>
      </c>
      <c r="F874" t="str">
        <f>"201705312395"</f>
        <v>201705312395</v>
      </c>
      <c r="G874" t="str">
        <f>"Misce"</f>
        <v>Misce</v>
      </c>
      <c r="H874" s="2">
        <v>6</v>
      </c>
      <c r="I874" t="str">
        <f>"PEDRO DOMINGUEZ MENDEZ"</f>
        <v>PEDRO DOMINGUEZ MENDEZ</v>
      </c>
    </row>
    <row r="875" spans="1:9" x14ac:dyDescent="0.3">
      <c r="A875" t="str">
        <f t="shared" si="3"/>
        <v>1</v>
      </c>
      <c r="B875" t="s">
        <v>278</v>
      </c>
      <c r="C875">
        <v>70632</v>
      </c>
      <c r="D875" s="2">
        <v>6</v>
      </c>
      <c r="E875" s="1">
        <v>42886</v>
      </c>
      <c r="F875" t="str">
        <f>"201705312396"</f>
        <v>201705312396</v>
      </c>
      <c r="G875" t="str">
        <f>"Miscella"</f>
        <v>Miscella</v>
      </c>
      <c r="H875" s="2">
        <v>6</v>
      </c>
      <c r="I875" t="str">
        <f>"SHERITAN ASHLEY MAY"</f>
        <v>SHERITAN ASHLEY MAY</v>
      </c>
    </row>
    <row r="876" spans="1:9" x14ac:dyDescent="0.3">
      <c r="A876" t="str">
        <f t="shared" si="3"/>
        <v>1</v>
      </c>
      <c r="B876" t="s">
        <v>279</v>
      </c>
      <c r="C876">
        <v>70633</v>
      </c>
      <c r="D876" s="2">
        <v>6</v>
      </c>
      <c r="E876" s="1">
        <v>42886</v>
      </c>
      <c r="F876" t="str">
        <f>"201705312397"</f>
        <v>201705312397</v>
      </c>
      <c r="G876" t="str">
        <f>"Misce"</f>
        <v>Misce</v>
      </c>
      <c r="H876" s="2">
        <v>6</v>
      </c>
      <c r="I876" t="str">
        <f>"ROBERT EDWARD MCKINLEY"</f>
        <v>ROBERT EDWARD MCKINLEY</v>
      </c>
    </row>
    <row r="877" spans="1:9" x14ac:dyDescent="0.3">
      <c r="A877" t="str">
        <f t="shared" si="3"/>
        <v>1</v>
      </c>
      <c r="B877" t="s">
        <v>280</v>
      </c>
      <c r="C877">
        <v>70634</v>
      </c>
      <c r="D877" s="2">
        <v>6</v>
      </c>
      <c r="E877" s="1">
        <v>42886</v>
      </c>
      <c r="F877" t="str">
        <f>"201705312398"</f>
        <v>201705312398</v>
      </c>
      <c r="G877" t="str">
        <f>"Mi"</f>
        <v>Mi</v>
      </c>
      <c r="H877" s="2">
        <v>6</v>
      </c>
      <c r="I877" t="str">
        <f>"KATRINA DAWN LIEBENDORFER"</f>
        <v>KATRINA DAWN LIEBENDORFER</v>
      </c>
    </row>
    <row r="878" spans="1:9" x14ac:dyDescent="0.3">
      <c r="A878" t="str">
        <f t="shared" si="3"/>
        <v>1</v>
      </c>
      <c r="B878" t="s">
        <v>281</v>
      </c>
      <c r="C878">
        <v>70635</v>
      </c>
      <c r="D878" s="2">
        <v>86</v>
      </c>
      <c r="E878" s="1">
        <v>42886</v>
      </c>
      <c r="F878" t="str">
        <f>"201705312399"</f>
        <v>201705312399</v>
      </c>
      <c r="G878" t="str">
        <f>"Miscell"</f>
        <v>Miscell</v>
      </c>
      <c r="H878" s="2">
        <v>86</v>
      </c>
      <c r="I878" t="str">
        <f>"TANYA NICHOL LINDSEY"</f>
        <v>TANYA NICHOL LINDSEY</v>
      </c>
    </row>
    <row r="879" spans="1:9" x14ac:dyDescent="0.3">
      <c r="A879" t="str">
        <f t="shared" si="3"/>
        <v>1</v>
      </c>
      <c r="B879" t="s">
        <v>282</v>
      </c>
      <c r="C879">
        <v>70636</v>
      </c>
      <c r="D879" s="2">
        <v>6</v>
      </c>
      <c r="E879" s="1">
        <v>42886</v>
      </c>
      <c r="F879" t="str">
        <f>"201705312400"</f>
        <v>201705312400</v>
      </c>
      <c r="G879" t="str">
        <f>"Miscellaneou"</f>
        <v>Miscellaneou</v>
      </c>
      <c r="H879" s="2">
        <v>6</v>
      </c>
      <c r="I879" t="str">
        <f>"JO ANN LADERACH"</f>
        <v>JO ANN LADERACH</v>
      </c>
    </row>
    <row r="880" spans="1:9" x14ac:dyDescent="0.3">
      <c r="A880" t="str">
        <f t="shared" si="3"/>
        <v>1</v>
      </c>
      <c r="B880" t="s">
        <v>283</v>
      </c>
      <c r="C880">
        <v>70637</v>
      </c>
      <c r="D880" s="2">
        <v>86</v>
      </c>
      <c r="E880" s="1">
        <v>42886</v>
      </c>
      <c r="F880" t="str">
        <f>"201705312401"</f>
        <v>201705312401</v>
      </c>
      <c r="G880" t="str">
        <f>"Miscel"</f>
        <v>Miscel</v>
      </c>
      <c r="H880" s="2">
        <v>86</v>
      </c>
      <c r="I880" t="str">
        <f>"KENNETH DALE LEFRANCE"</f>
        <v>KENNETH DALE LEFRANCE</v>
      </c>
    </row>
    <row r="881" spans="1:9" x14ac:dyDescent="0.3">
      <c r="A881" t="str">
        <f t="shared" si="3"/>
        <v>1</v>
      </c>
      <c r="B881" t="s">
        <v>284</v>
      </c>
      <c r="C881">
        <v>70638</v>
      </c>
      <c r="D881" s="2">
        <v>6</v>
      </c>
      <c r="E881" s="1">
        <v>42886</v>
      </c>
      <c r="F881" t="str">
        <f>"201705312402"</f>
        <v>201705312402</v>
      </c>
      <c r="G881" t="str">
        <f>"Miscellaneous"</f>
        <v>Miscellaneous</v>
      </c>
      <c r="H881" s="2">
        <v>6</v>
      </c>
      <c r="I881" t="str">
        <f>"JOANNA LOWDER"</f>
        <v>JOANNA LOWDER</v>
      </c>
    </row>
    <row r="882" spans="1:9" x14ac:dyDescent="0.3">
      <c r="A882" t="str">
        <f t="shared" si="3"/>
        <v>1</v>
      </c>
      <c r="B882" t="s">
        <v>285</v>
      </c>
      <c r="C882">
        <v>70639</v>
      </c>
      <c r="D882" s="2">
        <v>6</v>
      </c>
      <c r="E882" s="1">
        <v>42886</v>
      </c>
      <c r="F882" t="str">
        <f>"201705312403"</f>
        <v>201705312403</v>
      </c>
      <c r="G882" t="str">
        <f>"Miscellane"</f>
        <v>Miscellane</v>
      </c>
      <c r="H882" s="2">
        <v>6</v>
      </c>
      <c r="I882" t="str">
        <f>"GINA MARIE LOZANO"</f>
        <v>GINA MARIE LOZANO</v>
      </c>
    </row>
    <row r="883" spans="1:9" x14ac:dyDescent="0.3">
      <c r="A883" t="str">
        <f t="shared" si="3"/>
        <v>1</v>
      </c>
      <c r="B883" t="s">
        <v>286</v>
      </c>
      <c r="C883">
        <v>70640</v>
      </c>
      <c r="D883" s="2">
        <v>6</v>
      </c>
      <c r="E883" s="1">
        <v>42886</v>
      </c>
      <c r="F883" t="str">
        <f>"201705312404"</f>
        <v>201705312404</v>
      </c>
      <c r="G883" t="str">
        <f>""</f>
        <v/>
      </c>
      <c r="H883" s="2">
        <v>6</v>
      </c>
      <c r="I883" t="str">
        <f>"CATHERINE MCMURRAY LOCKHART"</f>
        <v>CATHERINE MCMURRAY LOCKHART</v>
      </c>
    </row>
    <row r="884" spans="1:9" x14ac:dyDescent="0.3">
      <c r="A884" t="str">
        <f t="shared" si="3"/>
        <v>1</v>
      </c>
      <c r="B884" t="s">
        <v>287</v>
      </c>
      <c r="C884">
        <v>70641</v>
      </c>
      <c r="D884" s="2">
        <v>6</v>
      </c>
      <c r="E884" s="1">
        <v>42886</v>
      </c>
      <c r="F884" t="str">
        <f>"201705312405"</f>
        <v>201705312405</v>
      </c>
      <c r="G884" t="str">
        <f>"Miscella"</f>
        <v>Miscella</v>
      </c>
      <c r="H884" s="2">
        <v>6</v>
      </c>
      <c r="I884" t="str">
        <f>"JOSEPH END LOCKHART"</f>
        <v>JOSEPH END LOCKHART</v>
      </c>
    </row>
    <row r="885" spans="1:9" x14ac:dyDescent="0.3">
      <c r="A885" t="str">
        <f t="shared" si="3"/>
        <v>1</v>
      </c>
      <c r="B885" t="s">
        <v>288</v>
      </c>
      <c r="C885">
        <v>70642</v>
      </c>
      <c r="D885" s="2">
        <v>6</v>
      </c>
      <c r="E885" s="1">
        <v>42886</v>
      </c>
      <c r="F885" t="str">
        <f>"201705312406"</f>
        <v>201705312406</v>
      </c>
      <c r="G885" t="str">
        <f>"Miscell"</f>
        <v>Miscell</v>
      </c>
      <c r="H885" s="2">
        <v>6</v>
      </c>
      <c r="I885" t="str">
        <f>"ELIZABETH ANN MORROW"</f>
        <v>ELIZABETH ANN MORROW</v>
      </c>
    </row>
    <row r="886" spans="1:9" x14ac:dyDescent="0.3">
      <c r="A886" t="str">
        <f t="shared" si="3"/>
        <v>1</v>
      </c>
      <c r="B886" t="s">
        <v>289</v>
      </c>
      <c r="C886">
        <v>70643</v>
      </c>
      <c r="D886" s="2">
        <v>6</v>
      </c>
      <c r="E886" s="1">
        <v>42886</v>
      </c>
      <c r="F886" t="str">
        <f>"201705312407"</f>
        <v>201705312407</v>
      </c>
      <c r="G886" t="str">
        <f>"Miscella"</f>
        <v>Miscella</v>
      </c>
      <c r="H886" s="2">
        <v>6</v>
      </c>
      <c r="I886" t="str">
        <f>"KAYJA NICOLE THOMAS"</f>
        <v>KAYJA NICOLE THOMAS</v>
      </c>
    </row>
    <row r="887" spans="1:9" x14ac:dyDescent="0.3">
      <c r="A887" t="str">
        <f t="shared" ref="A887:A918" si="4">"1"</f>
        <v>1</v>
      </c>
      <c r="B887" t="s">
        <v>290</v>
      </c>
      <c r="C887">
        <v>70644</v>
      </c>
      <c r="D887" s="2">
        <v>6</v>
      </c>
      <c r="E887" s="1">
        <v>42886</v>
      </c>
      <c r="F887" t="str">
        <f>"201705312408"</f>
        <v>201705312408</v>
      </c>
      <c r="G887" t="str">
        <f>"Miscella"</f>
        <v>Miscella</v>
      </c>
      <c r="H887" s="2">
        <v>6</v>
      </c>
      <c r="I887" t="str">
        <f>"CLARA LOUISE THOMAS"</f>
        <v>CLARA LOUISE THOMAS</v>
      </c>
    </row>
    <row r="888" spans="1:9" x14ac:dyDescent="0.3">
      <c r="A888" t="str">
        <f t="shared" si="4"/>
        <v>1</v>
      </c>
      <c r="B888" t="s">
        <v>291</v>
      </c>
      <c r="C888">
        <v>70645</v>
      </c>
      <c r="D888" s="2">
        <v>6</v>
      </c>
      <c r="E888" s="1">
        <v>42886</v>
      </c>
      <c r="F888" t="str">
        <f>"201705312409"</f>
        <v>201705312409</v>
      </c>
      <c r="G888" t="str">
        <f>"Miscella"</f>
        <v>Miscella</v>
      </c>
      <c r="H888" s="2">
        <v>6</v>
      </c>
      <c r="I888" t="str">
        <f>"EDDIE LEROY SANDLIN"</f>
        <v>EDDIE LEROY SANDLIN</v>
      </c>
    </row>
    <row r="889" spans="1:9" x14ac:dyDescent="0.3">
      <c r="A889" t="str">
        <f t="shared" si="4"/>
        <v>1</v>
      </c>
      <c r="B889" t="s">
        <v>292</v>
      </c>
      <c r="C889">
        <v>70646</v>
      </c>
      <c r="D889" s="2">
        <v>6</v>
      </c>
      <c r="E889" s="1">
        <v>42886</v>
      </c>
      <c r="F889" t="str">
        <f>"201705312410"</f>
        <v>201705312410</v>
      </c>
      <c r="G889" t="str">
        <f>"Miscel"</f>
        <v>Miscel</v>
      </c>
      <c r="H889" s="2">
        <v>6</v>
      </c>
      <c r="I889" t="str">
        <f>"GREGORY STEVEN WARNER"</f>
        <v>GREGORY STEVEN WARNER</v>
      </c>
    </row>
    <row r="890" spans="1:9" x14ac:dyDescent="0.3">
      <c r="A890" t="str">
        <f t="shared" si="4"/>
        <v>1</v>
      </c>
      <c r="B890" t="s">
        <v>293</v>
      </c>
      <c r="C890">
        <v>70647</v>
      </c>
      <c r="D890" s="2">
        <v>6</v>
      </c>
      <c r="E890" s="1">
        <v>42886</v>
      </c>
      <c r="F890" t="str">
        <f>"201705312411"</f>
        <v>201705312411</v>
      </c>
      <c r="G890" t="str">
        <f>"Mis"</f>
        <v>Mis</v>
      </c>
      <c r="H890" s="2">
        <v>6</v>
      </c>
      <c r="I890" t="str">
        <f>"CLARISSA MICHELLE WRIGHT"</f>
        <v>CLARISSA MICHELLE WRIGHT</v>
      </c>
    </row>
    <row r="891" spans="1:9" x14ac:dyDescent="0.3">
      <c r="A891" t="str">
        <f t="shared" si="4"/>
        <v>1</v>
      </c>
      <c r="B891" t="s">
        <v>294</v>
      </c>
      <c r="C891">
        <v>70648</v>
      </c>
      <c r="D891" s="2">
        <v>6</v>
      </c>
      <c r="E891" s="1">
        <v>42886</v>
      </c>
      <c r="F891" t="str">
        <f>"201705312412"</f>
        <v>201705312412</v>
      </c>
      <c r="G891" t="str">
        <f>"Miscell"</f>
        <v>Miscell</v>
      </c>
      <c r="H891" s="2">
        <v>6</v>
      </c>
      <c r="I891" t="str">
        <f>"ARNASISA TYKIA WHITE"</f>
        <v>ARNASISA TYKIA WHITE</v>
      </c>
    </row>
    <row r="892" spans="1:9" x14ac:dyDescent="0.3">
      <c r="A892" t="str">
        <f t="shared" si="4"/>
        <v>1</v>
      </c>
      <c r="B892" t="s">
        <v>295</v>
      </c>
      <c r="C892">
        <v>70649</v>
      </c>
      <c r="D892" s="2">
        <v>6</v>
      </c>
      <c r="E892" s="1">
        <v>42886</v>
      </c>
      <c r="F892" t="str">
        <f>"201705312413"</f>
        <v>201705312413</v>
      </c>
      <c r="G892" t="str">
        <f>"Miscellan"</f>
        <v>Miscellan</v>
      </c>
      <c r="H892" s="2">
        <v>6</v>
      </c>
      <c r="I892" t="str">
        <f>"HAGEN ENNIS WATSON"</f>
        <v>HAGEN ENNIS WATSON</v>
      </c>
    </row>
    <row r="893" spans="1:9" x14ac:dyDescent="0.3">
      <c r="A893" t="str">
        <f t="shared" si="4"/>
        <v>1</v>
      </c>
      <c r="B893" t="s">
        <v>296</v>
      </c>
      <c r="C893">
        <v>70650</v>
      </c>
      <c r="D893" s="2">
        <v>6</v>
      </c>
      <c r="E893" s="1">
        <v>42886</v>
      </c>
      <c r="F893" t="str">
        <f>"201705312414"</f>
        <v>201705312414</v>
      </c>
      <c r="G893" t="str">
        <f>"Miscellaneou"</f>
        <v>Miscellaneou</v>
      </c>
      <c r="H893" s="2">
        <v>6</v>
      </c>
      <c r="I893" t="str">
        <f>"VICKY JUNE ROSE"</f>
        <v>VICKY JUNE ROSE</v>
      </c>
    </row>
    <row r="894" spans="1:9" x14ac:dyDescent="0.3">
      <c r="A894" t="str">
        <f t="shared" si="4"/>
        <v>1</v>
      </c>
      <c r="B894" t="s">
        <v>297</v>
      </c>
      <c r="C894">
        <v>70651</v>
      </c>
      <c r="D894" s="2">
        <v>6</v>
      </c>
      <c r="E894" s="1">
        <v>42886</v>
      </c>
      <c r="F894" t="str">
        <f>"201705312415"</f>
        <v>201705312415</v>
      </c>
      <c r="G894" t="str">
        <f>"Miscellan"</f>
        <v>Miscellan</v>
      </c>
      <c r="H894" s="2">
        <v>6</v>
      </c>
      <c r="I894" t="str">
        <f>"DONALD WAYNE NOLEN"</f>
        <v>DONALD WAYNE NOLEN</v>
      </c>
    </row>
    <row r="895" spans="1:9" x14ac:dyDescent="0.3">
      <c r="A895" t="str">
        <f t="shared" si="4"/>
        <v>1</v>
      </c>
      <c r="B895" t="s">
        <v>298</v>
      </c>
      <c r="C895">
        <v>70652</v>
      </c>
      <c r="D895" s="2">
        <v>6</v>
      </c>
      <c r="E895" s="1">
        <v>42886</v>
      </c>
      <c r="F895" t="str">
        <f>"201705312416"</f>
        <v>201705312416</v>
      </c>
      <c r="G895" t="str">
        <f>"Miscellan"</f>
        <v>Miscellan</v>
      </c>
      <c r="H895" s="2">
        <v>6</v>
      </c>
      <c r="I895" t="str">
        <f>"DALIA GALVAN NANEZ"</f>
        <v>DALIA GALVAN NANEZ</v>
      </c>
    </row>
    <row r="896" spans="1:9" x14ac:dyDescent="0.3">
      <c r="A896" t="str">
        <f t="shared" si="4"/>
        <v>1</v>
      </c>
      <c r="B896" t="s">
        <v>299</v>
      </c>
      <c r="C896">
        <v>70653</v>
      </c>
      <c r="D896" s="2">
        <v>6</v>
      </c>
      <c r="E896" s="1">
        <v>42886</v>
      </c>
      <c r="F896" t="str">
        <f>"201705312417"</f>
        <v>201705312417</v>
      </c>
      <c r="G896" t="str">
        <f>"Miscellan"</f>
        <v>Miscellan</v>
      </c>
      <c r="H896" s="2">
        <v>6</v>
      </c>
      <c r="I896" t="str">
        <f>"JASON HOWARD MURRY"</f>
        <v>JASON HOWARD MURRY</v>
      </c>
    </row>
    <row r="897" spans="1:9" x14ac:dyDescent="0.3">
      <c r="A897" t="str">
        <f t="shared" si="4"/>
        <v>1</v>
      </c>
      <c r="B897" t="s">
        <v>300</v>
      </c>
      <c r="C897">
        <v>70654</v>
      </c>
      <c r="D897" s="2">
        <v>86</v>
      </c>
      <c r="E897" s="1">
        <v>42886</v>
      </c>
      <c r="F897" t="str">
        <f>"201705312418"</f>
        <v>201705312418</v>
      </c>
      <c r="G897" t="str">
        <f>"Misce"</f>
        <v>Misce</v>
      </c>
      <c r="H897" s="2">
        <v>86</v>
      </c>
      <c r="I897" t="str">
        <f>"WILLIAM THOMAS PLETSCH"</f>
        <v>WILLIAM THOMAS PLETSCH</v>
      </c>
    </row>
    <row r="898" spans="1:9" x14ac:dyDescent="0.3">
      <c r="A898" t="str">
        <f t="shared" si="4"/>
        <v>1</v>
      </c>
      <c r="B898" t="s">
        <v>301</v>
      </c>
      <c r="C898">
        <v>70655</v>
      </c>
      <c r="D898" s="2">
        <v>6</v>
      </c>
      <c r="E898" s="1">
        <v>42886</v>
      </c>
      <c r="F898" t="str">
        <f>"201705312419"</f>
        <v>201705312419</v>
      </c>
      <c r="G898" t="str">
        <f>"Misc"</f>
        <v>Misc</v>
      </c>
      <c r="H898" s="2">
        <v>6</v>
      </c>
      <c r="I898" t="str">
        <f>"STEPHEN MICHAEL ROSALES"</f>
        <v>STEPHEN MICHAEL ROSALES</v>
      </c>
    </row>
    <row r="899" spans="1:9" x14ac:dyDescent="0.3">
      <c r="A899" t="str">
        <f t="shared" si="4"/>
        <v>1</v>
      </c>
      <c r="B899" t="s">
        <v>302</v>
      </c>
      <c r="C899">
        <v>70656</v>
      </c>
      <c r="D899" s="2">
        <v>6</v>
      </c>
      <c r="E899" s="1">
        <v>42886</v>
      </c>
      <c r="F899" t="str">
        <f>"201705312420"</f>
        <v>201705312420</v>
      </c>
      <c r="G899" t="str">
        <f>"Miscella"</f>
        <v>Miscella</v>
      </c>
      <c r="H899" s="2">
        <v>6</v>
      </c>
      <c r="I899" t="str">
        <f>"KIMBERLEY ANN REEDY"</f>
        <v>KIMBERLEY ANN REEDY</v>
      </c>
    </row>
    <row r="900" spans="1:9" x14ac:dyDescent="0.3">
      <c r="A900" t="str">
        <f t="shared" si="4"/>
        <v>1</v>
      </c>
      <c r="B900" t="s">
        <v>303</v>
      </c>
      <c r="C900">
        <v>70657</v>
      </c>
      <c r="D900" s="2">
        <v>6</v>
      </c>
      <c r="E900" s="1">
        <v>42886</v>
      </c>
      <c r="F900" t="str">
        <f>"201705312421"</f>
        <v>201705312421</v>
      </c>
      <c r="G900" t="str">
        <f>"Miscellaneou"</f>
        <v>Miscellaneou</v>
      </c>
      <c r="H900" s="2">
        <v>6</v>
      </c>
      <c r="I900" t="str">
        <f>"OSCAR REBOLLOSO"</f>
        <v>OSCAR REBOLLOSO</v>
      </c>
    </row>
    <row r="901" spans="1:9" x14ac:dyDescent="0.3">
      <c r="A901" t="str">
        <f t="shared" si="4"/>
        <v>1</v>
      </c>
      <c r="B901" t="s">
        <v>304</v>
      </c>
      <c r="C901">
        <v>70658</v>
      </c>
      <c r="D901" s="2">
        <v>6</v>
      </c>
      <c r="E901" s="1">
        <v>42886</v>
      </c>
      <c r="F901" t="str">
        <f>"201705312422"</f>
        <v>201705312422</v>
      </c>
      <c r="G901" t="str">
        <f>"Miscella"</f>
        <v>Miscella</v>
      </c>
      <c r="H901" s="2">
        <v>6</v>
      </c>
      <c r="I901" t="str">
        <f>"RHONDA GAIL DICKSON"</f>
        <v>RHONDA GAIL DICKSON</v>
      </c>
    </row>
    <row r="902" spans="1:9" x14ac:dyDescent="0.3">
      <c r="A902" t="str">
        <f t="shared" si="4"/>
        <v>1</v>
      </c>
      <c r="B902" t="s">
        <v>305</v>
      </c>
      <c r="C902">
        <v>70659</v>
      </c>
      <c r="D902" s="2">
        <v>6</v>
      </c>
      <c r="E902" s="1">
        <v>42886</v>
      </c>
      <c r="F902" t="str">
        <f>"201705312423"</f>
        <v>201705312423</v>
      </c>
      <c r="G902" t="str">
        <f>"Miscel"</f>
        <v>Miscel</v>
      </c>
      <c r="H902" s="2">
        <v>6</v>
      </c>
      <c r="I902" t="str">
        <f>"WAYNE ALLEN DICKINSON"</f>
        <v>WAYNE ALLEN DICKINSON</v>
      </c>
    </row>
    <row r="903" spans="1:9" x14ac:dyDescent="0.3">
      <c r="A903" t="str">
        <f t="shared" si="4"/>
        <v>1</v>
      </c>
      <c r="B903" t="s">
        <v>306</v>
      </c>
      <c r="C903">
        <v>70660</v>
      </c>
      <c r="D903" s="2">
        <v>6</v>
      </c>
      <c r="E903" s="1">
        <v>42886</v>
      </c>
      <c r="F903" t="str">
        <f>"201705312424"</f>
        <v>201705312424</v>
      </c>
      <c r="G903" t="str">
        <f>"Miscel"</f>
        <v>Miscel</v>
      </c>
      <c r="H903" s="2">
        <v>6</v>
      </c>
      <c r="I903" t="str">
        <f>"THOMAS JOSEPH COX III"</f>
        <v>THOMAS JOSEPH COX III</v>
      </c>
    </row>
    <row r="904" spans="1:9" x14ac:dyDescent="0.3">
      <c r="A904" t="str">
        <f t="shared" si="4"/>
        <v>1</v>
      </c>
      <c r="B904" t="s">
        <v>307</v>
      </c>
      <c r="C904">
        <v>70661</v>
      </c>
      <c r="D904" s="2">
        <v>86</v>
      </c>
      <c r="E904" s="1">
        <v>42886</v>
      </c>
      <c r="F904" t="str">
        <f>"201705312425"</f>
        <v>201705312425</v>
      </c>
      <c r="G904" t="str">
        <f>"Miscella"</f>
        <v>Miscella</v>
      </c>
      <c r="H904" s="2">
        <v>86</v>
      </c>
      <c r="I904" t="str">
        <f>"DONNA JEANNE EBERLE"</f>
        <v>DONNA JEANNE EBERLE</v>
      </c>
    </row>
    <row r="905" spans="1:9" x14ac:dyDescent="0.3">
      <c r="A905" t="str">
        <f t="shared" si="4"/>
        <v>1</v>
      </c>
      <c r="B905" t="s">
        <v>308</v>
      </c>
      <c r="C905">
        <v>70662</v>
      </c>
      <c r="D905" s="2">
        <v>6</v>
      </c>
      <c r="E905" s="1">
        <v>42886</v>
      </c>
      <c r="F905" t="str">
        <f>"201705312426"</f>
        <v>201705312426</v>
      </c>
      <c r="G905" t="str">
        <f>"Misc"</f>
        <v>Misc</v>
      </c>
      <c r="H905" s="2">
        <v>6</v>
      </c>
      <c r="I905" t="str">
        <f>"ROSAMUNDA FRANCIS ETTLE"</f>
        <v>ROSAMUNDA FRANCIS ETTLE</v>
      </c>
    </row>
    <row r="906" spans="1:9" x14ac:dyDescent="0.3">
      <c r="A906" t="str">
        <f t="shared" si="4"/>
        <v>1</v>
      </c>
      <c r="B906" t="s">
        <v>309</v>
      </c>
      <c r="C906">
        <v>70663</v>
      </c>
      <c r="D906" s="2">
        <v>6</v>
      </c>
      <c r="E906" s="1">
        <v>42886</v>
      </c>
      <c r="F906" t="str">
        <f>"201705312427"</f>
        <v>201705312427</v>
      </c>
      <c r="G906" t="str">
        <f>"Miscel"</f>
        <v>Miscel</v>
      </c>
      <c r="H906" s="2">
        <v>6</v>
      </c>
      <c r="I906" t="str">
        <f>"ALAN FOSTER ETHEREDGE"</f>
        <v>ALAN FOSTER ETHEREDGE</v>
      </c>
    </row>
    <row r="907" spans="1:9" x14ac:dyDescent="0.3">
      <c r="A907" t="str">
        <f t="shared" si="4"/>
        <v>1</v>
      </c>
      <c r="B907" t="s">
        <v>310</v>
      </c>
      <c r="C907">
        <v>70664</v>
      </c>
      <c r="D907" s="2">
        <v>6</v>
      </c>
      <c r="E907" s="1">
        <v>42886</v>
      </c>
      <c r="F907" t="str">
        <f>"201705312428"</f>
        <v>201705312428</v>
      </c>
      <c r="G907" t="str">
        <f>"Miscel"</f>
        <v>Miscel</v>
      </c>
      <c r="H907" s="2">
        <v>6</v>
      </c>
      <c r="I907" t="str">
        <f>"LYNDA PETTIT EICHORST"</f>
        <v>LYNDA PETTIT EICHORST</v>
      </c>
    </row>
    <row r="908" spans="1:9" x14ac:dyDescent="0.3">
      <c r="A908" t="str">
        <f t="shared" si="4"/>
        <v>1</v>
      </c>
      <c r="B908" t="s">
        <v>311</v>
      </c>
      <c r="C908">
        <v>70665</v>
      </c>
      <c r="D908" s="2">
        <v>6</v>
      </c>
      <c r="E908" s="1">
        <v>42886</v>
      </c>
      <c r="F908" t="str">
        <f>"201705312429"</f>
        <v>201705312429</v>
      </c>
      <c r="G908" t="str">
        <f>"Mis"</f>
        <v>Mis</v>
      </c>
      <c r="H908" s="2">
        <v>6</v>
      </c>
      <c r="I908" t="str">
        <f>"RUBI CELIA CORTEZ-AVILES"</f>
        <v>RUBI CELIA CORTEZ-AVILES</v>
      </c>
    </row>
    <row r="909" spans="1:9" x14ac:dyDescent="0.3">
      <c r="A909" t="str">
        <f t="shared" si="4"/>
        <v>1</v>
      </c>
      <c r="B909" t="s">
        <v>312</v>
      </c>
      <c r="C909">
        <v>70666</v>
      </c>
      <c r="D909" s="2">
        <v>86</v>
      </c>
      <c r="E909" s="1">
        <v>42886</v>
      </c>
      <c r="F909" t="str">
        <f>"201705312430"</f>
        <v>201705312430</v>
      </c>
      <c r="G909" t="str">
        <f>"Miscellan"</f>
        <v>Miscellan</v>
      </c>
      <c r="H909" s="2">
        <v>86</v>
      </c>
      <c r="I909" t="str">
        <f>"JACKIE DEAN BOWMAN"</f>
        <v>JACKIE DEAN BOWMAN</v>
      </c>
    </row>
    <row r="910" spans="1:9" x14ac:dyDescent="0.3">
      <c r="A910" t="str">
        <f t="shared" si="4"/>
        <v>1</v>
      </c>
      <c r="B910" t="s">
        <v>313</v>
      </c>
      <c r="C910">
        <v>70667</v>
      </c>
      <c r="D910" s="2">
        <v>86</v>
      </c>
      <c r="E910" s="1">
        <v>42886</v>
      </c>
      <c r="F910" t="str">
        <f>"201705312431"</f>
        <v>201705312431</v>
      </c>
      <c r="G910" t="str">
        <f>"Miscell"</f>
        <v>Miscell</v>
      </c>
      <c r="H910" s="2">
        <v>86</v>
      </c>
      <c r="I910" t="str">
        <f>"RANDAL JAMES BARNARD"</f>
        <v>RANDAL JAMES BARNARD</v>
      </c>
    </row>
    <row r="911" spans="1:9" x14ac:dyDescent="0.3">
      <c r="A911" t="str">
        <f t="shared" si="4"/>
        <v>1</v>
      </c>
      <c r="B911" t="s">
        <v>314</v>
      </c>
      <c r="C911">
        <v>70668</v>
      </c>
      <c r="D911" s="2">
        <v>6</v>
      </c>
      <c r="E911" s="1">
        <v>42886</v>
      </c>
      <c r="F911" t="str">
        <f>"201705312432"</f>
        <v>201705312432</v>
      </c>
      <c r="G911" t="str">
        <f>"Miscellaneo"</f>
        <v>Miscellaneo</v>
      </c>
      <c r="H911" s="2">
        <v>6</v>
      </c>
      <c r="I911" t="str">
        <f>"GINNY LEE BARKER"</f>
        <v>GINNY LEE BARKER</v>
      </c>
    </row>
    <row r="912" spans="1:9" x14ac:dyDescent="0.3">
      <c r="A912" t="str">
        <f t="shared" si="4"/>
        <v>1</v>
      </c>
      <c r="B912" t="s">
        <v>315</v>
      </c>
      <c r="C912">
        <v>70669</v>
      </c>
      <c r="D912" s="2">
        <v>6</v>
      </c>
      <c r="E912" s="1">
        <v>42886</v>
      </c>
      <c r="F912" t="str">
        <f>"201705312433"</f>
        <v>201705312433</v>
      </c>
      <c r="G912" t="str">
        <f>"Miscell"</f>
        <v>Miscell</v>
      </c>
      <c r="H912" s="2">
        <v>6</v>
      </c>
      <c r="I912" t="str">
        <f>"REBECCA LYNN BRUMMET"</f>
        <v>REBECCA LYNN BRUMMET</v>
      </c>
    </row>
    <row r="913" spans="1:9" x14ac:dyDescent="0.3">
      <c r="A913" t="str">
        <f t="shared" si="4"/>
        <v>1</v>
      </c>
      <c r="B913" t="s">
        <v>316</v>
      </c>
      <c r="C913">
        <v>70670</v>
      </c>
      <c r="D913" s="2">
        <v>6</v>
      </c>
      <c r="E913" s="1">
        <v>42886</v>
      </c>
      <c r="F913" t="str">
        <f>"201705312434"</f>
        <v>201705312434</v>
      </c>
      <c r="G913" t="str">
        <f>"Miscell"</f>
        <v>Miscell</v>
      </c>
      <c r="H913" s="2">
        <v>6</v>
      </c>
      <c r="I913" t="str">
        <f>"JOSE LORETO CORONADO"</f>
        <v>JOSE LORETO CORONADO</v>
      </c>
    </row>
    <row r="914" spans="1:9" x14ac:dyDescent="0.3">
      <c r="A914" t="str">
        <f t="shared" si="4"/>
        <v>1</v>
      </c>
      <c r="B914" t="s">
        <v>317</v>
      </c>
      <c r="C914">
        <v>70671</v>
      </c>
      <c r="D914" s="2">
        <v>86</v>
      </c>
      <c r="E914" s="1">
        <v>42886</v>
      </c>
      <c r="F914" t="str">
        <f>"201705312435"</f>
        <v>201705312435</v>
      </c>
      <c r="G914" t="str">
        <f>"Miscella"</f>
        <v>Miscella</v>
      </c>
      <c r="H914" s="2">
        <v>86</v>
      </c>
      <c r="I914" t="str">
        <f>"LESLYE LYNN CONOLEY"</f>
        <v>LESLYE LYNN CONOLEY</v>
      </c>
    </row>
    <row r="915" spans="1:9" x14ac:dyDescent="0.3">
      <c r="A915" t="str">
        <f t="shared" si="4"/>
        <v>1</v>
      </c>
      <c r="B915" t="s">
        <v>318</v>
      </c>
      <c r="C915">
        <v>70672</v>
      </c>
      <c r="D915" s="2">
        <v>6</v>
      </c>
      <c r="E915" s="1">
        <v>42886</v>
      </c>
      <c r="F915" t="str">
        <f>"201705312436"</f>
        <v>201705312436</v>
      </c>
      <c r="G915" t="str">
        <f>"Miscell"</f>
        <v>Miscell</v>
      </c>
      <c r="H915" s="2">
        <v>6</v>
      </c>
      <c r="I915" t="str">
        <f>"HARVEY LEE CARTER JR"</f>
        <v>HARVEY LEE CARTER JR</v>
      </c>
    </row>
    <row r="916" spans="1:9" x14ac:dyDescent="0.3">
      <c r="A916" t="str">
        <f t="shared" si="4"/>
        <v>1</v>
      </c>
      <c r="B916" t="s">
        <v>319</v>
      </c>
      <c r="C916">
        <v>70673</v>
      </c>
      <c r="D916" s="2">
        <v>6</v>
      </c>
      <c r="E916" s="1">
        <v>42886</v>
      </c>
      <c r="F916" t="str">
        <f>"201705312437"</f>
        <v>201705312437</v>
      </c>
      <c r="G916" t="str">
        <f>"Miscellaneo"</f>
        <v>Miscellaneo</v>
      </c>
      <c r="H916" s="2">
        <v>6</v>
      </c>
      <c r="I916" t="str">
        <f>"RAY SHAWN FALCON"</f>
        <v>RAY SHAWN FALCON</v>
      </c>
    </row>
    <row r="917" spans="1:9" x14ac:dyDescent="0.3">
      <c r="A917" t="str">
        <f t="shared" si="4"/>
        <v>1</v>
      </c>
      <c r="B917" t="s">
        <v>320</v>
      </c>
      <c r="C917">
        <v>70674</v>
      </c>
      <c r="D917" s="2">
        <v>6</v>
      </c>
      <c r="E917" s="1">
        <v>42886</v>
      </c>
      <c r="F917" t="str">
        <f>"201705312438"</f>
        <v>201705312438</v>
      </c>
      <c r="G917" t="str">
        <f>"Misce"</f>
        <v>Misce</v>
      </c>
      <c r="H917" s="2">
        <v>6</v>
      </c>
      <c r="I917" t="str">
        <f>"VANESSA IBARRA-SAUCEDA"</f>
        <v>VANESSA IBARRA-SAUCEDA</v>
      </c>
    </row>
    <row r="918" spans="1:9" x14ac:dyDescent="0.3">
      <c r="A918" t="str">
        <f t="shared" si="4"/>
        <v>1</v>
      </c>
      <c r="B918" t="s">
        <v>321</v>
      </c>
      <c r="C918">
        <v>70675</v>
      </c>
      <c r="D918" s="2">
        <v>6</v>
      </c>
      <c r="E918" s="1">
        <v>42886</v>
      </c>
      <c r="F918" t="str">
        <f>"201705312439"</f>
        <v>201705312439</v>
      </c>
      <c r="G918" t="str">
        <f>"Miscell"</f>
        <v>Miscell</v>
      </c>
      <c r="H918" s="2">
        <v>6</v>
      </c>
      <c r="I918" t="str">
        <f>"WILLIAM RUSSEL HICKS"</f>
        <v>WILLIAM RUSSEL HICKS</v>
      </c>
    </row>
    <row r="919" spans="1:9" x14ac:dyDescent="0.3">
      <c r="A919" t="str">
        <f t="shared" ref="A919:A931" si="5">"1"</f>
        <v>1</v>
      </c>
      <c r="B919" t="s">
        <v>322</v>
      </c>
      <c r="C919">
        <v>70676</v>
      </c>
      <c r="D919" s="2">
        <v>6</v>
      </c>
      <c r="E919" s="1">
        <v>42886</v>
      </c>
      <c r="F919" t="str">
        <f>"201705312440"</f>
        <v>201705312440</v>
      </c>
      <c r="G919" t="str">
        <f>"Mi"</f>
        <v>Mi</v>
      </c>
      <c r="H919" s="2">
        <v>6</v>
      </c>
      <c r="I919" t="str">
        <f>"MELISSA AGUILAR HERNANDEZ"</f>
        <v>MELISSA AGUILAR HERNANDEZ</v>
      </c>
    </row>
    <row r="920" spans="1:9" x14ac:dyDescent="0.3">
      <c r="A920" t="str">
        <f t="shared" si="5"/>
        <v>1</v>
      </c>
      <c r="B920" t="s">
        <v>323</v>
      </c>
      <c r="C920">
        <v>70677</v>
      </c>
      <c r="D920" s="2">
        <v>6</v>
      </c>
      <c r="E920" s="1">
        <v>42886</v>
      </c>
      <c r="F920" t="str">
        <f>"201705312441"</f>
        <v>201705312441</v>
      </c>
      <c r="G920" t="str">
        <f>"M"</f>
        <v>M</v>
      </c>
      <c r="H920" s="2">
        <v>6</v>
      </c>
      <c r="I920" t="str">
        <f>"THOMAS JERALD JEFFERSON JR"</f>
        <v>THOMAS JERALD JEFFERSON JR</v>
      </c>
    </row>
    <row r="921" spans="1:9" x14ac:dyDescent="0.3">
      <c r="A921" t="str">
        <f t="shared" si="5"/>
        <v>1</v>
      </c>
      <c r="B921" t="s">
        <v>324</v>
      </c>
      <c r="C921">
        <v>70678</v>
      </c>
      <c r="D921" s="2">
        <v>6</v>
      </c>
      <c r="E921" s="1">
        <v>42886</v>
      </c>
      <c r="F921" t="str">
        <f>"201705312442"</f>
        <v>201705312442</v>
      </c>
      <c r="G921" t="str">
        <f>"Miscel"</f>
        <v>Miscel</v>
      </c>
      <c r="H921" s="2">
        <v>6</v>
      </c>
      <c r="I921" t="str">
        <f>"LEONARDO RAMON JUAREZ"</f>
        <v>LEONARDO RAMON JUAREZ</v>
      </c>
    </row>
    <row r="922" spans="1:9" x14ac:dyDescent="0.3">
      <c r="A922" t="str">
        <f t="shared" si="5"/>
        <v>1</v>
      </c>
      <c r="B922" t="s">
        <v>325</v>
      </c>
      <c r="C922">
        <v>70679</v>
      </c>
      <c r="D922" s="2">
        <v>6</v>
      </c>
      <c r="E922" s="1">
        <v>42886</v>
      </c>
      <c r="F922" t="str">
        <f>"201705312443"</f>
        <v>201705312443</v>
      </c>
      <c r="G922" t="str">
        <f>"Miscellane"</f>
        <v>Miscellane</v>
      </c>
      <c r="H922" s="2">
        <v>6</v>
      </c>
      <c r="I922" t="str">
        <f>"KAYLA MARIE JONES"</f>
        <v>KAYLA MARIE JONES</v>
      </c>
    </row>
    <row r="923" spans="1:9" x14ac:dyDescent="0.3">
      <c r="A923" t="str">
        <f t="shared" si="5"/>
        <v>1</v>
      </c>
      <c r="B923" t="s">
        <v>326</v>
      </c>
      <c r="C923">
        <v>70680</v>
      </c>
      <c r="D923" s="2">
        <v>6</v>
      </c>
      <c r="E923" s="1">
        <v>42886</v>
      </c>
      <c r="F923" t="str">
        <f>"201705312444"</f>
        <v>201705312444</v>
      </c>
      <c r="G923" t="str">
        <f>"Miscellane"</f>
        <v>Miscellane</v>
      </c>
      <c r="H923" s="2">
        <v>6</v>
      </c>
      <c r="I923" t="str">
        <f>"MACI RUTH JOHNSON"</f>
        <v>MACI RUTH JOHNSON</v>
      </c>
    </row>
    <row r="924" spans="1:9" x14ac:dyDescent="0.3">
      <c r="A924" t="str">
        <f t="shared" si="5"/>
        <v>1</v>
      </c>
      <c r="B924" t="s">
        <v>327</v>
      </c>
      <c r="C924">
        <v>70681</v>
      </c>
      <c r="D924" s="2">
        <v>6</v>
      </c>
      <c r="E924" s="1">
        <v>42886</v>
      </c>
      <c r="F924" t="str">
        <f>"201705312445"</f>
        <v>201705312445</v>
      </c>
      <c r="G924" t="str">
        <f>"Misce"</f>
        <v>Misce</v>
      </c>
      <c r="H924" s="2">
        <v>6</v>
      </c>
      <c r="I924" t="str">
        <f>"TIMOTHY PAUL HAWKINSON"</f>
        <v>TIMOTHY PAUL HAWKINSON</v>
      </c>
    </row>
    <row r="925" spans="1:9" x14ac:dyDescent="0.3">
      <c r="A925" t="str">
        <f t="shared" si="5"/>
        <v>1</v>
      </c>
      <c r="B925" t="s">
        <v>328</v>
      </c>
      <c r="C925">
        <v>70682</v>
      </c>
      <c r="D925" s="2">
        <v>6</v>
      </c>
      <c r="E925" s="1">
        <v>42886</v>
      </c>
      <c r="F925" t="str">
        <f>"201705312446"</f>
        <v>201705312446</v>
      </c>
      <c r="G925" t="str">
        <f>"Misc"</f>
        <v>Misc</v>
      </c>
      <c r="H925" s="2">
        <v>6</v>
      </c>
      <c r="I925" t="str">
        <f>"ANGELIKA PATTIE GARRETT"</f>
        <v>ANGELIKA PATTIE GARRETT</v>
      </c>
    </row>
    <row r="926" spans="1:9" x14ac:dyDescent="0.3">
      <c r="A926" t="str">
        <f t="shared" si="5"/>
        <v>1</v>
      </c>
      <c r="B926" t="s">
        <v>329</v>
      </c>
      <c r="C926">
        <v>70683</v>
      </c>
      <c r="D926" s="2">
        <v>6</v>
      </c>
      <c r="E926" s="1">
        <v>42886</v>
      </c>
      <c r="F926" t="str">
        <f>"201705312447"</f>
        <v>201705312447</v>
      </c>
      <c r="G926" t="str">
        <f>"Miscellaneous"</f>
        <v>Miscellaneous</v>
      </c>
      <c r="H926" s="2">
        <v>6</v>
      </c>
      <c r="I926" t="str">
        <f>"HEATH FREPPON"</f>
        <v>HEATH FREPPON</v>
      </c>
    </row>
    <row r="927" spans="1:9" x14ac:dyDescent="0.3">
      <c r="A927" t="str">
        <f t="shared" si="5"/>
        <v>1</v>
      </c>
      <c r="B927" t="s">
        <v>330</v>
      </c>
      <c r="C927">
        <v>70684</v>
      </c>
      <c r="D927" s="2">
        <v>6</v>
      </c>
      <c r="E927" s="1">
        <v>42886</v>
      </c>
      <c r="F927" t="str">
        <f>"201705312448"</f>
        <v>201705312448</v>
      </c>
      <c r="G927" t="str">
        <f>"Miscellaneou"</f>
        <v>Miscellaneou</v>
      </c>
      <c r="H927" s="2">
        <v>6</v>
      </c>
      <c r="I927" t="str">
        <f>"TRACEY RENE FAZ"</f>
        <v>TRACEY RENE FAZ</v>
      </c>
    </row>
    <row r="928" spans="1:9" x14ac:dyDescent="0.3">
      <c r="A928" t="str">
        <f t="shared" si="5"/>
        <v>1</v>
      </c>
      <c r="B928" t="s">
        <v>331</v>
      </c>
      <c r="C928">
        <v>70685</v>
      </c>
      <c r="D928" s="2">
        <v>86</v>
      </c>
      <c r="E928" s="1">
        <v>42886</v>
      </c>
      <c r="F928" t="str">
        <f>"201705312449"</f>
        <v>201705312449</v>
      </c>
      <c r="G928" t="str">
        <f>"Miscella"</f>
        <v>Miscella</v>
      </c>
      <c r="H928" s="2">
        <v>86</v>
      </c>
      <c r="I928" t="str">
        <f>"CALEB BRANDON GREEN"</f>
        <v>CALEB BRANDON GREEN</v>
      </c>
    </row>
    <row r="929" spans="1:9" x14ac:dyDescent="0.3">
      <c r="A929" t="str">
        <f t="shared" si="5"/>
        <v>1</v>
      </c>
      <c r="B929" t="s">
        <v>332</v>
      </c>
      <c r="C929">
        <v>70686</v>
      </c>
      <c r="D929" s="2">
        <v>86</v>
      </c>
      <c r="E929" s="1">
        <v>42886</v>
      </c>
      <c r="F929" t="str">
        <f>"201705312450"</f>
        <v>201705312450</v>
      </c>
      <c r="G929" t="str">
        <f>"Miscellaneou"</f>
        <v>Miscellaneou</v>
      </c>
      <c r="H929" s="2">
        <v>86</v>
      </c>
      <c r="I929" t="str">
        <f>"BERNA A HARWOOD"</f>
        <v>BERNA A HARWOOD</v>
      </c>
    </row>
    <row r="930" spans="1:9" x14ac:dyDescent="0.3">
      <c r="A930" t="str">
        <f t="shared" si="5"/>
        <v>1</v>
      </c>
      <c r="B930" t="s">
        <v>333</v>
      </c>
      <c r="C930">
        <v>70687</v>
      </c>
      <c r="D930" s="2">
        <v>6</v>
      </c>
      <c r="E930" s="1">
        <v>42886</v>
      </c>
      <c r="F930" t="str">
        <f>"201705312451"</f>
        <v>201705312451</v>
      </c>
      <c r="G930" t="str">
        <f>"Miscella"</f>
        <v>Miscella</v>
      </c>
      <c r="H930" s="2">
        <v>6</v>
      </c>
      <c r="I930" t="str">
        <f>"COURTNEY DAWN HANEY"</f>
        <v>COURTNEY DAWN HANEY</v>
      </c>
    </row>
    <row r="931" spans="1:9" x14ac:dyDescent="0.3">
      <c r="A931" t="str">
        <f t="shared" si="5"/>
        <v>1</v>
      </c>
      <c r="B931" t="s">
        <v>334</v>
      </c>
      <c r="C931">
        <v>70688</v>
      </c>
      <c r="D931" s="2">
        <v>6</v>
      </c>
      <c r="E931" s="1">
        <v>42886</v>
      </c>
      <c r="F931" t="str">
        <f>"201705312452"</f>
        <v>201705312452</v>
      </c>
      <c r="G931" t="str">
        <f>"Miscellaneou"</f>
        <v>Miscellaneou</v>
      </c>
      <c r="H931" s="2">
        <v>6</v>
      </c>
      <c r="I931" t="str">
        <f>"JILL SANDY GUNN"</f>
        <v>JILL SANDY GUNN</v>
      </c>
    </row>
    <row r="932" spans="1:9" x14ac:dyDescent="0.3">
      <c r="A932" t="str">
        <f>"004280"</f>
        <v>004280</v>
      </c>
      <c r="B932" t="s">
        <v>335</v>
      </c>
      <c r="C932">
        <v>70504</v>
      </c>
      <c r="D932" s="2">
        <v>80</v>
      </c>
      <c r="E932" s="1">
        <v>42877</v>
      </c>
      <c r="F932" t="str">
        <f>"201705162007"</f>
        <v>201705162007</v>
      </c>
      <c r="G932" t="str">
        <f>"REST OMAR CABALLERO 12 851"</f>
        <v>REST OMAR CABALLERO 12 851</v>
      </c>
      <c r="H932" s="2">
        <v>80</v>
      </c>
      <c r="I932" t="str">
        <f>"REST OMAR CABALLERO 12 851"</f>
        <v>REST OMAR CABALLERO 12 851</v>
      </c>
    </row>
    <row r="933" spans="1:9" x14ac:dyDescent="0.3">
      <c r="A933" t="str">
        <f>"002749"</f>
        <v>002749</v>
      </c>
      <c r="B933" t="s">
        <v>336</v>
      </c>
      <c r="C933">
        <v>70215</v>
      </c>
      <c r="D933" s="2">
        <v>75</v>
      </c>
      <c r="E933" s="1">
        <v>42863</v>
      </c>
      <c r="F933" t="str">
        <f>"12629"</f>
        <v>12629</v>
      </c>
      <c r="G933" t="str">
        <f>"ABST FEE/2-24-17"</f>
        <v>ABST FEE/2-24-17</v>
      </c>
      <c r="H933" s="2">
        <v>75</v>
      </c>
      <c r="I933" t="str">
        <f>"ABST FEE/2-24-17"</f>
        <v>ABST FEE/2-24-17</v>
      </c>
    </row>
    <row r="934" spans="1:9" x14ac:dyDescent="0.3">
      <c r="A934" t="str">
        <f>"MOORE"</f>
        <v>MOORE</v>
      </c>
      <c r="B934" t="s">
        <v>337</v>
      </c>
      <c r="C934">
        <v>70216</v>
      </c>
      <c r="D934" s="2">
        <v>522.30999999999995</v>
      </c>
      <c r="E934" s="1">
        <v>42863</v>
      </c>
      <c r="F934" t="str">
        <f>"201705021593"</f>
        <v>201705021593</v>
      </c>
      <c r="G934" t="str">
        <f>"INV994441931 MEDICAL"</f>
        <v>INV994441931 MEDICAL</v>
      </c>
      <c r="H934" s="2">
        <v>522.30999999999995</v>
      </c>
      <c r="I934" t="str">
        <f>"INV994441931 MEDICAL"</f>
        <v>INV994441931 MEDICAL</v>
      </c>
    </row>
    <row r="935" spans="1:9" x14ac:dyDescent="0.3">
      <c r="A935" t="str">
        <f>"MOORE"</f>
        <v>MOORE</v>
      </c>
      <c r="B935" t="s">
        <v>337</v>
      </c>
      <c r="C935">
        <v>70505</v>
      </c>
      <c r="D935" s="2">
        <v>438.39</v>
      </c>
      <c r="E935" s="1">
        <v>42877</v>
      </c>
      <c r="F935" t="str">
        <f>"99463093"</f>
        <v>99463093</v>
      </c>
      <c r="G935" t="str">
        <f>"MEDICAL INV99463093 1"</f>
        <v>MEDICAL INV99463093 1</v>
      </c>
      <c r="H935" s="2">
        <v>438.39</v>
      </c>
      <c r="I935" t="str">
        <f>"MEDICAL INV99463093 1"</f>
        <v>MEDICAL INV99463093 1</v>
      </c>
    </row>
    <row r="936" spans="1:9" x14ac:dyDescent="0.3">
      <c r="A936" t="str">
        <f>"000969"</f>
        <v>000969</v>
      </c>
      <c r="B936" t="s">
        <v>338</v>
      </c>
      <c r="C936">
        <v>70506</v>
      </c>
      <c r="D936" s="2">
        <v>36.909999999999997</v>
      </c>
      <c r="E936" s="1">
        <v>42877</v>
      </c>
      <c r="F936" t="str">
        <f>"201705121969"</f>
        <v>201705121969</v>
      </c>
      <c r="G936" t="str">
        <f>"INVS150085461.001 PLUMBIN"</f>
        <v>INVS150085461.001 PLUMBIN</v>
      </c>
      <c r="H936" s="2">
        <v>36.909999999999997</v>
      </c>
      <c r="I936" t="str">
        <f>"INVS150085461.001 PLUMBIN"</f>
        <v>INVS150085461.001 PLUMBIN</v>
      </c>
    </row>
    <row r="937" spans="1:9" x14ac:dyDescent="0.3">
      <c r="A937" t="str">
        <f>"189"</f>
        <v>189</v>
      </c>
      <c r="B937" t="s">
        <v>339</v>
      </c>
      <c r="C937">
        <v>70507</v>
      </c>
      <c r="D937" s="2">
        <v>16295.73</v>
      </c>
      <c r="E937" s="1">
        <v>42877</v>
      </c>
      <c r="F937" t="str">
        <f>"201705121948"</f>
        <v>201705121948</v>
      </c>
      <c r="G937" t="str">
        <f>"RADIO SERVICE AGREEMENT"</f>
        <v>RADIO SERVICE AGREEMENT</v>
      </c>
      <c r="H937" s="2">
        <v>16295.73</v>
      </c>
      <c r="I937" t="str">
        <f>"RADIO SERVICE AGREEMENT"</f>
        <v>RADIO SERVICE AGREEMENT</v>
      </c>
    </row>
    <row r="938" spans="1:9" x14ac:dyDescent="0.3">
      <c r="A938" t="str">
        <f>"004807"</f>
        <v>004807</v>
      </c>
      <c r="B938" t="s">
        <v>340</v>
      </c>
      <c r="C938">
        <v>70509</v>
      </c>
      <c r="D938" s="2">
        <v>115</v>
      </c>
      <c r="E938" s="1">
        <v>42877</v>
      </c>
      <c r="F938" t="str">
        <f>"201705162049"</f>
        <v>201705162049</v>
      </c>
      <c r="G938" t="str">
        <f>"FERAL HOGS"</f>
        <v>FERAL HOGS</v>
      </c>
      <c r="H938" s="2">
        <v>115</v>
      </c>
      <c r="I938" t="str">
        <f>"FERAL HOGS"</f>
        <v>FERAL HOGS</v>
      </c>
    </row>
    <row r="939" spans="1:9" x14ac:dyDescent="0.3">
      <c r="A939" t="str">
        <f>"000562"</f>
        <v>000562</v>
      </c>
      <c r="B939" t="s">
        <v>341</v>
      </c>
      <c r="C939">
        <v>70143</v>
      </c>
      <c r="D939" s="2">
        <v>3471.35</v>
      </c>
      <c r="E939" s="1">
        <v>42863</v>
      </c>
      <c r="F939" t="str">
        <f>"0780340"</f>
        <v>0780340</v>
      </c>
      <c r="G939" t="str">
        <f>"INVIN0780340 FOOD"</f>
        <v>INVIN0780340 FOOD</v>
      </c>
      <c r="H939" s="2">
        <v>3471.35</v>
      </c>
      <c r="I939" t="str">
        <f>"INVIN0780340 FOOD"</f>
        <v>INVIN0780340 FOOD</v>
      </c>
    </row>
    <row r="940" spans="1:9" x14ac:dyDescent="0.3">
      <c r="A940" t="str">
        <f>"000562"</f>
        <v>000562</v>
      </c>
      <c r="B940" t="s">
        <v>341</v>
      </c>
      <c r="C940">
        <v>70419</v>
      </c>
      <c r="D940" s="2">
        <v>7355.49</v>
      </c>
      <c r="E940" s="1">
        <v>42877</v>
      </c>
      <c r="F940" t="str">
        <f>"201705121971"</f>
        <v>201705121971</v>
      </c>
      <c r="G940" t="str">
        <f>"INV0781365 FOOD"</f>
        <v>INV0781365 FOOD</v>
      </c>
      <c r="H940" s="2">
        <v>1344</v>
      </c>
      <c r="I940" t="str">
        <f>"INV0781365 FOOD"</f>
        <v>INV0781365 FOOD</v>
      </c>
    </row>
    <row r="941" spans="1:9" x14ac:dyDescent="0.3">
      <c r="A941" t="str">
        <f>""</f>
        <v/>
      </c>
      <c r="F941" t="str">
        <f>"201705121972"</f>
        <v>201705121972</v>
      </c>
      <c r="G941" t="str">
        <f>"FOOD INVIN0780339"</f>
        <v>FOOD INVIN0780339</v>
      </c>
      <c r="H941" s="2">
        <v>6011.49</v>
      </c>
      <c r="I941" t="str">
        <f>"FOOD INVIN0780339"</f>
        <v>FOOD INVIN0780339</v>
      </c>
    </row>
    <row r="942" spans="1:9" x14ac:dyDescent="0.3">
      <c r="A942" t="str">
        <f>"T13999"</f>
        <v>T13999</v>
      </c>
      <c r="B942" t="s">
        <v>342</v>
      </c>
      <c r="C942">
        <v>70217</v>
      </c>
      <c r="D942" s="2">
        <v>134</v>
      </c>
      <c r="E942" s="1">
        <v>42863</v>
      </c>
      <c r="F942" t="str">
        <f>"201705031666"</f>
        <v>201705031666</v>
      </c>
      <c r="G942" t="str">
        <f>"NOTARY PACK/L SCHROEDER"</f>
        <v>NOTARY PACK/L SCHROEDER</v>
      </c>
      <c r="H942" s="2">
        <v>134</v>
      </c>
      <c r="I942" t="str">
        <f>"NOTARY PACK/L SCHROEDER"</f>
        <v>NOTARY PACK/L SCHROEDER</v>
      </c>
    </row>
    <row r="943" spans="1:9" x14ac:dyDescent="0.3">
      <c r="A943" t="str">
        <f>"003999"</f>
        <v>003999</v>
      </c>
      <c r="B943" t="s">
        <v>343</v>
      </c>
      <c r="C943">
        <v>70510</v>
      </c>
      <c r="D943" s="2">
        <v>45</v>
      </c>
      <c r="E943" s="1">
        <v>42877</v>
      </c>
      <c r="F943" t="str">
        <f>"201705162050"</f>
        <v>201705162050</v>
      </c>
      <c r="G943" t="str">
        <f>"FERAL HOGS"</f>
        <v>FERAL HOGS</v>
      </c>
      <c r="H943" s="2">
        <v>45</v>
      </c>
      <c r="I943" t="str">
        <f>"FERAL HOGS"</f>
        <v>FERAL HOGS</v>
      </c>
    </row>
    <row r="944" spans="1:9" x14ac:dyDescent="0.3">
      <c r="A944" t="str">
        <f>"T6614"</f>
        <v>T6614</v>
      </c>
      <c r="B944" t="s">
        <v>344</v>
      </c>
      <c r="C944">
        <v>70511</v>
      </c>
      <c r="D944" s="2">
        <v>198.15</v>
      </c>
      <c r="E944" s="1">
        <v>42877</v>
      </c>
      <c r="F944" t="str">
        <f>"201705121966"</f>
        <v>201705121966</v>
      </c>
      <c r="G944" t="str">
        <f>"CO 99088 PCT4  STORE 0605"</f>
        <v>CO 99088 PCT4  STORE 0605</v>
      </c>
      <c r="H944" s="2">
        <v>198.15</v>
      </c>
      <c r="I944" t="str">
        <f>"CO 99088 PCT4  STORE 0605"</f>
        <v>CO 99088 PCT4  STORE 0605</v>
      </c>
    </row>
    <row r="945" spans="1:9" x14ac:dyDescent="0.3">
      <c r="A945" t="str">
        <f>"001015"</f>
        <v>001015</v>
      </c>
      <c r="B945" t="s">
        <v>345</v>
      </c>
      <c r="C945">
        <v>70218</v>
      </c>
      <c r="D945" s="2">
        <v>643.5</v>
      </c>
      <c r="E945" s="1">
        <v>42863</v>
      </c>
      <c r="F945" t="str">
        <f>"13202911"</f>
        <v>13202911</v>
      </c>
      <c r="G945" t="str">
        <f>"INV13202911 MILK"</f>
        <v>INV13202911 MILK</v>
      </c>
      <c r="H945" s="2">
        <v>214.5</v>
      </c>
      <c r="I945" t="str">
        <f>"INV13202911 MILK"</f>
        <v>INV13202911 MILK</v>
      </c>
    </row>
    <row r="946" spans="1:9" x14ac:dyDescent="0.3">
      <c r="A946" t="str">
        <f>""</f>
        <v/>
      </c>
      <c r="F946" t="str">
        <f>"201705021620"</f>
        <v>201705021620</v>
      </c>
      <c r="G946" t="str">
        <f>"INVOICES"</f>
        <v>INVOICES</v>
      </c>
      <c r="H946" s="2">
        <v>429</v>
      </c>
      <c r="I946" t="str">
        <f>"INVOICE DATED 04/20"</f>
        <v>INVOICE DATED 04/20</v>
      </c>
    </row>
    <row r="947" spans="1:9" x14ac:dyDescent="0.3">
      <c r="A947" t="str">
        <f>""</f>
        <v/>
      </c>
      <c r="F947" t="str">
        <f>""</f>
        <v/>
      </c>
      <c r="G947" t="str">
        <f>""</f>
        <v/>
      </c>
      <c r="I947" t="str">
        <f>"INVOICE DATED 04/24"</f>
        <v>INVOICE DATED 04/24</v>
      </c>
    </row>
    <row r="948" spans="1:9" x14ac:dyDescent="0.3">
      <c r="A948" t="str">
        <f>"001015"</f>
        <v>001015</v>
      </c>
      <c r="B948" t="s">
        <v>345</v>
      </c>
      <c r="C948">
        <v>70512</v>
      </c>
      <c r="D948" s="2">
        <v>858</v>
      </c>
      <c r="E948" s="1">
        <v>42877</v>
      </c>
      <c r="F948" t="str">
        <f>"122004417"</f>
        <v>122004417</v>
      </c>
      <c r="G948" t="str">
        <f>"122004417 MILK"</f>
        <v>122004417 MILK</v>
      </c>
      <c r="H948" s="2">
        <v>214.5</v>
      </c>
      <c r="I948" t="str">
        <f>"122004417 MILK"</f>
        <v>122004417 MILK</v>
      </c>
    </row>
    <row r="949" spans="1:9" x14ac:dyDescent="0.3">
      <c r="A949" t="str">
        <f>""</f>
        <v/>
      </c>
      <c r="F949" t="str">
        <f>"13241758 122004310"</f>
        <v>13241758 122004310</v>
      </c>
      <c r="G949" t="str">
        <f>"MILK PRODUCTS"</f>
        <v>MILK PRODUCTS</v>
      </c>
      <c r="H949" s="2">
        <v>429</v>
      </c>
      <c r="I949" t="str">
        <f>"MILK INV13241758"</f>
        <v>MILK INV13241758</v>
      </c>
    </row>
    <row r="950" spans="1:9" x14ac:dyDescent="0.3">
      <c r="A950" t="str">
        <f>""</f>
        <v/>
      </c>
      <c r="F950" t="str">
        <f>""</f>
        <v/>
      </c>
      <c r="G950" t="str">
        <f>""</f>
        <v/>
      </c>
      <c r="I950" t="str">
        <f>"MILK INV122004310"</f>
        <v>MILK INV122004310</v>
      </c>
    </row>
    <row r="951" spans="1:9" x14ac:dyDescent="0.3">
      <c r="A951" t="str">
        <f>""</f>
        <v/>
      </c>
      <c r="F951" t="str">
        <f>"13263135"</f>
        <v>13263135</v>
      </c>
      <c r="G951" t="str">
        <f>"INV13263135 MILK"</f>
        <v>INV13263135 MILK</v>
      </c>
      <c r="H951" s="2">
        <v>214.5</v>
      </c>
      <c r="I951" t="str">
        <f>"INV13263135 MILK"</f>
        <v>INV13263135 MILK</v>
      </c>
    </row>
    <row r="952" spans="1:9" x14ac:dyDescent="0.3">
      <c r="A952" t="str">
        <f>"T5769"</f>
        <v>T5769</v>
      </c>
      <c r="B952" t="s">
        <v>346</v>
      </c>
      <c r="C952">
        <v>70219</v>
      </c>
      <c r="D952" s="2">
        <v>2958.01</v>
      </c>
      <c r="E952" s="1">
        <v>42863</v>
      </c>
      <c r="F952" t="str">
        <f>"201705021598"</f>
        <v>201705021598</v>
      </c>
      <c r="G952" t="str">
        <f>"Bill#273958"</f>
        <v>Bill#273958</v>
      </c>
      <c r="H952" s="2">
        <v>2958.01</v>
      </c>
      <c r="I952" t="str">
        <f>"Inv# 920461536001"</f>
        <v>Inv# 920461536001</v>
      </c>
    </row>
    <row r="953" spans="1:9" x14ac:dyDescent="0.3">
      <c r="A953" t="str">
        <f>""</f>
        <v/>
      </c>
      <c r="F953" t="str">
        <f>""</f>
        <v/>
      </c>
      <c r="G953" t="str">
        <f>""</f>
        <v/>
      </c>
      <c r="I953" t="str">
        <f>"Inv# 920462855001"</f>
        <v>Inv# 920462855001</v>
      </c>
    </row>
    <row r="954" spans="1:9" x14ac:dyDescent="0.3">
      <c r="A954" t="str">
        <f>""</f>
        <v/>
      </c>
      <c r="F954" t="str">
        <f>""</f>
        <v/>
      </c>
      <c r="G954" t="str">
        <f>""</f>
        <v/>
      </c>
      <c r="I954" t="str">
        <f>"Inv# 921471210001"</f>
        <v>Inv# 921471210001</v>
      </c>
    </row>
    <row r="955" spans="1:9" x14ac:dyDescent="0.3">
      <c r="A955" t="str">
        <f>""</f>
        <v/>
      </c>
      <c r="F955" t="str">
        <f>""</f>
        <v/>
      </c>
      <c r="G955" t="str">
        <f>""</f>
        <v/>
      </c>
      <c r="I955" t="str">
        <f>"Inv# 921471210002"</f>
        <v>Inv# 921471210002</v>
      </c>
    </row>
    <row r="956" spans="1:9" x14ac:dyDescent="0.3">
      <c r="A956" t="str">
        <f>""</f>
        <v/>
      </c>
      <c r="F956" t="str">
        <f>""</f>
        <v/>
      </c>
      <c r="G956" t="str">
        <f>""</f>
        <v/>
      </c>
      <c r="I956" t="str">
        <f>"Inv# 921471211001"</f>
        <v>Inv# 921471211001</v>
      </c>
    </row>
    <row r="957" spans="1:9" x14ac:dyDescent="0.3">
      <c r="A957" t="str">
        <f>""</f>
        <v/>
      </c>
      <c r="F957" t="str">
        <f>""</f>
        <v/>
      </c>
      <c r="G957" t="str">
        <f>""</f>
        <v/>
      </c>
      <c r="I957" t="str">
        <f>"Inv# 918386869001"</f>
        <v>Inv# 918386869001</v>
      </c>
    </row>
    <row r="958" spans="1:9" x14ac:dyDescent="0.3">
      <c r="A958" t="str">
        <f>""</f>
        <v/>
      </c>
      <c r="F958" t="str">
        <f>""</f>
        <v/>
      </c>
      <c r="G958" t="str">
        <f>""</f>
        <v/>
      </c>
      <c r="I958" t="str">
        <f>"Inv# 918388570001"</f>
        <v>Inv# 918388570001</v>
      </c>
    </row>
    <row r="959" spans="1:9" x14ac:dyDescent="0.3">
      <c r="A959" t="str">
        <f>""</f>
        <v/>
      </c>
      <c r="F959" t="str">
        <f>""</f>
        <v/>
      </c>
      <c r="G959" t="str">
        <f>""</f>
        <v/>
      </c>
      <c r="I959" t="str">
        <f>"Inv# 919071306001"</f>
        <v>Inv# 919071306001</v>
      </c>
    </row>
    <row r="960" spans="1:9" x14ac:dyDescent="0.3">
      <c r="A960" t="str">
        <f>""</f>
        <v/>
      </c>
      <c r="F960" t="str">
        <f>""</f>
        <v/>
      </c>
      <c r="G960" t="str">
        <f>""</f>
        <v/>
      </c>
      <c r="I960" t="str">
        <f>"Inv# 919071306002"</f>
        <v>Inv# 919071306002</v>
      </c>
    </row>
    <row r="961" spans="1:9" x14ac:dyDescent="0.3">
      <c r="A961" t="str">
        <f>""</f>
        <v/>
      </c>
      <c r="F961" t="str">
        <f>""</f>
        <v/>
      </c>
      <c r="G961" t="str">
        <f>""</f>
        <v/>
      </c>
      <c r="I961" t="str">
        <f>"Inv# 918850236001"</f>
        <v>Inv# 918850236001</v>
      </c>
    </row>
    <row r="962" spans="1:9" x14ac:dyDescent="0.3">
      <c r="A962" t="str">
        <f>""</f>
        <v/>
      </c>
      <c r="F962" t="str">
        <f>""</f>
        <v/>
      </c>
      <c r="G962" t="str">
        <f>""</f>
        <v/>
      </c>
      <c r="I962" t="str">
        <f>"Inv# 918867658001"</f>
        <v>Inv# 918867658001</v>
      </c>
    </row>
    <row r="963" spans="1:9" x14ac:dyDescent="0.3">
      <c r="A963" t="str">
        <f>""</f>
        <v/>
      </c>
      <c r="F963" t="str">
        <f>""</f>
        <v/>
      </c>
      <c r="G963" t="str">
        <f>""</f>
        <v/>
      </c>
      <c r="I963" t="str">
        <f>"Inv# 918437629001"</f>
        <v>Inv# 918437629001</v>
      </c>
    </row>
    <row r="964" spans="1:9" x14ac:dyDescent="0.3">
      <c r="A964" t="str">
        <f>""</f>
        <v/>
      </c>
      <c r="F964" t="str">
        <f>""</f>
        <v/>
      </c>
      <c r="G964" t="str">
        <f>""</f>
        <v/>
      </c>
      <c r="I964" t="str">
        <f>"Inv# 91837907001"</f>
        <v>Inv# 91837907001</v>
      </c>
    </row>
    <row r="965" spans="1:9" x14ac:dyDescent="0.3">
      <c r="A965" t="str">
        <f>""</f>
        <v/>
      </c>
      <c r="F965" t="str">
        <f>""</f>
        <v/>
      </c>
      <c r="G965" t="str">
        <f>""</f>
        <v/>
      </c>
      <c r="I965" t="str">
        <f>"Inv# 91843806001"</f>
        <v>Inv# 91843806001</v>
      </c>
    </row>
    <row r="966" spans="1:9" x14ac:dyDescent="0.3">
      <c r="A966" t="str">
        <f>""</f>
        <v/>
      </c>
      <c r="F966" t="str">
        <f>""</f>
        <v/>
      </c>
      <c r="G966" t="str">
        <f>""</f>
        <v/>
      </c>
      <c r="I966" t="str">
        <f>"Inv# 920717235001"</f>
        <v>Inv# 920717235001</v>
      </c>
    </row>
    <row r="967" spans="1:9" x14ac:dyDescent="0.3">
      <c r="A967" t="str">
        <f>""</f>
        <v/>
      </c>
      <c r="F967" t="str">
        <f>""</f>
        <v/>
      </c>
      <c r="G967" t="str">
        <f>""</f>
        <v/>
      </c>
      <c r="I967" t="str">
        <f>"Inv# 918857606001"</f>
        <v>Inv# 918857606001</v>
      </c>
    </row>
    <row r="968" spans="1:9" x14ac:dyDescent="0.3">
      <c r="A968" t="str">
        <f>""</f>
        <v/>
      </c>
      <c r="F968" t="str">
        <f>""</f>
        <v/>
      </c>
      <c r="G968" t="str">
        <f>""</f>
        <v/>
      </c>
      <c r="I968" t="str">
        <f>"Inv# 921323933001"</f>
        <v>Inv# 921323933001</v>
      </c>
    </row>
    <row r="969" spans="1:9" x14ac:dyDescent="0.3">
      <c r="A969" t="str">
        <f>""</f>
        <v/>
      </c>
      <c r="F969" t="str">
        <f>""</f>
        <v/>
      </c>
      <c r="G969" t="str">
        <f>""</f>
        <v/>
      </c>
      <c r="I969" t="str">
        <f>"Inv# 918231847001"</f>
        <v>Inv# 918231847001</v>
      </c>
    </row>
    <row r="970" spans="1:9" x14ac:dyDescent="0.3">
      <c r="A970" t="str">
        <f>""</f>
        <v/>
      </c>
      <c r="F970" t="str">
        <f>""</f>
        <v/>
      </c>
      <c r="G970" t="str">
        <f>""</f>
        <v/>
      </c>
      <c r="I970" t="str">
        <f>"Inv# 918232774001"</f>
        <v>Inv# 918232774001</v>
      </c>
    </row>
    <row r="971" spans="1:9" x14ac:dyDescent="0.3">
      <c r="A971" t="str">
        <f>""</f>
        <v/>
      </c>
      <c r="F971" t="str">
        <f>""</f>
        <v/>
      </c>
      <c r="G971" t="str">
        <f>""</f>
        <v/>
      </c>
      <c r="I971" t="str">
        <f>"Inv# 920461536001"</f>
        <v>Inv# 920461536001</v>
      </c>
    </row>
    <row r="972" spans="1:9" x14ac:dyDescent="0.3">
      <c r="A972" t="str">
        <f>""</f>
        <v/>
      </c>
      <c r="F972" t="str">
        <f>""</f>
        <v/>
      </c>
      <c r="G972" t="str">
        <f>""</f>
        <v/>
      </c>
      <c r="I972" t="str">
        <f>"Inv# 918400386001"</f>
        <v>Inv# 918400386001</v>
      </c>
    </row>
    <row r="973" spans="1:9" x14ac:dyDescent="0.3">
      <c r="A973" t="str">
        <f>"T5769"</f>
        <v>T5769</v>
      </c>
      <c r="B973" t="s">
        <v>346</v>
      </c>
      <c r="C973">
        <v>70513</v>
      </c>
      <c r="D973" s="2">
        <v>898.3</v>
      </c>
      <c r="E973" s="1">
        <v>42877</v>
      </c>
      <c r="F973" t="str">
        <f>"273958 7998736"</f>
        <v>273958 7998736</v>
      </c>
      <c r="G973" t="str">
        <f>"Bill#7998736"</f>
        <v>Bill#7998736</v>
      </c>
      <c r="H973" s="2">
        <v>898.3</v>
      </c>
      <c r="I973" t="str">
        <f>"Order# 921471044001"</f>
        <v>Order# 921471044001</v>
      </c>
    </row>
    <row r="974" spans="1:9" x14ac:dyDescent="0.3">
      <c r="A974" t="str">
        <f>""</f>
        <v/>
      </c>
      <c r="F974" t="str">
        <f>""</f>
        <v/>
      </c>
      <c r="G974" t="str">
        <f>""</f>
        <v/>
      </c>
      <c r="I974" t="str">
        <f>"Order# 919708453001"</f>
        <v>Order# 919708453001</v>
      </c>
    </row>
    <row r="975" spans="1:9" x14ac:dyDescent="0.3">
      <c r="A975" t="str">
        <f>""</f>
        <v/>
      </c>
      <c r="F975" t="str">
        <f>""</f>
        <v/>
      </c>
      <c r="G975" t="str">
        <f>""</f>
        <v/>
      </c>
      <c r="I975" t="str">
        <f>"Order# 924488446001"</f>
        <v>Order# 924488446001</v>
      </c>
    </row>
    <row r="976" spans="1:9" x14ac:dyDescent="0.3">
      <c r="A976" t="str">
        <f>""</f>
        <v/>
      </c>
      <c r="F976" t="str">
        <f>""</f>
        <v/>
      </c>
      <c r="G976" t="str">
        <f>""</f>
        <v/>
      </c>
      <c r="I976" t="str">
        <f>"Order# 923602854001"</f>
        <v>Order# 923602854001</v>
      </c>
    </row>
    <row r="977" spans="1:9" x14ac:dyDescent="0.3">
      <c r="A977" t="str">
        <f>""</f>
        <v/>
      </c>
      <c r="F977" t="str">
        <f>""</f>
        <v/>
      </c>
      <c r="G977" t="str">
        <f>""</f>
        <v/>
      </c>
      <c r="I977" t="str">
        <f>"Order# 921530872001"</f>
        <v>Order# 921530872001</v>
      </c>
    </row>
    <row r="978" spans="1:9" x14ac:dyDescent="0.3">
      <c r="A978" t="str">
        <f>""</f>
        <v/>
      </c>
      <c r="F978" t="str">
        <f>""</f>
        <v/>
      </c>
      <c r="G978" t="str">
        <f>""</f>
        <v/>
      </c>
      <c r="I978" t="str">
        <f>"Order# 921994508001"</f>
        <v>Order# 921994508001</v>
      </c>
    </row>
    <row r="979" spans="1:9" x14ac:dyDescent="0.3">
      <c r="A979" t="str">
        <f>""</f>
        <v/>
      </c>
      <c r="F979" t="str">
        <f>""</f>
        <v/>
      </c>
      <c r="G979" t="str">
        <f>""</f>
        <v/>
      </c>
      <c r="I979" t="str">
        <f>"Order# 922000199001"</f>
        <v>Order# 922000199001</v>
      </c>
    </row>
    <row r="980" spans="1:9" x14ac:dyDescent="0.3">
      <c r="A980" t="str">
        <f>""</f>
        <v/>
      </c>
      <c r="F980" t="str">
        <f>""</f>
        <v/>
      </c>
      <c r="G980" t="str">
        <f>""</f>
        <v/>
      </c>
      <c r="I980" t="str">
        <f>"Order# 923134257001"</f>
        <v>Order# 923134257001</v>
      </c>
    </row>
    <row r="981" spans="1:9" x14ac:dyDescent="0.3">
      <c r="A981" t="str">
        <f>""</f>
        <v/>
      </c>
      <c r="F981" t="str">
        <f>""</f>
        <v/>
      </c>
      <c r="G981" t="str">
        <f>""</f>
        <v/>
      </c>
      <c r="I981" t="str">
        <f>"Order# 923134840001"</f>
        <v>Order# 923134840001</v>
      </c>
    </row>
    <row r="982" spans="1:9" x14ac:dyDescent="0.3">
      <c r="A982" t="str">
        <f>""</f>
        <v/>
      </c>
      <c r="F982" t="str">
        <f>""</f>
        <v/>
      </c>
      <c r="G982" t="str">
        <f>""</f>
        <v/>
      </c>
      <c r="I982" t="str">
        <f>"Order# 923134841001"</f>
        <v>Order# 923134841001</v>
      </c>
    </row>
    <row r="983" spans="1:9" x14ac:dyDescent="0.3">
      <c r="A983" t="str">
        <f>""</f>
        <v/>
      </c>
      <c r="F983" t="str">
        <f>""</f>
        <v/>
      </c>
      <c r="G983" t="str">
        <f>""</f>
        <v/>
      </c>
      <c r="I983" t="str">
        <f>"Order# 923635494001"</f>
        <v>Order# 923635494001</v>
      </c>
    </row>
    <row r="984" spans="1:9" x14ac:dyDescent="0.3">
      <c r="A984" t="str">
        <f>"000877"</f>
        <v>000877</v>
      </c>
      <c r="B984" t="s">
        <v>347</v>
      </c>
      <c r="C984">
        <v>70220</v>
      </c>
      <c r="D984" s="2">
        <v>110</v>
      </c>
      <c r="E984" s="1">
        <v>42863</v>
      </c>
      <c r="F984" t="str">
        <f>"283053"</f>
        <v>283053</v>
      </c>
      <c r="G984" t="str">
        <f>"CUST#BASCOU/GS"</f>
        <v>CUST#BASCOU/GS</v>
      </c>
      <c r="H984" s="2">
        <v>20</v>
      </c>
      <c r="I984" t="str">
        <f>"CUST#BASCOU/GS"</f>
        <v>CUST#BASCOU/GS</v>
      </c>
    </row>
    <row r="985" spans="1:9" x14ac:dyDescent="0.3">
      <c r="A985" t="str">
        <f>""</f>
        <v/>
      </c>
      <c r="F985" t="str">
        <f>"283053-1"</f>
        <v>283053-1</v>
      </c>
      <c r="G985" t="str">
        <f>"CUST#BASCOU/DRUG SCREEN/PCT1"</f>
        <v>CUST#BASCOU/DRUG SCREEN/PCT1</v>
      </c>
      <c r="H985" s="2">
        <v>30</v>
      </c>
      <c r="I985" t="str">
        <f>"CUST#BASCOU/DRUG SCREEN/PCT1"</f>
        <v>CUST#BASCOU/DRUG SCREEN/PCT1</v>
      </c>
    </row>
    <row r="986" spans="1:9" x14ac:dyDescent="0.3">
      <c r="A986" t="str">
        <f>""</f>
        <v/>
      </c>
      <c r="F986" t="str">
        <f>"283053-3"</f>
        <v>283053-3</v>
      </c>
      <c r="G986" t="str">
        <f>"CUST#BASCOU/DRUG SCREEN/PCT3"</f>
        <v>CUST#BASCOU/DRUG SCREEN/PCT3</v>
      </c>
      <c r="H986" s="2">
        <v>60</v>
      </c>
      <c r="I986" t="str">
        <f>"CUST#BASCOU/DRUG SCREEN/PCT3"</f>
        <v>CUST#BASCOU/DRUG SCREEN/PCT3</v>
      </c>
    </row>
    <row r="987" spans="1:9" x14ac:dyDescent="0.3">
      <c r="A987" t="str">
        <f>"000877"</f>
        <v>000877</v>
      </c>
      <c r="B987" t="s">
        <v>347</v>
      </c>
      <c r="C987">
        <v>70514</v>
      </c>
      <c r="D987" s="2">
        <v>60</v>
      </c>
      <c r="E987" s="1">
        <v>42877</v>
      </c>
      <c r="F987" t="str">
        <f>"282631"</f>
        <v>282631</v>
      </c>
      <c r="G987" t="str">
        <f>"CUST ID BASCOU"</f>
        <v>CUST ID BASCOU</v>
      </c>
      <c r="H987" s="2">
        <v>60</v>
      </c>
      <c r="I987" t="str">
        <f>"CUST ID BASCOU"</f>
        <v>CUST ID BASCOU</v>
      </c>
    </row>
    <row r="988" spans="1:9" x14ac:dyDescent="0.3">
      <c r="A988" t="str">
        <f>""</f>
        <v/>
      </c>
      <c r="F988" t="str">
        <f>""</f>
        <v/>
      </c>
      <c r="G988" t="str">
        <f>""</f>
        <v/>
      </c>
      <c r="I988" t="str">
        <f>"CUST ID BASCOU"</f>
        <v>CUST ID BASCOU</v>
      </c>
    </row>
    <row r="989" spans="1:9" x14ac:dyDescent="0.3">
      <c r="A989" t="str">
        <f>"002822"</f>
        <v>002822</v>
      </c>
      <c r="B989" t="s">
        <v>348</v>
      </c>
      <c r="C989">
        <v>70221</v>
      </c>
      <c r="D989" s="2">
        <v>398.79</v>
      </c>
      <c r="E989" s="1">
        <v>42863</v>
      </c>
      <c r="F989" t="str">
        <f>"201705021618"</f>
        <v>201705021618</v>
      </c>
      <c r="G989" t="str">
        <f>"CNIV305364 WATER RENTAL"</f>
        <v>CNIV305364 WATER RENTAL</v>
      </c>
      <c r="H989" s="2">
        <v>265.86</v>
      </c>
      <c r="I989" t="str">
        <f>"CNIV305364 WATER RENTAL"</f>
        <v>CNIV305364 WATER RENTAL</v>
      </c>
    </row>
    <row r="990" spans="1:9" x14ac:dyDescent="0.3">
      <c r="A990" t="str">
        <f>""</f>
        <v/>
      </c>
      <c r="F990" t="str">
        <f>""</f>
        <v/>
      </c>
      <c r="G990" t="str">
        <f>""</f>
        <v/>
      </c>
      <c r="I990" t="str">
        <f>"CNIV305364 WATER RENTAL"</f>
        <v>CNIV305364 WATER RENTAL</v>
      </c>
    </row>
    <row r="991" spans="1:9" x14ac:dyDescent="0.3">
      <c r="A991" t="str">
        <f>""</f>
        <v/>
      </c>
      <c r="F991" t="str">
        <f>"CNIV305364"</f>
        <v>CNIV305364</v>
      </c>
      <c r="G991" t="str">
        <f>"ACCT#181021"</f>
        <v>ACCT#181021</v>
      </c>
      <c r="H991" s="2">
        <v>132.93</v>
      </c>
      <c r="I991" t="str">
        <f>"ACCT#181021"</f>
        <v>ACCT#181021</v>
      </c>
    </row>
    <row r="992" spans="1:9" x14ac:dyDescent="0.3">
      <c r="A992" t="str">
        <f>"OP"</f>
        <v>OP</v>
      </c>
      <c r="B992" t="s">
        <v>349</v>
      </c>
      <c r="C992">
        <v>70222</v>
      </c>
      <c r="D992" s="2">
        <v>2935</v>
      </c>
      <c r="E992" s="1">
        <v>42863</v>
      </c>
      <c r="F992" t="str">
        <f>"15796"</f>
        <v>15796</v>
      </c>
      <c r="G992" t="str">
        <f>"NEW OFFICE HOOKUP/PCT#1"</f>
        <v>NEW OFFICE HOOKUP/PCT#1</v>
      </c>
      <c r="H992" s="2">
        <v>2935</v>
      </c>
      <c r="I992" t="str">
        <f>"NEW OFFICE HOOKUP/PCT#1"</f>
        <v>NEW OFFICE HOOKUP/PCT#1</v>
      </c>
    </row>
    <row r="993" spans="1:9" x14ac:dyDescent="0.3">
      <c r="A993" t="str">
        <f>"OP"</f>
        <v>OP</v>
      </c>
      <c r="B993" t="s">
        <v>349</v>
      </c>
      <c r="C993">
        <v>70515</v>
      </c>
      <c r="D993" s="2">
        <v>192</v>
      </c>
      <c r="E993" s="1">
        <v>42877</v>
      </c>
      <c r="F993" t="str">
        <f>"15960"</f>
        <v>15960</v>
      </c>
      <c r="G993" t="str">
        <f>"REPAIRS A/C DRAIN COURTHOUSE"</f>
        <v>REPAIRS A/C DRAIN COURTHOUSE</v>
      </c>
      <c r="H993" s="2">
        <v>192</v>
      </c>
      <c r="I993" t="str">
        <f>"REPAIRS A/C DRAIN COURTHOUSE"</f>
        <v>REPAIRS A/C DRAIN COURTHOUSE</v>
      </c>
    </row>
    <row r="994" spans="1:9" x14ac:dyDescent="0.3">
      <c r="A994" t="str">
        <f>"OWW"</f>
        <v>OWW</v>
      </c>
      <c r="B994" t="s">
        <v>350</v>
      </c>
      <c r="C994">
        <v>70516</v>
      </c>
      <c r="D994" s="2">
        <v>129.97999999999999</v>
      </c>
      <c r="E994" s="1">
        <v>42877</v>
      </c>
      <c r="F994" t="str">
        <f>"1471 1472"</f>
        <v>1471 1472</v>
      </c>
      <c r="G994" t="str">
        <f>"WORK BOOTS PCT#1"</f>
        <v>WORK BOOTS PCT#1</v>
      </c>
      <c r="H994" s="2">
        <v>129.97999999999999</v>
      </c>
      <c r="I994" t="str">
        <f>"WORK BOOTS PCT#1"</f>
        <v>WORK BOOTS PCT#1</v>
      </c>
    </row>
    <row r="995" spans="1:9" x14ac:dyDescent="0.3">
      <c r="A995" t="str">
        <f>"PAIGE"</f>
        <v>PAIGE</v>
      </c>
      <c r="B995" t="s">
        <v>351</v>
      </c>
      <c r="C995">
        <v>70223</v>
      </c>
      <c r="D995" s="2">
        <v>9.94</v>
      </c>
      <c r="E995" s="1">
        <v>42863</v>
      </c>
      <c r="F995" t="str">
        <f>"53855"</f>
        <v>53855</v>
      </c>
      <c r="G995" t="str">
        <f>"REGAL TOOL BIN/PCT#2"</f>
        <v>REGAL TOOL BIN/PCT#2</v>
      </c>
      <c r="H995" s="2">
        <v>9.94</v>
      </c>
      <c r="I995" t="str">
        <f>"REGAL TOOL BIN/PCT#2"</f>
        <v>REGAL TOOL BIN/PCT#2</v>
      </c>
    </row>
    <row r="996" spans="1:9" x14ac:dyDescent="0.3">
      <c r="A996" t="str">
        <f>"PAIGE"</f>
        <v>PAIGE</v>
      </c>
      <c r="B996" t="s">
        <v>351</v>
      </c>
      <c r="C996">
        <v>70517</v>
      </c>
      <c r="D996" s="2">
        <v>24.99</v>
      </c>
      <c r="E996" s="1">
        <v>42877</v>
      </c>
      <c r="F996" t="str">
        <f>"201705121960"</f>
        <v>201705121960</v>
      </c>
      <c r="G996" t="str">
        <f>"INV 54697 SAW CHAIN ZZ26RS68"</f>
        <v>INV 54697 SAW CHAIN ZZ26RS68</v>
      </c>
      <c r="H996" s="2">
        <v>24.99</v>
      </c>
      <c r="I996" t="str">
        <f>"INV 54697 SAW CHAIN ZZ26RS68"</f>
        <v>INV 54697 SAW CHAIN ZZ26RS68</v>
      </c>
    </row>
    <row r="997" spans="1:9" x14ac:dyDescent="0.3">
      <c r="A997" t="str">
        <f>"003566"</f>
        <v>003566</v>
      </c>
      <c r="B997" t="s">
        <v>352</v>
      </c>
      <c r="C997">
        <v>70224</v>
      </c>
      <c r="D997" s="2">
        <v>174.74</v>
      </c>
      <c r="E997" s="1">
        <v>42863</v>
      </c>
      <c r="F997" t="str">
        <f>"20989/21449"</f>
        <v>20989/21449</v>
      </c>
      <c r="G997" t="str">
        <f>"ACCT#1137/PCT#4"</f>
        <v>ACCT#1137/PCT#4</v>
      </c>
      <c r="H997" s="2">
        <v>174.74</v>
      </c>
      <c r="I997" t="str">
        <f>"ACCT#1137/PCT#4"</f>
        <v>ACCT#1137/PCT#4</v>
      </c>
    </row>
    <row r="998" spans="1:9" x14ac:dyDescent="0.3">
      <c r="A998" t="str">
        <f>"T5411"</f>
        <v>T5411</v>
      </c>
      <c r="B998" t="s">
        <v>353</v>
      </c>
      <c r="C998">
        <v>70225</v>
      </c>
      <c r="D998" s="2">
        <v>2077.4</v>
      </c>
      <c r="E998" s="1">
        <v>42863</v>
      </c>
      <c r="F998" t="str">
        <f>"201705021602"</f>
        <v>201705021602</v>
      </c>
      <c r="G998" t="str">
        <f>"RE: 16BCP04A"</f>
        <v>RE: 16BCP04A</v>
      </c>
      <c r="H998" s="2">
        <v>1883</v>
      </c>
      <c r="I998" t="s">
        <v>354</v>
      </c>
    </row>
    <row r="999" spans="1:9" x14ac:dyDescent="0.3">
      <c r="A999" t="str">
        <f>""</f>
        <v/>
      </c>
      <c r="F999" t="str">
        <f>""</f>
        <v/>
      </c>
      <c r="G999" t="str">
        <f>""</f>
        <v/>
      </c>
      <c r="I999" t="s">
        <v>355</v>
      </c>
    </row>
    <row r="1000" spans="1:9" x14ac:dyDescent="0.3">
      <c r="A1000" t="str">
        <f>""</f>
        <v/>
      </c>
      <c r="F1000" t="str">
        <f>""</f>
        <v/>
      </c>
      <c r="G1000" t="str">
        <f>""</f>
        <v/>
      </c>
      <c r="I1000" t="s">
        <v>356</v>
      </c>
    </row>
    <row r="1001" spans="1:9" x14ac:dyDescent="0.3">
      <c r="A1001" t="str">
        <f>""</f>
        <v/>
      </c>
      <c r="F1001" t="str">
        <f>""</f>
        <v/>
      </c>
      <c r="G1001" t="str">
        <f>""</f>
        <v/>
      </c>
      <c r="I1001" t="s">
        <v>357</v>
      </c>
    </row>
    <row r="1002" spans="1:9" x14ac:dyDescent="0.3">
      <c r="A1002" t="str">
        <f>""</f>
        <v/>
      </c>
      <c r="F1002" t="str">
        <f>"201705021604"</f>
        <v>201705021604</v>
      </c>
      <c r="G1002" t="s">
        <v>358</v>
      </c>
      <c r="H1002" s="2">
        <v>194.4</v>
      </c>
      <c r="I1002" t="s">
        <v>358</v>
      </c>
    </row>
    <row r="1003" spans="1:9" x14ac:dyDescent="0.3">
      <c r="A1003" t="str">
        <f>"002370"</f>
        <v>002370</v>
      </c>
      <c r="B1003" t="s">
        <v>359</v>
      </c>
      <c r="C1003">
        <v>70619</v>
      </c>
      <c r="D1003" s="2">
        <v>1777.25</v>
      </c>
      <c r="E1003" s="1">
        <v>42885</v>
      </c>
      <c r="F1003" t="str">
        <f>"2008242"</f>
        <v>2008242</v>
      </c>
      <c r="G1003" t="str">
        <f>"Invoice# 2008242"</f>
        <v>Invoice# 2008242</v>
      </c>
      <c r="H1003" s="2">
        <v>327</v>
      </c>
      <c r="I1003" t="str">
        <f>"Invoice# 2008242"</f>
        <v>Invoice# 2008242</v>
      </c>
    </row>
    <row r="1004" spans="1:9" x14ac:dyDescent="0.3">
      <c r="A1004" t="str">
        <f>""</f>
        <v/>
      </c>
      <c r="F1004" t="str">
        <f>"2008246"</f>
        <v>2008246</v>
      </c>
      <c r="G1004" t="str">
        <f>"Inv# 2008246"</f>
        <v>Inv# 2008246</v>
      </c>
      <c r="H1004" s="2">
        <v>265.39999999999998</v>
      </c>
      <c r="I1004" t="str">
        <f>"Inv# 2008246"</f>
        <v>Inv# 2008246</v>
      </c>
    </row>
    <row r="1005" spans="1:9" x14ac:dyDescent="0.3">
      <c r="A1005" t="str">
        <f>""</f>
        <v/>
      </c>
      <c r="F1005" t="str">
        <f>"2008262"</f>
        <v>2008262</v>
      </c>
      <c r="G1005" t="str">
        <f>"Invoice# 2008262"</f>
        <v>Invoice# 2008262</v>
      </c>
      <c r="H1005" s="2">
        <v>1184.8499999999999</v>
      </c>
      <c r="I1005" t="str">
        <f>"Materials"</f>
        <v>Materials</v>
      </c>
    </row>
    <row r="1006" spans="1:9" x14ac:dyDescent="0.3">
      <c r="A1006" t="str">
        <f>""</f>
        <v/>
      </c>
      <c r="F1006" t="str">
        <f>""</f>
        <v/>
      </c>
      <c r="G1006" t="str">
        <f>""</f>
        <v/>
      </c>
      <c r="I1006" t="str">
        <f>"Labor"</f>
        <v>Labor</v>
      </c>
    </row>
    <row r="1007" spans="1:9" x14ac:dyDescent="0.3">
      <c r="A1007" t="str">
        <f>"003321"</f>
        <v>003321</v>
      </c>
      <c r="B1007" t="s">
        <v>360</v>
      </c>
      <c r="C1007">
        <v>70518</v>
      </c>
      <c r="D1007" s="2">
        <v>305</v>
      </c>
      <c r="E1007" s="1">
        <v>42877</v>
      </c>
      <c r="F1007" t="str">
        <f>"201705162051"</f>
        <v>201705162051</v>
      </c>
      <c r="G1007" t="str">
        <f>"FERAL HOGS"</f>
        <v>FERAL HOGS</v>
      </c>
      <c r="H1007" s="2">
        <v>70</v>
      </c>
      <c r="I1007" t="str">
        <f>"FERAL HOGS"</f>
        <v>FERAL HOGS</v>
      </c>
    </row>
    <row r="1008" spans="1:9" x14ac:dyDescent="0.3">
      <c r="A1008" t="str">
        <f>""</f>
        <v/>
      </c>
      <c r="F1008" t="str">
        <f>"201705162052"</f>
        <v>201705162052</v>
      </c>
      <c r="G1008" t="str">
        <f>"FERAL HOGS"</f>
        <v>FERAL HOGS</v>
      </c>
      <c r="H1008" s="2">
        <v>125</v>
      </c>
      <c r="I1008" t="str">
        <f>"FERAL HOGS"</f>
        <v>FERAL HOGS</v>
      </c>
    </row>
    <row r="1009" spans="1:9" x14ac:dyDescent="0.3">
      <c r="A1009" t="str">
        <f>""</f>
        <v/>
      </c>
      <c r="F1009" t="str">
        <f>"201705162053"</f>
        <v>201705162053</v>
      </c>
      <c r="G1009" t="str">
        <f>"FERAL HOGS"</f>
        <v>FERAL HOGS</v>
      </c>
      <c r="H1009" s="2">
        <v>20</v>
      </c>
      <c r="I1009" t="str">
        <f>"FERAL HOGS"</f>
        <v>FERAL HOGS</v>
      </c>
    </row>
    <row r="1010" spans="1:9" x14ac:dyDescent="0.3">
      <c r="A1010" t="str">
        <f>""</f>
        <v/>
      </c>
      <c r="F1010" t="str">
        <f>"201705162054"</f>
        <v>201705162054</v>
      </c>
      <c r="G1010" t="str">
        <f>"FERAL HOGS"</f>
        <v>FERAL HOGS</v>
      </c>
      <c r="H1010" s="2">
        <v>50</v>
      </c>
      <c r="I1010" t="str">
        <f>"FERAL HOGS"</f>
        <v>FERAL HOGS</v>
      </c>
    </row>
    <row r="1011" spans="1:9" x14ac:dyDescent="0.3">
      <c r="A1011" t="str">
        <f>""</f>
        <v/>
      </c>
      <c r="F1011" t="str">
        <f>"201705162055"</f>
        <v>201705162055</v>
      </c>
      <c r="G1011" t="str">
        <f>"FERAL HOGS"</f>
        <v>FERAL HOGS</v>
      </c>
      <c r="H1011" s="2">
        <v>40</v>
      </c>
      <c r="I1011" t="str">
        <f>"FERAL HOGS"</f>
        <v>FERAL HOGS</v>
      </c>
    </row>
    <row r="1012" spans="1:9" x14ac:dyDescent="0.3">
      <c r="A1012" t="str">
        <f>"WEBSTE"</f>
        <v>WEBSTE</v>
      </c>
      <c r="B1012" t="s">
        <v>361</v>
      </c>
      <c r="C1012">
        <v>70519</v>
      </c>
      <c r="D1012" s="2">
        <v>6127.32</v>
      </c>
      <c r="E1012" s="1">
        <v>42877</v>
      </c>
      <c r="F1012" t="str">
        <f>"201705162018"</f>
        <v>201705162018</v>
      </c>
      <c r="G1012" t="str">
        <f>"ACCT 0200140783"</f>
        <v>ACCT 0200140783</v>
      </c>
      <c r="H1012" s="2">
        <v>6127.32</v>
      </c>
      <c r="I1012" t="str">
        <f>"ACCT 0200140783"</f>
        <v>ACCT 0200140783</v>
      </c>
    </row>
    <row r="1013" spans="1:9" x14ac:dyDescent="0.3">
      <c r="A1013" t="str">
        <f>""</f>
        <v/>
      </c>
      <c r="F1013" t="str">
        <f>""</f>
        <v/>
      </c>
      <c r="G1013" t="str">
        <f>""</f>
        <v/>
      </c>
      <c r="I1013" t="str">
        <f>"ACCT 0200140783"</f>
        <v>ACCT 0200140783</v>
      </c>
    </row>
    <row r="1014" spans="1:9" x14ac:dyDescent="0.3">
      <c r="A1014" t="str">
        <f>"001854"</f>
        <v>001854</v>
      </c>
      <c r="B1014" t="s">
        <v>362</v>
      </c>
      <c r="C1014">
        <v>70226</v>
      </c>
      <c r="D1014" s="2">
        <v>442</v>
      </c>
      <c r="E1014" s="1">
        <v>42863</v>
      </c>
      <c r="F1014" t="str">
        <f>"201705021639"</f>
        <v>201705021639</v>
      </c>
      <c r="G1014" t="str">
        <f>"CONTRACT LABOR/5-1/5-4-17/PCT4"</f>
        <v>CONTRACT LABOR/5-1/5-4-17/PCT4</v>
      </c>
      <c r="H1014" s="2">
        <v>221</v>
      </c>
      <c r="I1014" t="str">
        <f>"CONTRACT LABOR/5-1/5-4-17/PCT4"</f>
        <v>CONTRACT LABOR/5-1/5-4-17/PCT4</v>
      </c>
    </row>
    <row r="1015" spans="1:9" x14ac:dyDescent="0.3">
      <c r="A1015" t="str">
        <f>""</f>
        <v/>
      </c>
      <c r="F1015" t="str">
        <f>"201705021640"</f>
        <v>201705021640</v>
      </c>
      <c r="G1015" t="str">
        <f>"CONTRACT LABOR/4-24/4-27 PCT#4"</f>
        <v>CONTRACT LABOR/4-24/4-27 PCT#4</v>
      </c>
      <c r="H1015" s="2">
        <v>221</v>
      </c>
      <c r="I1015" t="str">
        <f>"CONTRACT LABOR/4-24/4-27 PCT#4"</f>
        <v>CONTRACT LABOR/4-24/4-27 PCT#4</v>
      </c>
    </row>
    <row r="1016" spans="1:9" x14ac:dyDescent="0.3">
      <c r="A1016" t="str">
        <f>"001854"</f>
        <v>001854</v>
      </c>
      <c r="B1016" t="s">
        <v>362</v>
      </c>
      <c r="C1016">
        <v>70520</v>
      </c>
      <c r="D1016" s="2">
        <v>435.5</v>
      </c>
      <c r="E1016" s="1">
        <v>42877</v>
      </c>
      <c r="F1016" t="str">
        <f>"201705162106"</f>
        <v>201705162106</v>
      </c>
      <c r="G1016" t="str">
        <f>"5/8/2017 - 5/18/2017"</f>
        <v>5/8/2017 - 5/18/2017</v>
      </c>
      <c r="H1016" s="2">
        <v>435.5</v>
      </c>
      <c r="I1016" t="str">
        <f>"5/8/2017 - 5/18/2017"</f>
        <v>5/8/2017 - 5/18/2017</v>
      </c>
    </row>
    <row r="1017" spans="1:9" x14ac:dyDescent="0.3">
      <c r="A1017" t="str">
        <f>"003795"</f>
        <v>003795</v>
      </c>
      <c r="B1017" t="s">
        <v>363</v>
      </c>
      <c r="C1017">
        <v>70227</v>
      </c>
      <c r="D1017" s="2">
        <v>34456.720000000001</v>
      </c>
      <c r="E1017" s="1">
        <v>42863</v>
      </c>
      <c r="F1017" t="str">
        <f>"IVC00034992"</f>
        <v>IVC00034992</v>
      </c>
      <c r="G1017" t="str">
        <f>"FINES &amp; FEES/1-1-17/3-31-17"</f>
        <v>FINES &amp; FEES/1-1-17/3-31-17</v>
      </c>
      <c r="H1017" s="2">
        <v>13125.05</v>
      </c>
      <c r="I1017" t="str">
        <f>"FINES &amp; FEES/1-1-17/3-31-17"</f>
        <v>FINES &amp; FEES/1-1-17/3-31-17</v>
      </c>
    </row>
    <row r="1018" spans="1:9" x14ac:dyDescent="0.3">
      <c r="A1018" t="str">
        <f>""</f>
        <v/>
      </c>
      <c r="F1018" t="str">
        <f>"IVC00034995"</f>
        <v>IVC00034995</v>
      </c>
      <c r="G1018" t="str">
        <f>"FINES 7 FEES 1-1-17/3-31-17"</f>
        <v>FINES 7 FEES 1-1-17/3-31-17</v>
      </c>
      <c r="H1018" s="2">
        <v>21331.67</v>
      </c>
      <c r="I1018" t="str">
        <f>"FINES 7 FEES 1-1-17/3-31-17"</f>
        <v>FINES 7 FEES 1-1-17/3-31-17</v>
      </c>
    </row>
    <row r="1019" spans="1:9" x14ac:dyDescent="0.3">
      <c r="A1019" t="str">
        <f>"PRD"</f>
        <v>PRD</v>
      </c>
      <c r="B1019" t="s">
        <v>364</v>
      </c>
      <c r="C1019">
        <v>70228</v>
      </c>
      <c r="D1019" s="2">
        <v>1087</v>
      </c>
      <c r="E1019" s="1">
        <v>42863</v>
      </c>
      <c r="F1019" t="str">
        <f>"201705031755"</f>
        <v>201705031755</v>
      </c>
      <c r="G1019" t="str">
        <f>"54977"</f>
        <v>54977</v>
      </c>
      <c r="H1019" s="2">
        <v>250</v>
      </c>
      <c r="I1019" t="str">
        <f>"54977"</f>
        <v>54977</v>
      </c>
    </row>
    <row r="1020" spans="1:9" x14ac:dyDescent="0.3">
      <c r="A1020" t="str">
        <f>""</f>
        <v/>
      </c>
      <c r="F1020" t="str">
        <f>"201705031756"</f>
        <v>201705031756</v>
      </c>
      <c r="G1020" t="str">
        <f>"16-17841"</f>
        <v>16-17841</v>
      </c>
      <c r="H1020" s="2">
        <v>572</v>
      </c>
      <c r="I1020" t="str">
        <f>"16-17841"</f>
        <v>16-17841</v>
      </c>
    </row>
    <row r="1021" spans="1:9" x14ac:dyDescent="0.3">
      <c r="A1021" t="str">
        <f>""</f>
        <v/>
      </c>
      <c r="F1021" t="str">
        <f>"201705031757"</f>
        <v>201705031757</v>
      </c>
      <c r="G1021" t="str">
        <f>"15-17400"</f>
        <v>15-17400</v>
      </c>
      <c r="H1021" s="2">
        <v>265</v>
      </c>
      <c r="I1021" t="str">
        <f>"15-17400"</f>
        <v>15-17400</v>
      </c>
    </row>
    <row r="1022" spans="1:9" x14ac:dyDescent="0.3">
      <c r="A1022" t="str">
        <f>"PRD"</f>
        <v>PRD</v>
      </c>
      <c r="B1022" t="s">
        <v>364</v>
      </c>
      <c r="C1022">
        <v>70521</v>
      </c>
      <c r="D1022" s="2">
        <v>350</v>
      </c>
      <c r="E1022" s="1">
        <v>42877</v>
      </c>
      <c r="F1022" t="str">
        <f>"201705172125"</f>
        <v>201705172125</v>
      </c>
      <c r="G1022" t="str">
        <f>"PHILIP R DUCLOUX jv detention"</f>
        <v>PHILIP R DUCLOUX jv detention</v>
      </c>
      <c r="H1022" s="2">
        <v>100</v>
      </c>
      <c r="I1022" t="str">
        <f>"PHILIP R DUCLOUX jv detention"</f>
        <v>PHILIP R DUCLOUX jv detention</v>
      </c>
    </row>
    <row r="1023" spans="1:9" x14ac:dyDescent="0.3">
      <c r="A1023" t="str">
        <f>""</f>
        <v/>
      </c>
      <c r="F1023" t="str">
        <f>"201705172191"</f>
        <v>201705172191</v>
      </c>
      <c r="G1023" t="str">
        <f>"55009"</f>
        <v>55009</v>
      </c>
      <c r="H1023" s="2">
        <v>250</v>
      </c>
      <c r="I1023" t="str">
        <f>"55009"</f>
        <v>55009</v>
      </c>
    </row>
    <row r="1024" spans="1:9" x14ac:dyDescent="0.3">
      <c r="A1024" t="str">
        <f>"PCAS"</f>
        <v>PCAS</v>
      </c>
      <c r="B1024" t="s">
        <v>365</v>
      </c>
      <c r="C1024">
        <v>70522</v>
      </c>
      <c r="D1024" s="2">
        <v>54</v>
      </c>
      <c r="E1024" s="1">
        <v>42877</v>
      </c>
      <c r="F1024" t="str">
        <f>"003110"</f>
        <v>003110</v>
      </c>
      <c r="G1024" t="str">
        <f>"STATE INSPECTION PCT#4"</f>
        <v>STATE INSPECTION PCT#4</v>
      </c>
      <c r="H1024" s="2">
        <v>40</v>
      </c>
      <c r="I1024" t="str">
        <f>"STATE INSPECTION PCT#4"</f>
        <v>STATE INSPECTION PCT#4</v>
      </c>
    </row>
    <row r="1025" spans="1:9" x14ac:dyDescent="0.3">
      <c r="A1025" t="str">
        <f>""</f>
        <v/>
      </c>
      <c r="F1025" t="str">
        <f>"201705162076"</f>
        <v>201705162076</v>
      </c>
      <c r="G1025" t="str">
        <f>"INV 003110 PCT 3"</f>
        <v>INV 003110 PCT 3</v>
      </c>
      <c r="H1025" s="2">
        <v>14</v>
      </c>
      <c r="I1025" t="str">
        <f>"INV 003110 PCT 3"</f>
        <v>INV 003110 PCT 3</v>
      </c>
    </row>
    <row r="1026" spans="1:9" x14ac:dyDescent="0.3">
      <c r="A1026" t="str">
        <f>"003293"</f>
        <v>003293</v>
      </c>
      <c r="B1026" t="s">
        <v>366</v>
      </c>
      <c r="C1026">
        <v>70229</v>
      </c>
      <c r="D1026" s="2">
        <v>375</v>
      </c>
      <c r="E1026" s="1">
        <v>42863</v>
      </c>
      <c r="F1026" t="str">
        <f>"201705031758"</f>
        <v>201705031758</v>
      </c>
      <c r="G1026" t="str">
        <f>"44.996  54.906"</f>
        <v>44.996  54.906</v>
      </c>
      <c r="H1026" s="2">
        <v>375</v>
      </c>
      <c r="I1026" t="str">
        <f>"44.996  54.906"</f>
        <v>44.996  54.906</v>
      </c>
    </row>
    <row r="1027" spans="1:9" x14ac:dyDescent="0.3">
      <c r="A1027" t="str">
        <f>"003293"</f>
        <v>003293</v>
      </c>
      <c r="B1027" t="s">
        <v>366</v>
      </c>
      <c r="C1027">
        <v>70523</v>
      </c>
      <c r="D1027" s="2">
        <v>6966.25</v>
      </c>
      <c r="E1027" s="1">
        <v>42877</v>
      </c>
      <c r="F1027" t="str">
        <f>"201705172128"</f>
        <v>201705172128</v>
      </c>
      <c r="G1027" t="str">
        <f>"CASE 16-17765"</f>
        <v>CASE 16-17765</v>
      </c>
      <c r="H1027" s="2">
        <v>640</v>
      </c>
      <c r="I1027" t="str">
        <f>"CASE 16-17765"</f>
        <v>CASE 16-17765</v>
      </c>
    </row>
    <row r="1028" spans="1:9" x14ac:dyDescent="0.3">
      <c r="A1028" t="str">
        <f>""</f>
        <v/>
      </c>
      <c r="F1028" t="str">
        <f>"201705172129"</f>
        <v>201705172129</v>
      </c>
      <c r="G1028" t="str">
        <f>"CASE 16-17944"</f>
        <v>CASE 16-17944</v>
      </c>
      <c r="H1028" s="2">
        <v>430</v>
      </c>
      <c r="I1028" t="str">
        <f>"CASE 16-17944"</f>
        <v>CASE 16-17944</v>
      </c>
    </row>
    <row r="1029" spans="1:9" x14ac:dyDescent="0.3">
      <c r="A1029" t="str">
        <f>""</f>
        <v/>
      </c>
      <c r="F1029" t="str">
        <f>"201705172130"</f>
        <v>201705172130</v>
      </c>
      <c r="G1029" t="str">
        <f>"CASE 16-7760"</f>
        <v>CASE 16-7760</v>
      </c>
      <c r="H1029" s="2">
        <v>857.5</v>
      </c>
      <c r="I1029" t="str">
        <f>"CASE 16-7760"</f>
        <v>CASE 16-7760</v>
      </c>
    </row>
    <row r="1030" spans="1:9" x14ac:dyDescent="0.3">
      <c r="A1030" t="str">
        <f>""</f>
        <v/>
      </c>
      <c r="F1030" t="str">
        <f>"201705172131"</f>
        <v>201705172131</v>
      </c>
      <c r="G1030" t="str">
        <f>"CASE 16-17910"</f>
        <v>CASE 16-17910</v>
      </c>
      <c r="H1030" s="2">
        <v>945</v>
      </c>
      <c r="I1030" t="str">
        <f>"CASE 16-17910"</f>
        <v>CASE 16-17910</v>
      </c>
    </row>
    <row r="1031" spans="1:9" x14ac:dyDescent="0.3">
      <c r="A1031" t="str">
        <f>""</f>
        <v/>
      </c>
      <c r="F1031" t="str">
        <f>"201705172132"</f>
        <v>201705172132</v>
      </c>
      <c r="G1031" t="str">
        <f>"CASE 16-17894"</f>
        <v>CASE 16-17894</v>
      </c>
      <c r="H1031" s="2">
        <v>595</v>
      </c>
      <c r="I1031" t="str">
        <f>"CASE 16-17894"</f>
        <v>CASE 16-17894</v>
      </c>
    </row>
    <row r="1032" spans="1:9" x14ac:dyDescent="0.3">
      <c r="A1032" t="str">
        <f>""</f>
        <v/>
      </c>
      <c r="F1032" t="str">
        <f>"201705172147"</f>
        <v>201705172147</v>
      </c>
      <c r="G1032" t="str">
        <f>"CASE 54 787 55 056"</f>
        <v>CASE 54 787 55 056</v>
      </c>
      <c r="H1032" s="2">
        <v>375</v>
      </c>
      <c r="I1032" t="str">
        <f>"CASE 54 787 55 056"</f>
        <v>CASE 54 787 55 056</v>
      </c>
    </row>
    <row r="1033" spans="1:9" x14ac:dyDescent="0.3">
      <c r="A1033" t="str">
        <f>""</f>
        <v/>
      </c>
      <c r="F1033" t="str">
        <f>"201705172148"</f>
        <v>201705172148</v>
      </c>
      <c r="G1033" t="str">
        <f>"CASE 16-17765"</f>
        <v>CASE 16-17765</v>
      </c>
      <c r="H1033" s="2">
        <v>362.5</v>
      </c>
      <c r="I1033" t="str">
        <f>"CASE 16-17765"</f>
        <v>CASE 16-17765</v>
      </c>
    </row>
    <row r="1034" spans="1:9" x14ac:dyDescent="0.3">
      <c r="A1034" t="str">
        <f>""</f>
        <v/>
      </c>
      <c r="F1034" t="str">
        <f>"201705172149"</f>
        <v>201705172149</v>
      </c>
      <c r="G1034" t="str">
        <f>"CASE 15-17180"</f>
        <v>CASE 15-17180</v>
      </c>
      <c r="H1034" s="2">
        <v>355</v>
      </c>
      <c r="I1034" t="str">
        <f>"CASE 15-17180"</f>
        <v>CASE 15-17180</v>
      </c>
    </row>
    <row r="1035" spans="1:9" x14ac:dyDescent="0.3">
      <c r="A1035" t="str">
        <f>""</f>
        <v/>
      </c>
      <c r="F1035" t="str">
        <f>"201705172150"</f>
        <v>201705172150</v>
      </c>
      <c r="G1035" t="str">
        <f>"CASE 16-17709"</f>
        <v>CASE 16-17709</v>
      </c>
      <c r="H1035" s="2">
        <v>265</v>
      </c>
      <c r="I1035" t="str">
        <f>"CASE 16-17709"</f>
        <v>CASE 16-17709</v>
      </c>
    </row>
    <row r="1036" spans="1:9" x14ac:dyDescent="0.3">
      <c r="A1036" t="str">
        <f>""</f>
        <v/>
      </c>
      <c r="F1036" t="str">
        <f>"201705172151"</f>
        <v>201705172151</v>
      </c>
      <c r="G1036" t="str">
        <f>"CASE 16-17698"</f>
        <v>CASE 16-17698</v>
      </c>
      <c r="H1036" s="2">
        <v>220</v>
      </c>
      <c r="I1036" t="str">
        <f>"CASE 16-17698"</f>
        <v>CASE 16-17698</v>
      </c>
    </row>
    <row r="1037" spans="1:9" x14ac:dyDescent="0.3">
      <c r="A1037" t="str">
        <f>""</f>
        <v/>
      </c>
      <c r="F1037" t="str">
        <f>"201705172152"</f>
        <v>201705172152</v>
      </c>
      <c r="G1037" t="str">
        <f>"CASE 15-17400"</f>
        <v>CASE 15-17400</v>
      </c>
      <c r="H1037" s="2">
        <v>360</v>
      </c>
      <c r="I1037" t="str">
        <f>"CASE 15-17400"</f>
        <v>CASE 15-17400</v>
      </c>
    </row>
    <row r="1038" spans="1:9" x14ac:dyDescent="0.3">
      <c r="A1038" t="str">
        <f>""</f>
        <v/>
      </c>
      <c r="F1038" t="str">
        <f>"201705172153"</f>
        <v>201705172153</v>
      </c>
      <c r="G1038" t="str">
        <f>"CASE 16-17944"</f>
        <v>CASE 16-17944</v>
      </c>
      <c r="H1038" s="2">
        <v>127.5</v>
      </c>
      <c r="I1038" t="str">
        <f>"CASE 16-17944"</f>
        <v>CASE 16-17944</v>
      </c>
    </row>
    <row r="1039" spans="1:9" x14ac:dyDescent="0.3">
      <c r="A1039" t="str">
        <f>""</f>
        <v/>
      </c>
      <c r="F1039" t="str">
        <f>"201705172154"</f>
        <v>201705172154</v>
      </c>
      <c r="G1039" t="str">
        <f>"CASE 17-18120"</f>
        <v>CASE 17-18120</v>
      </c>
      <c r="H1039" s="2">
        <v>385</v>
      </c>
      <c r="I1039" t="str">
        <f>"CASE 17-18120"</f>
        <v>CASE 17-18120</v>
      </c>
    </row>
    <row r="1040" spans="1:9" x14ac:dyDescent="0.3">
      <c r="A1040" t="str">
        <f>""</f>
        <v/>
      </c>
      <c r="F1040" t="str">
        <f>"201705172155"</f>
        <v>201705172155</v>
      </c>
      <c r="G1040" t="str">
        <f>"CASE 16-17969"</f>
        <v>CASE 16-17969</v>
      </c>
      <c r="H1040" s="2">
        <v>82.5</v>
      </c>
      <c r="I1040" t="str">
        <f>"CASE 16-17969"</f>
        <v>CASE 16-17969</v>
      </c>
    </row>
    <row r="1041" spans="1:9" x14ac:dyDescent="0.3">
      <c r="A1041" t="str">
        <f>""</f>
        <v/>
      </c>
      <c r="F1041" t="str">
        <f>"201705172156"</f>
        <v>201705172156</v>
      </c>
      <c r="G1041" t="str">
        <f>"CASE 15-17277"</f>
        <v>CASE 15-17277</v>
      </c>
      <c r="H1041" s="2">
        <v>37.5</v>
      </c>
      <c r="I1041" t="str">
        <f>"CASE 15-17277"</f>
        <v>CASE 15-17277</v>
      </c>
    </row>
    <row r="1042" spans="1:9" x14ac:dyDescent="0.3">
      <c r="A1042" t="str">
        <f>""</f>
        <v/>
      </c>
      <c r="F1042" t="str">
        <f>"201705172157"</f>
        <v>201705172157</v>
      </c>
      <c r="G1042" t="str">
        <f>"CASE 15-17111"</f>
        <v>CASE 15-17111</v>
      </c>
      <c r="H1042" s="2">
        <v>22.5</v>
      </c>
      <c r="I1042" t="str">
        <f>"CASE 15-17111"</f>
        <v>CASE 15-17111</v>
      </c>
    </row>
    <row r="1043" spans="1:9" x14ac:dyDescent="0.3">
      <c r="A1043" t="str">
        <f>""</f>
        <v/>
      </c>
      <c r="F1043" t="str">
        <f>"201705172158"</f>
        <v>201705172158</v>
      </c>
      <c r="G1043" t="str">
        <f>"CASE 15-17400"</f>
        <v>CASE 15-17400</v>
      </c>
      <c r="H1043" s="2">
        <v>30</v>
      </c>
      <c r="I1043" t="str">
        <f>"CASE 15-17400"</f>
        <v>CASE 15-17400</v>
      </c>
    </row>
    <row r="1044" spans="1:9" x14ac:dyDescent="0.3">
      <c r="A1044" t="str">
        <f>""</f>
        <v/>
      </c>
      <c r="F1044" t="str">
        <f>"201705172159"</f>
        <v>201705172159</v>
      </c>
      <c r="G1044" t="str">
        <f>"CASE 15-17277"</f>
        <v>CASE 15-17277</v>
      </c>
      <c r="H1044" s="2">
        <v>251.25</v>
      </c>
      <c r="I1044" t="str">
        <f>"CASE 15-17277"</f>
        <v>CASE 15-17277</v>
      </c>
    </row>
    <row r="1045" spans="1:9" x14ac:dyDescent="0.3">
      <c r="A1045" t="str">
        <f>""</f>
        <v/>
      </c>
      <c r="F1045" t="str">
        <f>"201705172160"</f>
        <v>201705172160</v>
      </c>
      <c r="G1045" t="str">
        <f>"CASE 16-17709"</f>
        <v>CASE 16-17709</v>
      </c>
      <c r="H1045" s="2">
        <v>82.5</v>
      </c>
      <c r="I1045" t="str">
        <f>"CASE 16-17709"</f>
        <v>CASE 16-17709</v>
      </c>
    </row>
    <row r="1046" spans="1:9" x14ac:dyDescent="0.3">
      <c r="A1046" t="str">
        <f>""</f>
        <v/>
      </c>
      <c r="F1046" t="str">
        <f>"201705172161"</f>
        <v>201705172161</v>
      </c>
      <c r="G1046" t="str">
        <f>"CASE 16-17894"</f>
        <v>CASE 16-17894</v>
      </c>
      <c r="H1046" s="2">
        <v>210</v>
      </c>
      <c r="I1046" t="str">
        <f>"CASE 16-17894"</f>
        <v>CASE 16-17894</v>
      </c>
    </row>
    <row r="1047" spans="1:9" x14ac:dyDescent="0.3">
      <c r="A1047" t="str">
        <f>""</f>
        <v/>
      </c>
      <c r="F1047" t="str">
        <f>"201705172162"</f>
        <v>201705172162</v>
      </c>
      <c r="G1047" t="str">
        <f>"CASE 16-17969"</f>
        <v>CASE 16-17969</v>
      </c>
      <c r="H1047" s="2">
        <v>332.5</v>
      </c>
      <c r="I1047" t="str">
        <f>"CASE 16-17969"</f>
        <v>CASE 16-17969</v>
      </c>
    </row>
    <row r="1048" spans="1:9" x14ac:dyDescent="0.3">
      <c r="A1048" t="str">
        <f>"POST"</f>
        <v>POST</v>
      </c>
      <c r="B1048" t="s">
        <v>367</v>
      </c>
      <c r="C1048">
        <v>70524</v>
      </c>
      <c r="D1048" s="2">
        <v>1004</v>
      </c>
      <c r="E1048" s="1">
        <v>42877</v>
      </c>
      <c r="F1048" t="str">
        <f>"10000"</f>
        <v>10000</v>
      </c>
      <c r="G1048" t="str">
        <f>"BRM PERMIT #10000"</f>
        <v>BRM PERMIT #10000</v>
      </c>
      <c r="H1048" s="2">
        <v>225</v>
      </c>
      <c r="I1048" t="str">
        <f>"BRM PERMIT #10000"</f>
        <v>BRM PERMIT #10000</v>
      </c>
    </row>
    <row r="1049" spans="1:9" x14ac:dyDescent="0.3">
      <c r="A1049" t="str">
        <f>""</f>
        <v/>
      </c>
      <c r="F1049" t="str">
        <f>"201705121935"</f>
        <v>201705121935</v>
      </c>
      <c r="G1049" t="str">
        <f>"P O BOX 336 JP1"</f>
        <v>P O BOX 336 JP1</v>
      </c>
      <c r="H1049" s="2">
        <v>94</v>
      </c>
      <c r="I1049" t="str">
        <f>"P O BOX 336 JP1"</f>
        <v>P O BOX 336 JP1</v>
      </c>
    </row>
    <row r="1050" spans="1:9" x14ac:dyDescent="0.3">
      <c r="A1050" t="str">
        <f>""</f>
        <v/>
      </c>
      <c r="F1050" t="str">
        <f>"201705121939"</f>
        <v>201705121939</v>
      </c>
      <c r="G1050" t="str">
        <f>"BRM ANNUAL MAINT ELECTIONS"</f>
        <v>BRM ANNUAL MAINT ELECTIONS</v>
      </c>
      <c r="H1050" s="2">
        <v>685</v>
      </c>
      <c r="I1050" t="str">
        <f>"BRM ANNUAL MAINT ELECTIONS"</f>
        <v>BRM ANNUAL MAINT ELECTIONS</v>
      </c>
    </row>
    <row r="1051" spans="1:9" x14ac:dyDescent="0.3">
      <c r="A1051" t="str">
        <f>"T11244"</f>
        <v>T11244</v>
      </c>
      <c r="B1051" t="s">
        <v>368</v>
      </c>
      <c r="C1051">
        <v>70230</v>
      </c>
      <c r="D1051" s="2">
        <v>181</v>
      </c>
      <c r="E1051" s="1">
        <v>42863</v>
      </c>
      <c r="F1051" t="str">
        <f>"I067278"</f>
        <v>I067278</v>
      </c>
      <c r="G1051" t="str">
        <f>"W060043/PCT#4"</f>
        <v>W060043/PCT#4</v>
      </c>
      <c r="H1051" s="2">
        <v>181</v>
      </c>
      <c r="I1051" t="str">
        <f>"W060043/PCT#4"</f>
        <v>W060043/PCT#4</v>
      </c>
    </row>
    <row r="1052" spans="1:9" x14ac:dyDescent="0.3">
      <c r="A1052" t="str">
        <f>"002297"</f>
        <v>002297</v>
      </c>
      <c r="B1052" t="s">
        <v>369</v>
      </c>
      <c r="C1052">
        <v>70525</v>
      </c>
      <c r="D1052" s="2">
        <v>1525</v>
      </c>
      <c r="E1052" s="1">
        <v>42877</v>
      </c>
      <c r="F1052" t="str">
        <f>"2017048"</f>
        <v>2017048</v>
      </c>
      <c r="G1052" t="str">
        <f>"J VELASQUEZ"</f>
        <v>J VELASQUEZ</v>
      </c>
      <c r="H1052" s="2">
        <v>695</v>
      </c>
      <c r="I1052" t="str">
        <f>"J VELASQUEZ"</f>
        <v>J VELASQUEZ</v>
      </c>
    </row>
    <row r="1053" spans="1:9" x14ac:dyDescent="0.3">
      <c r="A1053" t="str">
        <f>""</f>
        <v/>
      </c>
      <c r="F1053" t="str">
        <f>"2017052"</f>
        <v>2017052</v>
      </c>
      <c r="G1053" t="str">
        <f>"T MOORE"</f>
        <v>T MOORE</v>
      </c>
      <c r="H1053" s="2">
        <v>535</v>
      </c>
      <c r="I1053" t="str">
        <f>"T MOORE"</f>
        <v>T MOORE</v>
      </c>
    </row>
    <row r="1054" spans="1:9" x14ac:dyDescent="0.3">
      <c r="A1054" t="str">
        <f>""</f>
        <v/>
      </c>
      <c r="F1054" t="str">
        <f>"2017053"</f>
        <v>2017053</v>
      </c>
      <c r="G1054" t="str">
        <f>"F RESENDEZ"</f>
        <v>F RESENDEZ</v>
      </c>
      <c r="H1054" s="2">
        <v>295</v>
      </c>
      <c r="I1054" t="str">
        <f>"F RESENDEZ"</f>
        <v>F RESENDEZ</v>
      </c>
    </row>
    <row r="1055" spans="1:9" x14ac:dyDescent="0.3">
      <c r="A1055" t="str">
        <f>"T11156"</f>
        <v>T11156</v>
      </c>
      <c r="B1055" t="s">
        <v>370</v>
      </c>
      <c r="C1055">
        <v>70231</v>
      </c>
      <c r="D1055" s="2">
        <v>115.76</v>
      </c>
      <c r="E1055" s="1">
        <v>42863</v>
      </c>
      <c r="F1055" t="str">
        <f>"201705031681"</f>
        <v>201705031681</v>
      </c>
      <c r="G1055" t="str">
        <f>"INDIGENT HEALTH"</f>
        <v>INDIGENT HEALTH</v>
      </c>
      <c r="H1055" s="2">
        <v>115.76</v>
      </c>
      <c r="I1055" t="str">
        <f>"INDIGENT HEALTH"</f>
        <v>INDIGENT HEALTH</v>
      </c>
    </row>
    <row r="1056" spans="1:9" x14ac:dyDescent="0.3">
      <c r="A1056" t="str">
        <f>"T3233"</f>
        <v>T3233</v>
      </c>
      <c r="B1056" t="s">
        <v>371</v>
      </c>
      <c r="C1056">
        <v>70232</v>
      </c>
      <c r="D1056" s="2">
        <v>179.95</v>
      </c>
      <c r="E1056" s="1">
        <v>42863</v>
      </c>
      <c r="F1056" t="str">
        <f>"6100104"</f>
        <v>6100104</v>
      </c>
      <c r="G1056" t="str">
        <f>"INV 6100104"</f>
        <v>INV 6100104</v>
      </c>
      <c r="H1056" s="2">
        <v>179.95</v>
      </c>
      <c r="I1056" t="str">
        <f>"INV 6100104"</f>
        <v>INV 6100104</v>
      </c>
    </row>
    <row r="1057" spans="1:9" x14ac:dyDescent="0.3">
      <c r="A1057" t="str">
        <f>"T3233"</f>
        <v>T3233</v>
      </c>
      <c r="B1057" t="s">
        <v>371</v>
      </c>
      <c r="C1057">
        <v>70526</v>
      </c>
      <c r="D1057" s="2">
        <v>1224.8699999999999</v>
      </c>
      <c r="E1057" s="1">
        <v>42877</v>
      </c>
      <c r="F1057" t="str">
        <f>"201705172250"</f>
        <v>201705172250</v>
      </c>
      <c r="G1057" t="str">
        <f>"ORDER #102624511"</f>
        <v>ORDER #102624511</v>
      </c>
      <c r="H1057" s="2">
        <v>372.48</v>
      </c>
      <c r="I1057" t="str">
        <f>"ORDER #102624511"</f>
        <v>ORDER #102624511</v>
      </c>
    </row>
    <row r="1058" spans="1:9" x14ac:dyDescent="0.3">
      <c r="A1058" t="str">
        <f>""</f>
        <v/>
      </c>
      <c r="F1058" t="str">
        <f>"6173467 6437661"</f>
        <v>6173467 6437661</v>
      </c>
      <c r="G1058" t="str">
        <f>"INV6173467/6437661"</f>
        <v>INV6173467/6437661</v>
      </c>
      <c r="H1058" s="2">
        <v>316.38</v>
      </c>
      <c r="I1058" t="str">
        <f>"INV6173467/6437661"</f>
        <v>INV6173467/6437661</v>
      </c>
    </row>
    <row r="1059" spans="1:9" x14ac:dyDescent="0.3">
      <c r="A1059" t="str">
        <f>""</f>
        <v/>
      </c>
      <c r="F1059" t="str">
        <f>""</f>
        <v/>
      </c>
      <c r="G1059" t="str">
        <f>""</f>
        <v/>
      </c>
      <c r="I1059" t="str">
        <f>"INV6173467/6437661"</f>
        <v>INV6173467/6437661</v>
      </c>
    </row>
    <row r="1060" spans="1:9" x14ac:dyDescent="0.3">
      <c r="A1060" t="str">
        <f>""</f>
        <v/>
      </c>
      <c r="F1060" t="str">
        <f>"6352176"</f>
        <v>6352176</v>
      </c>
      <c r="G1060" t="str">
        <f>"ORDER #102425155"</f>
        <v>ORDER #102425155</v>
      </c>
      <c r="H1060" s="2">
        <v>273.01</v>
      </c>
      <c r="I1060" t="str">
        <f>"INV 6352176"</f>
        <v>INV 6352176</v>
      </c>
    </row>
    <row r="1061" spans="1:9" x14ac:dyDescent="0.3">
      <c r="A1061" t="str">
        <f>""</f>
        <v/>
      </c>
      <c r="F1061" t="str">
        <f>""</f>
        <v/>
      </c>
      <c r="G1061" t="str">
        <f>""</f>
        <v/>
      </c>
      <c r="I1061" t="str">
        <f>"INV 6357598"</f>
        <v>INV 6357598</v>
      </c>
    </row>
    <row r="1062" spans="1:9" x14ac:dyDescent="0.3">
      <c r="A1062" t="str">
        <f>""</f>
        <v/>
      </c>
      <c r="F1062" t="str">
        <f>""</f>
        <v/>
      </c>
      <c r="G1062" t="str">
        <f>""</f>
        <v/>
      </c>
      <c r="I1062" t="str">
        <f>"INV 6363894"</f>
        <v>INV 6363894</v>
      </c>
    </row>
    <row r="1063" spans="1:9" x14ac:dyDescent="0.3">
      <c r="A1063" t="str">
        <f>""</f>
        <v/>
      </c>
      <c r="F1063" t="str">
        <f>""</f>
        <v/>
      </c>
      <c r="G1063" t="str">
        <f>""</f>
        <v/>
      </c>
      <c r="I1063" t="str">
        <f>"INV 6378564"</f>
        <v>INV 6378564</v>
      </c>
    </row>
    <row r="1064" spans="1:9" x14ac:dyDescent="0.3">
      <c r="A1064" t="str">
        <f>""</f>
        <v/>
      </c>
      <c r="F1064" t="str">
        <f>""</f>
        <v/>
      </c>
      <c r="G1064" t="str">
        <f>""</f>
        <v/>
      </c>
      <c r="I1064" t="str">
        <f>"INV 6400559"</f>
        <v>INV 6400559</v>
      </c>
    </row>
    <row r="1065" spans="1:9" x14ac:dyDescent="0.3">
      <c r="A1065" t="str">
        <f>""</f>
        <v/>
      </c>
      <c r="F1065" t="str">
        <f>"6393852"</f>
        <v>6393852</v>
      </c>
      <c r="G1065" t="str">
        <f>"INV6393852/6396479"</f>
        <v>INV6393852/6396479</v>
      </c>
      <c r="H1065" s="2">
        <v>248.57</v>
      </c>
      <c r="I1065" t="str">
        <f>"INV6393852/6396479"</f>
        <v>INV6393852/6396479</v>
      </c>
    </row>
    <row r="1066" spans="1:9" x14ac:dyDescent="0.3">
      <c r="A1066" t="str">
        <f>""</f>
        <v/>
      </c>
      <c r="F1066" t="str">
        <f>"639647952"</f>
        <v>639647952</v>
      </c>
      <c r="G1066" t="str">
        <f>"INV6393852/6396479"</f>
        <v>INV6393852/6396479</v>
      </c>
      <c r="H1066" s="2">
        <v>14.43</v>
      </c>
      <c r="I1066" t="str">
        <f>"INV6393852/6396479"</f>
        <v>INV6393852/6396479</v>
      </c>
    </row>
    <row r="1067" spans="1:9" x14ac:dyDescent="0.3">
      <c r="A1067" t="str">
        <f>"000303"</f>
        <v>000303</v>
      </c>
      <c r="B1067" t="s">
        <v>372</v>
      </c>
      <c r="C1067">
        <v>70527</v>
      </c>
      <c r="D1067" s="2">
        <v>1169.5899999999999</v>
      </c>
      <c r="E1067" s="1">
        <v>42877</v>
      </c>
      <c r="F1067" t="str">
        <f>"201705172263"</f>
        <v>201705172263</v>
      </c>
      <c r="G1067" t="str">
        <f>"RACHEL A BAUER REIM CO TRUCK"</f>
        <v>RACHEL A BAUER REIM CO TRUCK</v>
      </c>
      <c r="H1067" s="2">
        <v>59.39</v>
      </c>
      <c r="I1067" t="str">
        <f>"RACHEL A BAUER REIM CO TRUCK"</f>
        <v>RACHEL A BAUER REIM CO TRUCK</v>
      </c>
    </row>
    <row r="1068" spans="1:9" x14ac:dyDescent="0.3">
      <c r="A1068" t="str">
        <f>""</f>
        <v/>
      </c>
      <c r="F1068" t="str">
        <f>"201705172265"</f>
        <v>201705172265</v>
      </c>
      <c r="G1068" t="str">
        <f>"RACHEL A BAUER MILEAGE REIM"</f>
        <v>RACHEL A BAUER MILEAGE REIM</v>
      </c>
      <c r="H1068" s="2">
        <v>300.67</v>
      </c>
      <c r="I1068" t="str">
        <f>"RACHEL A BAUER MILEAGE REIM"</f>
        <v>RACHEL A BAUER MILEAGE REIM</v>
      </c>
    </row>
    <row r="1069" spans="1:9" x14ac:dyDescent="0.3">
      <c r="A1069" t="str">
        <f>""</f>
        <v/>
      </c>
      <c r="F1069" t="str">
        <f>"201705172266"</f>
        <v>201705172266</v>
      </c>
      <c r="G1069" t="str">
        <f>"REIM HOUSTON LIVESTOCK 4H"</f>
        <v>REIM HOUSTON LIVESTOCK 4H</v>
      </c>
      <c r="H1069" s="2">
        <v>313.29000000000002</v>
      </c>
      <c r="I1069" t="str">
        <f>"REIM HOUSTON LIVESTOCK 4H"</f>
        <v>REIM HOUSTON LIVESTOCK 4H</v>
      </c>
    </row>
    <row r="1070" spans="1:9" x14ac:dyDescent="0.3">
      <c r="A1070" t="str">
        <f>""</f>
        <v/>
      </c>
      <c r="F1070" t="str">
        <f>"201705172267"</f>
        <v>201705172267</v>
      </c>
      <c r="G1070" t="str">
        <f>"TX COUNTY MEETING BROWNWOOD"</f>
        <v>TX COUNTY MEETING BROWNWOOD</v>
      </c>
      <c r="H1070" s="2">
        <v>119.26</v>
      </c>
      <c r="I1070" t="str">
        <f>"TX COUNTY MEETING BROWNWOOD"</f>
        <v>TX COUNTY MEETING BROWNWOOD</v>
      </c>
    </row>
    <row r="1071" spans="1:9" x14ac:dyDescent="0.3">
      <c r="A1071" t="str">
        <f>""</f>
        <v/>
      </c>
      <c r="F1071" t="str">
        <f>"201705172268"</f>
        <v>201705172268</v>
      </c>
      <c r="G1071" t="str">
        <f>"DIST 10 SPRING FREDERICKSBURG"</f>
        <v>DIST 10 SPRING FREDERICKSBURG</v>
      </c>
      <c r="H1071" s="2">
        <v>265.52999999999997</v>
      </c>
      <c r="I1071" t="str">
        <f>"DIST 10 SPRING FREDERICKSBURG"</f>
        <v>DIST 10 SPRING FREDERICKSBURG</v>
      </c>
    </row>
    <row r="1072" spans="1:9" x14ac:dyDescent="0.3">
      <c r="A1072" t="str">
        <f>""</f>
        <v/>
      </c>
      <c r="F1072" t="str">
        <f>"201705172269"</f>
        <v>201705172269</v>
      </c>
      <c r="G1072" t="str">
        <f>"DIST 10 TCAAA BANDERA"</f>
        <v>DIST 10 TCAAA BANDERA</v>
      </c>
      <c r="H1072" s="2">
        <v>66.45</v>
      </c>
      <c r="I1072" t="str">
        <f>"DIST 10 TCAAA BANDERA"</f>
        <v>DIST 10 TCAAA BANDERA</v>
      </c>
    </row>
    <row r="1073" spans="1:9" x14ac:dyDescent="0.3">
      <c r="A1073" t="str">
        <f>""</f>
        <v/>
      </c>
      <c r="F1073" t="str">
        <f>"201705172270"</f>
        <v>201705172270</v>
      </c>
      <c r="G1073" t="str">
        <f>"STATE 4 H COLLEGE STATION"</f>
        <v>STATE 4 H COLLEGE STATION</v>
      </c>
      <c r="H1073" s="2">
        <v>45</v>
      </c>
      <c r="I1073" t="str">
        <f>"STATE 4 H COLLEGE STATION"</f>
        <v>STATE 4 H COLLEGE STATION</v>
      </c>
    </row>
    <row r="1074" spans="1:9" x14ac:dyDescent="0.3">
      <c r="A1074" t="str">
        <f>"005024"</f>
        <v>005024</v>
      </c>
      <c r="B1074" t="s">
        <v>373</v>
      </c>
      <c r="C1074">
        <v>70528</v>
      </c>
      <c r="D1074" s="2">
        <v>75</v>
      </c>
      <c r="E1074" s="1">
        <v>42877</v>
      </c>
      <c r="F1074" t="str">
        <f>"201705162056"</f>
        <v>201705162056</v>
      </c>
      <c r="G1074" t="str">
        <f>"FERAL HOGS"</f>
        <v>FERAL HOGS</v>
      </c>
      <c r="H1074" s="2">
        <v>75</v>
      </c>
      <c r="I1074" t="str">
        <f>"FERAL HOGS"</f>
        <v>FERAL HOGS</v>
      </c>
    </row>
    <row r="1075" spans="1:9" x14ac:dyDescent="0.3">
      <c r="A1075" t="str">
        <f>"000591"</f>
        <v>000591</v>
      </c>
      <c r="B1075" t="s">
        <v>374</v>
      </c>
      <c r="C1075">
        <v>70233</v>
      </c>
      <c r="D1075" s="2">
        <v>138.34</v>
      </c>
      <c r="E1075" s="1">
        <v>42863</v>
      </c>
      <c r="F1075" t="str">
        <f>"07D0121569859"</f>
        <v>07D0121569859</v>
      </c>
      <c r="G1075" t="str">
        <f>"ACCT#0121569859/JP#4"</f>
        <v>ACCT#0121569859/JP#4</v>
      </c>
      <c r="H1075" s="2">
        <v>38.5</v>
      </c>
      <c r="I1075" t="str">
        <f>"ACCT#0121569859/JP#4"</f>
        <v>ACCT#0121569859/JP#4</v>
      </c>
    </row>
    <row r="1076" spans="1:9" x14ac:dyDescent="0.3">
      <c r="A1076" t="str">
        <f>""</f>
        <v/>
      </c>
      <c r="F1076" t="str">
        <f>"07D0121587851"</f>
        <v>07D0121587851</v>
      </c>
      <c r="G1076" t="str">
        <f>"ACCT#0121587851/PCT#4"</f>
        <v>ACCT#0121587851/PCT#4</v>
      </c>
      <c r="H1076" s="2">
        <v>99.84</v>
      </c>
      <c r="I1076" t="str">
        <f>"ACCT#0121587851/PCT#4"</f>
        <v>ACCT#0121587851/PCT#4</v>
      </c>
    </row>
    <row r="1077" spans="1:9" x14ac:dyDescent="0.3">
      <c r="A1077" t="str">
        <f>"003847"</f>
        <v>003847</v>
      </c>
      <c r="B1077" t="s">
        <v>375</v>
      </c>
      <c r="C1077">
        <v>70529</v>
      </c>
      <c r="D1077" s="2">
        <v>3400</v>
      </c>
      <c r="E1077" s="1">
        <v>42877</v>
      </c>
      <c r="F1077" t="str">
        <f>"015-17"</f>
        <v>015-17</v>
      </c>
      <c r="G1077" t="str">
        <f>"APPRAISAL OFFICE WAREHOUSE"</f>
        <v>APPRAISAL OFFICE WAREHOUSE</v>
      </c>
      <c r="H1077" s="2">
        <v>3000</v>
      </c>
      <c r="I1077" t="str">
        <f>"APPRAISAL OFFICE WAREHOUSE"</f>
        <v>APPRAISAL OFFICE WAREHOUSE</v>
      </c>
    </row>
    <row r="1078" spans="1:9" x14ac:dyDescent="0.3">
      <c r="A1078" t="str">
        <f>""</f>
        <v/>
      </c>
      <c r="F1078" t="str">
        <f>"201705162087"</f>
        <v>201705162087</v>
      </c>
      <c r="G1078" t="str">
        <f>"FILE NUM 016-17 PCT 3 FOHN"</f>
        <v>FILE NUM 016-17 PCT 3 FOHN</v>
      </c>
      <c r="H1078" s="2">
        <v>400</v>
      </c>
      <c r="I1078" t="str">
        <f>"FILE NUM 016-17 PCT 3 FOHN"</f>
        <v>FILE NUM 016-17 PCT 3 FOHN</v>
      </c>
    </row>
    <row r="1079" spans="1:9" x14ac:dyDescent="0.3">
      <c r="A1079" t="str">
        <f>"003737"</f>
        <v>003737</v>
      </c>
      <c r="B1079" t="s">
        <v>376</v>
      </c>
      <c r="C1079">
        <v>70324</v>
      </c>
      <c r="D1079" s="2">
        <v>1634.4</v>
      </c>
      <c r="E1079" s="1">
        <v>42870</v>
      </c>
      <c r="F1079" t="str">
        <f>"0843-001325937"</f>
        <v>0843-001325937</v>
      </c>
      <c r="G1079" t="str">
        <f>"ACCT #3-0843-0017094"</f>
        <v>ACCT #3-0843-0017094</v>
      </c>
      <c r="H1079" s="2">
        <v>1634.4</v>
      </c>
      <c r="I1079" t="str">
        <f>"ACCT #3-0843-0017094"</f>
        <v>ACCT #3-0843-0017094</v>
      </c>
    </row>
    <row r="1080" spans="1:9" x14ac:dyDescent="0.3">
      <c r="A1080" t="str">
        <f>"004822"</f>
        <v>004822</v>
      </c>
      <c r="B1080" t="s">
        <v>377</v>
      </c>
      <c r="C1080">
        <v>70530</v>
      </c>
      <c r="D1080" s="2">
        <v>3148.34</v>
      </c>
      <c r="E1080" s="1">
        <v>42877</v>
      </c>
      <c r="F1080" t="str">
        <f>"0000007444"</f>
        <v>0000007444</v>
      </c>
      <c r="G1080" t="str">
        <f>"2012 FREIGHTLINER PCT#4"</f>
        <v>2012 FREIGHTLINER PCT#4</v>
      </c>
      <c r="H1080" s="2">
        <v>9.7799999999999994</v>
      </c>
      <c r="I1080" t="str">
        <f>"2012 FREIGHTLINER PCT#4"</f>
        <v>2012 FREIGHTLINER PCT#4</v>
      </c>
    </row>
    <row r="1081" spans="1:9" x14ac:dyDescent="0.3">
      <c r="A1081" t="str">
        <f>""</f>
        <v/>
      </c>
      <c r="F1081" t="str">
        <f>"201705121953"</f>
        <v>201705121953</v>
      </c>
      <c r="G1081" t="str">
        <f>"INV 7380 ORDER 8143 PL 1149391"</f>
        <v>INV 7380 ORDER 8143 PL 1149391</v>
      </c>
      <c r="H1081" s="2">
        <v>716.99</v>
      </c>
      <c r="I1081" t="str">
        <f>"INV 7380 ORDER 8143 PL 1149391"</f>
        <v>INV 7380 ORDER 8143 PL 1149391</v>
      </c>
    </row>
    <row r="1082" spans="1:9" x14ac:dyDescent="0.3">
      <c r="A1082" t="str">
        <f>""</f>
        <v/>
      </c>
      <c r="F1082" t="str">
        <f>"201705121954"</f>
        <v>201705121954</v>
      </c>
      <c r="G1082" t="str">
        <f>"INV 7325 ORDER 8120"</f>
        <v>INV 7325 ORDER 8120</v>
      </c>
      <c r="H1082" s="2">
        <v>4.33</v>
      </c>
      <c r="I1082" t="str">
        <f>"INV 7325 ORDER 8120"</f>
        <v>INV 7325 ORDER 8120</v>
      </c>
    </row>
    <row r="1083" spans="1:9" x14ac:dyDescent="0.3">
      <c r="A1083" t="str">
        <f>""</f>
        <v/>
      </c>
      <c r="F1083" t="str">
        <f>"201705121955"</f>
        <v>201705121955</v>
      </c>
      <c r="G1083" t="str">
        <f>"INV 7418 ORDER 8182 PL 3296"</f>
        <v>INV 7418 ORDER 8182 PL 3296</v>
      </c>
      <c r="H1083" s="2">
        <v>2417.2399999999998</v>
      </c>
      <c r="I1083" t="str">
        <f>"INV 7418 ORDER 8182 PL 3296"</f>
        <v>INV 7418 ORDER 8182 PL 3296</v>
      </c>
    </row>
    <row r="1084" spans="1:9" x14ac:dyDescent="0.3">
      <c r="A1084" t="str">
        <f>"T11385"</f>
        <v>T11385</v>
      </c>
      <c r="B1084" t="s">
        <v>378</v>
      </c>
      <c r="C1084">
        <v>70234</v>
      </c>
      <c r="D1084" s="2">
        <v>600</v>
      </c>
      <c r="E1084" s="1">
        <v>42863</v>
      </c>
      <c r="F1084" t="str">
        <f>"201705031704"</f>
        <v>201705031704</v>
      </c>
      <c r="G1084" t="str">
        <f>"55156"</f>
        <v>55156</v>
      </c>
      <c r="H1084" s="2">
        <v>350</v>
      </c>
      <c r="I1084" t="str">
        <f>"55156"</f>
        <v>55156</v>
      </c>
    </row>
    <row r="1085" spans="1:9" x14ac:dyDescent="0.3">
      <c r="A1085" t="str">
        <f>""</f>
        <v/>
      </c>
      <c r="F1085" t="str">
        <f>"201705031705"</f>
        <v>201705031705</v>
      </c>
      <c r="G1085" t="str">
        <f>"403046-1  54.504"</f>
        <v>403046-1  54.504</v>
      </c>
      <c r="H1085" s="2">
        <v>250</v>
      </c>
      <c r="I1085" t="str">
        <f>"403046-1  54.504"</f>
        <v>403046-1  54.504</v>
      </c>
    </row>
    <row r="1086" spans="1:9" x14ac:dyDescent="0.3">
      <c r="A1086" t="str">
        <f>"T11385"</f>
        <v>T11385</v>
      </c>
      <c r="B1086" t="s">
        <v>378</v>
      </c>
      <c r="C1086">
        <v>70531</v>
      </c>
      <c r="D1086" s="2">
        <v>375</v>
      </c>
      <c r="E1086" s="1">
        <v>42877</v>
      </c>
      <c r="F1086" t="str">
        <f>"201705172146"</f>
        <v>201705172146</v>
      </c>
      <c r="G1086" t="str">
        <f>"REYNOLDS &amp; KEINARTH"</f>
        <v>REYNOLDS &amp; KEINARTH</v>
      </c>
      <c r="H1086" s="2">
        <v>375</v>
      </c>
      <c r="I1086" t="str">
        <f>"REYNOLDS &amp; KEINARTH"</f>
        <v>REYNOLDS &amp; KEINARTH</v>
      </c>
    </row>
    <row r="1087" spans="1:9" x14ac:dyDescent="0.3">
      <c r="A1087" t="str">
        <f>"002590"</f>
        <v>002590</v>
      </c>
      <c r="B1087" t="s">
        <v>379</v>
      </c>
      <c r="C1087">
        <v>70235</v>
      </c>
      <c r="D1087" s="2">
        <v>55.07</v>
      </c>
      <c r="E1087" s="1">
        <v>42863</v>
      </c>
      <c r="F1087" t="str">
        <f>"98605409"</f>
        <v>98605409</v>
      </c>
      <c r="G1087" t="str">
        <f>"ACCT#1437799-378856/JP#2"</f>
        <v>ACCT#1437799-378856/JP#2</v>
      </c>
      <c r="H1087" s="2">
        <v>55.07</v>
      </c>
      <c r="I1087" t="str">
        <f>"ACCT#1437799-378856/JP#2"</f>
        <v>ACCT#1437799-378856/JP#2</v>
      </c>
    </row>
    <row r="1088" spans="1:9" x14ac:dyDescent="0.3">
      <c r="A1088" t="str">
        <f>"002590"</f>
        <v>002590</v>
      </c>
      <c r="B1088" t="s">
        <v>379</v>
      </c>
      <c r="C1088">
        <v>70532</v>
      </c>
      <c r="D1088" s="2">
        <v>7.04</v>
      </c>
      <c r="E1088" s="1">
        <v>42877</v>
      </c>
      <c r="F1088" t="str">
        <f>"201705172260"</f>
        <v>201705172260</v>
      </c>
      <c r="G1088" t="str">
        <f>"INV 98761725"</f>
        <v>INV 98761725</v>
      </c>
      <c r="H1088" s="2">
        <v>7.04</v>
      </c>
      <c r="I1088" t="str">
        <f>"INV 98761725"</f>
        <v>INV 98761725</v>
      </c>
    </row>
    <row r="1089" spans="1:9" x14ac:dyDescent="0.3">
      <c r="A1089" t="str">
        <f>"001322"</f>
        <v>001322</v>
      </c>
      <c r="B1089" t="s">
        <v>380</v>
      </c>
      <c r="C1089">
        <v>70236</v>
      </c>
      <c r="D1089" s="2">
        <v>18328.52</v>
      </c>
      <c r="E1089" s="1">
        <v>42863</v>
      </c>
      <c r="F1089" t="str">
        <f>"201705021628"</f>
        <v>201705021628</v>
      </c>
      <c r="G1089" t="str">
        <f>"CUST#12847097"</f>
        <v>CUST#12847097</v>
      </c>
      <c r="H1089" s="2">
        <v>12509.4</v>
      </c>
      <c r="I1089" t="str">
        <f t="shared" ref="I1089:I1129" si="6">"CUST#12847097"</f>
        <v>CUST#12847097</v>
      </c>
    </row>
    <row r="1090" spans="1:9" x14ac:dyDescent="0.3">
      <c r="A1090" t="str">
        <f>""</f>
        <v/>
      </c>
      <c r="F1090" t="str">
        <f>""</f>
        <v/>
      </c>
      <c r="G1090" t="str">
        <f>""</f>
        <v/>
      </c>
      <c r="I1090" t="str">
        <f t="shared" si="6"/>
        <v>CUST#12847097</v>
      </c>
    </row>
    <row r="1091" spans="1:9" x14ac:dyDescent="0.3">
      <c r="A1091" t="str">
        <f>""</f>
        <v/>
      </c>
      <c r="F1091" t="str">
        <f>""</f>
        <v/>
      </c>
      <c r="G1091" t="str">
        <f>""</f>
        <v/>
      </c>
      <c r="I1091" t="str">
        <f t="shared" si="6"/>
        <v>CUST#12847097</v>
      </c>
    </row>
    <row r="1092" spans="1:9" x14ac:dyDescent="0.3">
      <c r="A1092" t="str">
        <f>""</f>
        <v/>
      </c>
      <c r="F1092" t="str">
        <f>""</f>
        <v/>
      </c>
      <c r="G1092" t="str">
        <f>""</f>
        <v/>
      </c>
      <c r="I1092" t="str">
        <f t="shared" si="6"/>
        <v>CUST#12847097</v>
      </c>
    </row>
    <row r="1093" spans="1:9" x14ac:dyDescent="0.3">
      <c r="A1093" t="str">
        <f>""</f>
        <v/>
      </c>
      <c r="F1093" t="str">
        <f>""</f>
        <v/>
      </c>
      <c r="G1093" t="str">
        <f>""</f>
        <v/>
      </c>
      <c r="I1093" t="str">
        <f t="shared" si="6"/>
        <v>CUST#12847097</v>
      </c>
    </row>
    <row r="1094" spans="1:9" x14ac:dyDescent="0.3">
      <c r="A1094" t="str">
        <f>""</f>
        <v/>
      </c>
      <c r="F1094" t="str">
        <f>""</f>
        <v/>
      </c>
      <c r="G1094" t="str">
        <f>""</f>
        <v/>
      </c>
      <c r="I1094" t="str">
        <f t="shared" si="6"/>
        <v>CUST#12847097</v>
      </c>
    </row>
    <row r="1095" spans="1:9" x14ac:dyDescent="0.3">
      <c r="A1095" t="str">
        <f>""</f>
        <v/>
      </c>
      <c r="F1095" t="str">
        <f>""</f>
        <v/>
      </c>
      <c r="G1095" t="str">
        <f>""</f>
        <v/>
      </c>
      <c r="I1095" t="str">
        <f t="shared" si="6"/>
        <v>CUST#12847097</v>
      </c>
    </row>
    <row r="1096" spans="1:9" x14ac:dyDescent="0.3">
      <c r="A1096" t="str">
        <f>""</f>
        <v/>
      </c>
      <c r="F1096" t="str">
        <f>""</f>
        <v/>
      </c>
      <c r="G1096" t="str">
        <f>""</f>
        <v/>
      </c>
      <c r="I1096" t="str">
        <f t="shared" si="6"/>
        <v>CUST#12847097</v>
      </c>
    </row>
    <row r="1097" spans="1:9" x14ac:dyDescent="0.3">
      <c r="A1097" t="str">
        <f>""</f>
        <v/>
      </c>
      <c r="F1097" t="str">
        <f>""</f>
        <v/>
      </c>
      <c r="G1097" t="str">
        <f>""</f>
        <v/>
      </c>
      <c r="I1097" t="str">
        <f t="shared" si="6"/>
        <v>CUST#12847097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 t="shared" si="6"/>
        <v>CUST#12847097</v>
      </c>
    </row>
    <row r="1099" spans="1:9" x14ac:dyDescent="0.3">
      <c r="A1099" t="str">
        <f>""</f>
        <v/>
      </c>
      <c r="F1099" t="str">
        <f>""</f>
        <v/>
      </c>
      <c r="G1099" t="str">
        <f>""</f>
        <v/>
      </c>
      <c r="I1099" t="str">
        <f t="shared" si="6"/>
        <v>CUST#12847097</v>
      </c>
    </row>
    <row r="1100" spans="1:9" x14ac:dyDescent="0.3">
      <c r="A1100" t="str">
        <f>""</f>
        <v/>
      </c>
      <c r="F1100" t="str">
        <f>""</f>
        <v/>
      </c>
      <c r="G1100" t="str">
        <f>""</f>
        <v/>
      </c>
      <c r="I1100" t="str">
        <f t="shared" si="6"/>
        <v>CUST#12847097</v>
      </c>
    </row>
    <row r="1101" spans="1:9" x14ac:dyDescent="0.3">
      <c r="A1101" t="str">
        <f>""</f>
        <v/>
      </c>
      <c r="F1101" t="str">
        <f>""</f>
        <v/>
      </c>
      <c r="G1101" t="str">
        <f>""</f>
        <v/>
      </c>
      <c r="I1101" t="str">
        <f t="shared" si="6"/>
        <v>CUST#12847097</v>
      </c>
    </row>
    <row r="1102" spans="1:9" x14ac:dyDescent="0.3">
      <c r="A1102" t="str">
        <f>""</f>
        <v/>
      </c>
      <c r="F1102" t="str">
        <f>""</f>
        <v/>
      </c>
      <c r="G1102" t="str">
        <f>""</f>
        <v/>
      </c>
      <c r="I1102" t="str">
        <f t="shared" si="6"/>
        <v>CUST#12847097</v>
      </c>
    </row>
    <row r="1103" spans="1:9" x14ac:dyDescent="0.3">
      <c r="A1103" t="str">
        <f>""</f>
        <v/>
      </c>
      <c r="F1103" t="str">
        <f>""</f>
        <v/>
      </c>
      <c r="G1103" t="str">
        <f>""</f>
        <v/>
      </c>
      <c r="I1103" t="str">
        <f t="shared" si="6"/>
        <v>CUST#12847097</v>
      </c>
    </row>
    <row r="1104" spans="1:9" x14ac:dyDescent="0.3">
      <c r="A1104" t="str">
        <f>""</f>
        <v/>
      </c>
      <c r="F1104" t="str">
        <f>""</f>
        <v/>
      </c>
      <c r="G1104" t="str">
        <f>""</f>
        <v/>
      </c>
      <c r="I1104" t="str">
        <f t="shared" si="6"/>
        <v>CUST#12847097</v>
      </c>
    </row>
    <row r="1105" spans="1:9" x14ac:dyDescent="0.3">
      <c r="A1105" t="str">
        <f>""</f>
        <v/>
      </c>
      <c r="F1105" t="str">
        <f>""</f>
        <v/>
      </c>
      <c r="G1105" t="str">
        <f>""</f>
        <v/>
      </c>
      <c r="I1105" t="str">
        <f t="shared" si="6"/>
        <v>CUST#12847097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 t="shared" si="6"/>
        <v>CUST#12847097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 t="shared" si="6"/>
        <v>CUST#12847097</v>
      </c>
    </row>
    <row r="1108" spans="1:9" x14ac:dyDescent="0.3">
      <c r="A1108" t="str">
        <f>""</f>
        <v/>
      </c>
      <c r="F1108" t="str">
        <f>"5045378114"</f>
        <v>5045378114</v>
      </c>
      <c r="G1108" t="str">
        <f>"CUST#12847097"</f>
        <v>CUST#12847097</v>
      </c>
      <c r="H1108" s="2">
        <v>426</v>
      </c>
      <c r="I1108" t="str">
        <f t="shared" si="6"/>
        <v>CUST#12847097</v>
      </c>
    </row>
    <row r="1109" spans="1:9" x14ac:dyDescent="0.3">
      <c r="A1109" t="str">
        <f>""</f>
        <v/>
      </c>
      <c r="F1109" t="str">
        <f>"5046189739"</f>
        <v>5046189739</v>
      </c>
      <c r="G1109" t="str">
        <f>"CUST#12847097"</f>
        <v>CUST#12847097</v>
      </c>
      <c r="H1109" s="2">
        <v>794.54</v>
      </c>
      <c r="I1109" t="str">
        <f t="shared" si="6"/>
        <v>CUST#12847097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 t="shared" si="6"/>
        <v>CUST#12847097</v>
      </c>
    </row>
    <row r="1111" spans="1:9" x14ac:dyDescent="0.3">
      <c r="A1111" t="str">
        <f>""</f>
        <v/>
      </c>
      <c r="F1111" t="str">
        <f>"5048099166"</f>
        <v>5048099166</v>
      </c>
      <c r="G1111" t="str">
        <f>"CUST#12847097"</f>
        <v>CUST#12847097</v>
      </c>
      <c r="H1111" s="2">
        <v>4598.58</v>
      </c>
      <c r="I1111" t="str">
        <f t="shared" si="6"/>
        <v>CUST#12847097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 t="shared" si="6"/>
        <v>CUST#12847097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 t="shared" si="6"/>
        <v>CUST#12847097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 t="shared" si="6"/>
        <v>CUST#12847097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 t="shared" si="6"/>
        <v>CUST#12847097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 t="shared" si="6"/>
        <v>CUST#12847097</v>
      </c>
    </row>
    <row r="1117" spans="1:9" x14ac:dyDescent="0.3">
      <c r="A1117" t="str">
        <f>""</f>
        <v/>
      </c>
      <c r="F1117" t="str">
        <f>""</f>
        <v/>
      </c>
      <c r="G1117" t="str">
        <f>""</f>
        <v/>
      </c>
      <c r="I1117" t="str">
        <f t="shared" si="6"/>
        <v>CUST#12847097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 t="shared" si="6"/>
        <v>CUST#12847097</v>
      </c>
    </row>
    <row r="1119" spans="1:9" x14ac:dyDescent="0.3">
      <c r="A1119" t="str">
        <f>""</f>
        <v/>
      </c>
      <c r="F1119" t="str">
        <f>""</f>
        <v/>
      </c>
      <c r="G1119" t="str">
        <f>""</f>
        <v/>
      </c>
      <c r="I1119" t="str">
        <f t="shared" si="6"/>
        <v>CUST#12847097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 t="shared" si="6"/>
        <v>CUST#12847097</v>
      </c>
    </row>
    <row r="1121" spans="1:9" x14ac:dyDescent="0.3">
      <c r="A1121" t="str">
        <f>""</f>
        <v/>
      </c>
      <c r="F1121" t="str">
        <f>""</f>
        <v/>
      </c>
      <c r="G1121" t="str">
        <f>""</f>
        <v/>
      </c>
      <c r="I1121" t="str">
        <f t="shared" si="6"/>
        <v>CUST#12847097</v>
      </c>
    </row>
    <row r="1122" spans="1:9" x14ac:dyDescent="0.3">
      <c r="A1122" t="str">
        <f>""</f>
        <v/>
      </c>
      <c r="F1122" t="str">
        <f>""</f>
        <v/>
      </c>
      <c r="G1122" t="str">
        <f>""</f>
        <v/>
      </c>
      <c r="I1122" t="str">
        <f t="shared" si="6"/>
        <v>CUST#12847097</v>
      </c>
    </row>
    <row r="1123" spans="1:9" x14ac:dyDescent="0.3">
      <c r="A1123" t="str">
        <f>""</f>
        <v/>
      </c>
      <c r="F1123" t="str">
        <f>""</f>
        <v/>
      </c>
      <c r="G1123" t="str">
        <f>""</f>
        <v/>
      </c>
      <c r="I1123" t="str">
        <f t="shared" si="6"/>
        <v>CUST#12847097</v>
      </c>
    </row>
    <row r="1124" spans="1:9" x14ac:dyDescent="0.3">
      <c r="A1124" t="str">
        <f>""</f>
        <v/>
      </c>
      <c r="F1124" t="str">
        <f>""</f>
        <v/>
      </c>
      <c r="G1124" t="str">
        <f>""</f>
        <v/>
      </c>
      <c r="I1124" t="str">
        <f t="shared" si="6"/>
        <v>CUST#12847097</v>
      </c>
    </row>
    <row r="1125" spans="1:9" x14ac:dyDescent="0.3">
      <c r="A1125" t="str">
        <f>""</f>
        <v/>
      </c>
      <c r="F1125" t="str">
        <f>""</f>
        <v/>
      </c>
      <c r="G1125" t="str">
        <f>""</f>
        <v/>
      </c>
      <c r="I1125" t="str">
        <f t="shared" si="6"/>
        <v>CUST#12847097</v>
      </c>
    </row>
    <row r="1126" spans="1:9" x14ac:dyDescent="0.3">
      <c r="A1126" t="str">
        <f>""</f>
        <v/>
      </c>
      <c r="F1126" t="str">
        <f>""</f>
        <v/>
      </c>
      <c r="G1126" t="str">
        <f>""</f>
        <v/>
      </c>
      <c r="I1126" t="str">
        <f t="shared" si="6"/>
        <v>CUST#12847097</v>
      </c>
    </row>
    <row r="1127" spans="1:9" x14ac:dyDescent="0.3">
      <c r="A1127" t="str">
        <f>""</f>
        <v/>
      </c>
      <c r="F1127" t="str">
        <f>""</f>
        <v/>
      </c>
      <c r="G1127" t="str">
        <f>""</f>
        <v/>
      </c>
      <c r="I1127" t="str">
        <f t="shared" si="6"/>
        <v>CUST#12847097</v>
      </c>
    </row>
    <row r="1128" spans="1:9" x14ac:dyDescent="0.3">
      <c r="A1128" t="str">
        <f>""</f>
        <v/>
      </c>
      <c r="F1128" t="str">
        <f>""</f>
        <v/>
      </c>
      <c r="G1128" t="str">
        <f>""</f>
        <v/>
      </c>
      <c r="I1128" t="str">
        <f t="shared" si="6"/>
        <v>CUST#12847097</v>
      </c>
    </row>
    <row r="1129" spans="1:9" x14ac:dyDescent="0.3">
      <c r="A1129" t="str">
        <f>""</f>
        <v/>
      </c>
      <c r="F1129" t="str">
        <f>""</f>
        <v/>
      </c>
      <c r="G1129" t="str">
        <f>""</f>
        <v/>
      </c>
      <c r="I1129" t="str">
        <f t="shared" si="6"/>
        <v>CUST#12847097</v>
      </c>
    </row>
    <row r="1130" spans="1:9" x14ac:dyDescent="0.3">
      <c r="A1130" t="str">
        <f>"000972"</f>
        <v>000972</v>
      </c>
      <c r="B1130" t="s">
        <v>381</v>
      </c>
      <c r="C1130">
        <v>70237</v>
      </c>
      <c r="D1130" s="2">
        <v>14285.1</v>
      </c>
      <c r="E1130" s="1">
        <v>42863</v>
      </c>
      <c r="F1130" t="str">
        <f>"201705021630"</f>
        <v>201705021630</v>
      </c>
      <c r="G1130" t="str">
        <f>"CUST#2000172616"</f>
        <v>CUST#2000172616</v>
      </c>
      <c r="H1130" s="2">
        <v>7142.55</v>
      </c>
      <c r="I1130" t="str">
        <f t="shared" ref="I1130:I1173" si="7">"CUST#2000172616"</f>
        <v>CUST#2000172616</v>
      </c>
    </row>
    <row r="1131" spans="1:9" x14ac:dyDescent="0.3">
      <c r="A1131" t="str">
        <f>""</f>
        <v/>
      </c>
      <c r="F1131" t="str">
        <f>""</f>
        <v/>
      </c>
      <c r="G1131" t="str">
        <f>""</f>
        <v/>
      </c>
      <c r="I1131" t="str">
        <f t="shared" si="7"/>
        <v>CUST#2000172616</v>
      </c>
    </row>
    <row r="1132" spans="1:9" x14ac:dyDescent="0.3">
      <c r="A1132" t="str">
        <f>""</f>
        <v/>
      </c>
      <c r="F1132" t="str">
        <f>""</f>
        <v/>
      </c>
      <c r="G1132" t="str">
        <f>""</f>
        <v/>
      </c>
      <c r="I1132" t="str">
        <f t="shared" si="7"/>
        <v>CUST#2000172616</v>
      </c>
    </row>
    <row r="1133" spans="1:9" x14ac:dyDescent="0.3">
      <c r="A1133" t="str">
        <f>""</f>
        <v/>
      </c>
      <c r="F1133" t="str">
        <f>""</f>
        <v/>
      </c>
      <c r="G1133" t="str">
        <f>""</f>
        <v/>
      </c>
      <c r="I1133" t="str">
        <f t="shared" si="7"/>
        <v>CUST#2000172616</v>
      </c>
    </row>
    <row r="1134" spans="1:9" x14ac:dyDescent="0.3">
      <c r="A1134" t="str">
        <f>""</f>
        <v/>
      </c>
      <c r="F1134" t="str">
        <f>""</f>
        <v/>
      </c>
      <c r="G1134" t="str">
        <f>""</f>
        <v/>
      </c>
      <c r="I1134" t="str">
        <f t="shared" si="7"/>
        <v>CUST#2000172616</v>
      </c>
    </row>
    <row r="1135" spans="1:9" x14ac:dyDescent="0.3">
      <c r="A1135" t="str">
        <f>""</f>
        <v/>
      </c>
      <c r="F1135" t="str">
        <f>""</f>
        <v/>
      </c>
      <c r="G1135" t="str">
        <f>""</f>
        <v/>
      </c>
      <c r="I1135" t="str">
        <f t="shared" si="7"/>
        <v>CUST#2000172616</v>
      </c>
    </row>
    <row r="1136" spans="1:9" x14ac:dyDescent="0.3">
      <c r="A1136" t="str">
        <f>""</f>
        <v/>
      </c>
      <c r="F1136" t="str">
        <f>""</f>
        <v/>
      </c>
      <c r="G1136" t="str">
        <f>""</f>
        <v/>
      </c>
      <c r="I1136" t="str">
        <f t="shared" si="7"/>
        <v>CUST#2000172616</v>
      </c>
    </row>
    <row r="1137" spans="1:9" x14ac:dyDescent="0.3">
      <c r="A1137" t="str">
        <f>""</f>
        <v/>
      </c>
      <c r="F1137" t="str">
        <f>""</f>
        <v/>
      </c>
      <c r="G1137" t="str">
        <f>""</f>
        <v/>
      </c>
      <c r="I1137" t="str">
        <f t="shared" si="7"/>
        <v>CUST#2000172616</v>
      </c>
    </row>
    <row r="1138" spans="1:9" x14ac:dyDescent="0.3">
      <c r="A1138" t="str">
        <f>""</f>
        <v/>
      </c>
      <c r="F1138" t="str">
        <f>""</f>
        <v/>
      </c>
      <c r="G1138" t="str">
        <f>""</f>
        <v/>
      </c>
      <c r="I1138" t="str">
        <f t="shared" si="7"/>
        <v>CUST#2000172616</v>
      </c>
    </row>
    <row r="1139" spans="1:9" x14ac:dyDescent="0.3">
      <c r="A1139" t="str">
        <f>""</f>
        <v/>
      </c>
      <c r="F1139" t="str">
        <f>""</f>
        <v/>
      </c>
      <c r="G1139" t="str">
        <f>""</f>
        <v/>
      </c>
      <c r="I1139" t="str">
        <f t="shared" si="7"/>
        <v>CUST#2000172616</v>
      </c>
    </row>
    <row r="1140" spans="1:9" x14ac:dyDescent="0.3">
      <c r="A1140" t="str">
        <f>""</f>
        <v/>
      </c>
      <c r="F1140" t="str">
        <f>""</f>
        <v/>
      </c>
      <c r="G1140" t="str">
        <f>""</f>
        <v/>
      </c>
      <c r="I1140" t="str">
        <f t="shared" si="7"/>
        <v>CUST#2000172616</v>
      </c>
    </row>
    <row r="1141" spans="1:9" x14ac:dyDescent="0.3">
      <c r="A1141" t="str">
        <f>""</f>
        <v/>
      </c>
      <c r="F1141" t="str">
        <f>""</f>
        <v/>
      </c>
      <c r="G1141" t="str">
        <f>""</f>
        <v/>
      </c>
      <c r="I1141" t="str">
        <f t="shared" si="7"/>
        <v>CUST#2000172616</v>
      </c>
    </row>
    <row r="1142" spans="1:9" x14ac:dyDescent="0.3">
      <c r="A1142" t="str">
        <f>""</f>
        <v/>
      </c>
      <c r="F1142" t="str">
        <f>""</f>
        <v/>
      </c>
      <c r="G1142" t="str">
        <f>""</f>
        <v/>
      </c>
      <c r="I1142" t="str">
        <f t="shared" si="7"/>
        <v>CUST#2000172616</v>
      </c>
    </row>
    <row r="1143" spans="1:9" x14ac:dyDescent="0.3">
      <c r="A1143" t="str">
        <f>""</f>
        <v/>
      </c>
      <c r="F1143" t="str">
        <f>""</f>
        <v/>
      </c>
      <c r="G1143" t="str">
        <f>""</f>
        <v/>
      </c>
      <c r="I1143" t="str">
        <f t="shared" si="7"/>
        <v>CUST#2000172616</v>
      </c>
    </row>
    <row r="1144" spans="1:9" x14ac:dyDescent="0.3">
      <c r="A1144" t="str">
        <f>""</f>
        <v/>
      </c>
      <c r="F1144" t="str">
        <f>""</f>
        <v/>
      </c>
      <c r="G1144" t="str">
        <f>""</f>
        <v/>
      </c>
      <c r="I1144" t="str">
        <f t="shared" si="7"/>
        <v>CUST#2000172616</v>
      </c>
    </row>
    <row r="1145" spans="1:9" x14ac:dyDescent="0.3">
      <c r="A1145" t="str">
        <f>""</f>
        <v/>
      </c>
      <c r="F1145" t="str">
        <f>""</f>
        <v/>
      </c>
      <c r="G1145" t="str">
        <f>""</f>
        <v/>
      </c>
      <c r="I1145" t="str">
        <f t="shared" si="7"/>
        <v>CUST#2000172616</v>
      </c>
    </row>
    <row r="1146" spans="1:9" x14ac:dyDescent="0.3">
      <c r="A1146" t="str">
        <f>""</f>
        <v/>
      </c>
      <c r="F1146" t="str">
        <f>""</f>
        <v/>
      </c>
      <c r="G1146" t="str">
        <f>""</f>
        <v/>
      </c>
      <c r="I1146" t="str">
        <f t="shared" si="7"/>
        <v>CUST#2000172616</v>
      </c>
    </row>
    <row r="1147" spans="1:9" x14ac:dyDescent="0.3">
      <c r="A1147" t="str">
        <f>""</f>
        <v/>
      </c>
      <c r="F1147" t="str">
        <f>""</f>
        <v/>
      </c>
      <c r="G1147" t="str">
        <f>""</f>
        <v/>
      </c>
      <c r="I1147" t="str">
        <f t="shared" si="7"/>
        <v>CUST#2000172616</v>
      </c>
    </row>
    <row r="1148" spans="1:9" x14ac:dyDescent="0.3">
      <c r="A1148" t="str">
        <f>""</f>
        <v/>
      </c>
      <c r="F1148" t="str">
        <f>""</f>
        <v/>
      </c>
      <c r="G1148" t="str">
        <f>""</f>
        <v/>
      </c>
      <c r="I1148" t="str">
        <f t="shared" si="7"/>
        <v>CUST#2000172616</v>
      </c>
    </row>
    <row r="1149" spans="1:9" x14ac:dyDescent="0.3">
      <c r="A1149" t="str">
        <f>""</f>
        <v/>
      </c>
      <c r="F1149" t="str">
        <f>""</f>
        <v/>
      </c>
      <c r="G1149" t="str">
        <f>""</f>
        <v/>
      </c>
      <c r="I1149" t="str">
        <f t="shared" si="7"/>
        <v>CUST#2000172616</v>
      </c>
    </row>
    <row r="1150" spans="1:9" x14ac:dyDescent="0.3">
      <c r="A1150" t="str">
        <f>""</f>
        <v/>
      </c>
      <c r="F1150" t="str">
        <f>""</f>
        <v/>
      </c>
      <c r="G1150" t="str">
        <f>""</f>
        <v/>
      </c>
      <c r="I1150" t="str">
        <f t="shared" si="7"/>
        <v>CUST#2000172616</v>
      </c>
    </row>
    <row r="1151" spans="1:9" x14ac:dyDescent="0.3">
      <c r="A1151" t="str">
        <f>""</f>
        <v/>
      </c>
      <c r="F1151" t="str">
        <f>""</f>
        <v/>
      </c>
      <c r="G1151" t="str">
        <f>""</f>
        <v/>
      </c>
      <c r="I1151" t="str">
        <f t="shared" si="7"/>
        <v>CUST#2000172616</v>
      </c>
    </row>
    <row r="1152" spans="1:9" x14ac:dyDescent="0.3">
      <c r="A1152" t="str">
        <f>""</f>
        <v/>
      </c>
      <c r="F1152" t="str">
        <f>"30056104"</f>
        <v>30056104</v>
      </c>
      <c r="G1152" t="str">
        <f>"CUST#2000172616"</f>
        <v>CUST#2000172616</v>
      </c>
      <c r="H1152" s="2">
        <v>7142.55</v>
      </c>
      <c r="I1152" t="str">
        <f t="shared" si="7"/>
        <v>CUST#2000172616</v>
      </c>
    </row>
    <row r="1153" spans="1:9" x14ac:dyDescent="0.3">
      <c r="A1153" t="str">
        <f>""</f>
        <v/>
      </c>
      <c r="F1153" t="str">
        <f>""</f>
        <v/>
      </c>
      <c r="G1153" t="str">
        <f>""</f>
        <v/>
      </c>
      <c r="I1153" t="str">
        <f t="shared" si="7"/>
        <v>CUST#2000172616</v>
      </c>
    </row>
    <row r="1154" spans="1:9" x14ac:dyDescent="0.3">
      <c r="A1154" t="str">
        <f>""</f>
        <v/>
      </c>
      <c r="F1154" t="str">
        <f>""</f>
        <v/>
      </c>
      <c r="G1154" t="str">
        <f>""</f>
        <v/>
      </c>
      <c r="I1154" t="str">
        <f t="shared" si="7"/>
        <v>CUST#2000172616</v>
      </c>
    </row>
    <row r="1155" spans="1:9" x14ac:dyDescent="0.3">
      <c r="A1155" t="str">
        <f>""</f>
        <v/>
      </c>
      <c r="F1155" t="str">
        <f>""</f>
        <v/>
      </c>
      <c r="G1155" t="str">
        <f>""</f>
        <v/>
      </c>
      <c r="I1155" t="str">
        <f t="shared" si="7"/>
        <v>CUST#2000172616</v>
      </c>
    </row>
    <row r="1156" spans="1:9" x14ac:dyDescent="0.3">
      <c r="A1156" t="str">
        <f>""</f>
        <v/>
      </c>
      <c r="F1156" t="str">
        <f>""</f>
        <v/>
      </c>
      <c r="G1156" t="str">
        <f>""</f>
        <v/>
      </c>
      <c r="I1156" t="str">
        <f t="shared" si="7"/>
        <v>CUST#2000172616</v>
      </c>
    </row>
    <row r="1157" spans="1:9" x14ac:dyDescent="0.3">
      <c r="A1157" t="str">
        <f>""</f>
        <v/>
      </c>
      <c r="F1157" t="str">
        <f>""</f>
        <v/>
      </c>
      <c r="G1157" t="str">
        <f>""</f>
        <v/>
      </c>
      <c r="I1157" t="str">
        <f t="shared" si="7"/>
        <v>CUST#2000172616</v>
      </c>
    </row>
    <row r="1158" spans="1:9" x14ac:dyDescent="0.3">
      <c r="A1158" t="str">
        <f>""</f>
        <v/>
      </c>
      <c r="F1158" t="str">
        <f>""</f>
        <v/>
      </c>
      <c r="G1158" t="str">
        <f>""</f>
        <v/>
      </c>
      <c r="I1158" t="str">
        <f t="shared" si="7"/>
        <v>CUST#2000172616</v>
      </c>
    </row>
    <row r="1159" spans="1:9" x14ac:dyDescent="0.3">
      <c r="A1159" t="str">
        <f>""</f>
        <v/>
      </c>
      <c r="F1159" t="str">
        <f>""</f>
        <v/>
      </c>
      <c r="G1159" t="str">
        <f>""</f>
        <v/>
      </c>
      <c r="I1159" t="str">
        <f t="shared" si="7"/>
        <v>CUST#2000172616</v>
      </c>
    </row>
    <row r="1160" spans="1:9" x14ac:dyDescent="0.3">
      <c r="A1160" t="str">
        <f>""</f>
        <v/>
      </c>
      <c r="F1160" t="str">
        <f>""</f>
        <v/>
      </c>
      <c r="G1160" t="str">
        <f>""</f>
        <v/>
      </c>
      <c r="I1160" t="str">
        <f t="shared" si="7"/>
        <v>CUST#2000172616</v>
      </c>
    </row>
    <row r="1161" spans="1:9" x14ac:dyDescent="0.3">
      <c r="A1161" t="str">
        <f>""</f>
        <v/>
      </c>
      <c r="F1161" t="str">
        <f>""</f>
        <v/>
      </c>
      <c r="G1161" t="str">
        <f>""</f>
        <v/>
      </c>
      <c r="I1161" t="str">
        <f t="shared" si="7"/>
        <v>CUST#2000172616</v>
      </c>
    </row>
    <row r="1162" spans="1:9" x14ac:dyDescent="0.3">
      <c r="A1162" t="str">
        <f>""</f>
        <v/>
      </c>
      <c r="F1162" t="str">
        <f>""</f>
        <v/>
      </c>
      <c r="G1162" t="str">
        <f>""</f>
        <v/>
      </c>
      <c r="I1162" t="str">
        <f t="shared" si="7"/>
        <v>CUST#2000172616</v>
      </c>
    </row>
    <row r="1163" spans="1:9" x14ac:dyDescent="0.3">
      <c r="A1163" t="str">
        <f>""</f>
        <v/>
      </c>
      <c r="F1163" t="str">
        <f>""</f>
        <v/>
      </c>
      <c r="G1163" t="str">
        <f>""</f>
        <v/>
      </c>
      <c r="I1163" t="str">
        <f t="shared" si="7"/>
        <v>CUST#2000172616</v>
      </c>
    </row>
    <row r="1164" spans="1:9" x14ac:dyDescent="0.3">
      <c r="A1164" t="str">
        <f>""</f>
        <v/>
      </c>
      <c r="F1164" t="str">
        <f>""</f>
        <v/>
      </c>
      <c r="G1164" t="str">
        <f>""</f>
        <v/>
      </c>
      <c r="I1164" t="str">
        <f t="shared" si="7"/>
        <v>CUST#2000172616</v>
      </c>
    </row>
    <row r="1165" spans="1:9" x14ac:dyDescent="0.3">
      <c r="A1165" t="str">
        <f>""</f>
        <v/>
      </c>
      <c r="F1165" t="str">
        <f>""</f>
        <v/>
      </c>
      <c r="G1165" t="str">
        <f>""</f>
        <v/>
      </c>
      <c r="I1165" t="str">
        <f t="shared" si="7"/>
        <v>CUST#2000172616</v>
      </c>
    </row>
    <row r="1166" spans="1:9" x14ac:dyDescent="0.3">
      <c r="A1166" t="str">
        <f>""</f>
        <v/>
      </c>
      <c r="F1166" t="str">
        <f>""</f>
        <v/>
      </c>
      <c r="G1166" t="str">
        <f>""</f>
        <v/>
      </c>
      <c r="I1166" t="str">
        <f t="shared" si="7"/>
        <v>CUST#2000172616</v>
      </c>
    </row>
    <row r="1167" spans="1:9" x14ac:dyDescent="0.3">
      <c r="A1167" t="str">
        <f>""</f>
        <v/>
      </c>
      <c r="F1167" t="str">
        <f>""</f>
        <v/>
      </c>
      <c r="G1167" t="str">
        <f>""</f>
        <v/>
      </c>
      <c r="I1167" t="str">
        <f t="shared" si="7"/>
        <v>CUST#2000172616</v>
      </c>
    </row>
    <row r="1168" spans="1:9" x14ac:dyDescent="0.3">
      <c r="A1168" t="str">
        <f>""</f>
        <v/>
      </c>
      <c r="F1168" t="str">
        <f>""</f>
        <v/>
      </c>
      <c r="G1168" t="str">
        <f>""</f>
        <v/>
      </c>
      <c r="I1168" t="str">
        <f t="shared" si="7"/>
        <v>CUST#2000172616</v>
      </c>
    </row>
    <row r="1169" spans="1:9" x14ac:dyDescent="0.3">
      <c r="A1169" t="str">
        <f>""</f>
        <v/>
      </c>
      <c r="F1169" t="str">
        <f>""</f>
        <v/>
      </c>
      <c r="G1169" t="str">
        <f>""</f>
        <v/>
      </c>
      <c r="I1169" t="str">
        <f t="shared" si="7"/>
        <v>CUST#2000172616</v>
      </c>
    </row>
    <row r="1170" spans="1:9" x14ac:dyDescent="0.3">
      <c r="A1170" t="str">
        <f>""</f>
        <v/>
      </c>
      <c r="F1170" t="str">
        <f>""</f>
        <v/>
      </c>
      <c r="G1170" t="str">
        <f>""</f>
        <v/>
      </c>
      <c r="I1170" t="str">
        <f t="shared" si="7"/>
        <v>CUST#2000172616</v>
      </c>
    </row>
    <row r="1171" spans="1:9" x14ac:dyDescent="0.3">
      <c r="A1171" t="str">
        <f>""</f>
        <v/>
      </c>
      <c r="F1171" t="str">
        <f>""</f>
        <v/>
      </c>
      <c r="G1171" t="str">
        <f>""</f>
        <v/>
      </c>
      <c r="I1171" t="str">
        <f t="shared" si="7"/>
        <v>CUST#2000172616</v>
      </c>
    </row>
    <row r="1172" spans="1:9" x14ac:dyDescent="0.3">
      <c r="A1172" t="str">
        <f>""</f>
        <v/>
      </c>
      <c r="F1172" t="str">
        <f>""</f>
        <v/>
      </c>
      <c r="G1172" t="str">
        <f>""</f>
        <v/>
      </c>
      <c r="I1172" t="str">
        <f t="shared" si="7"/>
        <v>CUST#2000172616</v>
      </c>
    </row>
    <row r="1173" spans="1:9" x14ac:dyDescent="0.3">
      <c r="A1173" t="str">
        <f>""</f>
        <v/>
      </c>
      <c r="F1173" t="str">
        <f>""</f>
        <v/>
      </c>
      <c r="G1173" t="str">
        <f>""</f>
        <v/>
      </c>
      <c r="I1173" t="str">
        <f t="shared" si="7"/>
        <v>CUST#2000172616</v>
      </c>
    </row>
    <row r="1174" spans="1:9" x14ac:dyDescent="0.3">
      <c r="A1174" t="str">
        <f>"000972"</f>
        <v>000972</v>
      </c>
      <c r="B1174" t="s">
        <v>381</v>
      </c>
      <c r="C1174">
        <v>70533</v>
      </c>
      <c r="D1174" s="2">
        <v>7087.58</v>
      </c>
      <c r="E1174" s="1">
        <v>42877</v>
      </c>
      <c r="F1174" t="str">
        <f>"30193351"</f>
        <v>30193351</v>
      </c>
      <c r="G1174" t="str">
        <f>"CUST #2000172616"</f>
        <v>CUST #2000172616</v>
      </c>
      <c r="H1174" s="2">
        <v>7087.58</v>
      </c>
      <c r="I1174" t="str">
        <f t="shared" ref="I1174:I1195" si="8">"CUST #2000172616"</f>
        <v>CUST #2000172616</v>
      </c>
    </row>
    <row r="1175" spans="1:9" x14ac:dyDescent="0.3">
      <c r="A1175" t="str">
        <f>""</f>
        <v/>
      </c>
      <c r="F1175" t="str">
        <f>""</f>
        <v/>
      </c>
      <c r="G1175" t="str">
        <f>""</f>
        <v/>
      </c>
      <c r="I1175" t="str">
        <f t="shared" si="8"/>
        <v>CUST #2000172616</v>
      </c>
    </row>
    <row r="1176" spans="1:9" x14ac:dyDescent="0.3">
      <c r="A1176" t="str">
        <f>""</f>
        <v/>
      </c>
      <c r="F1176" t="str">
        <f>""</f>
        <v/>
      </c>
      <c r="G1176" t="str">
        <f>""</f>
        <v/>
      </c>
      <c r="I1176" t="str">
        <f t="shared" si="8"/>
        <v>CUST #2000172616</v>
      </c>
    </row>
    <row r="1177" spans="1:9" x14ac:dyDescent="0.3">
      <c r="A1177" t="str">
        <f>""</f>
        <v/>
      </c>
      <c r="F1177" t="str">
        <f>""</f>
        <v/>
      </c>
      <c r="G1177" t="str">
        <f>""</f>
        <v/>
      </c>
      <c r="I1177" t="str">
        <f t="shared" si="8"/>
        <v>CUST #2000172616</v>
      </c>
    </row>
    <row r="1178" spans="1:9" x14ac:dyDescent="0.3">
      <c r="A1178" t="str">
        <f>""</f>
        <v/>
      </c>
      <c r="F1178" t="str">
        <f>""</f>
        <v/>
      </c>
      <c r="G1178" t="str">
        <f>""</f>
        <v/>
      </c>
      <c r="I1178" t="str">
        <f t="shared" si="8"/>
        <v>CUST #2000172616</v>
      </c>
    </row>
    <row r="1179" spans="1:9" x14ac:dyDescent="0.3">
      <c r="A1179" t="str">
        <f>""</f>
        <v/>
      </c>
      <c r="F1179" t="str">
        <f>""</f>
        <v/>
      </c>
      <c r="G1179" t="str">
        <f>""</f>
        <v/>
      </c>
      <c r="I1179" t="str">
        <f t="shared" si="8"/>
        <v>CUST #2000172616</v>
      </c>
    </row>
    <row r="1180" spans="1:9" x14ac:dyDescent="0.3">
      <c r="A1180" t="str">
        <f>""</f>
        <v/>
      </c>
      <c r="F1180" t="str">
        <f>""</f>
        <v/>
      </c>
      <c r="G1180" t="str">
        <f>""</f>
        <v/>
      </c>
      <c r="I1180" t="str">
        <f t="shared" si="8"/>
        <v>CUST #2000172616</v>
      </c>
    </row>
    <row r="1181" spans="1:9" x14ac:dyDescent="0.3">
      <c r="A1181" t="str">
        <f>""</f>
        <v/>
      </c>
      <c r="F1181" t="str">
        <f>""</f>
        <v/>
      </c>
      <c r="G1181" t="str">
        <f>""</f>
        <v/>
      </c>
      <c r="I1181" t="str">
        <f t="shared" si="8"/>
        <v>CUST #2000172616</v>
      </c>
    </row>
    <row r="1182" spans="1:9" x14ac:dyDescent="0.3">
      <c r="A1182" t="str">
        <f>""</f>
        <v/>
      </c>
      <c r="F1182" t="str">
        <f>""</f>
        <v/>
      </c>
      <c r="G1182" t="str">
        <f>""</f>
        <v/>
      </c>
      <c r="I1182" t="str">
        <f t="shared" si="8"/>
        <v>CUST #2000172616</v>
      </c>
    </row>
    <row r="1183" spans="1:9" x14ac:dyDescent="0.3">
      <c r="A1183" t="str">
        <f>""</f>
        <v/>
      </c>
      <c r="F1183" t="str">
        <f>""</f>
        <v/>
      </c>
      <c r="G1183" t="str">
        <f>""</f>
        <v/>
      </c>
      <c r="I1183" t="str">
        <f t="shared" si="8"/>
        <v>CUST #2000172616</v>
      </c>
    </row>
    <row r="1184" spans="1:9" x14ac:dyDescent="0.3">
      <c r="A1184" t="str">
        <f>""</f>
        <v/>
      </c>
      <c r="F1184" t="str">
        <f>""</f>
        <v/>
      </c>
      <c r="G1184" t="str">
        <f>""</f>
        <v/>
      </c>
      <c r="I1184" t="str">
        <f t="shared" si="8"/>
        <v>CUST #2000172616</v>
      </c>
    </row>
    <row r="1185" spans="1:9" x14ac:dyDescent="0.3">
      <c r="A1185" t="str">
        <f>""</f>
        <v/>
      </c>
      <c r="F1185" t="str">
        <f>""</f>
        <v/>
      </c>
      <c r="G1185" t="str">
        <f>""</f>
        <v/>
      </c>
      <c r="I1185" t="str">
        <f t="shared" si="8"/>
        <v>CUST #2000172616</v>
      </c>
    </row>
    <row r="1186" spans="1:9" x14ac:dyDescent="0.3">
      <c r="A1186" t="str">
        <f>""</f>
        <v/>
      </c>
      <c r="F1186" t="str">
        <f>""</f>
        <v/>
      </c>
      <c r="G1186" t="str">
        <f>""</f>
        <v/>
      </c>
      <c r="I1186" t="str">
        <f t="shared" si="8"/>
        <v>CUST #2000172616</v>
      </c>
    </row>
    <row r="1187" spans="1:9" x14ac:dyDescent="0.3">
      <c r="A1187" t="str">
        <f>""</f>
        <v/>
      </c>
      <c r="F1187" t="str">
        <f>""</f>
        <v/>
      </c>
      <c r="G1187" t="str">
        <f>""</f>
        <v/>
      </c>
      <c r="I1187" t="str">
        <f t="shared" si="8"/>
        <v>CUST #2000172616</v>
      </c>
    </row>
    <row r="1188" spans="1:9" x14ac:dyDescent="0.3">
      <c r="A1188" t="str">
        <f>""</f>
        <v/>
      </c>
      <c r="F1188" t="str">
        <f>""</f>
        <v/>
      </c>
      <c r="G1188" t="str">
        <f>""</f>
        <v/>
      </c>
      <c r="I1188" t="str">
        <f t="shared" si="8"/>
        <v>CUST #2000172616</v>
      </c>
    </row>
    <row r="1189" spans="1:9" x14ac:dyDescent="0.3">
      <c r="A1189" t="str">
        <f>""</f>
        <v/>
      </c>
      <c r="F1189" t="str">
        <f>""</f>
        <v/>
      </c>
      <c r="G1189" t="str">
        <f>""</f>
        <v/>
      </c>
      <c r="I1189" t="str">
        <f t="shared" si="8"/>
        <v>CUST #2000172616</v>
      </c>
    </row>
    <row r="1190" spans="1:9" x14ac:dyDescent="0.3">
      <c r="A1190" t="str">
        <f>""</f>
        <v/>
      </c>
      <c r="F1190" t="str">
        <f>""</f>
        <v/>
      </c>
      <c r="G1190" t="str">
        <f>""</f>
        <v/>
      </c>
      <c r="I1190" t="str">
        <f t="shared" si="8"/>
        <v>CUST #2000172616</v>
      </c>
    </row>
    <row r="1191" spans="1:9" x14ac:dyDescent="0.3">
      <c r="A1191" t="str">
        <f>""</f>
        <v/>
      </c>
      <c r="F1191" t="str">
        <f>""</f>
        <v/>
      </c>
      <c r="G1191" t="str">
        <f>""</f>
        <v/>
      </c>
      <c r="I1191" t="str">
        <f t="shared" si="8"/>
        <v>CUST #2000172616</v>
      </c>
    </row>
    <row r="1192" spans="1:9" x14ac:dyDescent="0.3">
      <c r="A1192" t="str">
        <f>""</f>
        <v/>
      </c>
      <c r="F1192" t="str">
        <f>""</f>
        <v/>
      </c>
      <c r="G1192" t="str">
        <f>""</f>
        <v/>
      </c>
      <c r="I1192" t="str">
        <f t="shared" si="8"/>
        <v>CUST #2000172616</v>
      </c>
    </row>
    <row r="1193" spans="1:9" x14ac:dyDescent="0.3">
      <c r="A1193" t="str">
        <f>""</f>
        <v/>
      </c>
      <c r="F1193" t="str">
        <f>""</f>
        <v/>
      </c>
      <c r="G1193" t="str">
        <f>""</f>
        <v/>
      </c>
      <c r="I1193" t="str">
        <f t="shared" si="8"/>
        <v>CUST #2000172616</v>
      </c>
    </row>
    <row r="1194" spans="1:9" x14ac:dyDescent="0.3">
      <c r="A1194" t="str">
        <f>""</f>
        <v/>
      </c>
      <c r="F1194" t="str">
        <f>""</f>
        <v/>
      </c>
      <c r="G1194" t="str">
        <f>""</f>
        <v/>
      </c>
      <c r="I1194" t="str">
        <f t="shared" si="8"/>
        <v>CUST #2000172616</v>
      </c>
    </row>
    <row r="1195" spans="1:9" x14ac:dyDescent="0.3">
      <c r="A1195" t="str">
        <f>""</f>
        <v/>
      </c>
      <c r="F1195" t="str">
        <f>""</f>
        <v/>
      </c>
      <c r="G1195" t="str">
        <f>""</f>
        <v/>
      </c>
      <c r="I1195" t="str">
        <f t="shared" si="8"/>
        <v>CUST #2000172616</v>
      </c>
    </row>
    <row r="1196" spans="1:9" x14ac:dyDescent="0.3">
      <c r="A1196" t="str">
        <f>"004549"</f>
        <v>004549</v>
      </c>
      <c r="B1196" t="s">
        <v>382</v>
      </c>
      <c r="C1196">
        <v>70238</v>
      </c>
      <c r="D1196" s="2">
        <v>275</v>
      </c>
      <c r="E1196" s="1">
        <v>42863</v>
      </c>
      <c r="F1196" t="str">
        <f>"721151"</f>
        <v>721151</v>
      </c>
      <c r="G1196" t="str">
        <f>"708 BULL RUN/PCT#4"</f>
        <v>708 BULL RUN/PCT#4</v>
      </c>
      <c r="H1196" s="2">
        <v>125</v>
      </c>
      <c r="I1196" t="str">
        <f>"708 BULL RUN/PCT#4"</f>
        <v>708 BULL RUN/PCT#4</v>
      </c>
    </row>
    <row r="1197" spans="1:9" x14ac:dyDescent="0.3">
      <c r="A1197" t="str">
        <f>""</f>
        <v/>
      </c>
      <c r="F1197" t="str">
        <f>"721152"</f>
        <v>721152</v>
      </c>
      <c r="G1197" t="str">
        <f>"1133 OKDY DR/PCT#4"</f>
        <v>1133 OKDY DR/PCT#4</v>
      </c>
      <c r="H1197" s="2">
        <v>150</v>
      </c>
      <c r="I1197" t="str">
        <f>"1133 OKDY DR/PCT#4"</f>
        <v>1133 OKDY DR/PCT#4</v>
      </c>
    </row>
    <row r="1198" spans="1:9" x14ac:dyDescent="0.3">
      <c r="A1198" t="str">
        <f>"004417"</f>
        <v>004417</v>
      </c>
      <c r="B1198" t="s">
        <v>383</v>
      </c>
      <c r="C1198">
        <v>70239</v>
      </c>
      <c r="D1198" s="2">
        <v>900</v>
      </c>
      <c r="E1198" s="1">
        <v>42863</v>
      </c>
      <c r="F1198" t="str">
        <f>"201705021617"</f>
        <v>201705021617</v>
      </c>
      <c r="G1198" t="str">
        <f>"BCSOMAR17"</f>
        <v>BCSOMAR17</v>
      </c>
      <c r="H1198" s="2">
        <v>900</v>
      </c>
      <c r="I1198" t="str">
        <f>"BCSOMAR17"</f>
        <v>BCSOMAR17</v>
      </c>
    </row>
    <row r="1199" spans="1:9" x14ac:dyDescent="0.3">
      <c r="A1199" t="str">
        <f>"MADDEN"</f>
        <v>MADDEN</v>
      </c>
      <c r="B1199" t="s">
        <v>384</v>
      </c>
      <c r="C1199">
        <v>70240</v>
      </c>
      <c r="D1199" s="2">
        <v>1295.67</v>
      </c>
      <c r="E1199" s="1">
        <v>42863</v>
      </c>
      <c r="F1199" t="str">
        <f>"3918795"</f>
        <v>3918795</v>
      </c>
      <c r="G1199" t="str">
        <f>"CUST#90564/GS"</f>
        <v>CUST#90564/GS</v>
      </c>
      <c r="H1199" s="2">
        <v>1257.26</v>
      </c>
      <c r="I1199" t="str">
        <f>"CUST#90564/GS"</f>
        <v>CUST#90564/GS</v>
      </c>
    </row>
    <row r="1200" spans="1:9" x14ac:dyDescent="0.3">
      <c r="A1200" t="str">
        <f>""</f>
        <v/>
      </c>
      <c r="F1200" t="str">
        <f>"3918813"</f>
        <v>3918813</v>
      </c>
      <c r="G1200" t="str">
        <f>"CUST#90564/GS"</f>
        <v>CUST#90564/GS</v>
      </c>
      <c r="H1200" s="2">
        <v>19.72</v>
      </c>
      <c r="I1200" t="str">
        <f>"CUST#90564/GS"</f>
        <v>CUST#90564/GS</v>
      </c>
    </row>
    <row r="1201" spans="1:9" x14ac:dyDescent="0.3">
      <c r="A1201" t="str">
        <f>""</f>
        <v/>
      </c>
      <c r="F1201" t="str">
        <f>"3919412"</f>
        <v>3919412</v>
      </c>
      <c r="G1201" t="str">
        <f>"CUST#90564/GS"</f>
        <v>CUST#90564/GS</v>
      </c>
      <c r="H1201" s="2">
        <v>18.690000000000001</v>
      </c>
      <c r="I1201" t="str">
        <f>"CUST#90564/GS"</f>
        <v>CUST#90564/GS</v>
      </c>
    </row>
    <row r="1202" spans="1:9" x14ac:dyDescent="0.3">
      <c r="A1202" t="str">
        <f>"MADDEN"</f>
        <v>MADDEN</v>
      </c>
      <c r="B1202" t="s">
        <v>384</v>
      </c>
      <c r="C1202">
        <v>70534</v>
      </c>
      <c r="D1202" s="2">
        <v>52.54</v>
      </c>
      <c r="E1202" s="1">
        <v>42877</v>
      </c>
      <c r="F1202" t="str">
        <f>"3938799"</f>
        <v>3938799</v>
      </c>
      <c r="G1202" t="str">
        <f>"COIL CLEANERINV3938799"</f>
        <v>COIL CLEANERINV3938799</v>
      </c>
      <c r="H1202" s="2">
        <v>52.54</v>
      </c>
      <c r="I1202" t="str">
        <f>"COIL CLEANERINV3938799"</f>
        <v>COIL CLEANERINV3938799</v>
      </c>
    </row>
    <row r="1203" spans="1:9" x14ac:dyDescent="0.3">
      <c r="A1203" t="str">
        <f>"003619"</f>
        <v>003619</v>
      </c>
      <c r="B1203" t="s">
        <v>385</v>
      </c>
      <c r="C1203">
        <v>70535</v>
      </c>
      <c r="D1203" s="2">
        <v>49</v>
      </c>
      <c r="E1203" s="1">
        <v>42877</v>
      </c>
      <c r="F1203" t="str">
        <f>"201705172218"</f>
        <v>201705172218</v>
      </c>
      <c r="G1203" t="str">
        <f>"Uniform T-SHirts"</f>
        <v>Uniform T-SHirts</v>
      </c>
      <c r="H1203" s="2">
        <v>14</v>
      </c>
      <c r="I1203" t="str">
        <f>"Uniform T-Shirts"</f>
        <v>Uniform T-Shirts</v>
      </c>
    </row>
    <row r="1204" spans="1:9" x14ac:dyDescent="0.3">
      <c r="A1204" t="str">
        <f>""</f>
        <v/>
      </c>
      <c r="F1204" t="str">
        <f>"201705172219"</f>
        <v>201705172219</v>
      </c>
      <c r="G1204" t="str">
        <f>"Uniform T-SHirts"</f>
        <v>Uniform T-SHirts</v>
      </c>
      <c r="H1204" s="2">
        <v>35</v>
      </c>
      <c r="I1204" t="str">
        <f>"Uniform T-Shirts"</f>
        <v>Uniform T-Shirts</v>
      </c>
    </row>
    <row r="1205" spans="1:9" x14ac:dyDescent="0.3">
      <c r="A1205" t="str">
        <f>"T8555"</f>
        <v>T8555</v>
      </c>
      <c r="B1205" t="s">
        <v>386</v>
      </c>
      <c r="C1205">
        <v>70536</v>
      </c>
      <c r="D1205" s="2">
        <v>42</v>
      </c>
      <c r="E1205" s="1">
        <v>42877</v>
      </c>
      <c r="F1205" t="str">
        <f>"201705162100"</f>
        <v>201705162100</v>
      </c>
      <c r="G1205" t="str">
        <f>"17874 75 78 82 87 88"</f>
        <v>17874 75 78 82 87 88</v>
      </c>
      <c r="H1205" s="2">
        <v>42</v>
      </c>
      <c r="I1205" t="str">
        <f>"17874 75 78 82 87 88"</f>
        <v>17874 75 78 82 87 88</v>
      </c>
    </row>
    <row r="1206" spans="1:9" x14ac:dyDescent="0.3">
      <c r="A1206" t="str">
        <f>"004991"</f>
        <v>004991</v>
      </c>
      <c r="B1206" t="s">
        <v>387</v>
      </c>
      <c r="C1206">
        <v>70063</v>
      </c>
      <c r="D1206" s="2">
        <v>12</v>
      </c>
      <c r="E1206" s="1">
        <v>42857</v>
      </c>
      <c r="F1206" t="str">
        <f>"201705021638"</f>
        <v>201705021638</v>
      </c>
      <c r="G1206" t="str">
        <f>"LPHCP RECORDING FEES"</f>
        <v>LPHCP RECORDING FEES</v>
      </c>
      <c r="H1206" s="2">
        <v>12</v>
      </c>
      <c r="I1206" t="str">
        <f>"LPHCP RECORDING FEES"</f>
        <v>LPHCP RECORDING FEES</v>
      </c>
    </row>
    <row r="1207" spans="1:9" x14ac:dyDescent="0.3">
      <c r="A1207" t="str">
        <f>"RP-CC"</f>
        <v>RP-CC</v>
      </c>
      <c r="B1207" t="s">
        <v>387</v>
      </c>
      <c r="C1207">
        <v>70241</v>
      </c>
      <c r="D1207" s="2">
        <v>294</v>
      </c>
      <c r="E1207" s="1">
        <v>42863</v>
      </c>
      <c r="F1207" t="str">
        <f>"201705031669"</f>
        <v>201705031669</v>
      </c>
      <c r="G1207" t="str">
        <f>"DEV'T SERVICE RECORDING FEE"</f>
        <v>DEV'T SERVICE RECORDING FEE</v>
      </c>
      <c r="H1207" s="2">
        <v>294</v>
      </c>
      <c r="I1207" t="str">
        <f>"DEV'T SERVICE RECORDING FEE"</f>
        <v>DEV'T SERVICE RECORDING FEE</v>
      </c>
    </row>
    <row r="1208" spans="1:9" x14ac:dyDescent="0.3">
      <c r="A1208" t="str">
        <f>"RP-CC"</f>
        <v>RP-CC</v>
      </c>
      <c r="B1208" t="s">
        <v>387</v>
      </c>
      <c r="C1208">
        <v>70537</v>
      </c>
      <c r="D1208" s="2">
        <v>581</v>
      </c>
      <c r="E1208" s="1">
        <v>42877</v>
      </c>
      <c r="F1208" t="str">
        <f>"201705172229"</f>
        <v>201705172229</v>
      </c>
      <c r="G1208" t="str">
        <f>"RECPT 2127 2390 2542 2603 2621"</f>
        <v>RECPT 2127 2390 2542 2603 2621</v>
      </c>
      <c r="H1208" s="2">
        <v>581</v>
      </c>
      <c r="I1208" t="str">
        <f>"RECPT 2127 2390 2542 2603 2621"</f>
        <v>RECPT 2127 2390 2542 2603 2621</v>
      </c>
    </row>
    <row r="1209" spans="1:9" x14ac:dyDescent="0.3">
      <c r="A1209" t="str">
        <f>"002112"</f>
        <v>002112</v>
      </c>
      <c r="B1209" t="s">
        <v>388</v>
      </c>
      <c r="C1209">
        <v>70242</v>
      </c>
      <c r="D1209" s="2">
        <v>265.97000000000003</v>
      </c>
      <c r="E1209" s="1">
        <v>42863</v>
      </c>
      <c r="F1209" t="str">
        <f>"201705031682"</f>
        <v>201705031682</v>
      </c>
      <c r="G1209" t="str">
        <f>"INDIGENT HEALTH"</f>
        <v>INDIGENT HEALTH</v>
      </c>
      <c r="H1209" s="2">
        <v>265.97000000000003</v>
      </c>
      <c r="I1209" t="str">
        <f>"INDIGENT HEALTH"</f>
        <v>INDIGENT HEALTH</v>
      </c>
    </row>
    <row r="1210" spans="1:9" x14ac:dyDescent="0.3">
      <c r="A1210" t="str">
        <f>"004125"</f>
        <v>004125</v>
      </c>
      <c r="B1210" t="s">
        <v>389</v>
      </c>
      <c r="C1210">
        <v>70243</v>
      </c>
      <c r="D1210" s="2">
        <v>847</v>
      </c>
      <c r="E1210" s="1">
        <v>42863</v>
      </c>
      <c r="F1210" t="str">
        <f>"201705031661"</f>
        <v>201705031661</v>
      </c>
      <c r="G1210" t="str">
        <f>"CASE#16-S-06629/R EMBER"</f>
        <v>CASE#16-S-06629/R EMBER</v>
      </c>
      <c r="H1210" s="2">
        <v>847</v>
      </c>
      <c r="I1210" t="str">
        <f>"CASE#16-S-06629/R EMBER"</f>
        <v>CASE#16-S-06629/R EMBER</v>
      </c>
    </row>
    <row r="1211" spans="1:9" x14ac:dyDescent="0.3">
      <c r="A1211" t="str">
        <f>"005045"</f>
        <v>005045</v>
      </c>
      <c r="B1211" t="s">
        <v>390</v>
      </c>
      <c r="C1211">
        <v>70244</v>
      </c>
      <c r="D1211" s="2">
        <v>1025</v>
      </c>
      <c r="E1211" s="1">
        <v>42863</v>
      </c>
      <c r="F1211" t="str">
        <f>"2017-334"</f>
        <v>2017-334</v>
      </c>
      <c r="G1211" t="str">
        <f>"REFUND-COMMERCIAL APP."</f>
        <v>REFUND-COMMERCIAL APP.</v>
      </c>
      <c r="H1211" s="2">
        <v>1025</v>
      </c>
      <c r="I1211" t="str">
        <f>"REFUND-COMMERCIAL APP."</f>
        <v>REFUND-COMMERCIAL APP.</v>
      </c>
    </row>
    <row r="1212" spans="1:9" x14ac:dyDescent="0.3">
      <c r="A1212" t="str">
        <f>""</f>
        <v/>
      </c>
      <c r="F1212" t="str">
        <f>""</f>
        <v/>
      </c>
      <c r="G1212" t="str">
        <f>""</f>
        <v/>
      </c>
      <c r="I1212" t="str">
        <f>"REFUND-COMMERCIAL APP."</f>
        <v>REFUND-COMMERCIAL APP.</v>
      </c>
    </row>
    <row r="1213" spans="1:9" x14ac:dyDescent="0.3">
      <c r="A1213" t="str">
        <f>"002923"</f>
        <v>002923</v>
      </c>
      <c r="B1213" t="s">
        <v>391</v>
      </c>
      <c r="C1213">
        <v>70245</v>
      </c>
      <c r="D1213" s="2">
        <v>190</v>
      </c>
      <c r="E1213" s="1">
        <v>42863</v>
      </c>
      <c r="F1213" t="str">
        <f>"30842"</f>
        <v>30842</v>
      </c>
      <c r="G1213" t="str">
        <f>"INV 30842"</f>
        <v>INV 30842</v>
      </c>
      <c r="H1213" s="2">
        <v>190</v>
      </c>
      <c r="I1213" t="str">
        <f>"INV 30842"</f>
        <v>INV 30842</v>
      </c>
    </row>
    <row r="1214" spans="1:9" x14ac:dyDescent="0.3">
      <c r="A1214" t="str">
        <f>"T11973"</f>
        <v>T11973</v>
      </c>
      <c r="B1214" t="s">
        <v>392</v>
      </c>
      <c r="C1214">
        <v>70246</v>
      </c>
      <c r="D1214" s="2">
        <v>126.73</v>
      </c>
      <c r="E1214" s="1">
        <v>42863</v>
      </c>
      <c r="F1214" t="str">
        <f>"201705031676"</f>
        <v>201705031676</v>
      </c>
      <c r="G1214" t="str">
        <f>"INDIGENT HEALTH"</f>
        <v>INDIGENT HEALTH</v>
      </c>
      <c r="H1214" s="2">
        <v>126.73</v>
      </c>
      <c r="I1214" t="str">
        <f>"INDIGENT HEALTH"</f>
        <v>INDIGENT HEALTH</v>
      </c>
    </row>
    <row r="1215" spans="1:9" x14ac:dyDescent="0.3">
      <c r="A1215" t="str">
        <f>"004811"</f>
        <v>004811</v>
      </c>
      <c r="B1215" t="s">
        <v>393</v>
      </c>
      <c r="C1215">
        <v>70538</v>
      </c>
      <c r="D1215" s="2">
        <v>250</v>
      </c>
      <c r="E1215" s="1">
        <v>42877</v>
      </c>
      <c r="F1215" t="str">
        <f>"201705162057"</f>
        <v>201705162057</v>
      </c>
      <c r="G1215" t="str">
        <f>"FERAL HOGS"</f>
        <v>FERAL HOGS</v>
      </c>
      <c r="H1215" s="2">
        <v>225</v>
      </c>
      <c r="I1215" t="str">
        <f>"FERAL HOGS"</f>
        <v>FERAL HOGS</v>
      </c>
    </row>
    <row r="1216" spans="1:9" x14ac:dyDescent="0.3">
      <c r="A1216" t="str">
        <f>""</f>
        <v/>
      </c>
      <c r="F1216" t="str">
        <f>"201705162058"</f>
        <v>201705162058</v>
      </c>
      <c r="G1216" t="str">
        <f>"FERAL HOGS"</f>
        <v>FERAL HOGS</v>
      </c>
      <c r="H1216" s="2">
        <v>25</v>
      </c>
      <c r="I1216" t="str">
        <f>"FERAL HOGS"</f>
        <v>FERAL HOGS</v>
      </c>
    </row>
    <row r="1217" spans="1:9" x14ac:dyDescent="0.3">
      <c r="A1217" t="str">
        <f>"003194"</f>
        <v>003194</v>
      </c>
      <c r="B1217" t="s">
        <v>394</v>
      </c>
      <c r="C1217">
        <v>70539</v>
      </c>
      <c r="D1217" s="2">
        <v>9452.42</v>
      </c>
      <c r="E1217" s="1">
        <v>42877</v>
      </c>
      <c r="F1217" t="str">
        <f>"07396"</f>
        <v>07396</v>
      </c>
      <c r="G1217" t="str">
        <f>"PREPAID PHONE CARDS"</f>
        <v>PREPAID PHONE CARDS</v>
      </c>
      <c r="H1217" s="2">
        <v>9452.42</v>
      </c>
      <c r="I1217" t="str">
        <f>"PREPAID PHONE CARDS"</f>
        <v>PREPAID PHONE CARDS</v>
      </c>
    </row>
    <row r="1218" spans="1:9" x14ac:dyDescent="0.3">
      <c r="A1218" t="str">
        <f>"BRACKE"</f>
        <v>BRACKE</v>
      </c>
      <c r="B1218" t="s">
        <v>137</v>
      </c>
      <c r="C1218">
        <v>70247</v>
      </c>
      <c r="D1218" s="2">
        <v>4880.25</v>
      </c>
      <c r="E1218" s="1">
        <v>42863</v>
      </c>
      <c r="F1218" t="str">
        <f>"4200*98041*1"</f>
        <v>4200*98041*1</v>
      </c>
      <c r="G1218" t="str">
        <f>"CLIENT#4200 L HARRELL"</f>
        <v>CLIENT#4200 L HARRELL</v>
      </c>
      <c r="H1218" s="2">
        <v>4880.25</v>
      </c>
      <c r="I1218" t="str">
        <f>"CLIENT#4200 L HARRELL"</f>
        <v>CLIENT#4200 L HARRELL</v>
      </c>
    </row>
    <row r="1219" spans="1:9" x14ac:dyDescent="0.3">
      <c r="A1219" t="str">
        <f>"BRACKE"</f>
        <v>BRACKE</v>
      </c>
      <c r="B1219" t="s">
        <v>137</v>
      </c>
      <c r="C1219">
        <v>70540</v>
      </c>
      <c r="D1219" s="2">
        <v>8633.81</v>
      </c>
      <c r="E1219" s="1">
        <v>42877</v>
      </c>
      <c r="F1219" t="str">
        <f>"201705172242"</f>
        <v>201705172242</v>
      </c>
      <c r="G1219" t="str">
        <f>"INV 4211980411 5/16 TO 5/22"</f>
        <v>INV 4211980411 5/16 TO 5/22</v>
      </c>
      <c r="H1219" s="2">
        <v>8633.81</v>
      </c>
      <c r="I1219" t="str">
        <f>"INV 4211980411 5/16 TO 5/22"</f>
        <v>INV 4211980411 5/16 TO 5/22</v>
      </c>
    </row>
    <row r="1220" spans="1:9" x14ac:dyDescent="0.3">
      <c r="A1220" t="str">
        <f>"003086"</f>
        <v>003086</v>
      </c>
      <c r="B1220" t="s">
        <v>137</v>
      </c>
      <c r="C1220">
        <v>70248</v>
      </c>
      <c r="D1220" s="2">
        <v>937.05</v>
      </c>
      <c r="E1220" s="1">
        <v>42863</v>
      </c>
      <c r="F1220" t="str">
        <f>"201705031683"</f>
        <v>201705031683</v>
      </c>
      <c r="G1220" t="str">
        <f>"INDIGENT HEALTH"</f>
        <v>INDIGENT HEALTH</v>
      </c>
      <c r="H1220" s="2">
        <v>937.05</v>
      </c>
      <c r="I1220" t="str">
        <f>"INDIGENT HEALTH"</f>
        <v>INDIGENT HEALTH</v>
      </c>
    </row>
    <row r="1221" spans="1:9" x14ac:dyDescent="0.3">
      <c r="A1221" t="str">
        <f>"003086"</f>
        <v>003086</v>
      </c>
      <c r="B1221" t="s">
        <v>137</v>
      </c>
      <c r="C1221">
        <v>70541</v>
      </c>
      <c r="D1221" s="2">
        <v>4178.53</v>
      </c>
      <c r="E1221" s="1">
        <v>42877</v>
      </c>
      <c r="F1221" t="str">
        <f>"201705172116"</f>
        <v>201705172116</v>
      </c>
      <c r="G1221" t="str">
        <f>"INDIGENT HEALTH"</f>
        <v>INDIGENT HEALTH</v>
      </c>
      <c r="H1221" s="2">
        <v>91.53</v>
      </c>
      <c r="I1221" t="str">
        <f>"INDIGENT HEALTH"</f>
        <v>INDIGENT HEALTH</v>
      </c>
    </row>
    <row r="1222" spans="1:9" x14ac:dyDescent="0.3">
      <c r="A1222" t="str">
        <f>""</f>
        <v/>
      </c>
      <c r="F1222" t="str">
        <f>"420171"</f>
        <v>420171</v>
      </c>
      <c r="G1222" t="str">
        <f>"APRIL'17 PRESCRIPTION ASST PRO"</f>
        <v>APRIL'17 PRESCRIPTION ASST PRO</v>
      </c>
      <c r="H1222" s="2">
        <v>4087</v>
      </c>
      <c r="I1222" t="str">
        <f>"APRIL'17 PRESCRIPTION ASST PRO"</f>
        <v>APRIL'17 PRESCRIPTION ASST PRO</v>
      </c>
    </row>
    <row r="1223" spans="1:9" x14ac:dyDescent="0.3">
      <c r="A1223" t="str">
        <f>"004521"</f>
        <v>004521</v>
      </c>
      <c r="B1223" t="s">
        <v>395</v>
      </c>
      <c r="C1223">
        <v>70542</v>
      </c>
      <c r="D1223" s="2">
        <v>60</v>
      </c>
      <c r="E1223" s="1">
        <v>42877</v>
      </c>
      <c r="F1223" t="str">
        <f>"201705162005"</f>
        <v>201705162005</v>
      </c>
      <c r="G1223" t="str">
        <f>"REST DEBRA MCCOMB 14 962"</f>
        <v>REST DEBRA MCCOMB 14 962</v>
      </c>
      <c r="H1223" s="2">
        <v>60</v>
      </c>
      <c r="I1223" t="str">
        <f>"REST DEBRA MCCOMB 14 962"</f>
        <v>REST DEBRA MCCOMB 14 962</v>
      </c>
    </row>
    <row r="1224" spans="1:9" x14ac:dyDescent="0.3">
      <c r="A1224" t="str">
        <f>"T10195"</f>
        <v>T10195</v>
      </c>
      <c r="B1224" t="s">
        <v>396</v>
      </c>
      <c r="C1224">
        <v>70543</v>
      </c>
      <c r="D1224" s="2">
        <v>93748.18</v>
      </c>
      <c r="E1224" s="1">
        <v>42877</v>
      </c>
      <c r="F1224" t="str">
        <f>"201705161993"</f>
        <v>201705161993</v>
      </c>
      <c r="G1224" t="str">
        <f>"CommVault Software"</f>
        <v>CommVault Software</v>
      </c>
      <c r="H1224" s="2">
        <v>92888.52</v>
      </c>
      <c r="I1224" t="str">
        <f>"Part# CN-C-STPK"</f>
        <v>Part# CN-C-STPK</v>
      </c>
    </row>
    <row r="1225" spans="1:9" x14ac:dyDescent="0.3">
      <c r="A1225" t="str">
        <f>""</f>
        <v/>
      </c>
      <c r="F1225" t="str">
        <f>""</f>
        <v/>
      </c>
      <c r="G1225" t="str">
        <f>""</f>
        <v/>
      </c>
      <c r="I1225" t="str">
        <f>"Part# SB-C-DPA-1T-A"</f>
        <v>Part# SB-C-DPA-1T-A</v>
      </c>
    </row>
    <row r="1226" spans="1:9" x14ac:dyDescent="0.3">
      <c r="A1226" t="str">
        <f>""</f>
        <v/>
      </c>
      <c r="F1226" t="str">
        <f>""</f>
        <v/>
      </c>
      <c r="G1226" t="str">
        <f>""</f>
        <v/>
      </c>
      <c r="I1226" t="str">
        <f>"Part#SB-CSIM-V-AF-10"</f>
        <v>Part#SB-CSIM-V-AF-10</v>
      </c>
    </row>
    <row r="1227" spans="1:9" x14ac:dyDescent="0.3">
      <c r="A1227" t="str">
        <f>""</f>
        <v/>
      </c>
      <c r="F1227" t="str">
        <f>""</f>
        <v/>
      </c>
      <c r="G1227" t="str">
        <f>""</f>
        <v/>
      </c>
      <c r="I1227" t="str">
        <f>"Part# SB-MSIM-A-A"</f>
        <v>Part# SB-MSIM-A-A</v>
      </c>
    </row>
    <row r="1228" spans="1:9" x14ac:dyDescent="0.3">
      <c r="A1228" t="str">
        <f>""</f>
        <v/>
      </c>
      <c r="F1228" t="str">
        <f>""</f>
        <v/>
      </c>
      <c r="G1228" t="str">
        <f>""</f>
        <v/>
      </c>
      <c r="I1228" t="str">
        <f>"Part# IC-CONS-BB"</f>
        <v>Part# IC-CONS-BB</v>
      </c>
    </row>
    <row r="1229" spans="1:9" x14ac:dyDescent="0.3">
      <c r="A1229" t="str">
        <f>""</f>
        <v/>
      </c>
      <c r="F1229" t="str">
        <f>""</f>
        <v/>
      </c>
      <c r="G1229" t="str">
        <f>""</f>
        <v/>
      </c>
      <c r="I1229" t="str">
        <f>"Part# S-PREM-23"</f>
        <v>Part# S-PREM-23</v>
      </c>
    </row>
    <row r="1230" spans="1:9" x14ac:dyDescent="0.3">
      <c r="A1230" t="str">
        <f>""</f>
        <v/>
      </c>
      <c r="F1230" t="str">
        <f>"201705161994"</f>
        <v>201705161994</v>
      </c>
      <c r="G1230" t="str">
        <f>"SHI GOVERNMENT SOLUTIONS INC."</f>
        <v>SHI GOVERNMENT SOLUTIONS INC.</v>
      </c>
      <c r="H1230" s="2">
        <v>859.66</v>
      </c>
      <c r="I1230" t="str">
        <f>"Part#: SRDVRLB"</f>
        <v>Part#: SRDVRLB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>"Part#: SMART500RT1U"</f>
        <v>Part#: SMART500RT1U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>"Part#: 170668-000"</f>
        <v>Part#: 170668-000</v>
      </c>
    </row>
    <row r="1233" spans="1:9" x14ac:dyDescent="0.3">
      <c r="A1233" t="str">
        <f>"004840"</f>
        <v>004840</v>
      </c>
      <c r="B1233" t="s">
        <v>397</v>
      </c>
      <c r="C1233">
        <v>70544</v>
      </c>
      <c r="D1233" s="2">
        <v>229.25</v>
      </c>
      <c r="E1233" s="1">
        <v>42877</v>
      </c>
      <c r="F1233" t="str">
        <f>"201705162094"</f>
        <v>201705162094</v>
      </c>
      <c r="G1233" t="str">
        <f>"REF 672818 ACCT 550615"</f>
        <v>REF 672818 ACCT 550615</v>
      </c>
      <c r="H1233" s="2">
        <v>229.25</v>
      </c>
      <c r="I1233" t="str">
        <f>"REF 672818 ACCT 550615"</f>
        <v>REF 672818 ACCT 550615</v>
      </c>
    </row>
    <row r="1234" spans="1:9" x14ac:dyDescent="0.3">
      <c r="A1234" t="str">
        <f>"001260"</f>
        <v>001260</v>
      </c>
      <c r="B1234" t="s">
        <v>398</v>
      </c>
      <c r="C1234">
        <v>70249</v>
      </c>
      <c r="D1234" s="2">
        <v>647.26</v>
      </c>
      <c r="E1234" s="1">
        <v>42863</v>
      </c>
      <c r="F1234" t="str">
        <f>"201705031684"</f>
        <v>201705031684</v>
      </c>
      <c r="G1234" t="str">
        <f>"INDIGENT HEALTH"</f>
        <v>INDIGENT HEALTH</v>
      </c>
      <c r="H1234" s="2">
        <v>647.26</v>
      </c>
      <c r="I1234" t="str">
        <f>"INDIGENT HEALTH"</f>
        <v>INDIGENT HEALTH</v>
      </c>
    </row>
    <row r="1235" spans="1:9" x14ac:dyDescent="0.3">
      <c r="A1235" t="str">
        <f>"001260"</f>
        <v>001260</v>
      </c>
      <c r="B1235" t="s">
        <v>398</v>
      </c>
      <c r="C1235">
        <v>70545</v>
      </c>
      <c r="D1235" s="2">
        <v>136.99</v>
      </c>
      <c r="E1235" s="1">
        <v>42877</v>
      </c>
      <c r="F1235" t="str">
        <f>"201705172117"</f>
        <v>201705172117</v>
      </c>
      <c r="G1235" t="str">
        <f>"INDIGENT HEALTH"</f>
        <v>INDIGENT HEALTH</v>
      </c>
      <c r="H1235" s="2">
        <v>136.99</v>
      </c>
      <c r="I1235" t="str">
        <f>"INDIGENT HEALTH"</f>
        <v>INDIGENT HEALTH</v>
      </c>
    </row>
    <row r="1236" spans="1:9" x14ac:dyDescent="0.3">
      <c r="A1236" t="str">
        <f>"SEI"</f>
        <v>SEI</v>
      </c>
      <c r="B1236" t="s">
        <v>399</v>
      </c>
      <c r="C1236">
        <v>70546</v>
      </c>
      <c r="D1236" s="2">
        <v>111.8</v>
      </c>
      <c r="E1236" s="1">
        <v>42877</v>
      </c>
      <c r="F1236" t="str">
        <f>"68170"</f>
        <v>68170</v>
      </c>
      <c r="G1236" t="str">
        <f>"LINT SCREENS INV68170"</f>
        <v>LINT SCREENS INV68170</v>
      </c>
      <c r="H1236" s="2">
        <v>111.8</v>
      </c>
      <c r="I1236" t="str">
        <f>"LINT SCREENS INV68170"</f>
        <v>LINT SCREENS INV68170</v>
      </c>
    </row>
    <row r="1237" spans="1:9" x14ac:dyDescent="0.3">
      <c r="A1237" t="str">
        <f>"SS"</f>
        <v>SS</v>
      </c>
      <c r="B1237" t="s">
        <v>400</v>
      </c>
      <c r="C1237">
        <v>70062</v>
      </c>
      <c r="D1237" s="2">
        <v>484.95</v>
      </c>
      <c r="E1237" s="1">
        <v>42857</v>
      </c>
      <c r="F1237" t="str">
        <f>"328419"</f>
        <v>328419</v>
      </c>
      <c r="G1237" t="str">
        <f>"STATEMENT # 23913"</f>
        <v>STATEMENT # 23913</v>
      </c>
      <c r="H1237" s="2">
        <v>484.95</v>
      </c>
      <c r="I1237" t="str">
        <f>"STATEMENT # 23913"</f>
        <v>STATEMENT # 23913</v>
      </c>
    </row>
    <row r="1238" spans="1:9" x14ac:dyDescent="0.3">
      <c r="A1238" t="str">
        <f>"SS"</f>
        <v>SS</v>
      </c>
      <c r="B1238" t="s">
        <v>400</v>
      </c>
      <c r="C1238">
        <v>70547</v>
      </c>
      <c r="D1238" s="2">
        <v>1888.12</v>
      </c>
      <c r="E1238" s="1">
        <v>42877</v>
      </c>
      <c r="F1238" t="str">
        <f>"201705121979"</f>
        <v>201705121979</v>
      </c>
      <c r="G1238" t="str">
        <f>"INV 333698 STMT 24182"</f>
        <v>INV 333698 STMT 24182</v>
      </c>
      <c r="H1238" s="2">
        <v>986.5</v>
      </c>
      <c r="I1238" t="str">
        <f>"INV 333698 STMT 24182"</f>
        <v>INV 333698 STMT 24182</v>
      </c>
    </row>
    <row r="1239" spans="1:9" x14ac:dyDescent="0.3">
      <c r="A1239" t="str">
        <f>""</f>
        <v/>
      </c>
      <c r="F1239" t="str">
        <f>"24435"</f>
        <v>24435</v>
      </c>
      <c r="G1239" t="str">
        <f>"SUPPLIES PCT#1"</f>
        <v>SUPPLIES PCT#1</v>
      </c>
      <c r="H1239" s="2">
        <v>549.69000000000005</v>
      </c>
      <c r="I1239" t="str">
        <f>"SUPPLIES PCT#1"</f>
        <v>SUPPLIES PCT#1</v>
      </c>
    </row>
    <row r="1240" spans="1:9" x14ac:dyDescent="0.3">
      <c r="A1240" t="str">
        <f>""</f>
        <v/>
      </c>
      <c r="F1240" t="str">
        <f>"24435(2)"</f>
        <v>24435(2)</v>
      </c>
      <c r="G1240" t="str">
        <f>"PCT#1 SUPPLIES"</f>
        <v>PCT#1 SUPPLIES</v>
      </c>
      <c r="H1240" s="2">
        <v>351.93</v>
      </c>
      <c r="I1240" t="str">
        <f>"PCT#1 SUPPLIES"</f>
        <v>PCT#1 SUPPLIES</v>
      </c>
    </row>
    <row r="1241" spans="1:9" x14ac:dyDescent="0.3">
      <c r="A1241" t="str">
        <f>"SAP"</f>
        <v>SAP</v>
      </c>
      <c r="B1241" t="s">
        <v>401</v>
      </c>
      <c r="C1241">
        <v>70250</v>
      </c>
      <c r="D1241" s="2">
        <v>384.2</v>
      </c>
      <c r="E1241" s="1">
        <v>42863</v>
      </c>
      <c r="F1241" t="str">
        <f>"458792/461261"</f>
        <v>458792/461261</v>
      </c>
      <c r="G1241" t="str">
        <f>"ACCT#260/ PCT#2"</f>
        <v>ACCT#260/ PCT#2</v>
      </c>
      <c r="H1241" s="2">
        <v>384.2</v>
      </c>
      <c r="I1241" t="str">
        <f>"ACCT#260/ PCT#2"</f>
        <v>ACCT#260/ PCT#2</v>
      </c>
    </row>
    <row r="1242" spans="1:9" x14ac:dyDescent="0.3">
      <c r="A1242" t="str">
        <f>"002694"</f>
        <v>002694</v>
      </c>
      <c r="B1242" t="s">
        <v>402</v>
      </c>
      <c r="C1242">
        <v>70548</v>
      </c>
      <c r="D1242" s="2">
        <v>1404</v>
      </c>
      <c r="E1242" s="1">
        <v>42877</v>
      </c>
      <c r="F1242" t="str">
        <f>"201705161991"</f>
        <v>201705161991</v>
      </c>
      <c r="G1242" t="str">
        <f>"HelpDesk Renewal"</f>
        <v>HelpDesk Renewal</v>
      </c>
      <c r="H1242" s="2">
        <v>1404</v>
      </c>
      <c r="I1242" t="str">
        <f>"HelpDesk Renewal"</f>
        <v>HelpDesk Renewal</v>
      </c>
    </row>
    <row r="1243" spans="1:9" x14ac:dyDescent="0.3">
      <c r="A1243" t="str">
        <f>"T11884"</f>
        <v>T11884</v>
      </c>
      <c r="B1243" t="s">
        <v>403</v>
      </c>
      <c r="C1243">
        <v>70251</v>
      </c>
      <c r="D1243" s="2">
        <v>11140</v>
      </c>
      <c r="E1243" s="1">
        <v>42863</v>
      </c>
      <c r="F1243" t="str">
        <f>"201705041802"</f>
        <v>201705041802</v>
      </c>
      <c r="G1243" t="str">
        <f>"LAVACA COUNTY OFFICE SUPPLE  I"</f>
        <v>LAVACA COUNTY OFFICE SUPPLE  I</v>
      </c>
      <c r="H1243" s="2">
        <v>10785</v>
      </c>
      <c r="I1243" t="str">
        <f>"#ED3672"</f>
        <v>#ED3672</v>
      </c>
    </row>
    <row r="1244" spans="1:9" x14ac:dyDescent="0.3">
      <c r="A1244" t="str">
        <f>""</f>
        <v/>
      </c>
      <c r="F1244" t="str">
        <f>""</f>
        <v/>
      </c>
      <c r="G1244" t="str">
        <f>""</f>
        <v/>
      </c>
      <c r="I1244" t="str">
        <f>"#IC009885"</f>
        <v>#IC009885</v>
      </c>
    </row>
    <row r="1245" spans="1:9" x14ac:dyDescent="0.3">
      <c r="A1245" t="str">
        <f>""</f>
        <v/>
      </c>
      <c r="F1245" t="str">
        <f>""</f>
        <v/>
      </c>
      <c r="G1245" t="str">
        <f>""</f>
        <v/>
      </c>
      <c r="I1245" t="str">
        <f>"Frieght/Installation"</f>
        <v>Frieght/Installation</v>
      </c>
    </row>
    <row r="1246" spans="1:9" x14ac:dyDescent="0.3">
      <c r="A1246" t="str">
        <f>""</f>
        <v/>
      </c>
      <c r="F1246" t="str">
        <f>"6921"</f>
        <v>6921</v>
      </c>
      <c r="G1246" t="str">
        <f>"TABLE /JP#4"</f>
        <v>TABLE /JP#4</v>
      </c>
      <c r="H1246" s="2">
        <v>355</v>
      </c>
      <c r="I1246" t="str">
        <f>"TABLE /JP#4"</f>
        <v>TABLE /JP#4</v>
      </c>
    </row>
    <row r="1247" spans="1:9" x14ac:dyDescent="0.3">
      <c r="A1247" t="str">
        <f>"STM"</f>
        <v>STM</v>
      </c>
      <c r="B1247" t="s">
        <v>404</v>
      </c>
      <c r="C1247">
        <v>70549</v>
      </c>
      <c r="D1247" s="2">
        <v>165</v>
      </c>
      <c r="E1247" s="1">
        <v>42877</v>
      </c>
      <c r="F1247" t="str">
        <f>"201705162073"</f>
        <v>201705162073</v>
      </c>
      <c r="G1247" t="str">
        <f>"INV 63212854 PCT 3"</f>
        <v>INV 63212854 PCT 3</v>
      </c>
      <c r="H1247" s="2">
        <v>165</v>
      </c>
      <c r="I1247" t="str">
        <f>"INV 63212854 PCT 3"</f>
        <v>INV 63212854 PCT 3</v>
      </c>
    </row>
    <row r="1248" spans="1:9" x14ac:dyDescent="0.3">
      <c r="A1248" t="str">
        <f>"T11061"</f>
        <v>T11061</v>
      </c>
      <c r="B1248" t="s">
        <v>405</v>
      </c>
      <c r="C1248">
        <v>70252</v>
      </c>
      <c r="D1248" s="2">
        <v>114.09</v>
      </c>
      <c r="E1248" s="1">
        <v>42863</v>
      </c>
      <c r="F1248" t="str">
        <f>"9604456-033017"</f>
        <v>9604456-033017</v>
      </c>
      <c r="G1248" t="str">
        <f>"ACCT#46668439604456/JP#2"</f>
        <v>ACCT#46668439604456/JP#2</v>
      </c>
      <c r="H1248" s="2">
        <v>114.09</v>
      </c>
    </row>
    <row r="1249" spans="1:9" x14ac:dyDescent="0.3">
      <c r="A1249" t="str">
        <f>"T11061"</f>
        <v>T11061</v>
      </c>
      <c r="B1249" t="s">
        <v>405</v>
      </c>
      <c r="C1249">
        <v>70252</v>
      </c>
      <c r="D1249" s="2">
        <v>114.09</v>
      </c>
      <c r="E1249" s="1">
        <v>42863</v>
      </c>
      <c r="F1249" t="str">
        <f>"CHECK"</f>
        <v>CHECK</v>
      </c>
      <c r="G1249" t="str">
        <f>""</f>
        <v/>
      </c>
      <c r="H1249" s="2">
        <v>114.09</v>
      </c>
    </row>
    <row r="1250" spans="1:9" x14ac:dyDescent="0.3">
      <c r="A1250" t="str">
        <f>"T11061"</f>
        <v>T11061</v>
      </c>
      <c r="B1250" t="s">
        <v>405</v>
      </c>
      <c r="C1250">
        <v>70318</v>
      </c>
      <c r="D1250" s="2">
        <v>40.68</v>
      </c>
      <c r="E1250" s="1">
        <v>42864</v>
      </c>
      <c r="F1250" t="str">
        <f>"9604456033017"</f>
        <v>9604456033017</v>
      </c>
      <c r="G1250" t="str">
        <f>"ACCT # 46668439604456 / JP#2"</f>
        <v>ACCT # 46668439604456 / JP#2</v>
      </c>
      <c r="H1250" s="2">
        <v>40.68</v>
      </c>
      <c r="I1250" t="str">
        <f>"ACCT # 46668439604456 / JP#2"</f>
        <v>ACCT # 46668439604456 / JP#2</v>
      </c>
    </row>
    <row r="1251" spans="1:9" x14ac:dyDescent="0.3">
      <c r="A1251" t="str">
        <f>"T11061"</f>
        <v>T11061</v>
      </c>
      <c r="B1251" t="s">
        <v>405</v>
      </c>
      <c r="C1251">
        <v>70550</v>
      </c>
      <c r="D1251" s="2">
        <v>46.71</v>
      </c>
      <c r="E1251" s="1">
        <v>42877</v>
      </c>
      <c r="F1251" t="str">
        <f>"9604456042717"</f>
        <v>9604456042717</v>
      </c>
      <c r="G1251" t="str">
        <f>"CUST #46668439604456 JP#2"</f>
        <v>CUST #46668439604456 JP#2</v>
      </c>
      <c r="H1251" s="2">
        <v>46.71</v>
      </c>
      <c r="I1251" t="str">
        <f>"CUST #46668439604456 JP#2"</f>
        <v>CUST #46668439604456 JP#2</v>
      </c>
    </row>
    <row r="1252" spans="1:9" x14ac:dyDescent="0.3">
      <c r="A1252" t="str">
        <f>"003747"</f>
        <v>003747</v>
      </c>
      <c r="B1252" t="s">
        <v>406</v>
      </c>
      <c r="C1252">
        <v>70551</v>
      </c>
      <c r="D1252" s="2">
        <v>18.440000000000001</v>
      </c>
      <c r="E1252" s="1">
        <v>42877</v>
      </c>
      <c r="F1252" t="str">
        <f>"A0698356Q"</f>
        <v>A0698356Q</v>
      </c>
      <c r="G1252" t="str">
        <f>"ACCT#0698356-3 OEM"</f>
        <v>ACCT#0698356-3 OEM</v>
      </c>
      <c r="H1252" s="2">
        <v>18.440000000000001</v>
      </c>
      <c r="I1252" t="str">
        <f>"ACCT#0698356-3 OEM"</f>
        <v>ACCT#0698356-3 OEM</v>
      </c>
    </row>
    <row r="1253" spans="1:9" x14ac:dyDescent="0.3">
      <c r="A1253" t="str">
        <f>"SDHCS"</f>
        <v>SDHCS</v>
      </c>
      <c r="B1253" t="s">
        <v>407</v>
      </c>
      <c r="C1253">
        <v>70253</v>
      </c>
      <c r="D1253" s="2">
        <v>1267.83</v>
      </c>
      <c r="E1253" s="1">
        <v>42863</v>
      </c>
      <c r="F1253" t="str">
        <f>"201705031685"</f>
        <v>201705031685</v>
      </c>
      <c r="G1253" t="str">
        <f>"INDIGENT HEALTH"</f>
        <v>INDIGENT HEALTH</v>
      </c>
      <c r="H1253" s="2">
        <v>1167.1199999999999</v>
      </c>
      <c r="I1253" t="str">
        <f>"INDIGENT HEALTH"</f>
        <v>INDIGENT HEALTH</v>
      </c>
    </row>
    <row r="1254" spans="1:9" x14ac:dyDescent="0.3">
      <c r="A1254" t="str">
        <f>""</f>
        <v/>
      </c>
      <c r="F1254" t="str">
        <f>"4201*98030*1"</f>
        <v>4201*98030*1</v>
      </c>
      <c r="G1254" t="str">
        <f>"CLIENT#4201 J CASH"</f>
        <v>CLIENT#4201 J CASH</v>
      </c>
      <c r="H1254" s="2">
        <v>100.71</v>
      </c>
      <c r="I1254" t="str">
        <f>"CLIENT#4201 J CASH"</f>
        <v>CLIENT#4201 J CASH</v>
      </c>
    </row>
    <row r="1255" spans="1:9" x14ac:dyDescent="0.3">
      <c r="A1255" t="str">
        <f>"SDHCS"</f>
        <v>SDHCS</v>
      </c>
      <c r="B1255" t="s">
        <v>407</v>
      </c>
      <c r="C1255">
        <v>70552</v>
      </c>
      <c r="D1255" s="2">
        <v>150.84</v>
      </c>
      <c r="E1255" s="1">
        <v>42877</v>
      </c>
      <c r="F1255" t="str">
        <f>"201705172118"</f>
        <v>201705172118</v>
      </c>
      <c r="G1255" t="str">
        <f>"INDIGENT HEALTH"</f>
        <v>INDIGENT HEALTH</v>
      </c>
      <c r="H1255" s="2">
        <v>150.84</v>
      </c>
      <c r="I1255" t="str">
        <f>"INDIGENT HEALTH"</f>
        <v>INDIGENT HEALTH</v>
      </c>
    </row>
    <row r="1256" spans="1:9" x14ac:dyDescent="0.3">
      <c r="A1256" t="str">
        <f>"003508"</f>
        <v>003508</v>
      </c>
      <c r="B1256" t="s">
        <v>408</v>
      </c>
      <c r="C1256">
        <v>70254</v>
      </c>
      <c r="D1256" s="2">
        <v>1696.3</v>
      </c>
      <c r="E1256" s="1">
        <v>42863</v>
      </c>
      <c r="F1256" t="str">
        <f>"201705031775"</f>
        <v>201705031775</v>
      </c>
      <c r="G1256" t="str">
        <f>"Sum Inv# 8044087045"</f>
        <v>Sum Inv# 8044087045</v>
      </c>
      <c r="H1256" s="2">
        <v>1696.3</v>
      </c>
      <c r="I1256" t="str">
        <f>"Inv# 3337006696"</f>
        <v>Inv# 3337006696</v>
      </c>
    </row>
    <row r="1257" spans="1:9" x14ac:dyDescent="0.3">
      <c r="A1257" t="str">
        <f>""</f>
        <v/>
      </c>
      <c r="F1257" t="str">
        <f>""</f>
        <v/>
      </c>
      <c r="G1257" t="str">
        <f>""</f>
        <v/>
      </c>
      <c r="I1257" t="str">
        <f>"Inv# 3337006695"</f>
        <v>Inv# 3337006695</v>
      </c>
    </row>
    <row r="1258" spans="1:9" x14ac:dyDescent="0.3">
      <c r="A1258" t="str">
        <f>""</f>
        <v/>
      </c>
      <c r="F1258" t="str">
        <f>""</f>
        <v/>
      </c>
      <c r="G1258" t="str">
        <f>""</f>
        <v/>
      </c>
      <c r="I1258" t="str">
        <f>"Inv# 3337006691"</f>
        <v>Inv# 3337006691</v>
      </c>
    </row>
    <row r="1259" spans="1:9" x14ac:dyDescent="0.3">
      <c r="A1259" t="str">
        <f>""</f>
        <v/>
      </c>
      <c r="F1259" t="str">
        <f>""</f>
        <v/>
      </c>
      <c r="G1259" t="str">
        <f>""</f>
        <v/>
      </c>
      <c r="I1259" t="str">
        <f>"Inv# 3337006692"</f>
        <v>Inv# 3337006692</v>
      </c>
    </row>
    <row r="1260" spans="1:9" x14ac:dyDescent="0.3">
      <c r="A1260" t="str">
        <f>""</f>
        <v/>
      </c>
      <c r="F1260" t="str">
        <f>""</f>
        <v/>
      </c>
      <c r="G1260" t="str">
        <f>""</f>
        <v/>
      </c>
      <c r="I1260" t="str">
        <f>"Inv# 3337006693"</f>
        <v>Inv# 3337006693</v>
      </c>
    </row>
    <row r="1261" spans="1:9" x14ac:dyDescent="0.3">
      <c r="A1261" t="str">
        <f>""</f>
        <v/>
      </c>
      <c r="F1261" t="str">
        <f>""</f>
        <v/>
      </c>
      <c r="G1261" t="str">
        <f>""</f>
        <v/>
      </c>
      <c r="I1261" t="str">
        <f>"Inv# 3337006694"</f>
        <v>Inv# 3337006694</v>
      </c>
    </row>
    <row r="1262" spans="1:9" x14ac:dyDescent="0.3">
      <c r="A1262" t="str">
        <f>""</f>
        <v/>
      </c>
      <c r="F1262" t="str">
        <f>""</f>
        <v/>
      </c>
      <c r="G1262" t="str">
        <f>""</f>
        <v/>
      </c>
      <c r="I1262" t="str">
        <f>"Inv# 3337006700"</f>
        <v>Inv# 3337006700</v>
      </c>
    </row>
    <row r="1263" spans="1:9" x14ac:dyDescent="0.3">
      <c r="A1263" t="str">
        <f>""</f>
        <v/>
      </c>
      <c r="F1263" t="str">
        <f>""</f>
        <v/>
      </c>
      <c r="G1263" t="str">
        <f>""</f>
        <v/>
      </c>
      <c r="I1263" t="str">
        <f>"Inv# 3337006702"</f>
        <v>Inv# 3337006702</v>
      </c>
    </row>
    <row r="1264" spans="1:9" x14ac:dyDescent="0.3">
      <c r="A1264" t="str">
        <f>""</f>
        <v/>
      </c>
      <c r="F1264" t="str">
        <f>""</f>
        <v/>
      </c>
      <c r="G1264" t="str">
        <f>""</f>
        <v/>
      </c>
      <c r="I1264" t="str">
        <f>"Inv# 3337006704"</f>
        <v>Inv# 3337006704</v>
      </c>
    </row>
    <row r="1265" spans="1:9" x14ac:dyDescent="0.3">
      <c r="A1265" t="str">
        <f>""</f>
        <v/>
      </c>
      <c r="F1265" t="str">
        <f>""</f>
        <v/>
      </c>
      <c r="G1265" t="str">
        <f>""</f>
        <v/>
      </c>
      <c r="I1265" t="str">
        <f>"Inv# 3337006697"</f>
        <v>Inv# 3337006697</v>
      </c>
    </row>
    <row r="1266" spans="1:9" x14ac:dyDescent="0.3">
      <c r="A1266" t="str">
        <f>""</f>
        <v/>
      </c>
      <c r="F1266" t="str">
        <f>""</f>
        <v/>
      </c>
      <c r="G1266" t="str">
        <f>""</f>
        <v/>
      </c>
      <c r="I1266" t="str">
        <f>"Inv# 3337006674"</f>
        <v>Inv# 3337006674</v>
      </c>
    </row>
    <row r="1267" spans="1:9" x14ac:dyDescent="0.3">
      <c r="A1267" t="str">
        <f>""</f>
        <v/>
      </c>
      <c r="F1267" t="str">
        <f>""</f>
        <v/>
      </c>
      <c r="G1267" t="str">
        <f>""</f>
        <v/>
      </c>
      <c r="I1267" t="str">
        <f>"Inv# 3337006683"</f>
        <v>Inv# 3337006683</v>
      </c>
    </row>
    <row r="1268" spans="1:9" x14ac:dyDescent="0.3">
      <c r="A1268" t="str">
        <f>""</f>
        <v/>
      </c>
      <c r="F1268" t="str">
        <f>""</f>
        <v/>
      </c>
      <c r="G1268" t="str">
        <f>""</f>
        <v/>
      </c>
      <c r="I1268" t="str">
        <f>"Inv# 3337006685"</f>
        <v>Inv# 3337006685</v>
      </c>
    </row>
    <row r="1269" spans="1:9" x14ac:dyDescent="0.3">
      <c r="A1269" t="str">
        <f>""</f>
        <v/>
      </c>
      <c r="F1269" t="str">
        <f>""</f>
        <v/>
      </c>
      <c r="G1269" t="str">
        <f>""</f>
        <v/>
      </c>
      <c r="I1269" t="str">
        <f>"Inv# 3337006688"</f>
        <v>Inv# 3337006688</v>
      </c>
    </row>
    <row r="1270" spans="1:9" x14ac:dyDescent="0.3">
      <c r="A1270" t="str">
        <f>""</f>
        <v/>
      </c>
      <c r="F1270" t="str">
        <f>""</f>
        <v/>
      </c>
      <c r="G1270" t="str">
        <f>""</f>
        <v/>
      </c>
      <c r="I1270" t="str">
        <f>"Inv# 3337006689"</f>
        <v>Inv# 3337006689</v>
      </c>
    </row>
    <row r="1271" spans="1:9" x14ac:dyDescent="0.3">
      <c r="A1271" t="str">
        <f>""</f>
        <v/>
      </c>
      <c r="F1271" t="str">
        <f>""</f>
        <v/>
      </c>
      <c r="G1271" t="str">
        <f>""</f>
        <v/>
      </c>
      <c r="I1271" t="str">
        <f>"Inv# 3337006690"</f>
        <v>Inv# 3337006690</v>
      </c>
    </row>
    <row r="1272" spans="1:9" x14ac:dyDescent="0.3">
      <c r="A1272" t="str">
        <f>"003508"</f>
        <v>003508</v>
      </c>
      <c r="B1272" t="s">
        <v>408</v>
      </c>
      <c r="C1272">
        <v>70553</v>
      </c>
      <c r="D1272" s="2">
        <v>1824.22</v>
      </c>
      <c r="E1272" s="1">
        <v>42877</v>
      </c>
      <c r="F1272" t="str">
        <f>"3338901791"</f>
        <v>3338901791</v>
      </c>
      <c r="G1272" t="str">
        <f>"Sum.Inv. 8044347979"</f>
        <v>Sum.Inv. 8044347979</v>
      </c>
      <c r="H1272" s="2">
        <v>1824.22</v>
      </c>
      <c r="I1272" t="str">
        <f>"Inv# 3338901806"</f>
        <v>Inv# 3338901806</v>
      </c>
    </row>
    <row r="1273" spans="1:9" x14ac:dyDescent="0.3">
      <c r="A1273" t="str">
        <f>""</f>
        <v/>
      </c>
      <c r="F1273" t="str">
        <f>""</f>
        <v/>
      </c>
      <c r="G1273" t="str">
        <f>""</f>
        <v/>
      </c>
      <c r="I1273" t="str">
        <f>"Inv# 3338901807"</f>
        <v>Inv# 3338901807</v>
      </c>
    </row>
    <row r="1274" spans="1:9" x14ac:dyDescent="0.3">
      <c r="A1274" t="str">
        <f>""</f>
        <v/>
      </c>
      <c r="F1274" t="str">
        <f>""</f>
        <v/>
      </c>
      <c r="G1274" t="str">
        <f>""</f>
        <v/>
      </c>
      <c r="I1274" t="str">
        <f>"Inv# 3338901811"</f>
        <v>Inv# 3338901811</v>
      </c>
    </row>
    <row r="1275" spans="1:9" x14ac:dyDescent="0.3">
      <c r="A1275" t="str">
        <f>""</f>
        <v/>
      </c>
      <c r="F1275" t="str">
        <f>""</f>
        <v/>
      </c>
      <c r="G1275" t="str">
        <f>""</f>
        <v/>
      </c>
      <c r="I1275" t="str">
        <f>"Inv# 3338901813"</f>
        <v>Inv# 3338901813</v>
      </c>
    </row>
    <row r="1276" spans="1:9" x14ac:dyDescent="0.3">
      <c r="A1276" t="str">
        <f>""</f>
        <v/>
      </c>
      <c r="F1276" t="str">
        <f>""</f>
        <v/>
      </c>
      <c r="G1276" t="str">
        <f>""</f>
        <v/>
      </c>
      <c r="I1276" t="str">
        <f>"Inv# 3338901810"</f>
        <v>Inv# 3338901810</v>
      </c>
    </row>
    <row r="1277" spans="1:9" x14ac:dyDescent="0.3">
      <c r="A1277" t="str">
        <f>""</f>
        <v/>
      </c>
      <c r="F1277" t="str">
        <f>""</f>
        <v/>
      </c>
      <c r="G1277" t="str">
        <f>""</f>
        <v/>
      </c>
      <c r="I1277" t="str">
        <f>"Inv# 3338901791"</f>
        <v>Inv# 3338901791</v>
      </c>
    </row>
    <row r="1278" spans="1:9" x14ac:dyDescent="0.3">
      <c r="A1278" t="str">
        <f>""</f>
        <v/>
      </c>
      <c r="F1278" t="str">
        <f>""</f>
        <v/>
      </c>
      <c r="G1278" t="str">
        <f>""</f>
        <v/>
      </c>
      <c r="I1278" t="str">
        <f>"Inv# 3338901793"</f>
        <v>Inv# 3338901793</v>
      </c>
    </row>
    <row r="1279" spans="1:9" x14ac:dyDescent="0.3">
      <c r="A1279" t="str">
        <f>""</f>
        <v/>
      </c>
      <c r="F1279" t="str">
        <f>""</f>
        <v/>
      </c>
      <c r="G1279" t="str">
        <f>""</f>
        <v/>
      </c>
      <c r="I1279" t="str">
        <f>"Inv# 3338901795"</f>
        <v>Inv# 3338901795</v>
      </c>
    </row>
    <row r="1280" spans="1:9" x14ac:dyDescent="0.3">
      <c r="A1280" t="str">
        <f>""</f>
        <v/>
      </c>
      <c r="F1280" t="str">
        <f>""</f>
        <v/>
      </c>
      <c r="G1280" t="str">
        <f>""</f>
        <v/>
      </c>
      <c r="I1280" t="str">
        <f>"Inv# 3338901796"</f>
        <v>Inv# 3338901796</v>
      </c>
    </row>
    <row r="1281" spans="1:9" x14ac:dyDescent="0.3">
      <c r="A1281" t="str">
        <f>""</f>
        <v/>
      </c>
      <c r="F1281" t="str">
        <f>""</f>
        <v/>
      </c>
      <c r="G1281" t="str">
        <f>""</f>
        <v/>
      </c>
      <c r="I1281" t="str">
        <f>"Inv# 3338901797"</f>
        <v>Inv# 3338901797</v>
      </c>
    </row>
    <row r="1282" spans="1:9" x14ac:dyDescent="0.3">
      <c r="A1282" t="str">
        <f>""</f>
        <v/>
      </c>
      <c r="F1282" t="str">
        <f>""</f>
        <v/>
      </c>
      <c r="G1282" t="str">
        <f>""</f>
        <v/>
      </c>
      <c r="I1282" t="str">
        <f>"Inv# 3338901798"</f>
        <v>Inv# 3338901798</v>
      </c>
    </row>
    <row r="1283" spans="1:9" x14ac:dyDescent="0.3">
      <c r="A1283" t="str">
        <f>""</f>
        <v/>
      </c>
      <c r="F1283" t="str">
        <f>""</f>
        <v/>
      </c>
      <c r="G1283" t="str">
        <f>""</f>
        <v/>
      </c>
      <c r="I1283" t="str">
        <f>"Inv# 3338901799"</f>
        <v>Inv# 3338901799</v>
      </c>
    </row>
    <row r="1284" spans="1:9" x14ac:dyDescent="0.3">
      <c r="A1284" t="str">
        <f>""</f>
        <v/>
      </c>
      <c r="F1284" t="str">
        <f>""</f>
        <v/>
      </c>
      <c r="G1284" t="str">
        <f>""</f>
        <v/>
      </c>
      <c r="I1284" t="str">
        <f>"Inv# 3338901804"</f>
        <v>Inv# 3338901804</v>
      </c>
    </row>
    <row r="1285" spans="1:9" x14ac:dyDescent="0.3">
      <c r="A1285" t="str">
        <f>""</f>
        <v/>
      </c>
      <c r="F1285" t="str">
        <f>""</f>
        <v/>
      </c>
      <c r="G1285" t="str">
        <f>""</f>
        <v/>
      </c>
      <c r="I1285" t="str">
        <f>"Inv# 3338901802"</f>
        <v>Inv# 3338901802</v>
      </c>
    </row>
    <row r="1286" spans="1:9" x14ac:dyDescent="0.3">
      <c r="A1286" t="str">
        <f>"T5850"</f>
        <v>T5850</v>
      </c>
      <c r="B1286" t="s">
        <v>409</v>
      </c>
      <c r="C1286">
        <v>70554</v>
      </c>
      <c r="D1286" s="2">
        <v>330</v>
      </c>
      <c r="E1286" s="1">
        <v>42877</v>
      </c>
      <c r="F1286" t="str">
        <f>"201705121933"</f>
        <v>201705121933</v>
      </c>
      <c r="G1286" t="str">
        <f>"RENEWAL FEES"</f>
        <v>RENEWAL FEES</v>
      </c>
      <c r="H1286" s="2">
        <v>330</v>
      </c>
      <c r="I1286" t="str">
        <f>"RENEWAL FEES"</f>
        <v>RENEWAL FEES</v>
      </c>
    </row>
    <row r="1287" spans="1:9" x14ac:dyDescent="0.3">
      <c r="A1287" t="str">
        <f>"T459"</f>
        <v>T459</v>
      </c>
      <c r="B1287" t="s">
        <v>410</v>
      </c>
      <c r="C1287">
        <v>70555</v>
      </c>
      <c r="D1287" s="2">
        <v>466.67</v>
      </c>
      <c r="E1287" s="1">
        <v>42877</v>
      </c>
      <c r="F1287" t="str">
        <f>"201705121944"</f>
        <v>201705121944</v>
      </c>
      <c r="G1287" t="str">
        <f>"APRIL'17 FEES"</f>
        <v>APRIL'17 FEES</v>
      </c>
      <c r="H1287" s="2">
        <v>466.67</v>
      </c>
      <c r="I1287" t="str">
        <f>"APRIL'17 FEES"</f>
        <v>APRIL'17 FEES</v>
      </c>
    </row>
    <row r="1288" spans="1:9" x14ac:dyDescent="0.3">
      <c r="A1288" t="str">
        <f>"004808"</f>
        <v>004808</v>
      </c>
      <c r="B1288" t="s">
        <v>411</v>
      </c>
      <c r="C1288">
        <v>70556</v>
      </c>
      <c r="D1288" s="2">
        <v>15</v>
      </c>
      <c r="E1288" s="1">
        <v>42877</v>
      </c>
      <c r="F1288" t="str">
        <f>"201705162060"</f>
        <v>201705162060</v>
      </c>
      <c r="G1288" t="str">
        <f>"FERAL HOGS"</f>
        <v>FERAL HOGS</v>
      </c>
      <c r="H1288" s="2">
        <v>5</v>
      </c>
      <c r="I1288" t="str">
        <f>"FERAL HOGS"</f>
        <v>FERAL HOGS</v>
      </c>
    </row>
    <row r="1289" spans="1:9" x14ac:dyDescent="0.3">
      <c r="A1289" t="str">
        <f>""</f>
        <v/>
      </c>
      <c r="F1289" t="str">
        <f>"201705162061"</f>
        <v>201705162061</v>
      </c>
      <c r="G1289" t="str">
        <f>"FERAL HOGS"</f>
        <v>FERAL HOGS</v>
      </c>
      <c r="H1289" s="2">
        <v>5</v>
      </c>
      <c r="I1289" t="str">
        <f>"FERAL HOGS"</f>
        <v>FERAL HOGS</v>
      </c>
    </row>
    <row r="1290" spans="1:9" x14ac:dyDescent="0.3">
      <c r="A1290" t="str">
        <f>""</f>
        <v/>
      </c>
      <c r="F1290" t="str">
        <f>"201705162062"</f>
        <v>201705162062</v>
      </c>
      <c r="G1290" t="str">
        <f>"FERAL HOGS"</f>
        <v>FERAL HOGS</v>
      </c>
      <c r="H1290" s="2">
        <v>5</v>
      </c>
      <c r="I1290" t="str">
        <f>"FERAL HOGS"</f>
        <v>FERAL HOGS</v>
      </c>
    </row>
    <row r="1291" spans="1:9" x14ac:dyDescent="0.3">
      <c r="A1291" t="str">
        <f>"005072"</f>
        <v>005072</v>
      </c>
      <c r="B1291" t="s">
        <v>412</v>
      </c>
      <c r="C1291">
        <v>70557</v>
      </c>
      <c r="D1291" s="2">
        <v>90</v>
      </c>
      <c r="E1291" s="1">
        <v>42877</v>
      </c>
      <c r="F1291" t="str">
        <f>"201705162059"</f>
        <v>201705162059</v>
      </c>
      <c r="G1291" t="str">
        <f>"FERAL HOGS"</f>
        <v>FERAL HOGS</v>
      </c>
      <c r="H1291" s="2">
        <v>90</v>
      </c>
      <c r="I1291" t="str">
        <f>"FERAL HOGS"</f>
        <v>FERAL HOGS</v>
      </c>
    </row>
    <row r="1292" spans="1:9" x14ac:dyDescent="0.3">
      <c r="A1292" t="str">
        <f>"T8648"</f>
        <v>T8648</v>
      </c>
      <c r="B1292" t="s">
        <v>413</v>
      </c>
      <c r="C1292">
        <v>70255</v>
      </c>
      <c r="D1292" s="2">
        <v>651.02</v>
      </c>
      <c r="E1292" s="1">
        <v>42863</v>
      </c>
      <c r="F1292" t="str">
        <f>"4007052478"</f>
        <v>4007052478</v>
      </c>
      <c r="G1292" t="str">
        <f>"MEDICAL WASTE 4007052478"</f>
        <v>MEDICAL WASTE 4007052478</v>
      </c>
      <c r="H1292" s="2">
        <v>651.02</v>
      </c>
      <c r="I1292" t="str">
        <f>"MEDICAL WASTE 4007052478"</f>
        <v>MEDICAL WASTE 4007052478</v>
      </c>
    </row>
    <row r="1293" spans="1:9" x14ac:dyDescent="0.3">
      <c r="A1293" t="str">
        <f>"002260"</f>
        <v>002260</v>
      </c>
      <c r="B1293" t="s">
        <v>414</v>
      </c>
      <c r="C1293">
        <v>70256</v>
      </c>
      <c r="D1293" s="2">
        <v>364</v>
      </c>
      <c r="E1293" s="1">
        <v>42863</v>
      </c>
      <c r="F1293" t="str">
        <f>"201705021641"</f>
        <v>201705021641</v>
      </c>
      <c r="G1293" t="str">
        <f>"CONTRACT LABOR/4-24/4-28/PCT4"</f>
        <v>CONTRACT LABOR/4-24/4-28/PCT4</v>
      </c>
      <c r="H1293" s="2">
        <v>214.5</v>
      </c>
      <c r="I1293" t="str">
        <f>"CONTRACT LABOR/4-24/4-28/PCT4"</f>
        <v>CONTRACT LABOR/4-24/4-28/PCT4</v>
      </c>
    </row>
    <row r="1294" spans="1:9" x14ac:dyDescent="0.3">
      <c r="A1294" t="str">
        <f>""</f>
        <v/>
      </c>
      <c r="F1294" t="str">
        <f>"201705021642"</f>
        <v>201705021642</v>
      </c>
      <c r="G1294" t="str">
        <f>"CONTRACT LABOR/5-1/5-5-17/PCT4"</f>
        <v>CONTRACT LABOR/5-1/5-5-17/PCT4</v>
      </c>
      <c r="H1294" s="2">
        <v>149.5</v>
      </c>
      <c r="I1294" t="str">
        <f>"CONTRACT LABOR/5-1/5-5-17/PCT4"</f>
        <v>CONTRACT LABOR/5-1/5-5-17/PCT4</v>
      </c>
    </row>
    <row r="1295" spans="1:9" x14ac:dyDescent="0.3">
      <c r="A1295" t="str">
        <f>"002260"</f>
        <v>002260</v>
      </c>
      <c r="B1295" t="s">
        <v>414</v>
      </c>
      <c r="C1295">
        <v>70558</v>
      </c>
      <c r="D1295" s="2">
        <v>370.5</v>
      </c>
      <c r="E1295" s="1">
        <v>42877</v>
      </c>
      <c r="F1295" t="str">
        <f>"201705162105"</f>
        <v>201705162105</v>
      </c>
      <c r="G1295" t="str">
        <f>"5/8-5/19/17 PCT#4"</f>
        <v>5/8-5/19/17 PCT#4</v>
      </c>
      <c r="H1295" s="2">
        <v>370.5</v>
      </c>
      <c r="I1295" t="str">
        <f>"5/8-5/19/17 PCT#4"</f>
        <v>5/8-5/19/17 PCT#4</v>
      </c>
    </row>
    <row r="1296" spans="1:9" x14ac:dyDescent="0.3">
      <c r="A1296" t="str">
        <f>"001804"</f>
        <v>001804</v>
      </c>
      <c r="B1296" t="s">
        <v>415</v>
      </c>
      <c r="C1296">
        <v>70257</v>
      </c>
      <c r="D1296" s="2">
        <v>150</v>
      </c>
      <c r="E1296" s="1">
        <v>42863</v>
      </c>
      <c r="F1296" t="str">
        <f>"201705021631"</f>
        <v>201705021631</v>
      </c>
      <c r="G1296" t="str">
        <f>"PER DIEM-TRAINING"</f>
        <v>PER DIEM-TRAINING</v>
      </c>
      <c r="H1296" s="2">
        <v>150</v>
      </c>
      <c r="I1296" t="str">
        <f>"PER DIEM-TRAINING"</f>
        <v>PER DIEM-TRAINING</v>
      </c>
    </row>
    <row r="1297" spans="1:9" x14ac:dyDescent="0.3">
      <c r="A1297" t="str">
        <f>"000883"</f>
        <v>000883</v>
      </c>
      <c r="B1297" t="s">
        <v>416</v>
      </c>
      <c r="C1297">
        <v>70258</v>
      </c>
      <c r="D1297" s="2">
        <v>1600</v>
      </c>
      <c r="E1297" s="1">
        <v>42863</v>
      </c>
      <c r="F1297" t="str">
        <f>"201705021608"</f>
        <v>201705021608</v>
      </c>
      <c r="G1297" t="str">
        <f>"Move Cat Shed"</f>
        <v>Move Cat Shed</v>
      </c>
      <c r="H1297" s="2">
        <v>1600</v>
      </c>
      <c r="I1297" t="str">
        <f>"Move Cat Shed"</f>
        <v>Move Cat Shed</v>
      </c>
    </row>
    <row r="1298" spans="1:9" x14ac:dyDescent="0.3">
      <c r="A1298" t="str">
        <f>"004775"</f>
        <v>004775</v>
      </c>
      <c r="B1298" t="s">
        <v>417</v>
      </c>
      <c r="C1298">
        <v>70259</v>
      </c>
      <c r="D1298" s="2">
        <v>4000</v>
      </c>
      <c r="E1298" s="1">
        <v>42863</v>
      </c>
      <c r="F1298" t="str">
        <f>"55"</f>
        <v>55</v>
      </c>
      <c r="G1298" t="str">
        <f>"SHREDDING MOWING/PCT#2"</f>
        <v>SHREDDING MOWING/PCT#2</v>
      </c>
      <c r="H1298" s="2">
        <v>4000</v>
      </c>
      <c r="I1298" t="str">
        <f>"SHREDDING MOWING/PCT#2"</f>
        <v>SHREDDING MOWING/PCT#2</v>
      </c>
    </row>
    <row r="1299" spans="1:9" x14ac:dyDescent="0.3">
      <c r="A1299" t="str">
        <f>"004775"</f>
        <v>004775</v>
      </c>
      <c r="B1299" t="s">
        <v>417</v>
      </c>
      <c r="C1299">
        <v>70559</v>
      </c>
      <c r="D1299" s="2">
        <v>4000</v>
      </c>
      <c r="E1299" s="1">
        <v>42877</v>
      </c>
      <c r="F1299" t="str">
        <f>"56"</f>
        <v>56</v>
      </c>
      <c r="G1299" t="str">
        <f>"MOW EDGE WEEDEAT 5/5-5/11/17"</f>
        <v>MOW EDGE WEEDEAT 5/5-5/11/17</v>
      </c>
      <c r="H1299" s="2">
        <v>4000</v>
      </c>
      <c r="I1299" t="str">
        <f>"MOW EDGE WEEDEAT 5/5-5/11/17"</f>
        <v>MOW EDGE WEEDEAT 5/5-5/11/17</v>
      </c>
    </row>
    <row r="1300" spans="1:9" x14ac:dyDescent="0.3">
      <c r="A1300" t="str">
        <f>"003071"</f>
        <v>003071</v>
      </c>
      <c r="B1300" t="s">
        <v>418</v>
      </c>
      <c r="C1300">
        <v>70260</v>
      </c>
      <c r="D1300" s="2">
        <v>258</v>
      </c>
      <c r="E1300" s="1">
        <v>42863</v>
      </c>
      <c r="F1300" t="str">
        <f>"201705021634"</f>
        <v>201705021634</v>
      </c>
      <c r="G1300" t="str">
        <f>"PER DIEM-TRANING &amp; MILEAGE"</f>
        <v>PER DIEM-TRANING &amp; MILEAGE</v>
      </c>
      <c r="H1300" s="2">
        <v>258</v>
      </c>
      <c r="I1300" t="str">
        <f>"PER DIEM-TRANING &amp; MILEAGE"</f>
        <v>PER DIEM-TRANING &amp; MILEAGE</v>
      </c>
    </row>
    <row r="1301" spans="1:9" x14ac:dyDescent="0.3">
      <c r="A1301" t="str">
        <f>"002224"</f>
        <v>002224</v>
      </c>
      <c r="B1301" t="s">
        <v>419</v>
      </c>
      <c r="C1301">
        <v>70261</v>
      </c>
      <c r="D1301" s="2">
        <v>867</v>
      </c>
      <c r="E1301" s="1">
        <v>42863</v>
      </c>
      <c r="F1301" t="str">
        <f>"201705031662"</f>
        <v>201705031662</v>
      </c>
      <c r="G1301" t="str">
        <f>"CASE#17-S-01631/B MEDRANO"</f>
        <v>CASE#17-S-01631/B MEDRANO</v>
      </c>
      <c r="H1301" s="2">
        <v>339</v>
      </c>
      <c r="I1301" t="str">
        <f>"CASE#17-S-01631/B MEDRANO"</f>
        <v>CASE#17-S-01631/B MEDRANO</v>
      </c>
    </row>
    <row r="1302" spans="1:9" x14ac:dyDescent="0.3">
      <c r="A1302" t="str">
        <f>""</f>
        <v/>
      </c>
      <c r="F1302" t="str">
        <f>"201705031663"</f>
        <v>201705031663</v>
      </c>
      <c r="G1302" t="str">
        <f>"CASE#17-S-01761/ J BANDA"</f>
        <v>CASE#17-S-01761/ J BANDA</v>
      </c>
      <c r="H1302" s="2">
        <v>528</v>
      </c>
      <c r="I1302" t="str">
        <f>"CASE#17-S-01761/ J BANDA"</f>
        <v>CASE#17-S-01761/ J BANDA</v>
      </c>
    </row>
    <row r="1303" spans="1:9" x14ac:dyDescent="0.3">
      <c r="A1303" t="str">
        <f>"004087"</f>
        <v>004087</v>
      </c>
      <c r="B1303" t="s">
        <v>420</v>
      </c>
      <c r="C1303">
        <v>70262</v>
      </c>
      <c r="D1303" s="2">
        <v>53.44</v>
      </c>
      <c r="E1303" s="1">
        <v>42863</v>
      </c>
      <c r="F1303" t="str">
        <f>"17050202"</f>
        <v>17050202</v>
      </c>
      <c r="G1303" t="str">
        <f>"SERVICE CONTRACT-5-2/4-3-17/CC"</f>
        <v>SERVICE CONTRACT-5-2/4-3-17/CC</v>
      </c>
      <c r="H1303" s="2">
        <v>53.44</v>
      </c>
      <c r="I1303" t="str">
        <f>"SERVICE CONTRACT-5-2/4-3-17/CC"</f>
        <v>SERVICE CONTRACT-5-2/4-3-17/CC</v>
      </c>
    </row>
    <row r="1304" spans="1:9" x14ac:dyDescent="0.3">
      <c r="A1304" t="str">
        <f>"TIMW"</f>
        <v>TIMW</v>
      </c>
      <c r="B1304" t="s">
        <v>421</v>
      </c>
      <c r="C1304">
        <v>70263</v>
      </c>
      <c r="D1304" s="2">
        <v>31.85</v>
      </c>
      <c r="E1304" s="1">
        <v>42863</v>
      </c>
      <c r="F1304" t="str">
        <f>"010490"</f>
        <v>010490</v>
      </c>
      <c r="G1304" t="str">
        <f>"SALE ORDER#10523/PCT#4"</f>
        <v>SALE ORDER#10523/PCT#4</v>
      </c>
      <c r="H1304" s="2">
        <v>31.85</v>
      </c>
      <c r="I1304" t="str">
        <f>"SALE ORDER#10523/PCT#4"</f>
        <v>SALE ORDER#10523/PCT#4</v>
      </c>
    </row>
    <row r="1305" spans="1:9" x14ac:dyDescent="0.3">
      <c r="A1305" t="str">
        <f>"004261"</f>
        <v>004261</v>
      </c>
      <c r="B1305" t="s">
        <v>422</v>
      </c>
      <c r="C1305">
        <v>70264</v>
      </c>
      <c r="D1305" s="2">
        <v>2067</v>
      </c>
      <c r="E1305" s="1">
        <v>42863</v>
      </c>
      <c r="F1305" t="str">
        <f>"1673902005"</f>
        <v>1673902005</v>
      </c>
      <c r="G1305" t="str">
        <f>"ADD CHANNEL 11-12/IT"</f>
        <v>ADD CHANNEL 11-12/IT</v>
      </c>
      <c r="H1305" s="2">
        <v>2067</v>
      </c>
      <c r="I1305" t="str">
        <f>"ADD CHANNEL 11-12/IT"</f>
        <v>ADD CHANNEL 11-12/IT</v>
      </c>
    </row>
    <row r="1306" spans="1:9" x14ac:dyDescent="0.3">
      <c r="A1306" t="str">
        <f>"T11830"</f>
        <v>T11830</v>
      </c>
      <c r="B1306" t="s">
        <v>423</v>
      </c>
      <c r="C1306">
        <v>70265</v>
      </c>
      <c r="D1306" s="2">
        <v>64.8</v>
      </c>
      <c r="E1306" s="1">
        <v>42863</v>
      </c>
      <c r="F1306" t="str">
        <f>"201705031759"</f>
        <v>201705031759</v>
      </c>
      <c r="G1306" t="str">
        <f>"VISITING JUDGE 03/06/2017"</f>
        <v>VISITING JUDGE 03/06/2017</v>
      </c>
      <c r="H1306" s="2">
        <v>64.8</v>
      </c>
      <c r="I1306" t="str">
        <f>"VISITING JUDGE 03/06/2017"</f>
        <v>VISITING JUDGE 03/06/2017</v>
      </c>
    </row>
    <row r="1307" spans="1:9" x14ac:dyDescent="0.3">
      <c r="A1307" t="str">
        <f>"T13574"</f>
        <v>T13574</v>
      </c>
      <c r="B1307" t="s">
        <v>424</v>
      </c>
      <c r="C1307">
        <v>70468</v>
      </c>
      <c r="D1307" s="2">
        <v>15</v>
      </c>
      <c r="E1307" s="1">
        <v>42877</v>
      </c>
      <c r="F1307" t="str">
        <f>"201705162075"</f>
        <v>201705162075</v>
      </c>
      <c r="G1307" t="str">
        <f>"INV 68200 ACCT #63275"</f>
        <v>INV 68200 ACCT #63275</v>
      </c>
      <c r="H1307" s="2">
        <v>15</v>
      </c>
      <c r="I1307" t="str">
        <f>"INV 68200 ACCT #63275"</f>
        <v>INV 68200 ACCT #63275</v>
      </c>
    </row>
    <row r="1308" spans="1:9" x14ac:dyDescent="0.3">
      <c r="A1308" t="str">
        <f>"T14371"</f>
        <v>T14371</v>
      </c>
      <c r="B1308" t="s">
        <v>425</v>
      </c>
      <c r="C1308">
        <v>70266</v>
      </c>
      <c r="D1308" s="2">
        <v>189.06</v>
      </c>
      <c r="E1308" s="1">
        <v>42863</v>
      </c>
      <c r="F1308" t="str">
        <f>"201705031686"</f>
        <v>201705031686</v>
      </c>
      <c r="G1308" t="str">
        <f>"INDIGENT HEALTH"</f>
        <v>INDIGENT HEALTH</v>
      </c>
      <c r="H1308" s="2">
        <v>189.06</v>
      </c>
      <c r="I1308" t="str">
        <f>"INDIGENT HEALTH"</f>
        <v>INDIGENT HEALTH</v>
      </c>
    </row>
    <row r="1309" spans="1:9" x14ac:dyDescent="0.3">
      <c r="A1309" t="str">
        <f>"T14371"</f>
        <v>T14371</v>
      </c>
      <c r="B1309" t="s">
        <v>425</v>
      </c>
      <c r="C1309">
        <v>70560</v>
      </c>
      <c r="D1309" s="2">
        <v>114.67</v>
      </c>
      <c r="E1309" s="1">
        <v>42877</v>
      </c>
      <c r="F1309" t="str">
        <f>"201705172119"</f>
        <v>201705172119</v>
      </c>
      <c r="G1309" t="str">
        <f>"INDIGENT HEALTH"</f>
        <v>INDIGENT HEALTH</v>
      </c>
      <c r="H1309" s="2">
        <v>114.67</v>
      </c>
      <c r="I1309" t="str">
        <f>"INDIGENT HEALTH"</f>
        <v>INDIGENT HEALTH</v>
      </c>
    </row>
    <row r="1310" spans="1:9" x14ac:dyDescent="0.3">
      <c r="A1310" t="str">
        <f>"TXAGG"</f>
        <v>TXAGG</v>
      </c>
      <c r="B1310" t="s">
        <v>426</v>
      </c>
      <c r="C1310">
        <v>70267</v>
      </c>
      <c r="D1310" s="2">
        <v>232.1</v>
      </c>
      <c r="E1310" s="1">
        <v>42863</v>
      </c>
      <c r="F1310" t="str">
        <f>"88325"</f>
        <v>88325</v>
      </c>
      <c r="G1310" t="str">
        <f>"BEDDING SAND/PCT#2"</f>
        <v>BEDDING SAND/PCT#2</v>
      </c>
      <c r="H1310" s="2">
        <v>232.1</v>
      </c>
      <c r="I1310" t="str">
        <f>"BEDDING SAND/PCT#2"</f>
        <v>BEDDING SAND/PCT#2</v>
      </c>
    </row>
    <row r="1311" spans="1:9" x14ac:dyDescent="0.3">
      <c r="A1311" t="str">
        <f>"TXAGG"</f>
        <v>TXAGG</v>
      </c>
      <c r="B1311" t="s">
        <v>426</v>
      </c>
      <c r="C1311">
        <v>70561</v>
      </c>
      <c r="D1311" s="2">
        <v>15904.7</v>
      </c>
      <c r="E1311" s="1">
        <v>42877</v>
      </c>
      <c r="F1311" t="str">
        <f>"1036298"</f>
        <v>1036298</v>
      </c>
      <c r="G1311" t="str">
        <f>"INV #88588 PCT#1"</f>
        <v>INV #88588 PCT#1</v>
      </c>
      <c r="H1311" s="2">
        <v>1860.6</v>
      </c>
      <c r="I1311" t="str">
        <f>"INV #88588 PCT#1"</f>
        <v>INV #88588 PCT#1</v>
      </c>
    </row>
    <row r="1312" spans="1:9" x14ac:dyDescent="0.3">
      <c r="A1312" t="str">
        <f>""</f>
        <v/>
      </c>
      <c r="F1312" t="str">
        <f>"1036903"</f>
        <v>1036903</v>
      </c>
      <c r="G1312" t="str">
        <f>"INV #88643 PCT #1"</f>
        <v>INV #88643 PCT #1</v>
      </c>
      <c r="H1312" s="2">
        <v>1830.85</v>
      </c>
      <c r="I1312" t="str">
        <f>"INV #88643 PCT #1"</f>
        <v>INV #88643 PCT #1</v>
      </c>
    </row>
    <row r="1313" spans="1:9" x14ac:dyDescent="0.3">
      <c r="A1313" t="str">
        <f>""</f>
        <v/>
      </c>
      <c r="F1313" t="str">
        <f>"1037435"</f>
        <v>1037435</v>
      </c>
      <c r="G1313" t="str">
        <f>"INV #88707 PCT#1"</f>
        <v>INV #88707 PCT#1</v>
      </c>
      <c r="H1313" s="2">
        <v>3908.45</v>
      </c>
      <c r="I1313" t="str">
        <f>"INV #88707 PCT#1"</f>
        <v>INV #88707 PCT#1</v>
      </c>
    </row>
    <row r="1314" spans="1:9" x14ac:dyDescent="0.3">
      <c r="A1314" t="str">
        <f>""</f>
        <v/>
      </c>
      <c r="F1314" t="str">
        <f>"88563"</f>
        <v>88563</v>
      </c>
      <c r="G1314" t="str">
        <f>"RIP RAP 05/01/2017"</f>
        <v>RIP RAP 05/01/2017</v>
      </c>
      <c r="H1314" s="2">
        <v>1596.35</v>
      </c>
      <c r="I1314" t="str">
        <f>"RIP RAP 05/01/2017"</f>
        <v>RIP RAP 05/01/2017</v>
      </c>
    </row>
    <row r="1315" spans="1:9" x14ac:dyDescent="0.3">
      <c r="A1315" t="str">
        <f>""</f>
        <v/>
      </c>
      <c r="F1315" t="str">
        <f>"88738"</f>
        <v>88738</v>
      </c>
      <c r="G1315" t="str">
        <f>"MATERIALS PCT#1"</f>
        <v>MATERIALS PCT#1</v>
      </c>
      <c r="H1315" s="2">
        <v>767.55</v>
      </c>
      <c r="I1315" t="str">
        <f>"MATERIALS PCT#1"</f>
        <v>MATERIALS PCT#1</v>
      </c>
    </row>
    <row r="1316" spans="1:9" x14ac:dyDescent="0.3">
      <c r="A1316" t="str">
        <f>""</f>
        <v/>
      </c>
      <c r="F1316" t="str">
        <f>"88738 2"</f>
        <v>88738 2</v>
      </c>
      <c r="G1316" t="str">
        <f>"MATERIALS PCT#1"</f>
        <v>MATERIALS PCT#1</v>
      </c>
      <c r="H1316" s="2">
        <v>3015.6</v>
      </c>
      <c r="I1316" t="str">
        <f>"MATERIALS PCT#1"</f>
        <v>MATERIALS PCT#1</v>
      </c>
    </row>
    <row r="1317" spans="1:9" x14ac:dyDescent="0.3">
      <c r="A1317" t="str">
        <f>""</f>
        <v/>
      </c>
      <c r="F1317" t="str">
        <f>"88794"</f>
        <v>88794</v>
      </c>
      <c r="G1317" t="str">
        <f>"PCT#1 BASE"</f>
        <v>PCT#1 BASE</v>
      </c>
      <c r="H1317" s="2">
        <v>2452.8000000000002</v>
      </c>
      <c r="I1317" t="str">
        <f>"PCT#1 BASE"</f>
        <v>PCT#1 BASE</v>
      </c>
    </row>
    <row r="1318" spans="1:9" x14ac:dyDescent="0.3">
      <c r="A1318" t="str">
        <f>""</f>
        <v/>
      </c>
      <c r="F1318" t="str">
        <f>"88794 (2)"</f>
        <v>88794 (2)</v>
      </c>
      <c r="G1318" t="str">
        <f>"BASE PCT#1"</f>
        <v>BASE PCT#1</v>
      </c>
      <c r="H1318" s="2">
        <v>472.5</v>
      </c>
      <c r="I1318" t="str">
        <f>"BASE PCT#1"</f>
        <v>BASE PCT#1</v>
      </c>
    </row>
    <row r="1319" spans="1:9" x14ac:dyDescent="0.3">
      <c r="A1319" t="str">
        <f>"004672"</f>
        <v>004672</v>
      </c>
      <c r="B1319" t="s">
        <v>427</v>
      </c>
      <c r="C1319">
        <v>70562</v>
      </c>
      <c r="D1319" s="2">
        <v>2120</v>
      </c>
      <c r="E1319" s="1">
        <v>42877</v>
      </c>
      <c r="F1319" t="str">
        <f>"201705161992"</f>
        <v>201705161992</v>
      </c>
      <c r="G1319" t="str">
        <f>"Dev AAON Repair"</f>
        <v>Dev AAON Repair</v>
      </c>
      <c r="H1319" s="2">
        <v>2120</v>
      </c>
      <c r="I1319" t="str">
        <f>"Materials-"</f>
        <v>Materials-</v>
      </c>
    </row>
    <row r="1320" spans="1:9" x14ac:dyDescent="0.3">
      <c r="A1320" t="str">
        <f>""</f>
        <v/>
      </c>
      <c r="F1320" t="str">
        <f>""</f>
        <v/>
      </c>
      <c r="G1320" t="str">
        <f>""</f>
        <v/>
      </c>
      <c r="I1320" t="str">
        <f>"Labor"</f>
        <v>Labor</v>
      </c>
    </row>
    <row r="1321" spans="1:9" x14ac:dyDescent="0.3">
      <c r="A1321" t="str">
        <f>"001468"</f>
        <v>001468</v>
      </c>
      <c r="B1321" t="s">
        <v>428</v>
      </c>
      <c r="C1321">
        <v>70268</v>
      </c>
      <c r="D1321" s="2">
        <v>50</v>
      </c>
      <c r="E1321" s="1">
        <v>42863</v>
      </c>
      <c r="F1321" t="str">
        <f>"43072"</f>
        <v>43072</v>
      </c>
      <c r="G1321" t="str">
        <f>"INV 43072"</f>
        <v>INV 43072</v>
      </c>
      <c r="H1321" s="2">
        <v>50</v>
      </c>
      <c r="I1321" t="str">
        <f>"INV 43072"</f>
        <v>INV 43072</v>
      </c>
    </row>
    <row r="1322" spans="1:9" x14ac:dyDescent="0.3">
      <c r="A1322" t="str">
        <f>"001468"</f>
        <v>001468</v>
      </c>
      <c r="B1322" t="s">
        <v>428</v>
      </c>
      <c r="C1322">
        <v>70563</v>
      </c>
      <c r="D1322" s="2">
        <v>300</v>
      </c>
      <c r="E1322" s="1">
        <v>42877</v>
      </c>
      <c r="F1322" t="str">
        <f>"201705172262"</f>
        <v>201705172262</v>
      </c>
      <c r="G1322" t="str">
        <f>"JUNE BOND RENEWALS"</f>
        <v>JUNE BOND RENEWALS</v>
      </c>
      <c r="H1322" s="2">
        <v>300</v>
      </c>
      <c r="I1322" t="str">
        <f>"JUNE BOND RENEWALS"</f>
        <v>JUNE BOND RENEWALS</v>
      </c>
    </row>
    <row r="1323" spans="1:9" x14ac:dyDescent="0.3">
      <c r="A1323" t="str">
        <f>"002122"</f>
        <v>002122</v>
      </c>
      <c r="B1323" t="s">
        <v>429</v>
      </c>
      <c r="C1323">
        <v>70564</v>
      </c>
      <c r="D1323" s="2">
        <v>755.62</v>
      </c>
      <c r="E1323" s="1">
        <v>42877</v>
      </c>
      <c r="F1323" t="str">
        <f>"201705121968"</f>
        <v>201705121968</v>
      </c>
      <c r="G1323" t="str">
        <f>"ACCT #0005 PCT 4"</f>
        <v>ACCT #0005 PCT 4</v>
      </c>
      <c r="H1323" s="2">
        <v>755.62</v>
      </c>
      <c r="I1323" t="str">
        <f>"ACCT #0005 PCT 4"</f>
        <v>ACCT #0005 PCT 4</v>
      </c>
    </row>
    <row r="1324" spans="1:9" x14ac:dyDescent="0.3">
      <c r="A1324" t="str">
        <f>"005046"</f>
        <v>005046</v>
      </c>
      <c r="B1324" t="s">
        <v>430</v>
      </c>
      <c r="C1324">
        <v>70269</v>
      </c>
      <c r="D1324" s="2">
        <v>180</v>
      </c>
      <c r="E1324" s="1">
        <v>42863</v>
      </c>
      <c r="F1324" t="str">
        <f>"201705031792"</f>
        <v>201705031792</v>
      </c>
      <c r="G1324" t="str">
        <f>"TRAINING"</f>
        <v>TRAINING</v>
      </c>
      <c r="H1324" s="2">
        <v>180</v>
      </c>
      <c r="I1324" t="str">
        <f>"TRAINING"</f>
        <v>TRAINING</v>
      </c>
    </row>
    <row r="1325" spans="1:9" x14ac:dyDescent="0.3">
      <c r="A1325" t="str">
        <f>"001721"</f>
        <v>001721</v>
      </c>
      <c r="B1325" t="s">
        <v>431</v>
      </c>
      <c r="C1325">
        <v>70565</v>
      </c>
      <c r="D1325" s="2">
        <v>8</v>
      </c>
      <c r="E1325" s="1">
        <v>42877</v>
      </c>
      <c r="F1325" t="str">
        <f>"201705172259"</f>
        <v>201705172259</v>
      </c>
      <c r="G1325" t="str">
        <f>"INV CRS201704119441"</f>
        <v>INV CRS201704119441</v>
      </c>
      <c r="H1325" s="2">
        <v>8</v>
      </c>
      <c r="I1325" t="str">
        <f>"INV CRS201704119441"</f>
        <v>INV CRS201704119441</v>
      </c>
    </row>
    <row r="1326" spans="1:9" x14ac:dyDescent="0.3">
      <c r="A1326" t="str">
        <f>"002354"</f>
        <v>002354</v>
      </c>
      <c r="B1326" t="s">
        <v>431</v>
      </c>
      <c r="C1326">
        <v>70566</v>
      </c>
      <c r="D1326" s="2">
        <v>6</v>
      </c>
      <c r="E1326" s="1">
        <v>42877</v>
      </c>
      <c r="F1326" t="str">
        <f>"201705162008"</f>
        <v>201705162008</v>
      </c>
      <c r="G1326" t="str">
        <f>"REST ARTHUR FENSKE 15 826"</f>
        <v>REST ARTHUR FENSKE 15 826</v>
      </c>
      <c r="H1326" s="2">
        <v>6</v>
      </c>
      <c r="I1326" t="str">
        <f>"REST ARTHUR FENSKE 15 826"</f>
        <v>REST ARTHUR FENSKE 15 826</v>
      </c>
    </row>
    <row r="1327" spans="1:9" x14ac:dyDescent="0.3">
      <c r="A1327" t="str">
        <f>"T10512"</f>
        <v>T10512</v>
      </c>
      <c r="B1327" t="s">
        <v>432</v>
      </c>
      <c r="C1327">
        <v>70567</v>
      </c>
      <c r="D1327" s="2">
        <v>150</v>
      </c>
      <c r="E1327" s="1">
        <v>42877</v>
      </c>
      <c r="F1327" t="str">
        <f>"201705121934"</f>
        <v>201705121934</v>
      </c>
      <c r="G1327" t="str">
        <f>"REGISTRATION FEE JOSEFINA JP1"</f>
        <v>REGISTRATION FEE JOSEFINA JP1</v>
      </c>
      <c r="H1327" s="2">
        <v>150</v>
      </c>
      <c r="I1327" t="str">
        <f>"REGISTRATION FEE JOSEFINA JP1"</f>
        <v>REGISTRATION FEE JOSEFINA JP1</v>
      </c>
    </row>
    <row r="1328" spans="1:9" x14ac:dyDescent="0.3">
      <c r="A1328" t="str">
        <f>"T6219"</f>
        <v>T6219</v>
      </c>
      <c r="B1328" t="s">
        <v>434</v>
      </c>
      <c r="C1328">
        <v>70270</v>
      </c>
      <c r="D1328" s="2">
        <v>150</v>
      </c>
      <c r="E1328" s="1">
        <v>42863</v>
      </c>
      <c r="F1328" t="str">
        <f>"201705031791"</f>
        <v>201705031791</v>
      </c>
      <c r="G1328" t="str">
        <f>"TRAINING"</f>
        <v>TRAINING</v>
      </c>
      <c r="H1328" s="2">
        <v>150</v>
      </c>
      <c r="I1328" t="str">
        <f>"TRAINING"</f>
        <v>TRAINING</v>
      </c>
    </row>
    <row r="1329" spans="1:9" x14ac:dyDescent="0.3">
      <c r="A1329" t="str">
        <f>"000994"</f>
        <v>000994</v>
      </c>
      <c r="B1329" t="s">
        <v>435</v>
      </c>
      <c r="C1329">
        <v>70568</v>
      </c>
      <c r="D1329" s="2">
        <v>935</v>
      </c>
      <c r="E1329" s="1">
        <v>42877</v>
      </c>
      <c r="F1329" t="str">
        <f>"201705172282"</f>
        <v>201705172282</v>
      </c>
      <c r="G1329" t="str">
        <f>"ORDER #214579 EXHIBIT HALL 10X"</f>
        <v>ORDER #214579 EXHIBIT HALL 10X</v>
      </c>
      <c r="H1329" s="2">
        <v>935</v>
      </c>
      <c r="I1329" t="str">
        <f>"ORDER #214579 EXHIBIT HALL 10X"</f>
        <v>ORDER #214579 EXHIBIT HALL 10X</v>
      </c>
    </row>
    <row r="1330" spans="1:9" x14ac:dyDescent="0.3">
      <c r="A1330" t="str">
        <f>"T7170"</f>
        <v>T7170</v>
      </c>
      <c r="B1330" t="s">
        <v>436</v>
      </c>
      <c r="C1330">
        <v>70271</v>
      </c>
      <c r="D1330" s="2">
        <v>527.25</v>
      </c>
      <c r="E1330" s="1">
        <v>42863</v>
      </c>
      <c r="F1330" t="str">
        <f>"ICO-176114"</f>
        <v>ICO-176114</v>
      </c>
      <c r="G1330" t="str">
        <f>"TKT#A8039275"</f>
        <v>TKT#A8039275</v>
      </c>
      <c r="H1330" s="2">
        <v>170</v>
      </c>
      <c r="I1330" t="str">
        <f>"TKT#A8039275"</f>
        <v>TKT#A8039275</v>
      </c>
    </row>
    <row r="1331" spans="1:9" x14ac:dyDescent="0.3">
      <c r="A1331" t="str">
        <f>""</f>
        <v/>
      </c>
      <c r="F1331" t="str">
        <f>"J2-45462"</f>
        <v>J2-45462</v>
      </c>
      <c r="G1331" t="str">
        <f>"CITATION-A16481"</f>
        <v>CITATION-A16481</v>
      </c>
      <c r="H1331" s="2">
        <v>81</v>
      </c>
      <c r="I1331" t="str">
        <f>"CITATION-A16481"</f>
        <v>CITATION-A16481</v>
      </c>
    </row>
    <row r="1332" spans="1:9" x14ac:dyDescent="0.3">
      <c r="A1332" t="str">
        <f>""</f>
        <v/>
      </c>
      <c r="F1332" t="str">
        <f>"J2-45662"</f>
        <v>J2-45662</v>
      </c>
      <c r="G1332" t="str">
        <f>"CITATION#A11111"</f>
        <v>CITATION#A11111</v>
      </c>
      <c r="H1332" s="2">
        <v>80.75</v>
      </c>
      <c r="I1332" t="str">
        <f>"CITATION#A11111"</f>
        <v>CITATION#A11111</v>
      </c>
    </row>
    <row r="1333" spans="1:9" x14ac:dyDescent="0.3">
      <c r="A1333" t="str">
        <f>""</f>
        <v/>
      </c>
      <c r="F1333" t="str">
        <f>"J2-45663"</f>
        <v>J2-45663</v>
      </c>
      <c r="G1333" t="str">
        <f>"CITATION#A11112"</f>
        <v>CITATION#A11112</v>
      </c>
      <c r="H1333" s="2">
        <v>80.75</v>
      </c>
      <c r="I1333" t="str">
        <f>"CITATION#A11112"</f>
        <v>CITATION#A11112</v>
      </c>
    </row>
    <row r="1334" spans="1:9" x14ac:dyDescent="0.3">
      <c r="A1334" t="str">
        <f>""</f>
        <v/>
      </c>
      <c r="F1334" t="str">
        <f>"J2-46105"</f>
        <v>J2-46105</v>
      </c>
      <c r="G1334" t="str">
        <f>"CITATION-A8210909"</f>
        <v>CITATION-A8210909</v>
      </c>
      <c r="H1334" s="2">
        <v>114.75</v>
      </c>
      <c r="I1334" t="str">
        <f>"CITATION-A8210909"</f>
        <v>CITATION-A8210909</v>
      </c>
    </row>
    <row r="1335" spans="1:9" x14ac:dyDescent="0.3">
      <c r="A1335" t="str">
        <f>"T7170"</f>
        <v>T7170</v>
      </c>
      <c r="B1335" t="s">
        <v>436</v>
      </c>
      <c r="C1335">
        <v>70569</v>
      </c>
      <c r="D1335" s="2">
        <v>812</v>
      </c>
      <c r="E1335" s="1">
        <v>42877</v>
      </c>
      <c r="F1335" t="str">
        <f>"J2-46100"</f>
        <v>J2-46100</v>
      </c>
      <c r="G1335" t="str">
        <f>"A8210906 RINGLER"</f>
        <v>A8210906 RINGLER</v>
      </c>
      <c r="H1335" s="2">
        <v>114.75</v>
      </c>
      <c r="I1335" t="str">
        <f>"A8210906 RINGLER"</f>
        <v>A8210906 RINGLER</v>
      </c>
    </row>
    <row r="1336" spans="1:9" x14ac:dyDescent="0.3">
      <c r="A1336" t="str">
        <f>""</f>
        <v/>
      </c>
      <c r="F1336" t="str">
        <f>"J2-46101"</f>
        <v>J2-46101</v>
      </c>
      <c r="G1336" t="str">
        <f>"A8210907 THOMAS"</f>
        <v>A8210907 THOMAS</v>
      </c>
      <c r="H1336" s="2">
        <v>114.75</v>
      </c>
      <c r="I1336" t="str">
        <f>"A8210907 THOMAS"</f>
        <v>A8210907 THOMAS</v>
      </c>
    </row>
    <row r="1337" spans="1:9" x14ac:dyDescent="0.3">
      <c r="A1337" t="str">
        <f>""</f>
        <v/>
      </c>
      <c r="F1337" t="str">
        <f>"J2-46453"</f>
        <v>J2-46453</v>
      </c>
      <c r="G1337" t="str">
        <f>"A8193593 NICHOLES"</f>
        <v>A8193593 NICHOLES</v>
      </c>
      <c r="H1337" s="2">
        <v>157.25</v>
      </c>
      <c r="I1337" t="str">
        <f>"A8193593 NICHOLES"</f>
        <v>A8193593 NICHOLES</v>
      </c>
    </row>
    <row r="1338" spans="1:9" x14ac:dyDescent="0.3">
      <c r="A1338" t="str">
        <f>""</f>
        <v/>
      </c>
      <c r="F1338" t="str">
        <f>"J2-46454"</f>
        <v>J2-46454</v>
      </c>
      <c r="G1338" t="str">
        <f>"A8193594 ROMEO"</f>
        <v>A8193594 ROMEO</v>
      </c>
      <c r="H1338" s="2">
        <v>114.75</v>
      </c>
      <c r="I1338" t="str">
        <f>"A8193594 ROMEO"</f>
        <v>A8193594 ROMEO</v>
      </c>
    </row>
    <row r="1339" spans="1:9" x14ac:dyDescent="0.3">
      <c r="A1339" t="str">
        <f>""</f>
        <v/>
      </c>
      <c r="F1339" t="str">
        <f>"J2-46455"</f>
        <v>J2-46455</v>
      </c>
      <c r="G1339" t="str">
        <f>"A8193595 SOLIS"</f>
        <v>A8193595 SOLIS</v>
      </c>
      <c r="H1339" s="2">
        <v>114.75</v>
      </c>
      <c r="I1339" t="str">
        <f>"A8193595 SOLIS"</f>
        <v>A8193595 SOLIS</v>
      </c>
    </row>
    <row r="1340" spans="1:9" x14ac:dyDescent="0.3">
      <c r="A1340" t="str">
        <f>""</f>
        <v/>
      </c>
      <c r="F1340" t="str">
        <f>"J2-46539"</f>
        <v>J2-46539</v>
      </c>
      <c r="G1340" t="str">
        <f>"A16493 M CATES"</f>
        <v>A16493 M CATES</v>
      </c>
      <c r="H1340" s="2">
        <v>81</v>
      </c>
      <c r="I1340" t="str">
        <f>"A16493 M CATES"</f>
        <v>A16493 M CATES</v>
      </c>
    </row>
    <row r="1341" spans="1:9" x14ac:dyDescent="0.3">
      <c r="A1341" t="str">
        <f>""</f>
        <v/>
      </c>
      <c r="F1341" t="str">
        <f>"J2-46628"</f>
        <v>J2-46628</v>
      </c>
      <c r="G1341" t="str">
        <f>"A8212262 SWAFFORD"</f>
        <v>A8212262 SWAFFORD</v>
      </c>
      <c r="H1341" s="2">
        <v>114.75</v>
      </c>
      <c r="I1341" t="str">
        <f>"A8212262 SWAFFORD"</f>
        <v>A8212262 SWAFFORD</v>
      </c>
    </row>
    <row r="1342" spans="1:9" x14ac:dyDescent="0.3">
      <c r="A1342" t="str">
        <f>"T14476"</f>
        <v>T14476</v>
      </c>
      <c r="B1342" t="s">
        <v>437</v>
      </c>
      <c r="C1342">
        <v>70272</v>
      </c>
      <c r="D1342" s="2">
        <v>552.53</v>
      </c>
      <c r="E1342" s="1">
        <v>42863</v>
      </c>
      <c r="F1342" t="str">
        <f>"170417"</f>
        <v>170417</v>
      </c>
      <c r="G1342" t="str">
        <f>"SPRAY NOZZLE/PCT#2"</f>
        <v>SPRAY NOZZLE/PCT#2</v>
      </c>
      <c r="H1342" s="2">
        <v>552.53</v>
      </c>
      <c r="I1342" t="str">
        <f>"SPRAY NOZZLE/PCT#2"</f>
        <v>SPRAY NOZZLE/PCT#2</v>
      </c>
    </row>
    <row r="1343" spans="1:9" x14ac:dyDescent="0.3">
      <c r="A1343" t="str">
        <f>"004848"</f>
        <v>004848</v>
      </c>
      <c r="B1343" t="s">
        <v>438</v>
      </c>
      <c r="C1343">
        <v>70273</v>
      </c>
      <c r="D1343" s="2">
        <v>500</v>
      </c>
      <c r="E1343" s="1">
        <v>42863</v>
      </c>
      <c r="F1343" t="str">
        <f>"17-03648"</f>
        <v>17-03648</v>
      </c>
      <c r="G1343" t="str">
        <f>"TOW VEHICLE-17 JOHN DEERE/PCT1"</f>
        <v>TOW VEHICLE-17 JOHN DEERE/PCT1</v>
      </c>
      <c r="H1343" s="2">
        <v>500</v>
      </c>
      <c r="I1343" t="str">
        <f>"TOW VEHICLE-17 JOHN DEERE/PCT1"</f>
        <v>TOW VEHICLE-17 JOHN DEERE/PCT1</v>
      </c>
    </row>
    <row r="1344" spans="1:9" x14ac:dyDescent="0.3">
      <c r="A1344" t="str">
        <f>"003850"</f>
        <v>003850</v>
      </c>
      <c r="B1344" t="s">
        <v>439</v>
      </c>
      <c r="C1344">
        <v>70570</v>
      </c>
      <c r="D1344" s="2">
        <v>367.53</v>
      </c>
      <c r="E1344" s="1">
        <v>42877</v>
      </c>
      <c r="F1344" t="str">
        <f>"201705172120"</f>
        <v>201705172120</v>
      </c>
      <c r="G1344" t="str">
        <f>"INDIGENT HEALTH"</f>
        <v>INDIGENT HEALTH</v>
      </c>
      <c r="H1344" s="2">
        <v>367.53</v>
      </c>
      <c r="I1344" t="str">
        <f>"INDIGENT HEALTH"</f>
        <v>INDIGENT HEALTH</v>
      </c>
    </row>
    <row r="1345" spans="1:9" x14ac:dyDescent="0.3">
      <c r="A1345" t="str">
        <f>"003946"</f>
        <v>003946</v>
      </c>
      <c r="B1345" t="s">
        <v>440</v>
      </c>
      <c r="C1345">
        <v>70274</v>
      </c>
      <c r="D1345" s="2">
        <v>1375</v>
      </c>
      <c r="E1345" s="1">
        <v>42863</v>
      </c>
      <c r="F1345" t="str">
        <f>"201705031721"</f>
        <v>201705031721</v>
      </c>
      <c r="G1345" t="str">
        <f>"54 784 - 401165-1M"</f>
        <v>54 784 - 401165-1M</v>
      </c>
      <c r="H1345" s="2">
        <v>375</v>
      </c>
      <c r="I1345" t="str">
        <f>"54 784 - 401165-1M"</f>
        <v>54 784 - 401165-1M</v>
      </c>
    </row>
    <row r="1346" spans="1:9" x14ac:dyDescent="0.3">
      <c r="A1346" t="str">
        <f>""</f>
        <v/>
      </c>
      <c r="F1346" t="str">
        <f>"201705031722"</f>
        <v>201705031722</v>
      </c>
      <c r="G1346" t="str">
        <f>"54.181"</f>
        <v>54.181</v>
      </c>
      <c r="H1346" s="2">
        <v>250</v>
      </c>
      <c r="I1346" t="str">
        <f>"54.181"</f>
        <v>54.181</v>
      </c>
    </row>
    <row r="1347" spans="1:9" x14ac:dyDescent="0.3">
      <c r="A1347" t="str">
        <f>""</f>
        <v/>
      </c>
      <c r="F1347" t="str">
        <f>"201705031723"</f>
        <v>201705031723</v>
      </c>
      <c r="G1347" t="str">
        <f>"53 970"</f>
        <v>53 970</v>
      </c>
      <c r="H1347" s="2">
        <v>250</v>
      </c>
      <c r="I1347" t="str">
        <f>"53 970"</f>
        <v>53 970</v>
      </c>
    </row>
    <row r="1348" spans="1:9" x14ac:dyDescent="0.3">
      <c r="A1348" t="str">
        <f>""</f>
        <v/>
      </c>
      <c r="F1348" t="str">
        <f>"201705031724"</f>
        <v>201705031724</v>
      </c>
      <c r="G1348" t="str">
        <f>"54.223"</f>
        <v>54.223</v>
      </c>
      <c r="H1348" s="2">
        <v>250</v>
      </c>
      <c r="I1348" t="str">
        <f>"54.223"</f>
        <v>54.223</v>
      </c>
    </row>
    <row r="1349" spans="1:9" x14ac:dyDescent="0.3">
      <c r="A1349" t="str">
        <f>""</f>
        <v/>
      </c>
      <c r="F1349" t="str">
        <f>"201705031725"</f>
        <v>201705031725</v>
      </c>
      <c r="G1349" t="str">
        <f>"53.902"</f>
        <v>53.902</v>
      </c>
      <c r="H1349" s="2">
        <v>250</v>
      </c>
      <c r="I1349" t="str">
        <f>"53.902"</f>
        <v>53.902</v>
      </c>
    </row>
    <row r="1350" spans="1:9" x14ac:dyDescent="0.3">
      <c r="A1350" t="str">
        <f>"003946"</f>
        <v>003946</v>
      </c>
      <c r="B1350" t="s">
        <v>440</v>
      </c>
      <c r="C1350">
        <v>70571</v>
      </c>
      <c r="D1350" s="2">
        <v>251.4</v>
      </c>
      <c r="E1350" s="1">
        <v>42877</v>
      </c>
      <c r="F1350" t="str">
        <f>"201705172207"</f>
        <v>201705172207</v>
      </c>
      <c r="G1350" t="str">
        <f>"54 913"</f>
        <v>54 913</v>
      </c>
      <c r="H1350" s="2">
        <v>251.4</v>
      </c>
      <c r="I1350" t="str">
        <f>"54 913"</f>
        <v>54 913</v>
      </c>
    </row>
    <row r="1351" spans="1:9" x14ac:dyDescent="0.3">
      <c r="A1351" t="str">
        <f>"002317"</f>
        <v>002317</v>
      </c>
      <c r="B1351" t="s">
        <v>441</v>
      </c>
      <c r="C1351">
        <v>70572</v>
      </c>
      <c r="D1351" s="2">
        <v>1725</v>
      </c>
      <c r="E1351" s="1">
        <v>42877</v>
      </c>
      <c r="F1351" t="str">
        <f>"201705172192"</f>
        <v>201705172192</v>
      </c>
      <c r="G1351" t="str">
        <f>"423-4988"</f>
        <v>423-4988</v>
      </c>
      <c r="H1351" s="2">
        <v>100</v>
      </c>
      <c r="I1351" t="str">
        <f>"423-4988"</f>
        <v>423-4988</v>
      </c>
    </row>
    <row r="1352" spans="1:9" x14ac:dyDescent="0.3">
      <c r="A1352" t="str">
        <f>""</f>
        <v/>
      </c>
      <c r="F1352" t="str">
        <f>"201705172193"</f>
        <v>201705172193</v>
      </c>
      <c r="G1352" t="str">
        <f>"CH20160809-B"</f>
        <v>CH20160809-B</v>
      </c>
      <c r="H1352" s="2">
        <v>400</v>
      </c>
      <c r="I1352" t="str">
        <f>"CH20160809-B"</f>
        <v>CH20160809-B</v>
      </c>
    </row>
    <row r="1353" spans="1:9" x14ac:dyDescent="0.3">
      <c r="A1353" t="str">
        <f>""</f>
        <v/>
      </c>
      <c r="F1353" t="str">
        <f>"201705172194"</f>
        <v>201705172194</v>
      </c>
      <c r="G1353" t="str">
        <f>"14321"</f>
        <v>14321</v>
      </c>
      <c r="H1353" s="2">
        <v>400</v>
      </c>
      <c r="I1353" t="str">
        <f>"14321"</f>
        <v>14321</v>
      </c>
    </row>
    <row r="1354" spans="1:9" x14ac:dyDescent="0.3">
      <c r="A1354" t="str">
        <f>""</f>
        <v/>
      </c>
      <c r="F1354" t="str">
        <f>"201705172195"</f>
        <v>201705172195</v>
      </c>
      <c r="G1354" t="str">
        <f>"CH-20160809-A"</f>
        <v>CH-20160809-A</v>
      </c>
      <c r="H1354" s="2">
        <v>250</v>
      </c>
      <c r="I1354" t="str">
        <f>"CH-20160809-A"</f>
        <v>CH-20160809-A</v>
      </c>
    </row>
    <row r="1355" spans="1:9" x14ac:dyDescent="0.3">
      <c r="A1355" t="str">
        <f>""</f>
        <v/>
      </c>
      <c r="F1355" t="str">
        <f>"201705172196"</f>
        <v>201705172196</v>
      </c>
      <c r="G1355" t="str">
        <f>"302132017B"</f>
        <v>302132017B</v>
      </c>
      <c r="H1355" s="2">
        <v>250</v>
      </c>
      <c r="I1355" t="str">
        <f>"302132017B"</f>
        <v>302132017B</v>
      </c>
    </row>
    <row r="1356" spans="1:9" x14ac:dyDescent="0.3">
      <c r="A1356" t="str">
        <f>""</f>
        <v/>
      </c>
      <c r="F1356" t="str">
        <f>"201705172197"</f>
        <v>201705172197</v>
      </c>
      <c r="G1356" t="str">
        <f>"16-18067"</f>
        <v>16-18067</v>
      </c>
      <c r="H1356" s="2">
        <v>175</v>
      </c>
      <c r="I1356" t="str">
        <f>"16-18067"</f>
        <v>16-18067</v>
      </c>
    </row>
    <row r="1357" spans="1:9" x14ac:dyDescent="0.3">
      <c r="A1357" t="str">
        <f>""</f>
        <v/>
      </c>
      <c r="F1357" t="str">
        <f>"201705172198"</f>
        <v>201705172198</v>
      </c>
      <c r="G1357" t="str">
        <f>"15-16975"</f>
        <v>15-16975</v>
      </c>
      <c r="H1357" s="2">
        <v>150</v>
      </c>
      <c r="I1357" t="str">
        <f>"15-16975"</f>
        <v>15-16975</v>
      </c>
    </row>
    <row r="1358" spans="1:9" x14ac:dyDescent="0.3">
      <c r="A1358" t="str">
        <f>"T6860"</f>
        <v>T6860</v>
      </c>
      <c r="B1358" t="s">
        <v>442</v>
      </c>
      <c r="C1358">
        <v>70573</v>
      </c>
      <c r="D1358" s="2">
        <v>170</v>
      </c>
      <c r="E1358" s="1">
        <v>42877</v>
      </c>
      <c r="F1358" t="str">
        <f>"201705162022"</f>
        <v>201705162022</v>
      </c>
      <c r="G1358" t="str">
        <f>"INV 163544 BASTRCOU"</f>
        <v>INV 163544 BASTRCOU</v>
      </c>
      <c r="H1358" s="2">
        <v>170</v>
      </c>
      <c r="I1358" t="str">
        <f>"INV 163544"</f>
        <v>INV 163544</v>
      </c>
    </row>
    <row r="1359" spans="1:9" x14ac:dyDescent="0.3">
      <c r="A1359" t="str">
        <f>"003690"</f>
        <v>003690</v>
      </c>
      <c r="B1359" t="s">
        <v>443</v>
      </c>
      <c r="C1359">
        <v>70574</v>
      </c>
      <c r="D1359" s="2">
        <v>83</v>
      </c>
      <c r="E1359" s="1">
        <v>42877</v>
      </c>
      <c r="F1359" t="str">
        <f>"000519963"</f>
        <v>000519963</v>
      </c>
      <c r="G1359" t="str">
        <f>"POLICY #15R29980-ZAS 4812W1083"</f>
        <v>POLICY #15R29980-ZAS 4812W1083</v>
      </c>
      <c r="H1359" s="2">
        <v>83</v>
      </c>
      <c r="I1359" t="str">
        <f>"POLICY #15R29980-ZAS 4812W1083"</f>
        <v>POLICY #15R29980-ZAS 4812W1083</v>
      </c>
    </row>
    <row r="1360" spans="1:9" x14ac:dyDescent="0.3">
      <c r="A1360" t="str">
        <f>"002975"</f>
        <v>002975</v>
      </c>
      <c r="B1360" t="s">
        <v>444</v>
      </c>
      <c r="C1360">
        <v>70275</v>
      </c>
      <c r="D1360" s="2">
        <v>10523.25</v>
      </c>
      <c r="E1360" s="1">
        <v>42863</v>
      </c>
      <c r="F1360" t="str">
        <f>"017-26095"</f>
        <v>017-26095</v>
      </c>
      <c r="G1360" t="str">
        <f>"ANNUAL MEMBERSHIP/TOURISM"</f>
        <v>ANNUAL MEMBERSHIP/TOURISM</v>
      </c>
      <c r="H1360" s="2">
        <v>10523.25</v>
      </c>
      <c r="I1360" t="str">
        <f>"ANNUAL MEMBERSHIP/TOURISM"</f>
        <v>ANNUAL MEMBERSHIP/TOURISM</v>
      </c>
    </row>
    <row r="1361" spans="1:9" x14ac:dyDescent="0.3">
      <c r="A1361" t="str">
        <f>"T13860"</f>
        <v>T13860</v>
      </c>
      <c r="B1361" t="s">
        <v>445</v>
      </c>
      <c r="C1361">
        <v>70276</v>
      </c>
      <c r="D1361" s="2">
        <v>437.05</v>
      </c>
      <c r="E1361" s="1">
        <v>42863</v>
      </c>
      <c r="F1361" t="str">
        <f>"201705031649"</f>
        <v>201705031649</v>
      </c>
      <c r="G1361" t="str">
        <f>"REIMB-TRAINING"</f>
        <v>REIMB-TRAINING</v>
      </c>
      <c r="H1361" s="2">
        <v>437.05</v>
      </c>
      <c r="I1361" t="str">
        <f>"REIMB-TRAINING"</f>
        <v>REIMB-TRAINING</v>
      </c>
    </row>
    <row r="1362" spans="1:9" x14ac:dyDescent="0.3">
      <c r="A1362" t="str">
        <f>"TIME"</f>
        <v>TIME</v>
      </c>
      <c r="B1362" t="s">
        <v>446</v>
      </c>
      <c r="C1362">
        <v>70575</v>
      </c>
      <c r="D1362" s="2">
        <v>10663.59</v>
      </c>
      <c r="E1362" s="1">
        <v>42877</v>
      </c>
      <c r="F1362" t="str">
        <f>"201705121943"</f>
        <v>201705121943</v>
      </c>
      <c r="G1362" t="str">
        <f>"ACCT#8260163000003669"</f>
        <v>ACCT#8260163000003669</v>
      </c>
      <c r="H1362" s="2">
        <v>10663.59</v>
      </c>
      <c r="I1362" t="str">
        <f>"ACCT#8260163000003669"</f>
        <v>ACCT#8260163000003669</v>
      </c>
    </row>
    <row r="1363" spans="1:9" x14ac:dyDescent="0.3">
      <c r="A1363" t="str">
        <f>""</f>
        <v/>
      </c>
      <c r="F1363" t="str">
        <f>""</f>
        <v/>
      </c>
      <c r="G1363" t="str">
        <f>""</f>
        <v/>
      </c>
      <c r="I1363" t="str">
        <f>"ACCT#8260163000003669"</f>
        <v>ACCT#8260163000003669</v>
      </c>
    </row>
    <row r="1364" spans="1:9" x14ac:dyDescent="0.3">
      <c r="A1364" t="str">
        <f>""</f>
        <v/>
      </c>
      <c r="F1364" t="str">
        <f>""</f>
        <v/>
      </c>
      <c r="G1364" t="str">
        <f>""</f>
        <v/>
      </c>
      <c r="I1364" t="str">
        <f>"ACCT#8260163000003669"</f>
        <v>ACCT#8260163000003669</v>
      </c>
    </row>
    <row r="1365" spans="1:9" x14ac:dyDescent="0.3">
      <c r="A1365" t="str">
        <f>"002337"</f>
        <v>002337</v>
      </c>
      <c r="B1365" t="s">
        <v>447</v>
      </c>
      <c r="C1365">
        <v>70277</v>
      </c>
      <c r="D1365" s="2">
        <v>400</v>
      </c>
      <c r="E1365" s="1">
        <v>42863</v>
      </c>
      <c r="F1365" t="str">
        <f>"   10497"</f>
        <v xml:space="preserve">   10497</v>
      </c>
      <c r="G1365" t="str">
        <f>"SERVICE/2-28-17"</f>
        <v>SERVICE/2-28-17</v>
      </c>
      <c r="H1365" s="2">
        <v>100</v>
      </c>
      <c r="I1365" t="str">
        <f>"SERVICE/2-28-17"</f>
        <v>SERVICE/2-28-17</v>
      </c>
    </row>
    <row r="1366" spans="1:9" x14ac:dyDescent="0.3">
      <c r="A1366" t="str">
        <f>""</f>
        <v/>
      </c>
      <c r="F1366" t="str">
        <f>"12617"</f>
        <v>12617</v>
      </c>
      <c r="G1366" t="str">
        <f>"SERVICE/2-27-17"</f>
        <v>SERVICE/2-27-17</v>
      </c>
      <c r="H1366" s="2">
        <v>225</v>
      </c>
      <c r="I1366" t="str">
        <f>"SERVICE/2-27-17"</f>
        <v>SERVICE/2-27-17</v>
      </c>
    </row>
    <row r="1367" spans="1:9" x14ac:dyDescent="0.3">
      <c r="A1367" t="str">
        <f>""</f>
        <v/>
      </c>
      <c r="F1367" t="str">
        <f>"12626"</f>
        <v>12626</v>
      </c>
      <c r="G1367" t="str">
        <f>"SERVICE/3-1-17"</f>
        <v>SERVICE/3-1-17</v>
      </c>
      <c r="H1367" s="2">
        <v>75</v>
      </c>
      <c r="I1367" t="str">
        <f>"SERVICE/3-1-17"</f>
        <v>SERVICE/3-1-17</v>
      </c>
    </row>
    <row r="1368" spans="1:9" x14ac:dyDescent="0.3">
      <c r="A1368" t="str">
        <f>"004809"</f>
        <v>004809</v>
      </c>
      <c r="B1368" t="s">
        <v>448</v>
      </c>
      <c r="C1368">
        <v>70576</v>
      </c>
      <c r="D1368" s="2">
        <v>5</v>
      </c>
      <c r="E1368" s="1">
        <v>42877</v>
      </c>
      <c r="F1368" t="str">
        <f>"201705162063"</f>
        <v>201705162063</v>
      </c>
      <c r="G1368" t="str">
        <f>"FERAL HOGS"</f>
        <v>FERAL HOGS</v>
      </c>
      <c r="H1368" s="2">
        <v>5</v>
      </c>
      <c r="I1368" t="str">
        <f>"FERAL HOGS"</f>
        <v>FERAL HOGS</v>
      </c>
    </row>
    <row r="1369" spans="1:9" x14ac:dyDescent="0.3">
      <c r="A1369" t="str">
        <f>"002944"</f>
        <v>002944</v>
      </c>
      <c r="B1369" t="s">
        <v>449</v>
      </c>
      <c r="C1369">
        <v>70187</v>
      </c>
      <c r="D1369" s="2">
        <v>1019.34</v>
      </c>
      <c r="E1369" s="1">
        <v>42863</v>
      </c>
      <c r="F1369" t="str">
        <f>"201705021596"</f>
        <v>201705021596</v>
      </c>
      <c r="G1369" t="str">
        <f>"UNIT 4362"</f>
        <v>UNIT 4362</v>
      </c>
      <c r="H1369" s="2">
        <v>1019.34</v>
      </c>
      <c r="I1369" t="str">
        <f>"UNIT 4362"</f>
        <v>UNIT 4362</v>
      </c>
    </row>
    <row r="1370" spans="1:9" x14ac:dyDescent="0.3">
      <c r="A1370" t="str">
        <f>"002944"</f>
        <v>002944</v>
      </c>
      <c r="B1370" t="s">
        <v>449</v>
      </c>
      <c r="C1370">
        <v>70476</v>
      </c>
      <c r="D1370" s="2">
        <v>709.9</v>
      </c>
      <c r="E1370" s="1">
        <v>42877</v>
      </c>
      <c r="F1370" t="str">
        <f>"648592"</f>
        <v>648592</v>
      </c>
      <c r="G1370" t="str">
        <f>"UNIT 118 TIRES INV648592"</f>
        <v>UNIT 118 TIRES INV648592</v>
      </c>
      <c r="H1370" s="2">
        <v>449.08</v>
      </c>
      <c r="I1370" t="str">
        <f>"TIRES INV648592"</f>
        <v>TIRES INV648592</v>
      </c>
    </row>
    <row r="1371" spans="1:9" x14ac:dyDescent="0.3">
      <c r="A1371" t="str">
        <f>""</f>
        <v/>
      </c>
      <c r="F1371" t="str">
        <f>"651186"</f>
        <v>651186</v>
      </c>
      <c r="G1371" t="str">
        <f>"INV 651186/UNIT 0116"</f>
        <v>INV 651186/UNIT 0116</v>
      </c>
      <c r="H1371" s="2">
        <v>260.82</v>
      </c>
      <c r="I1371" t="str">
        <f>"INV 651186/UNIT 0116"</f>
        <v>INV 651186/UNIT 0116</v>
      </c>
    </row>
    <row r="1372" spans="1:9" x14ac:dyDescent="0.3">
      <c r="A1372" t="str">
        <f>"003883"</f>
        <v>003883</v>
      </c>
      <c r="B1372" t="s">
        <v>450</v>
      </c>
      <c r="C1372">
        <v>70577</v>
      </c>
      <c r="D1372" s="2">
        <v>220</v>
      </c>
      <c r="E1372" s="1">
        <v>42877</v>
      </c>
      <c r="F1372" t="str">
        <f>"201705162064"</f>
        <v>201705162064</v>
      </c>
      <c r="G1372" t="str">
        <f>"FERAL HOGS"</f>
        <v>FERAL HOGS</v>
      </c>
      <c r="H1372" s="2">
        <v>5</v>
      </c>
      <c r="I1372" t="str">
        <f>"FERAL HOGS"</f>
        <v>FERAL HOGS</v>
      </c>
    </row>
    <row r="1373" spans="1:9" x14ac:dyDescent="0.3">
      <c r="A1373" t="str">
        <f>""</f>
        <v/>
      </c>
      <c r="F1373" t="str">
        <f>"201705162065"</f>
        <v>201705162065</v>
      </c>
      <c r="G1373" t="str">
        <f>"FERAL HOGS"</f>
        <v>FERAL HOGS</v>
      </c>
      <c r="H1373" s="2">
        <v>60</v>
      </c>
      <c r="I1373" t="str">
        <f>"FERAL HOGS"</f>
        <v>FERAL HOGS</v>
      </c>
    </row>
    <row r="1374" spans="1:9" x14ac:dyDescent="0.3">
      <c r="A1374" t="str">
        <f>""</f>
        <v/>
      </c>
      <c r="F1374" t="str">
        <f>"201705162066"</f>
        <v>201705162066</v>
      </c>
      <c r="G1374" t="str">
        <f>"FERAL HOGS"</f>
        <v>FERAL HOGS</v>
      </c>
      <c r="H1374" s="2">
        <v>155</v>
      </c>
      <c r="I1374" t="str">
        <f>"FERAL HOGS"</f>
        <v>FERAL HOGS</v>
      </c>
    </row>
    <row r="1375" spans="1:9" x14ac:dyDescent="0.3">
      <c r="A1375" t="str">
        <f>"TRIPLE"</f>
        <v>TRIPLE</v>
      </c>
      <c r="B1375" t="s">
        <v>451</v>
      </c>
      <c r="C1375">
        <v>70278</v>
      </c>
      <c r="D1375" s="2">
        <v>22157.52</v>
      </c>
      <c r="E1375" s="1">
        <v>42863</v>
      </c>
      <c r="F1375" t="str">
        <f>"0006834"</f>
        <v>0006834</v>
      </c>
      <c r="G1375" t="str">
        <f>"CUST#0009089/FUEL/PCT#2"</f>
        <v>CUST#0009089/FUEL/PCT#2</v>
      </c>
      <c r="H1375" s="2">
        <v>3297.65</v>
      </c>
      <c r="I1375" t="str">
        <f>"CUST#0009089/FUEL/PCT#2"</f>
        <v>CUST#0009089/FUEL/PCT#2</v>
      </c>
    </row>
    <row r="1376" spans="1:9" x14ac:dyDescent="0.3">
      <c r="A1376" t="str">
        <f>""</f>
        <v/>
      </c>
      <c r="F1376" t="str">
        <f>"0007010IN"</f>
        <v>0007010IN</v>
      </c>
      <c r="G1376" t="str">
        <f>"CUST#0009084/FUEL/PCT#1"</f>
        <v>CUST#0009084/FUEL/PCT#1</v>
      </c>
      <c r="H1376" s="2">
        <v>4872.25</v>
      </c>
      <c r="I1376" t="str">
        <f>"CUST#0009084/FUEL/PCT#1"</f>
        <v>CUST#0009084/FUEL/PCT#1</v>
      </c>
    </row>
    <row r="1377" spans="1:9" x14ac:dyDescent="0.3">
      <c r="A1377" t="str">
        <f>""</f>
        <v/>
      </c>
      <c r="F1377" t="str">
        <f>"0007068-IN"</f>
        <v>0007068-IN</v>
      </c>
      <c r="G1377" t="str">
        <f>"CUST#0009089/FUEL/PCT#2"</f>
        <v>CUST#0009089/FUEL/PCT#2</v>
      </c>
      <c r="H1377" s="2">
        <v>3149.03</v>
      </c>
      <c r="I1377" t="str">
        <f>"CUST#0009089/FUEL/PCT#2"</f>
        <v>CUST#0009089/FUEL/PCT#2</v>
      </c>
    </row>
    <row r="1378" spans="1:9" x14ac:dyDescent="0.3">
      <c r="A1378" t="str">
        <f>""</f>
        <v/>
      </c>
      <c r="F1378" t="str">
        <f>"0007225"</f>
        <v>0007225</v>
      </c>
      <c r="G1378" t="str">
        <f>"CUST#0009085/PCT#3"</f>
        <v>CUST#0009085/PCT#3</v>
      </c>
      <c r="H1378" s="2">
        <v>3822.41</v>
      </c>
      <c r="I1378" t="str">
        <f>"CUST#0009085/PCT#3"</f>
        <v>CUST#0009085/PCT#3</v>
      </c>
    </row>
    <row r="1379" spans="1:9" x14ac:dyDescent="0.3">
      <c r="A1379" t="str">
        <f>""</f>
        <v/>
      </c>
      <c r="F1379" t="str">
        <f>"0007323"</f>
        <v>0007323</v>
      </c>
      <c r="G1379" t="str">
        <f>"CUST#0009089/FUEL/PCT#2"</f>
        <v>CUST#0009089/FUEL/PCT#2</v>
      </c>
      <c r="H1379" s="2">
        <v>3215.14</v>
      </c>
      <c r="I1379" t="str">
        <f>"CUST#0009089/FUEL/PCT#2"</f>
        <v>CUST#0009089/FUEL/PCT#2</v>
      </c>
    </row>
    <row r="1380" spans="1:9" x14ac:dyDescent="0.3">
      <c r="A1380" t="str">
        <f>""</f>
        <v/>
      </c>
      <c r="F1380" t="str">
        <f>"0007483"</f>
        <v>0007483</v>
      </c>
      <c r="G1380" t="str">
        <f>"CUST#0009085/FUEL/PCT#3"</f>
        <v>CUST#0009085/FUEL/PCT#3</v>
      </c>
      <c r="H1380" s="2">
        <v>884.49</v>
      </c>
      <c r="I1380" t="str">
        <f>"CUST#0009085/FUEL/PCT#3"</f>
        <v>CUST#0009085/FUEL/PCT#3</v>
      </c>
    </row>
    <row r="1381" spans="1:9" x14ac:dyDescent="0.3">
      <c r="A1381" t="str">
        <f>""</f>
        <v/>
      </c>
      <c r="F1381" t="str">
        <f>"0007527"</f>
        <v>0007527</v>
      </c>
      <c r="G1381" t="str">
        <f>"CUST#0009089/FUEL/PCT#2"</f>
        <v>CUST#0009089/FUEL/PCT#2</v>
      </c>
      <c r="H1381" s="2">
        <v>2916.55</v>
      </c>
      <c r="I1381" t="str">
        <f>"CUST#0009089/FUEL/PCT#2"</f>
        <v>CUST#0009089/FUEL/PCT#2</v>
      </c>
    </row>
    <row r="1382" spans="1:9" x14ac:dyDescent="0.3">
      <c r="A1382" t="str">
        <f>"TRIPLE"</f>
        <v>TRIPLE</v>
      </c>
      <c r="B1382" t="s">
        <v>451</v>
      </c>
      <c r="C1382">
        <v>70578</v>
      </c>
      <c r="D1382" s="2">
        <v>14517.6</v>
      </c>
      <c r="E1382" s="1">
        <v>42877</v>
      </c>
      <c r="F1382" t="str">
        <f>"201705121967"</f>
        <v>201705121967</v>
      </c>
      <c r="G1382" t="str">
        <f>"REF 0007667-IN BOL#374447"</f>
        <v>REF 0007667-IN BOL#374447</v>
      </c>
      <c r="H1382" s="2">
        <v>4903.2</v>
      </c>
      <c r="I1382" t="str">
        <f>"REF 0007667-IN BOL#374447"</f>
        <v>REF 0007667-IN BOL#374447</v>
      </c>
    </row>
    <row r="1383" spans="1:9" x14ac:dyDescent="0.3">
      <c r="A1383" t="str">
        <f>""</f>
        <v/>
      </c>
      <c r="F1383" t="str">
        <f>"201705162080"</f>
        <v>201705162080</v>
      </c>
      <c r="G1383" t="str">
        <f>"INV 7516 6795-IN"</f>
        <v>INV 7516 6795-IN</v>
      </c>
      <c r="H1383" s="2">
        <v>6494.13</v>
      </c>
      <c r="I1383" t="str">
        <f>"INV 0007516-IN"</f>
        <v>INV 0007516-IN</v>
      </c>
    </row>
    <row r="1384" spans="1:9" x14ac:dyDescent="0.3">
      <c r="A1384" t="str">
        <f>""</f>
        <v/>
      </c>
      <c r="F1384" t="str">
        <f>""</f>
        <v/>
      </c>
      <c r="G1384" t="str">
        <f>""</f>
        <v/>
      </c>
      <c r="I1384" t="str">
        <f>"INV 0006795-IN"</f>
        <v>INV 0006795-IN</v>
      </c>
    </row>
    <row r="1385" spans="1:9" x14ac:dyDescent="0.3">
      <c r="A1385" t="str">
        <f>""</f>
        <v/>
      </c>
      <c r="F1385" t="str">
        <f>"201705162101"</f>
        <v>201705162101</v>
      </c>
      <c r="G1385" t="str">
        <f>"INV 0007686-IN PCT 2"</f>
        <v>INV 0007686-IN PCT 2</v>
      </c>
      <c r="H1385" s="2">
        <v>3120.27</v>
      </c>
      <c r="I1385" t="str">
        <f>"INV 0007686-IN PCT 2"</f>
        <v>INV 0007686-IN PCT 2</v>
      </c>
    </row>
    <row r="1386" spans="1:9" x14ac:dyDescent="0.3">
      <c r="A1386" t="str">
        <f>"TRACTO"</f>
        <v>TRACTO</v>
      </c>
      <c r="B1386" t="s">
        <v>452</v>
      </c>
      <c r="C1386">
        <v>70279</v>
      </c>
      <c r="D1386" s="2">
        <v>1844.67</v>
      </c>
      <c r="E1386" s="1">
        <v>42863</v>
      </c>
      <c r="F1386" t="str">
        <f>"201705031778"</f>
        <v>201705031778</v>
      </c>
      <c r="G1386" t="str">
        <f>"Acct# 6035301200160982"</f>
        <v>Acct# 6035301200160982</v>
      </c>
      <c r="H1386" s="2">
        <v>1844.67</v>
      </c>
      <c r="I1386" t="str">
        <f>"inv# 200396432"</f>
        <v>inv# 200396432</v>
      </c>
    </row>
    <row r="1387" spans="1:9" x14ac:dyDescent="0.3">
      <c r="A1387" t="str">
        <f>""</f>
        <v/>
      </c>
      <c r="F1387" t="str">
        <f>""</f>
        <v/>
      </c>
      <c r="G1387" t="str">
        <f>""</f>
        <v/>
      </c>
      <c r="I1387" t="str">
        <f>"inv# 300389917"</f>
        <v>inv# 300389917</v>
      </c>
    </row>
    <row r="1388" spans="1:9" x14ac:dyDescent="0.3">
      <c r="A1388" t="str">
        <f>""</f>
        <v/>
      </c>
      <c r="F1388" t="str">
        <f>""</f>
        <v/>
      </c>
      <c r="G1388" t="str">
        <f>""</f>
        <v/>
      </c>
      <c r="I1388" t="str">
        <f>"inv# 300389917"</f>
        <v>inv# 300389917</v>
      </c>
    </row>
    <row r="1389" spans="1:9" x14ac:dyDescent="0.3">
      <c r="A1389" t="str">
        <f>""</f>
        <v/>
      </c>
      <c r="F1389" t="str">
        <f>""</f>
        <v/>
      </c>
      <c r="G1389" t="str">
        <f>""</f>
        <v/>
      </c>
      <c r="I1389" t="str">
        <f>"inv# 100496485"</f>
        <v>inv# 100496485</v>
      </c>
    </row>
    <row r="1390" spans="1:9" x14ac:dyDescent="0.3">
      <c r="A1390" t="str">
        <f>""</f>
        <v/>
      </c>
      <c r="F1390" t="str">
        <f>""</f>
        <v/>
      </c>
      <c r="G1390" t="str">
        <f>""</f>
        <v/>
      </c>
      <c r="I1390" t="str">
        <f>"inv# 100382072"</f>
        <v>inv# 100382072</v>
      </c>
    </row>
    <row r="1391" spans="1:9" x14ac:dyDescent="0.3">
      <c r="A1391" t="str">
        <f>""</f>
        <v/>
      </c>
      <c r="F1391" t="str">
        <f>""</f>
        <v/>
      </c>
      <c r="G1391" t="str">
        <f>""</f>
        <v/>
      </c>
      <c r="I1391" t="str">
        <f>"inv# 100492494"</f>
        <v>inv# 100492494</v>
      </c>
    </row>
    <row r="1392" spans="1:9" x14ac:dyDescent="0.3">
      <c r="A1392" t="str">
        <f>""</f>
        <v/>
      </c>
      <c r="F1392" t="str">
        <f>""</f>
        <v/>
      </c>
      <c r="G1392" t="str">
        <f>""</f>
        <v/>
      </c>
      <c r="I1392" t="str">
        <f>"inv# 100498676"</f>
        <v>inv# 100498676</v>
      </c>
    </row>
    <row r="1393" spans="1:9" x14ac:dyDescent="0.3">
      <c r="A1393" t="str">
        <f>""</f>
        <v/>
      </c>
      <c r="F1393" t="str">
        <f>""</f>
        <v/>
      </c>
      <c r="G1393" t="str">
        <f>""</f>
        <v/>
      </c>
      <c r="I1393" t="str">
        <f>"inv# 100500489"</f>
        <v>inv# 100500489</v>
      </c>
    </row>
    <row r="1394" spans="1:9" x14ac:dyDescent="0.3">
      <c r="A1394" t="str">
        <f>""</f>
        <v/>
      </c>
      <c r="F1394" t="str">
        <f>""</f>
        <v/>
      </c>
      <c r="G1394" t="str">
        <f>""</f>
        <v/>
      </c>
      <c r="I1394" t="str">
        <f>"inv# 100501340"</f>
        <v>inv# 100501340</v>
      </c>
    </row>
    <row r="1395" spans="1:9" x14ac:dyDescent="0.3">
      <c r="A1395" t="str">
        <f>""</f>
        <v/>
      </c>
      <c r="F1395" t="str">
        <f>""</f>
        <v/>
      </c>
      <c r="G1395" t="str">
        <f>""</f>
        <v/>
      </c>
      <c r="I1395" t="str">
        <f>"inv# 100501343"</f>
        <v>inv# 100501343</v>
      </c>
    </row>
    <row r="1396" spans="1:9" x14ac:dyDescent="0.3">
      <c r="A1396" t="str">
        <f>""</f>
        <v/>
      </c>
      <c r="F1396" t="str">
        <f>""</f>
        <v/>
      </c>
      <c r="G1396" t="str">
        <f>""</f>
        <v/>
      </c>
      <c r="I1396" t="str">
        <f>"inv# 200400590"</f>
        <v>inv# 200400590</v>
      </c>
    </row>
    <row r="1397" spans="1:9" x14ac:dyDescent="0.3">
      <c r="A1397" t="str">
        <f>"TULL"</f>
        <v>TULL</v>
      </c>
      <c r="B1397" t="s">
        <v>453</v>
      </c>
      <c r="C1397">
        <v>70280</v>
      </c>
      <c r="D1397" s="2">
        <v>750</v>
      </c>
      <c r="E1397" s="1">
        <v>42863</v>
      </c>
      <c r="F1397" t="str">
        <f>"201705031760"</f>
        <v>201705031760</v>
      </c>
      <c r="G1397" t="str">
        <f>"410126-7"</f>
        <v>410126-7</v>
      </c>
      <c r="H1397" s="2">
        <v>250</v>
      </c>
      <c r="I1397" t="str">
        <f>"410126-7"</f>
        <v>410126-7</v>
      </c>
    </row>
    <row r="1398" spans="1:9" x14ac:dyDescent="0.3">
      <c r="A1398" t="str">
        <f>""</f>
        <v/>
      </c>
      <c r="F1398" t="str">
        <f>"201705031761"</f>
        <v>201705031761</v>
      </c>
      <c r="G1398" t="str">
        <f>"54.410"</f>
        <v>54.410</v>
      </c>
      <c r="H1398" s="2">
        <v>250</v>
      </c>
      <c r="I1398" t="str">
        <f>"54.410"</f>
        <v>54.410</v>
      </c>
    </row>
    <row r="1399" spans="1:9" x14ac:dyDescent="0.3">
      <c r="A1399" t="str">
        <f>""</f>
        <v/>
      </c>
      <c r="F1399" t="str">
        <f>"201705031762"</f>
        <v>201705031762</v>
      </c>
      <c r="G1399" t="str">
        <f>"54.587"</f>
        <v>54.587</v>
      </c>
      <c r="H1399" s="2">
        <v>250</v>
      </c>
      <c r="I1399" t="str">
        <f>"54.587"</f>
        <v>54.587</v>
      </c>
    </row>
    <row r="1400" spans="1:9" x14ac:dyDescent="0.3">
      <c r="A1400" t="str">
        <f>"TULL"</f>
        <v>TULL</v>
      </c>
      <c r="B1400" t="s">
        <v>453</v>
      </c>
      <c r="C1400">
        <v>70579</v>
      </c>
      <c r="D1400" s="2">
        <v>1150</v>
      </c>
      <c r="E1400" s="1">
        <v>42877</v>
      </c>
      <c r="F1400" t="str">
        <f>"201705172187"</f>
        <v>201705172187</v>
      </c>
      <c r="G1400" t="str">
        <f>"14560"</f>
        <v>14560</v>
      </c>
      <c r="H1400" s="2">
        <v>400</v>
      </c>
      <c r="I1400" t="str">
        <f>"14560"</f>
        <v>14560</v>
      </c>
    </row>
    <row r="1401" spans="1:9" x14ac:dyDescent="0.3">
      <c r="A1401" t="str">
        <f>""</f>
        <v/>
      </c>
      <c r="F1401" t="str">
        <f>"201705172188"</f>
        <v>201705172188</v>
      </c>
      <c r="G1401" t="str">
        <f>"16 070"</f>
        <v>16 070</v>
      </c>
      <c r="H1401" s="2">
        <v>400</v>
      </c>
      <c r="I1401" t="str">
        <f>"16 070"</f>
        <v>16 070</v>
      </c>
    </row>
    <row r="1402" spans="1:9" x14ac:dyDescent="0.3">
      <c r="A1402" t="str">
        <f>""</f>
        <v/>
      </c>
      <c r="F1402" t="str">
        <f>"201705172189"</f>
        <v>201705172189</v>
      </c>
      <c r="G1402" t="str">
        <f>"423-4982"</f>
        <v>423-4982</v>
      </c>
      <c r="H1402" s="2">
        <v>100</v>
      </c>
      <c r="I1402" t="str">
        <f>"423-4982"</f>
        <v>423-4982</v>
      </c>
    </row>
    <row r="1403" spans="1:9" x14ac:dyDescent="0.3">
      <c r="A1403" t="str">
        <f>""</f>
        <v/>
      </c>
      <c r="F1403" t="str">
        <f>"201705172190"</f>
        <v>201705172190</v>
      </c>
      <c r="G1403" t="str">
        <f>"54 867"</f>
        <v>54 867</v>
      </c>
      <c r="H1403" s="2">
        <v>250</v>
      </c>
      <c r="I1403" t="str">
        <f>"54 867"</f>
        <v>54 867</v>
      </c>
    </row>
    <row r="1404" spans="1:9" x14ac:dyDescent="0.3">
      <c r="A1404" t="str">
        <f>"000203"</f>
        <v>000203</v>
      </c>
      <c r="B1404" t="s">
        <v>454</v>
      </c>
      <c r="C1404">
        <v>70281</v>
      </c>
      <c r="D1404" s="2">
        <v>850</v>
      </c>
      <c r="E1404" s="1">
        <v>42863</v>
      </c>
      <c r="F1404" t="str">
        <f>"201705031788"</f>
        <v>201705031788</v>
      </c>
      <c r="G1404" t="str">
        <f>"ANNUAL INSPECTION"</f>
        <v>ANNUAL INSPECTION</v>
      </c>
      <c r="H1404" s="2">
        <v>850</v>
      </c>
      <c r="I1404" t="str">
        <f>"ANNUAL INSPECTION"</f>
        <v>ANNUAL INSPECTION</v>
      </c>
    </row>
    <row r="1405" spans="1:9" x14ac:dyDescent="0.3">
      <c r="A1405" t="str">
        <f>"T13981"</f>
        <v>T13981</v>
      </c>
      <c r="B1405" t="s">
        <v>455</v>
      </c>
      <c r="C1405">
        <v>70580</v>
      </c>
      <c r="D1405" s="2">
        <v>444</v>
      </c>
      <c r="E1405" s="1">
        <v>42877</v>
      </c>
      <c r="F1405" t="str">
        <f>"201705121949"</f>
        <v>201705121949</v>
      </c>
      <c r="G1405" t="str">
        <f>"TCEQ LICENSE RENEWALS OSSF"</f>
        <v>TCEQ LICENSE RENEWALS OSSF</v>
      </c>
      <c r="H1405" s="2">
        <v>444</v>
      </c>
      <c r="I1405" t="str">
        <f>"TCEQ LICENSE RENEWALS OSSF"</f>
        <v>TCEQ LICENSE RENEWALS OSSF</v>
      </c>
    </row>
    <row r="1406" spans="1:9" x14ac:dyDescent="0.3">
      <c r="A1406" t="str">
        <f>"003612"</f>
        <v>003612</v>
      </c>
      <c r="B1406" t="s">
        <v>456</v>
      </c>
      <c r="C1406">
        <v>70581</v>
      </c>
      <c r="D1406" s="2">
        <v>35</v>
      </c>
      <c r="E1406" s="1">
        <v>42877</v>
      </c>
      <c r="F1406" t="str">
        <f>"201705182289"</f>
        <v>201705182289</v>
      </c>
      <c r="G1406" t="str">
        <f>"TCOLE PID 412244 CONNIE RABEL"</f>
        <v>TCOLE PID 412244 CONNIE RABEL</v>
      </c>
      <c r="H1406" s="2">
        <v>35</v>
      </c>
      <c r="I1406" t="str">
        <f>"TCOLE PID 412244 CONNIE RABEL"</f>
        <v>TCOLE PID 412244 CONNIE RABEL</v>
      </c>
    </row>
    <row r="1407" spans="1:9" x14ac:dyDescent="0.3">
      <c r="A1407" t="str">
        <f>"T3082"</f>
        <v>T3082</v>
      </c>
      <c r="B1407" t="s">
        <v>457</v>
      </c>
      <c r="C1407">
        <v>70282</v>
      </c>
      <c r="D1407" s="2">
        <v>1500</v>
      </c>
      <c r="E1407" s="1">
        <v>42863</v>
      </c>
      <c r="F1407" t="str">
        <f>"1712011"</f>
        <v>1712011</v>
      </c>
      <c r="G1407" t="str">
        <f>"WORKSTATION/TAX OFFICE"</f>
        <v>WORKSTATION/TAX OFFICE</v>
      </c>
      <c r="H1407" s="2">
        <v>1500</v>
      </c>
      <c r="I1407" t="str">
        <f>"WORKSTATION/TAX OFFICE"</f>
        <v>WORKSTATION/TAX OFFICE</v>
      </c>
    </row>
    <row r="1408" spans="1:9" x14ac:dyDescent="0.3">
      <c r="A1408" t="str">
        <f>"T14273"</f>
        <v>T14273</v>
      </c>
      <c r="B1408" t="s">
        <v>458</v>
      </c>
      <c r="C1408">
        <v>70283</v>
      </c>
      <c r="D1408" s="2">
        <v>215</v>
      </c>
      <c r="E1408" s="1">
        <v>42863</v>
      </c>
      <c r="F1408" t="str">
        <f>"01452"</f>
        <v>01452</v>
      </c>
      <c r="G1408" t="str">
        <f>"INV 01452"</f>
        <v>INV 01452</v>
      </c>
      <c r="H1408" s="2">
        <v>215</v>
      </c>
      <c r="I1408" t="str">
        <f>"INV 01452"</f>
        <v>INV 01452</v>
      </c>
    </row>
    <row r="1409" spans="1:9" x14ac:dyDescent="0.3">
      <c r="A1409" t="str">
        <f>"004370"</f>
        <v>004370</v>
      </c>
      <c r="B1409" t="s">
        <v>459</v>
      </c>
      <c r="C1409">
        <v>70582</v>
      </c>
      <c r="D1409" s="2">
        <v>185</v>
      </c>
      <c r="E1409" s="1">
        <v>42877</v>
      </c>
      <c r="F1409" t="str">
        <f>"201705162067"</f>
        <v>201705162067</v>
      </c>
      <c r="G1409" t="str">
        <f>"FERAL HOGS"</f>
        <v>FERAL HOGS</v>
      </c>
      <c r="H1409" s="2">
        <v>105</v>
      </c>
      <c r="I1409" t="str">
        <f>"FERAL HOGS"</f>
        <v>FERAL HOGS</v>
      </c>
    </row>
    <row r="1410" spans="1:9" x14ac:dyDescent="0.3">
      <c r="A1410" t="str">
        <f>""</f>
        <v/>
      </c>
      <c r="F1410" t="str">
        <f>"201705162068"</f>
        <v>201705162068</v>
      </c>
      <c r="G1410" t="str">
        <f>"FERAL HOGS"</f>
        <v>FERAL HOGS</v>
      </c>
      <c r="H1410" s="2">
        <v>80</v>
      </c>
      <c r="I1410" t="str">
        <f>"FERAL HOGS"</f>
        <v>FERAL HOGS</v>
      </c>
    </row>
    <row r="1411" spans="1:9" x14ac:dyDescent="0.3">
      <c r="A1411" t="str">
        <f>"TYLER"</f>
        <v>TYLER</v>
      </c>
      <c r="B1411" t="s">
        <v>460</v>
      </c>
      <c r="C1411">
        <v>70284</v>
      </c>
      <c r="D1411" s="2">
        <v>16770.43</v>
      </c>
      <c r="E1411" s="1">
        <v>42863</v>
      </c>
      <c r="F1411" t="str">
        <f>"025-186751"</f>
        <v>025-186751</v>
      </c>
      <c r="G1411" t="str">
        <f>"CUST#42161/IT"</f>
        <v>CUST#42161/IT</v>
      </c>
      <c r="H1411" s="2">
        <v>10270.43</v>
      </c>
      <c r="I1411" t="str">
        <f>"CUST#42161/IT"</f>
        <v>CUST#42161/IT</v>
      </c>
    </row>
    <row r="1412" spans="1:9" x14ac:dyDescent="0.3">
      <c r="A1412" t="str">
        <f>""</f>
        <v/>
      </c>
      <c r="F1412" t="str">
        <f>""</f>
        <v/>
      </c>
      <c r="G1412" t="str">
        <f>""</f>
        <v/>
      </c>
      <c r="I1412" t="str">
        <f>"CUST#42161/IT"</f>
        <v>CUST#42161/IT</v>
      </c>
    </row>
    <row r="1413" spans="1:9" x14ac:dyDescent="0.3">
      <c r="A1413" t="str">
        <f>""</f>
        <v/>
      </c>
      <c r="F1413" t="str">
        <f>"201705021606"</f>
        <v>201705021606</v>
      </c>
      <c r="G1413" t="str">
        <f>"TYLER TECHNOLOGIES INC"</f>
        <v>TYLER TECHNOLOGIES INC</v>
      </c>
      <c r="H1413" s="2">
        <v>6500</v>
      </c>
      <c r="I1413" t="str">
        <f>"Fees"</f>
        <v>Fees</v>
      </c>
    </row>
    <row r="1414" spans="1:9" x14ac:dyDescent="0.3">
      <c r="A1414" t="str">
        <f>"TYLER"</f>
        <v>TYLER</v>
      </c>
      <c r="B1414" t="s">
        <v>460</v>
      </c>
      <c r="C1414">
        <v>70583</v>
      </c>
      <c r="D1414" s="2">
        <v>42.06</v>
      </c>
      <c r="E1414" s="1">
        <v>42877</v>
      </c>
      <c r="F1414" t="str">
        <f>"201705172230"</f>
        <v>201705172230</v>
      </c>
      <c r="G1414" t="str">
        <f>"INV 025-188661"</f>
        <v>INV 025-188661</v>
      </c>
      <c r="H1414" s="2">
        <v>42.06</v>
      </c>
      <c r="I1414" t="str">
        <f>"INV 025-188661MILEAGE"</f>
        <v>INV 025-188661MILEAGE</v>
      </c>
    </row>
    <row r="1415" spans="1:9" x14ac:dyDescent="0.3">
      <c r="A1415" t="str">
        <f>"T5739"</f>
        <v>T5739</v>
      </c>
      <c r="B1415" t="s">
        <v>461</v>
      </c>
      <c r="C1415">
        <v>70584</v>
      </c>
      <c r="D1415" s="2">
        <v>1881.28</v>
      </c>
      <c r="E1415" s="1">
        <v>42877</v>
      </c>
      <c r="F1415" t="str">
        <f>"201705161989"</f>
        <v>201705161989</v>
      </c>
      <c r="G1415" t="str">
        <f>"CONTROL BOARD INV56434509"</f>
        <v>CONTROL BOARD INV56434509</v>
      </c>
      <c r="H1415" s="2">
        <v>107.63</v>
      </c>
      <c r="I1415" t="str">
        <f>"CONTROL BOARD INV56434509"</f>
        <v>CONTROL BOARD INV56434509</v>
      </c>
    </row>
    <row r="1416" spans="1:9" x14ac:dyDescent="0.3">
      <c r="A1416" t="str">
        <f>""</f>
        <v/>
      </c>
      <c r="F1416" t="str">
        <f>"201705161990"</f>
        <v>201705161990</v>
      </c>
      <c r="G1416" t="str">
        <f>"REFRIG/INV56526351"</f>
        <v>REFRIG/INV56526351</v>
      </c>
      <c r="H1416" s="2">
        <v>1773.65</v>
      </c>
      <c r="I1416" t="str">
        <f>"REFRIG/INV56526351"</f>
        <v>REFRIG/INV56526351</v>
      </c>
    </row>
    <row r="1417" spans="1:9" x14ac:dyDescent="0.3">
      <c r="A1417" t="str">
        <f>"T12006"</f>
        <v>T12006</v>
      </c>
      <c r="B1417" t="s">
        <v>462</v>
      </c>
      <c r="C1417">
        <v>70285</v>
      </c>
      <c r="D1417" s="2">
        <v>123.1</v>
      </c>
      <c r="E1417" s="1">
        <v>42863</v>
      </c>
      <c r="F1417" t="str">
        <f>"340383"</f>
        <v>340383</v>
      </c>
      <c r="G1417" t="str">
        <f>"1 CARLISLE/SO"</f>
        <v>1 CARLISLE/SO</v>
      </c>
      <c r="H1417" s="2">
        <v>123.1</v>
      </c>
      <c r="I1417" t="str">
        <f>"1 CARLISLE/SO"</f>
        <v>1 CARLISLE/SO</v>
      </c>
    </row>
    <row r="1418" spans="1:9" x14ac:dyDescent="0.3">
      <c r="A1418" t="str">
        <f>"T12006"</f>
        <v>T12006</v>
      </c>
      <c r="B1418" t="s">
        <v>462</v>
      </c>
      <c r="C1418">
        <v>70585</v>
      </c>
      <c r="D1418" s="2">
        <v>2050.46</v>
      </c>
      <c r="E1418" s="1">
        <v>42877</v>
      </c>
      <c r="F1418" t="str">
        <f>"0009"</f>
        <v>0009</v>
      </c>
      <c r="G1418" t="str">
        <f>"339496 GENERAL SERVICES"</f>
        <v>339496 GENERAL SERVICES</v>
      </c>
      <c r="H1418" s="2">
        <v>18</v>
      </c>
      <c r="I1418" t="str">
        <f>"339496 GENERAL SERVICES"</f>
        <v>339496 GENERAL SERVICES</v>
      </c>
    </row>
    <row r="1419" spans="1:9" x14ac:dyDescent="0.3">
      <c r="A1419" t="str">
        <f>""</f>
        <v/>
      </c>
      <c r="F1419" t="str">
        <f>"201705121950"</f>
        <v>201705121950</v>
      </c>
      <c r="G1419" t="str">
        <f>"BERNARD INV#339744 FORD 2002"</f>
        <v>BERNARD INV#339744 FORD 2002</v>
      </c>
      <c r="H1419" s="2">
        <v>377.98</v>
      </c>
      <c r="I1419" t="str">
        <f>"BERNARD INV#339744 FORD 2002"</f>
        <v>BERNARD INV#339744 FORD 2002</v>
      </c>
    </row>
    <row r="1420" spans="1:9" x14ac:dyDescent="0.3">
      <c r="A1420" t="str">
        <f>""</f>
        <v/>
      </c>
      <c r="F1420" t="str">
        <f>"201705162072"</f>
        <v>201705162072</v>
      </c>
      <c r="G1420" t="str">
        <f>"BARNARD TIRE &amp; AUTO"</f>
        <v>BARNARD TIRE &amp; AUTO</v>
      </c>
      <c r="H1420" s="2">
        <v>109.5</v>
      </c>
      <c r="I1420" t="str">
        <f>"BARNARD TIRE &amp; AUTO IRS LEVY"</f>
        <v>BARNARD TIRE &amp; AUTO IRS LEVY</v>
      </c>
    </row>
    <row r="1421" spans="1:9" x14ac:dyDescent="0.3">
      <c r="A1421" t="str">
        <f>""</f>
        <v/>
      </c>
      <c r="F1421" t="str">
        <f>"201705162090"</f>
        <v>201705162090</v>
      </c>
      <c r="G1421" t="str">
        <f>"BARNARD TIRE &amp; AUTO PCT 2"</f>
        <v>BARNARD TIRE &amp; AUTO PCT 2</v>
      </c>
      <c r="H1421" s="2">
        <v>331.5</v>
      </c>
      <c r="I1421" t="str">
        <f>"BARNARD TIRE &amp; AUTO PCT 2"</f>
        <v>BARNARD TIRE &amp; AUTO PCT 2</v>
      </c>
    </row>
    <row r="1422" spans="1:9" x14ac:dyDescent="0.3">
      <c r="A1422" t="str">
        <f>""</f>
        <v/>
      </c>
      <c r="F1422" t="str">
        <f>"336911"</f>
        <v>336911</v>
      </c>
      <c r="G1422" t="str">
        <f>"SERVICES"</f>
        <v>SERVICES</v>
      </c>
      <c r="H1422" s="2">
        <v>1135.48</v>
      </c>
      <c r="I1422" t="str">
        <f>"SERVICES"</f>
        <v>SERVICES</v>
      </c>
    </row>
    <row r="1423" spans="1:9" x14ac:dyDescent="0.3">
      <c r="A1423" t="str">
        <f>""</f>
        <v/>
      </c>
      <c r="F1423" t="str">
        <f>"339142"</f>
        <v>339142</v>
      </c>
      <c r="G1423" t="str">
        <f>"ACCT#0009 PCT#1"</f>
        <v>ACCT#0009 PCT#1</v>
      </c>
      <c r="H1423" s="2">
        <v>60</v>
      </c>
      <c r="I1423" t="str">
        <f>"ACCT#0009 PCT#1"</f>
        <v>ACCT#0009 PCT#1</v>
      </c>
    </row>
    <row r="1424" spans="1:9" x14ac:dyDescent="0.3">
      <c r="A1424" t="str">
        <f>""</f>
        <v/>
      </c>
      <c r="F1424" t="str">
        <f>"340219"</f>
        <v>340219</v>
      </c>
      <c r="G1424" t="str">
        <f>"REPAIR TIRE SHERIFF'S OFFICE"</f>
        <v>REPAIR TIRE SHERIFF'S OFFICE</v>
      </c>
      <c r="H1424" s="2">
        <v>18</v>
      </c>
      <c r="I1424" t="str">
        <f>"REPAIR TIRE SHERIFF'S OFFICE"</f>
        <v>REPAIR TIRE SHERIFF'S OFFICE</v>
      </c>
    </row>
    <row r="1425" spans="1:9" x14ac:dyDescent="0.3">
      <c r="A1425" t="str">
        <f>"000775"</f>
        <v>000775</v>
      </c>
      <c r="B1425" t="s">
        <v>463</v>
      </c>
      <c r="C1425">
        <v>70286</v>
      </c>
      <c r="D1425" s="2">
        <v>21.87</v>
      </c>
      <c r="E1425" s="1">
        <v>42863</v>
      </c>
      <c r="F1425" t="str">
        <f>"201705031782"</f>
        <v>201705031782</v>
      </c>
      <c r="G1425" t="str">
        <f>"INV 000018VW63137"</f>
        <v>INV 000018VW63137</v>
      </c>
      <c r="H1425" s="2">
        <v>21.87</v>
      </c>
      <c r="I1425" t="str">
        <f>"SHIPPING FEE"</f>
        <v>SHIPPING FEE</v>
      </c>
    </row>
    <row r="1426" spans="1:9" x14ac:dyDescent="0.3">
      <c r="A1426" t="str">
        <f>"T5424"</f>
        <v>T5424</v>
      </c>
      <c r="B1426" t="s">
        <v>464</v>
      </c>
      <c r="C1426">
        <v>70586</v>
      </c>
      <c r="D1426" s="2">
        <v>240</v>
      </c>
      <c r="E1426" s="1">
        <v>42877</v>
      </c>
      <c r="F1426" t="str">
        <f>"201705121940"</f>
        <v>201705121940</v>
      </c>
      <c r="G1426" t="str">
        <f>"ST BAR OF TX BAR DUES 2017-18"</f>
        <v>ST BAR OF TX BAR DUES 2017-18</v>
      </c>
      <c r="H1426" s="2">
        <v>240</v>
      </c>
      <c r="I1426" t="str">
        <f>"ST BAR OF TX BAR DUES 2017-18"</f>
        <v>ST BAR OF TX BAR DUES 2017-18</v>
      </c>
    </row>
    <row r="1427" spans="1:9" x14ac:dyDescent="0.3">
      <c r="A1427" t="str">
        <f>"001445"</f>
        <v>001445</v>
      </c>
      <c r="B1427" t="s">
        <v>465</v>
      </c>
      <c r="C1427">
        <v>70587</v>
      </c>
      <c r="D1427" s="2">
        <v>91.5</v>
      </c>
      <c r="E1427" s="1">
        <v>42877</v>
      </c>
      <c r="F1427" t="str">
        <f>"2003012"</f>
        <v>2003012</v>
      </c>
      <c r="G1427" t="str">
        <f>"REMOTE BIRTH ACCESS APRIL'17"</f>
        <v>REMOTE BIRTH ACCESS APRIL'17</v>
      </c>
      <c r="H1427" s="2">
        <v>91.5</v>
      </c>
      <c r="I1427" t="str">
        <f>"REMOTE BIRTH ACCESS APRIL'17"</f>
        <v>REMOTE BIRTH ACCESS APRIL'17</v>
      </c>
    </row>
    <row r="1428" spans="1:9" x14ac:dyDescent="0.3">
      <c r="A1428" t="str">
        <f>"VMC"</f>
        <v>VMC</v>
      </c>
      <c r="B1428" t="s">
        <v>466</v>
      </c>
      <c r="C1428">
        <v>70287</v>
      </c>
      <c r="D1428" s="2">
        <v>3310.46</v>
      </c>
      <c r="E1428" s="1">
        <v>42863</v>
      </c>
      <c r="F1428" t="str">
        <f>"61550187"</f>
        <v>61550187</v>
      </c>
      <c r="G1428" t="str">
        <f>"CUST#90285-209209/PCT#3"</f>
        <v>CUST#90285-209209/PCT#3</v>
      </c>
      <c r="H1428" s="2">
        <v>3310.46</v>
      </c>
      <c r="I1428" t="str">
        <f>"CUST#90285-209209/PCT#3"</f>
        <v>CUST#90285-209209/PCT#3</v>
      </c>
    </row>
    <row r="1429" spans="1:9" x14ac:dyDescent="0.3">
      <c r="A1429" t="str">
        <f>"VI"</f>
        <v>VI</v>
      </c>
      <c r="B1429" t="s">
        <v>467</v>
      </c>
      <c r="C1429">
        <v>70288</v>
      </c>
      <c r="D1429" s="2">
        <v>1602</v>
      </c>
      <c r="E1429" s="1">
        <v>42863</v>
      </c>
      <c r="F1429" t="str">
        <f>"201705021607"</f>
        <v>201705021607</v>
      </c>
      <c r="G1429" t="str">
        <f>"RE: 16BCP04A"</f>
        <v>RE: 16BCP04A</v>
      </c>
      <c r="H1429" s="2">
        <v>1602</v>
      </c>
      <c r="I1429" t="str">
        <f>"See Description Belo"</f>
        <v>See Description Belo</v>
      </c>
    </row>
    <row r="1430" spans="1:9" x14ac:dyDescent="0.3">
      <c r="A1430" t="str">
        <f>"004767"</f>
        <v>004767</v>
      </c>
      <c r="B1430" t="s">
        <v>468</v>
      </c>
      <c r="C1430">
        <v>70289</v>
      </c>
      <c r="D1430" s="2">
        <v>121.75</v>
      </c>
      <c r="E1430" s="1">
        <v>42863</v>
      </c>
      <c r="F1430" t="str">
        <f>"0317-DR149236"</f>
        <v>0317-DR149236</v>
      </c>
      <c r="G1430" t="str">
        <f>"CLIENT#CXD-14926"</f>
        <v>CLIENT#CXD-14926</v>
      </c>
      <c r="H1430" s="2">
        <v>121.75</v>
      </c>
      <c r="I1430" t="str">
        <f>"CLIENT#CXD-14926"</f>
        <v>CLIENT#CXD-14926</v>
      </c>
    </row>
    <row r="1431" spans="1:9" x14ac:dyDescent="0.3">
      <c r="A1431" t="str">
        <f>"004767"</f>
        <v>004767</v>
      </c>
      <c r="B1431" t="s">
        <v>468</v>
      </c>
      <c r="C1431">
        <v>70588</v>
      </c>
      <c r="D1431" s="2">
        <v>99.7</v>
      </c>
      <c r="E1431" s="1">
        <v>42877</v>
      </c>
      <c r="F1431" t="str">
        <f>"201705172257"</f>
        <v>201705172257</v>
      </c>
      <c r="G1431" t="str">
        <f>"INV 0417DR14926"</f>
        <v>INV 0417DR14926</v>
      </c>
      <c r="H1431" s="2">
        <v>99.7</v>
      </c>
      <c r="I1431" t="str">
        <f>"INV 0417DR14926"</f>
        <v>INV 0417DR14926</v>
      </c>
    </row>
    <row r="1432" spans="1:9" x14ac:dyDescent="0.3">
      <c r="A1432" t="str">
        <f>"003629"</f>
        <v>003629</v>
      </c>
      <c r="B1432" t="s">
        <v>469</v>
      </c>
      <c r="C1432">
        <v>0</v>
      </c>
      <c r="D1432" s="2">
        <v>10467.06</v>
      </c>
      <c r="E1432" s="1">
        <v>42877</v>
      </c>
      <c r="F1432" t="str">
        <f>"12279"</f>
        <v>12279</v>
      </c>
      <c r="G1432" t="str">
        <f>"ASPPM GRADE IV PERF COLD MIX"</f>
        <v>ASPPM GRADE IV PERF COLD MIX</v>
      </c>
      <c r="H1432" s="2">
        <v>2556.35</v>
      </c>
      <c r="I1432" t="str">
        <f>"ASPPM GRADE IV PERF COLD MIX"</f>
        <v>ASPPM GRADE IV PERF COLD MIX</v>
      </c>
    </row>
    <row r="1433" spans="1:9" x14ac:dyDescent="0.3">
      <c r="A1433" t="str">
        <f>""</f>
        <v/>
      </c>
      <c r="F1433" t="str">
        <f>"12310"</f>
        <v>12310</v>
      </c>
      <c r="G1433" t="str">
        <f>"COLD MIX PCT#1"</f>
        <v>COLD MIX PCT#1</v>
      </c>
      <c r="H1433" s="2">
        <v>2608.3200000000002</v>
      </c>
      <c r="I1433" t="str">
        <f>"COLD MIX PCT#1"</f>
        <v>COLD MIX PCT#1</v>
      </c>
    </row>
    <row r="1434" spans="1:9" x14ac:dyDescent="0.3">
      <c r="A1434" t="str">
        <f>""</f>
        <v/>
      </c>
      <c r="F1434" t="str">
        <f>"201705121974"</f>
        <v>201705121974</v>
      </c>
      <c r="G1434" t="str">
        <f>"INV 12231 PCT 1"</f>
        <v>INV 12231 PCT 1</v>
      </c>
      <c r="H1434" s="2">
        <v>2604.14</v>
      </c>
      <c r="I1434" t="str">
        <f>"INV 12231 PCT 1"</f>
        <v>INV 12231 PCT 1</v>
      </c>
    </row>
    <row r="1435" spans="1:9" x14ac:dyDescent="0.3">
      <c r="A1435" t="str">
        <f>""</f>
        <v/>
      </c>
      <c r="F1435" t="str">
        <f>"201705162074"</f>
        <v>201705162074</v>
      </c>
      <c r="G1435" t="str">
        <f>"INV 12311 PCT 3"</f>
        <v>INV 12311 PCT 3</v>
      </c>
      <c r="H1435" s="2">
        <v>2698.25</v>
      </c>
      <c r="I1435" t="str">
        <f>"INV 12311 PCT 3"</f>
        <v>INV 12311 PCT 3</v>
      </c>
    </row>
    <row r="1436" spans="1:9" x14ac:dyDescent="0.3">
      <c r="A1436" t="str">
        <f>"003629"</f>
        <v>003629</v>
      </c>
      <c r="B1436" t="s">
        <v>469</v>
      </c>
      <c r="C1436">
        <v>70607</v>
      </c>
      <c r="D1436" s="2">
        <v>908.3</v>
      </c>
      <c r="E1436" s="1">
        <v>42857</v>
      </c>
      <c r="F1436" t="str">
        <f>"201705232301"</f>
        <v>201705232301</v>
      </c>
      <c r="G1436" t="str">
        <f>"ITEM #3196268"</f>
        <v>ITEM #3196268</v>
      </c>
      <c r="H1436" s="2">
        <v>908.3</v>
      </c>
    </row>
    <row r="1437" spans="1:9" x14ac:dyDescent="0.3">
      <c r="A1437" t="str">
        <f>"003629"</f>
        <v>003629</v>
      </c>
      <c r="B1437" t="s">
        <v>469</v>
      </c>
      <c r="C1437">
        <v>70607</v>
      </c>
      <c r="D1437" s="2">
        <v>908.3</v>
      </c>
      <c r="E1437" s="1">
        <v>42857</v>
      </c>
      <c r="F1437" t="str">
        <f>"CHECK"</f>
        <v>CHECK</v>
      </c>
      <c r="G1437" t="str">
        <f>""</f>
        <v/>
      </c>
      <c r="H1437" s="2">
        <v>908.3</v>
      </c>
    </row>
    <row r="1438" spans="1:9" x14ac:dyDescent="0.3">
      <c r="A1438" t="str">
        <f>"WALMAR"</f>
        <v>WALMAR</v>
      </c>
      <c r="B1438" t="s">
        <v>470</v>
      </c>
      <c r="C1438">
        <v>70290</v>
      </c>
      <c r="D1438" s="2">
        <v>619.32000000000005</v>
      </c>
      <c r="E1438" s="1">
        <v>42863</v>
      </c>
      <c r="F1438" t="str">
        <f>"201705031773"</f>
        <v>201705031773</v>
      </c>
      <c r="G1438" t="str">
        <f>"WALMART COMMUNITY BRC"</f>
        <v>WALMART COMMUNITY BRC</v>
      </c>
      <c r="H1438" s="2">
        <v>619.32000000000005</v>
      </c>
      <c r="I1438" t="str">
        <f>"Inv# 006695"</f>
        <v>Inv# 006695</v>
      </c>
    </row>
    <row r="1439" spans="1:9" x14ac:dyDescent="0.3">
      <c r="A1439" t="str">
        <f>""</f>
        <v/>
      </c>
      <c r="F1439" t="str">
        <f>""</f>
        <v/>
      </c>
      <c r="G1439" t="str">
        <f>""</f>
        <v/>
      </c>
      <c r="I1439" t="str">
        <f>"Inv# 006712"</f>
        <v>Inv# 006712</v>
      </c>
    </row>
    <row r="1440" spans="1:9" x14ac:dyDescent="0.3">
      <c r="A1440" t="str">
        <f>""</f>
        <v/>
      </c>
      <c r="F1440" t="str">
        <f>""</f>
        <v/>
      </c>
      <c r="G1440" t="str">
        <f>""</f>
        <v/>
      </c>
      <c r="I1440" t="str">
        <f>"Inv# 004626"</f>
        <v>Inv# 004626</v>
      </c>
    </row>
    <row r="1441" spans="1:9" x14ac:dyDescent="0.3">
      <c r="A1441" t="str">
        <f>""</f>
        <v/>
      </c>
      <c r="F1441" t="str">
        <f>""</f>
        <v/>
      </c>
      <c r="G1441" t="str">
        <f>""</f>
        <v/>
      </c>
      <c r="I1441" t="str">
        <f>"Inv# 004048"</f>
        <v>Inv# 004048</v>
      </c>
    </row>
    <row r="1442" spans="1:9" x14ac:dyDescent="0.3">
      <c r="A1442" t="str">
        <f>""</f>
        <v/>
      </c>
      <c r="F1442" t="str">
        <f>""</f>
        <v/>
      </c>
      <c r="G1442" t="str">
        <f>""</f>
        <v/>
      </c>
      <c r="I1442" t="str">
        <f>"Inv# 004061"</f>
        <v>Inv# 004061</v>
      </c>
    </row>
    <row r="1443" spans="1:9" x14ac:dyDescent="0.3">
      <c r="A1443" t="str">
        <f>""</f>
        <v/>
      </c>
      <c r="F1443" t="str">
        <f>""</f>
        <v/>
      </c>
      <c r="G1443" t="str">
        <f>""</f>
        <v/>
      </c>
      <c r="I1443" t="str">
        <f>"Inv# 006196"</f>
        <v>Inv# 006196</v>
      </c>
    </row>
    <row r="1444" spans="1:9" x14ac:dyDescent="0.3">
      <c r="A1444" t="str">
        <f>""</f>
        <v/>
      </c>
      <c r="F1444" t="str">
        <f>""</f>
        <v/>
      </c>
      <c r="G1444" t="str">
        <f>""</f>
        <v/>
      </c>
      <c r="I1444" t="str">
        <f>"Inv# 006196"</f>
        <v>Inv# 006196</v>
      </c>
    </row>
    <row r="1445" spans="1:9" x14ac:dyDescent="0.3">
      <c r="A1445" t="str">
        <f>""</f>
        <v/>
      </c>
      <c r="F1445" t="str">
        <f>""</f>
        <v/>
      </c>
      <c r="G1445" t="str">
        <f>""</f>
        <v/>
      </c>
      <c r="I1445" t="str">
        <f>"Inv# 006196"</f>
        <v>Inv# 006196</v>
      </c>
    </row>
    <row r="1446" spans="1:9" x14ac:dyDescent="0.3">
      <c r="A1446" t="str">
        <f>""</f>
        <v/>
      </c>
      <c r="F1446" t="str">
        <f>""</f>
        <v/>
      </c>
      <c r="G1446" t="str">
        <f>""</f>
        <v/>
      </c>
      <c r="I1446" t="str">
        <f>"Inv# 006196"</f>
        <v>Inv# 006196</v>
      </c>
    </row>
    <row r="1447" spans="1:9" x14ac:dyDescent="0.3">
      <c r="A1447" t="str">
        <f>""</f>
        <v/>
      </c>
      <c r="F1447" t="str">
        <f>""</f>
        <v/>
      </c>
      <c r="G1447" t="str">
        <f>""</f>
        <v/>
      </c>
      <c r="I1447" t="str">
        <f>"Inv# 006196"</f>
        <v>Inv# 006196</v>
      </c>
    </row>
    <row r="1448" spans="1:9" x14ac:dyDescent="0.3">
      <c r="A1448" t="str">
        <f>""</f>
        <v/>
      </c>
      <c r="F1448" t="str">
        <f>""</f>
        <v/>
      </c>
      <c r="G1448" t="str">
        <f>""</f>
        <v/>
      </c>
      <c r="I1448" t="str">
        <f>"Inv# 002122"</f>
        <v>Inv# 002122</v>
      </c>
    </row>
    <row r="1449" spans="1:9" x14ac:dyDescent="0.3">
      <c r="A1449" t="str">
        <f>""</f>
        <v/>
      </c>
      <c r="F1449" t="str">
        <f>""</f>
        <v/>
      </c>
      <c r="G1449" t="str">
        <f>""</f>
        <v/>
      </c>
      <c r="I1449" t="str">
        <f>"Inv# 003808"</f>
        <v>Inv# 003808</v>
      </c>
    </row>
    <row r="1450" spans="1:9" x14ac:dyDescent="0.3">
      <c r="A1450" t="str">
        <f>""</f>
        <v/>
      </c>
      <c r="F1450" t="str">
        <f>""</f>
        <v/>
      </c>
      <c r="G1450" t="str">
        <f>""</f>
        <v/>
      </c>
      <c r="I1450" t="str">
        <f>"Inv# 006467"</f>
        <v>Inv# 006467</v>
      </c>
    </row>
    <row r="1451" spans="1:9" x14ac:dyDescent="0.3">
      <c r="A1451" t="str">
        <f>""</f>
        <v/>
      </c>
      <c r="F1451" t="str">
        <f>""</f>
        <v/>
      </c>
      <c r="G1451" t="str">
        <f>""</f>
        <v/>
      </c>
      <c r="I1451" t="str">
        <f>"Inv# 003196"</f>
        <v>Inv# 003196</v>
      </c>
    </row>
    <row r="1452" spans="1:9" x14ac:dyDescent="0.3">
      <c r="A1452" t="str">
        <f>""</f>
        <v/>
      </c>
      <c r="F1452" t="str">
        <f>""</f>
        <v/>
      </c>
      <c r="G1452" t="str">
        <f>""</f>
        <v/>
      </c>
      <c r="I1452" t="str">
        <f>"Inv# 005045"</f>
        <v>Inv# 005045</v>
      </c>
    </row>
    <row r="1453" spans="1:9" x14ac:dyDescent="0.3">
      <c r="A1453" t="str">
        <f>""</f>
        <v/>
      </c>
      <c r="F1453" t="str">
        <f>""</f>
        <v/>
      </c>
      <c r="G1453" t="str">
        <f>""</f>
        <v/>
      </c>
      <c r="I1453" t="str">
        <f>"Inv# 000454"</f>
        <v>Inv# 000454</v>
      </c>
    </row>
    <row r="1454" spans="1:9" x14ac:dyDescent="0.3">
      <c r="A1454" t="str">
        <f>"004310"</f>
        <v>004310</v>
      </c>
      <c r="B1454" t="s">
        <v>471</v>
      </c>
      <c r="C1454">
        <v>70325</v>
      </c>
      <c r="D1454" s="2">
        <v>242.83</v>
      </c>
      <c r="E1454" s="1">
        <v>42870</v>
      </c>
      <c r="F1454" t="str">
        <f>"0034199-2162-6"</f>
        <v>0034199-2162-6</v>
      </c>
      <c r="G1454" t="str">
        <f>"ACCT #16-27603-83003"</f>
        <v>ACCT #16-27603-83003</v>
      </c>
      <c r="H1454" s="2">
        <v>242.83</v>
      </c>
      <c r="I1454" t="str">
        <f>"ACCT #16-27603-83003"</f>
        <v>ACCT #16-27603-83003</v>
      </c>
    </row>
    <row r="1455" spans="1:9" x14ac:dyDescent="0.3">
      <c r="A1455" t="str">
        <f>"T5726"</f>
        <v>T5726</v>
      </c>
      <c r="B1455" t="s">
        <v>472</v>
      </c>
      <c r="C1455">
        <v>70291</v>
      </c>
      <c r="D1455" s="2">
        <v>156</v>
      </c>
      <c r="E1455" s="1">
        <v>42863</v>
      </c>
      <c r="F1455" t="str">
        <f>"201705021616"</f>
        <v>201705021616</v>
      </c>
      <c r="G1455" t="str">
        <f>"INV1022360 RTU-2"</f>
        <v>INV1022360 RTU-2</v>
      </c>
      <c r="H1455" s="2">
        <v>156</v>
      </c>
      <c r="I1455" t="str">
        <f>"INV1022360 RTU-2"</f>
        <v>INV1022360 RTU-2</v>
      </c>
    </row>
    <row r="1456" spans="1:9" x14ac:dyDescent="0.3">
      <c r="A1456" t="str">
        <f>"004877"</f>
        <v>004877</v>
      </c>
      <c r="B1456" t="s">
        <v>473</v>
      </c>
      <c r="C1456">
        <v>70292</v>
      </c>
      <c r="D1456" s="2">
        <v>10940</v>
      </c>
      <c r="E1456" s="1">
        <v>42863</v>
      </c>
      <c r="F1456" t="str">
        <f>"1701694989"</f>
        <v>1701694989</v>
      </c>
      <c r="G1456" t="str">
        <f>"ACCT#5150-005129483/DEV.SERVIC"</f>
        <v>ACCT#5150-005129483/DEV.SERVIC</v>
      </c>
      <c r="H1456" s="2">
        <v>6980</v>
      </c>
      <c r="I1456" t="str">
        <f>"ACCT#5150-005129483/DEV.SERVIC"</f>
        <v>ACCT#5150-005129483/DEV.SERVIC</v>
      </c>
    </row>
    <row r="1457" spans="1:9" x14ac:dyDescent="0.3">
      <c r="A1457" t="str">
        <f>""</f>
        <v/>
      </c>
      <c r="F1457" t="str">
        <f>"1701706244"</f>
        <v>1701706244</v>
      </c>
      <c r="G1457" t="str">
        <f>"ACCT#515-0056129483/DEVEL.SERV"</f>
        <v>ACCT#515-0056129483/DEVEL.SERV</v>
      </c>
      <c r="H1457" s="2">
        <v>3960</v>
      </c>
      <c r="I1457" t="str">
        <f>"ACCT#515-0056129483/DEVEL.SERV"</f>
        <v>ACCT#515-0056129483/DEVEL.SERV</v>
      </c>
    </row>
    <row r="1458" spans="1:9" x14ac:dyDescent="0.3">
      <c r="A1458" t="str">
        <f>"004877"</f>
        <v>004877</v>
      </c>
      <c r="B1458" t="s">
        <v>473</v>
      </c>
      <c r="C1458">
        <v>70326</v>
      </c>
      <c r="D1458" s="2">
        <v>5349.69</v>
      </c>
      <c r="E1458" s="1">
        <v>42870</v>
      </c>
      <c r="F1458" t="str">
        <f>"1701709109"</f>
        <v>1701709109</v>
      </c>
      <c r="G1458" t="str">
        <f>"ACCT #005129483-0001"</f>
        <v>ACCT #005129483-0001</v>
      </c>
      <c r="H1458" s="2">
        <v>4455</v>
      </c>
      <c r="I1458" t="str">
        <f>"ACCT #005129483-0001"</f>
        <v>ACCT #005129483-0001</v>
      </c>
    </row>
    <row r="1459" spans="1:9" x14ac:dyDescent="0.3">
      <c r="A1459" t="str">
        <f>""</f>
        <v/>
      </c>
      <c r="F1459" t="str">
        <f>"1701710194"</f>
        <v>1701710194</v>
      </c>
      <c r="G1459" t="str">
        <f>"ACCT #005117766-0001"</f>
        <v>ACCT #005117766-0001</v>
      </c>
      <c r="H1459" s="2">
        <v>105.64</v>
      </c>
      <c r="I1459" t="str">
        <f>"ACCT #005117766-0001"</f>
        <v>ACCT #005117766-0001</v>
      </c>
    </row>
    <row r="1460" spans="1:9" x14ac:dyDescent="0.3">
      <c r="A1460" t="str">
        <f>""</f>
        <v/>
      </c>
      <c r="F1460" t="str">
        <f>"1701710195"</f>
        <v>1701710195</v>
      </c>
      <c r="G1460" t="str">
        <f>"ACCT #005117838-0001"</f>
        <v>ACCT #005117838-0001</v>
      </c>
      <c r="H1460" s="2">
        <v>96.85</v>
      </c>
      <c r="I1460" t="str">
        <f>"ACCT #005117838-0001"</f>
        <v>ACCT #005117838-0001</v>
      </c>
    </row>
    <row r="1461" spans="1:9" x14ac:dyDescent="0.3">
      <c r="A1461" t="str">
        <f>""</f>
        <v/>
      </c>
      <c r="F1461" t="str">
        <f>"1701710197"</f>
        <v>1701710197</v>
      </c>
      <c r="G1461" t="str">
        <f>"ACCT #005117882-0001"</f>
        <v>ACCT #005117882-0001</v>
      </c>
      <c r="H1461" s="2">
        <v>130.78</v>
      </c>
      <c r="I1461" t="str">
        <f>"ACCT #005117882-0001"</f>
        <v>ACCT #005117882-0001</v>
      </c>
    </row>
    <row r="1462" spans="1:9" x14ac:dyDescent="0.3">
      <c r="A1462" t="str">
        <f>""</f>
        <v/>
      </c>
      <c r="F1462" t="str">
        <f>"1701710199"</f>
        <v>1701710199</v>
      </c>
      <c r="G1462" t="str">
        <f>"ACCT #005118183-0001"</f>
        <v>ACCT #005118183-0001</v>
      </c>
      <c r="H1462" s="2">
        <v>561.41999999999996</v>
      </c>
      <c r="I1462" t="str">
        <f>"ACCT #005118183-0001"</f>
        <v>ACCT #005118183-0001</v>
      </c>
    </row>
    <row r="1463" spans="1:9" x14ac:dyDescent="0.3">
      <c r="A1463" t="str">
        <f>"004874"</f>
        <v>004874</v>
      </c>
      <c r="B1463" t="s">
        <v>474</v>
      </c>
      <c r="C1463">
        <v>70293</v>
      </c>
      <c r="D1463" s="2">
        <v>54</v>
      </c>
      <c r="E1463" s="1">
        <v>42863</v>
      </c>
      <c r="F1463" t="str">
        <f>"1794"</f>
        <v>1794</v>
      </c>
      <c r="G1463" t="str">
        <f>"POLO SHIRTS/PCT#1"</f>
        <v>POLO SHIRTS/PCT#1</v>
      </c>
      <c r="H1463" s="2">
        <v>54</v>
      </c>
      <c r="I1463" t="str">
        <f>"POLO SHIRTS/PCT#1"</f>
        <v>POLO SHIRTS/PCT#1</v>
      </c>
    </row>
    <row r="1464" spans="1:9" x14ac:dyDescent="0.3">
      <c r="A1464" t="str">
        <f>"003479"</f>
        <v>003479</v>
      </c>
      <c r="B1464" t="s">
        <v>475</v>
      </c>
      <c r="C1464">
        <v>70294</v>
      </c>
      <c r="D1464" s="2">
        <v>567.26</v>
      </c>
      <c r="E1464" s="1">
        <v>42863</v>
      </c>
      <c r="F1464" t="str">
        <f>"214170/215317"</f>
        <v>214170/215317</v>
      </c>
      <c r="G1464" t="str">
        <f>"ACCT#9628/PCT#1"</f>
        <v>ACCT#9628/PCT#1</v>
      </c>
      <c r="H1464" s="2">
        <v>567.26</v>
      </c>
      <c r="I1464" t="str">
        <f>"ACCT#9628/PCT#1"</f>
        <v>ACCT#9628/PCT#1</v>
      </c>
    </row>
    <row r="1465" spans="1:9" x14ac:dyDescent="0.3">
      <c r="A1465" t="str">
        <f>"LIN"</f>
        <v>LIN</v>
      </c>
      <c r="B1465" t="s">
        <v>476</v>
      </c>
      <c r="C1465">
        <v>0</v>
      </c>
      <c r="D1465" s="2">
        <v>12500</v>
      </c>
      <c r="E1465" s="1">
        <v>42877</v>
      </c>
      <c r="F1465" t="str">
        <f>"201705121946"</f>
        <v>201705121946</v>
      </c>
      <c r="G1465" t="str">
        <f>"MEDICAL CONTRACT"</f>
        <v>MEDICAL CONTRACT</v>
      </c>
      <c r="H1465" s="2">
        <v>12500</v>
      </c>
      <c r="I1465" t="str">
        <f>"MEDICAL CONTRACT"</f>
        <v>MEDICAL CONTRACT</v>
      </c>
    </row>
    <row r="1466" spans="1:9" x14ac:dyDescent="0.3">
      <c r="A1466" t="str">
        <f>"WPC"</f>
        <v>WPC</v>
      </c>
      <c r="B1466" t="s">
        <v>477</v>
      </c>
      <c r="C1466">
        <v>70589</v>
      </c>
      <c r="D1466" s="2">
        <v>3831.92</v>
      </c>
      <c r="E1466" s="1">
        <v>42877</v>
      </c>
      <c r="F1466" t="str">
        <f>"836026987"</f>
        <v>836026987</v>
      </c>
      <c r="G1466" t="str">
        <f>"ACCT#1000648597"</f>
        <v>ACCT#1000648597</v>
      </c>
      <c r="H1466" s="2">
        <v>396</v>
      </c>
      <c r="I1466" t="str">
        <f>"ACCT#1000648597"</f>
        <v>ACCT#1000648597</v>
      </c>
    </row>
    <row r="1467" spans="1:9" x14ac:dyDescent="0.3">
      <c r="A1467" t="str">
        <f>""</f>
        <v/>
      </c>
      <c r="F1467" t="str">
        <f>"836141305"</f>
        <v>836141305</v>
      </c>
      <c r="G1467" t="str">
        <f>"ACCT # 1000648597"</f>
        <v>ACCT # 1000648597</v>
      </c>
      <c r="H1467" s="2">
        <v>3435.92</v>
      </c>
      <c r="I1467" t="str">
        <f>"ACCT # 1000648597"</f>
        <v>ACCT # 1000648597</v>
      </c>
    </row>
    <row r="1468" spans="1:9" x14ac:dyDescent="0.3">
      <c r="A1468" t="str">
        <f>"004074"</f>
        <v>004074</v>
      </c>
      <c r="B1468" t="s">
        <v>478</v>
      </c>
      <c r="C1468">
        <v>70590</v>
      </c>
      <c r="D1468" s="2">
        <v>8383.25</v>
      </c>
      <c r="E1468" s="1">
        <v>42877</v>
      </c>
      <c r="F1468" t="str">
        <f>"201705121970"</f>
        <v>201705121970</v>
      </c>
      <c r="G1468" t="str">
        <f>"APRIL STATEMENT PHARMACY"</f>
        <v>APRIL STATEMENT PHARMACY</v>
      </c>
      <c r="H1468" s="2">
        <v>8383.25</v>
      </c>
      <c r="I1468" t="str">
        <f>"APRIL STATEMENT PHARMACY"</f>
        <v>APRIL STATEMENT PHARMACY</v>
      </c>
    </row>
    <row r="1469" spans="1:9" x14ac:dyDescent="0.3">
      <c r="A1469" t="str">
        <f>"002552"</f>
        <v>002552</v>
      </c>
      <c r="B1469" t="s">
        <v>479</v>
      </c>
      <c r="C1469">
        <v>70295</v>
      </c>
      <c r="D1469" s="2">
        <v>70</v>
      </c>
      <c r="E1469" s="1">
        <v>42863</v>
      </c>
      <c r="F1469" t="str">
        <f>"12450"</f>
        <v>12450</v>
      </c>
      <c r="G1469" t="str">
        <f>"SERVICE/03-02-17"</f>
        <v>SERVICE/03-02-17</v>
      </c>
      <c r="H1469" s="2">
        <v>70</v>
      </c>
      <c r="I1469" t="str">
        <f>"SERVICE/03-02-17"</f>
        <v>SERVICE/03-02-17</v>
      </c>
    </row>
    <row r="1470" spans="1:9" x14ac:dyDescent="0.3">
      <c r="A1470" t="str">
        <f>"002445"</f>
        <v>002445</v>
      </c>
      <c r="B1470" t="s">
        <v>480</v>
      </c>
      <c r="C1470">
        <v>70296</v>
      </c>
      <c r="D1470" s="2">
        <v>50</v>
      </c>
      <c r="E1470" s="1">
        <v>42863</v>
      </c>
      <c r="F1470" t="str">
        <f>"53849"</f>
        <v>53849</v>
      </c>
      <c r="G1470" t="str">
        <f>"WARRANT SERVICE FEE/J J SNEED"</f>
        <v>WARRANT SERVICE FEE/J J SNEED</v>
      </c>
      <c r="H1470" s="2">
        <v>50</v>
      </c>
      <c r="I1470" t="str">
        <f>"WARRANT SERVICE FEE/J J SNEED"</f>
        <v>WARRANT SERVICE FEE/J J SNEED</v>
      </c>
    </row>
    <row r="1471" spans="1:9" x14ac:dyDescent="0.3">
      <c r="A1471" t="str">
        <f>"XEROX"</f>
        <v>XEROX</v>
      </c>
      <c r="B1471" t="s">
        <v>481</v>
      </c>
      <c r="C1471">
        <v>70297</v>
      </c>
      <c r="D1471" s="2">
        <v>170.91</v>
      </c>
      <c r="E1471" s="1">
        <v>42863</v>
      </c>
      <c r="F1471" t="str">
        <f>"089004690"</f>
        <v>089004690</v>
      </c>
      <c r="G1471" t="str">
        <f>"CUST#662445931/TAX OFFICE"</f>
        <v>CUST#662445931/TAX OFFICE</v>
      </c>
      <c r="H1471" s="2">
        <v>106.45</v>
      </c>
      <c r="I1471" t="str">
        <f>"CUST#662445931/TAX OFFICE"</f>
        <v>CUST#662445931/TAX OFFICE</v>
      </c>
    </row>
    <row r="1472" spans="1:9" x14ac:dyDescent="0.3">
      <c r="A1472" t="str">
        <f>""</f>
        <v/>
      </c>
      <c r="F1472" t="str">
        <f>"089004691"</f>
        <v>089004691</v>
      </c>
      <c r="G1472" t="str">
        <f>"CUST#662445931/TAX OFFICE"</f>
        <v>CUST#662445931/TAX OFFICE</v>
      </c>
      <c r="H1472" s="2">
        <v>32.229999999999997</v>
      </c>
      <c r="I1472" t="str">
        <f>"CUST#662445931/TAX OFFICE"</f>
        <v>CUST#662445931/TAX OFFICE</v>
      </c>
    </row>
    <row r="1473" spans="1:9" x14ac:dyDescent="0.3">
      <c r="A1473" t="str">
        <f>""</f>
        <v/>
      </c>
      <c r="F1473" t="str">
        <f>"089004703"</f>
        <v>089004703</v>
      </c>
      <c r="G1473" t="str">
        <f>"CUST#723230843/TAX OFFICE"</f>
        <v>CUST#723230843/TAX OFFICE</v>
      </c>
      <c r="H1473" s="2">
        <v>32.229999999999997</v>
      </c>
      <c r="I1473" t="str">
        <f>"CUST#723230843/TAX OFFICE"</f>
        <v>CUST#723230843/TAX OFFICE</v>
      </c>
    </row>
    <row r="1474" spans="1:9" x14ac:dyDescent="0.3">
      <c r="A1474" t="str">
        <f>"004537"</f>
        <v>004537</v>
      </c>
      <c r="B1474" t="s">
        <v>482</v>
      </c>
      <c r="C1474">
        <v>70591</v>
      </c>
      <c r="D1474" s="2">
        <v>843</v>
      </c>
      <c r="E1474" s="1">
        <v>42877</v>
      </c>
      <c r="F1474" t="str">
        <f>"407113Y-IN"</f>
        <v>407113Y-IN</v>
      </c>
      <c r="G1474" t="str">
        <f>"INV 407113Y-IN"</f>
        <v>INV 407113Y-IN</v>
      </c>
      <c r="H1474" s="2">
        <v>843</v>
      </c>
      <c r="I1474" t="str">
        <f>"BLK INK"</f>
        <v>BLK INK</v>
      </c>
    </row>
    <row r="1475" spans="1:9" x14ac:dyDescent="0.3">
      <c r="A1475" t="str">
        <f>""</f>
        <v/>
      </c>
      <c r="F1475" t="str">
        <f>""</f>
        <v/>
      </c>
      <c r="G1475" t="str">
        <f>""</f>
        <v/>
      </c>
      <c r="I1475" t="str">
        <f>"BLK"</f>
        <v>BLK</v>
      </c>
    </row>
    <row r="1476" spans="1:9" x14ac:dyDescent="0.3">
      <c r="A1476" t="str">
        <f>""</f>
        <v/>
      </c>
      <c r="F1476" t="str">
        <f>""</f>
        <v/>
      </c>
      <c r="G1476" t="str">
        <f>""</f>
        <v/>
      </c>
      <c r="I1476" t="str">
        <f>"COLORS"</f>
        <v>COLORS</v>
      </c>
    </row>
    <row r="1477" spans="1:9" x14ac:dyDescent="0.3">
      <c r="A1477" t="str">
        <f>"003152"</f>
        <v>003152</v>
      </c>
      <c r="B1477" t="s">
        <v>483</v>
      </c>
      <c r="C1477">
        <v>70330</v>
      </c>
      <c r="D1477" s="2">
        <v>137.16</v>
      </c>
      <c r="E1477" s="1">
        <v>42874</v>
      </c>
      <c r="F1477" t="str">
        <f>"MILEAGE REISSUE"</f>
        <v>MILEAGE REISSUE</v>
      </c>
      <c r="G1477" t="str">
        <f>"MILEAGE REIMBURSEMENT"</f>
        <v>MILEAGE REIMBURSEMENT</v>
      </c>
      <c r="H1477" s="2">
        <v>137.16</v>
      </c>
      <c r="I1477" t="str">
        <f>"MILEAGE REIMBURSEMENT"</f>
        <v>MILEAGE REIMBURSEMENT</v>
      </c>
    </row>
    <row r="1478" spans="1:9" x14ac:dyDescent="0.3">
      <c r="A1478" t="str">
        <f>"003152"</f>
        <v>003152</v>
      </c>
      <c r="B1478" t="s">
        <v>483</v>
      </c>
      <c r="C1478">
        <v>70592</v>
      </c>
      <c r="D1478" s="2">
        <v>112.32</v>
      </c>
      <c r="E1478" s="1">
        <v>42877</v>
      </c>
      <c r="F1478" t="str">
        <f>"201705172232"</f>
        <v>201705172232</v>
      </c>
      <c r="G1478" t="str">
        <f>"MILEAGE FOR TRAINING"</f>
        <v>MILEAGE FOR TRAINING</v>
      </c>
      <c r="H1478" s="2">
        <v>112.32</v>
      </c>
      <c r="I1478" t="str">
        <f>"MILEAGE FOR TRAINING"</f>
        <v>MILEAGE FOR TRAINING</v>
      </c>
    </row>
    <row r="1479" spans="1:9" x14ac:dyDescent="0.3">
      <c r="A1479" t="str">
        <f>"000598"</f>
        <v>000598</v>
      </c>
      <c r="B1479" t="s">
        <v>484</v>
      </c>
      <c r="C1479">
        <v>70298</v>
      </c>
      <c r="D1479" s="2">
        <v>17118.61</v>
      </c>
      <c r="E1479" s="1">
        <v>42863</v>
      </c>
      <c r="F1479" t="str">
        <f>"9725-001-91715"</f>
        <v>9725-001-91715</v>
      </c>
      <c r="G1479" t="str">
        <f>"ACCT#9725-001/BASE/PCT#2"</f>
        <v>ACCT#9725-001/BASE/PCT#2</v>
      </c>
      <c r="H1479" s="2">
        <v>4094.15</v>
      </c>
      <c r="I1479" t="str">
        <f>"ACCT#9725-001/BASE/PCT#2"</f>
        <v>ACCT#9725-001/BASE/PCT#2</v>
      </c>
    </row>
    <row r="1480" spans="1:9" x14ac:dyDescent="0.3">
      <c r="A1480" t="str">
        <f>""</f>
        <v/>
      </c>
      <c r="F1480" t="str">
        <f>"9725-001-91754"</f>
        <v>9725-001-91754</v>
      </c>
      <c r="G1480" t="str">
        <f>"ACCT#9725-001/BASE/PCT#2"</f>
        <v>ACCT#9725-001/BASE/PCT#2</v>
      </c>
      <c r="H1480" s="2">
        <v>2313.9</v>
      </c>
      <c r="I1480" t="str">
        <f>"ACCT#9725-001/BASE/PCT#2"</f>
        <v>ACCT#9725-001/BASE/PCT#2</v>
      </c>
    </row>
    <row r="1481" spans="1:9" x14ac:dyDescent="0.3">
      <c r="A1481" t="str">
        <f>""</f>
        <v/>
      </c>
      <c r="F1481" t="str">
        <f>"9725-001-91789"</f>
        <v>9725-001-91789</v>
      </c>
      <c r="G1481" t="str">
        <f>"ACCT#9725-001/BASE/PCT#2"</f>
        <v>ACCT#9725-001/BASE/PCT#2</v>
      </c>
      <c r="H1481" s="2">
        <v>1214.75</v>
      </c>
      <c r="I1481" t="str">
        <f>"ACCT#9725-001/BASE/PCT#2"</f>
        <v>ACCT#9725-001/BASE/PCT#2</v>
      </c>
    </row>
    <row r="1482" spans="1:9" x14ac:dyDescent="0.3">
      <c r="A1482" t="str">
        <f>""</f>
        <v/>
      </c>
      <c r="F1482" t="str">
        <f>"9725-001-91818"</f>
        <v>9725-001-91818</v>
      </c>
      <c r="G1482" t="str">
        <f>"ACCT#9725-001/BASE/PCT#2"</f>
        <v>ACCT#9725-001/BASE/PCT#2</v>
      </c>
      <c r="H1482" s="2">
        <v>2565.5100000000002</v>
      </c>
      <c r="I1482" t="str">
        <f>"ACCT#9725-001/BASE/PCT#2"</f>
        <v>ACCT#9725-001/BASE/PCT#2</v>
      </c>
    </row>
    <row r="1483" spans="1:9" x14ac:dyDescent="0.3">
      <c r="A1483" t="str">
        <f>""</f>
        <v/>
      </c>
      <c r="F1483" t="str">
        <f>"9725-001-91844"</f>
        <v>9725-001-91844</v>
      </c>
      <c r="G1483" t="str">
        <f>"ACCT#9725-001/BAS/PCT#2"</f>
        <v>ACCT#9725-001/BAS/PCT#2</v>
      </c>
      <c r="H1483" s="2">
        <v>390.41</v>
      </c>
      <c r="I1483" t="str">
        <f>"ACCT#9725-001/BAS/PCT#2"</f>
        <v>ACCT#9725-001/BAS/PCT#2</v>
      </c>
    </row>
    <row r="1484" spans="1:9" x14ac:dyDescent="0.3">
      <c r="A1484" t="str">
        <f>""</f>
        <v/>
      </c>
      <c r="F1484" t="str">
        <f>"9725-001-91877"</f>
        <v>9725-001-91877</v>
      </c>
      <c r="G1484" t="str">
        <f>"ACCT#9725-001/BASE/PCT#2"</f>
        <v>ACCT#9725-001/BASE/PCT#2</v>
      </c>
      <c r="H1484" s="2">
        <v>1233.78</v>
      </c>
      <c r="I1484" t="str">
        <f>"ACCT#9725-001/BASE/PCT#2"</f>
        <v>ACCT#9725-001/BASE/PCT#2</v>
      </c>
    </row>
    <row r="1485" spans="1:9" x14ac:dyDescent="0.3">
      <c r="A1485" t="str">
        <f>""</f>
        <v/>
      </c>
      <c r="F1485" t="str">
        <f>"9725-001-91912"</f>
        <v>9725-001-91912</v>
      </c>
      <c r="G1485" t="str">
        <f>"ACCT#9725-001/BASE/PCT#2"</f>
        <v>ACCT#9725-001/BASE/PCT#2</v>
      </c>
      <c r="H1485" s="2">
        <v>2177.13</v>
      </c>
      <c r="I1485" t="str">
        <f>"ACCT#9725-001/BASE/PCT#2"</f>
        <v>ACCT#9725-001/BASE/PCT#2</v>
      </c>
    </row>
    <row r="1486" spans="1:9" x14ac:dyDescent="0.3">
      <c r="A1486" t="str">
        <f>""</f>
        <v/>
      </c>
      <c r="F1486" t="str">
        <f>"9725-001-91942"</f>
        <v>9725-001-91942</v>
      </c>
      <c r="G1486" t="str">
        <f>"ACCT#9725-001/BASE/PCT#2"</f>
        <v>ACCT#9725-001/BASE/PCT#2</v>
      </c>
      <c r="H1486" s="2">
        <v>197.54</v>
      </c>
      <c r="I1486" t="str">
        <f>"ACCT#9725-001/BASE/PCT#2"</f>
        <v>ACCT#9725-001/BASE/PCT#2</v>
      </c>
    </row>
    <row r="1487" spans="1:9" x14ac:dyDescent="0.3">
      <c r="A1487" t="str">
        <f>""</f>
        <v/>
      </c>
      <c r="F1487" t="str">
        <f>"9725-001-91981"</f>
        <v>9725-001-91981</v>
      </c>
      <c r="G1487" t="str">
        <f>"ACCT#9725-001/BASE/PCT#2"</f>
        <v>ACCT#9725-001/BASE/PCT#2</v>
      </c>
      <c r="H1487" s="2">
        <v>2751.58</v>
      </c>
      <c r="I1487" t="str">
        <f>"ACCT#9725-001/BASE/PCT#2"</f>
        <v>ACCT#9725-001/BASE/PCT#2</v>
      </c>
    </row>
    <row r="1488" spans="1:9" x14ac:dyDescent="0.3">
      <c r="A1488" t="str">
        <f>""</f>
        <v/>
      </c>
      <c r="F1488" t="str">
        <f>"9725-001-92011"</f>
        <v>9725-001-92011</v>
      </c>
      <c r="G1488" t="str">
        <f>"ACCT#9725-001/BASE/PCT#2"</f>
        <v>ACCT#9725-001/BASE/PCT#2</v>
      </c>
      <c r="H1488" s="2">
        <v>179.86</v>
      </c>
      <c r="I1488" t="str">
        <f>"ACCT#9725-001/BASE/PCT#2"</f>
        <v>ACCT#9725-001/BASE/PCT#2</v>
      </c>
    </row>
    <row r="1489" spans="1:9" x14ac:dyDescent="0.3">
      <c r="A1489" t="str">
        <f>"000598"</f>
        <v>000598</v>
      </c>
      <c r="B1489" t="s">
        <v>484</v>
      </c>
      <c r="C1489">
        <v>70593</v>
      </c>
      <c r="D1489" s="2">
        <v>17974.97</v>
      </c>
      <c r="E1489" s="1">
        <v>42877</v>
      </c>
      <c r="F1489" t="str">
        <f>"9125-001-92320"</f>
        <v>9125-001-92320</v>
      </c>
      <c r="G1489" t="str">
        <f>"ACCT#9725-001 PCT#2 BASE"</f>
        <v>ACCT#9725-001 PCT#2 BASE</v>
      </c>
      <c r="H1489" s="2">
        <v>819.75</v>
      </c>
      <c r="I1489" t="str">
        <f>"ACCT#9725-001 PCT#2 BASE"</f>
        <v>ACCT#9725-001 PCT#2 BASE</v>
      </c>
    </row>
    <row r="1490" spans="1:9" x14ac:dyDescent="0.3">
      <c r="A1490" t="str">
        <f>""</f>
        <v/>
      </c>
      <c r="F1490" t="str">
        <f>"9725-001-92049"</f>
        <v>9725-001-92049</v>
      </c>
      <c r="G1490" t="str">
        <f>"PCT#2 RECYCLED BASE"</f>
        <v>PCT#2 RECYCLED BASE</v>
      </c>
      <c r="H1490" s="2">
        <v>2064.36</v>
      </c>
      <c r="I1490" t="str">
        <f>"PCT#2 RECYCLED BASE"</f>
        <v>PCT#2 RECYCLED BASE</v>
      </c>
    </row>
    <row r="1491" spans="1:9" x14ac:dyDescent="0.3">
      <c r="A1491" t="str">
        <f>""</f>
        <v/>
      </c>
      <c r="F1491" t="str">
        <f>"9725-001-92081"</f>
        <v>9725-001-92081</v>
      </c>
      <c r="G1491" t="str">
        <f>"PCT#2 RECYCLED BASE"</f>
        <v>PCT#2 RECYCLED BASE</v>
      </c>
      <c r="H1491" s="2">
        <v>2578.6799999999998</v>
      </c>
      <c r="I1491" t="str">
        <f>"PCT#2 RECYCLED BASE"</f>
        <v>PCT#2 RECYCLED BASE</v>
      </c>
    </row>
    <row r="1492" spans="1:9" x14ac:dyDescent="0.3">
      <c r="A1492" t="str">
        <f>""</f>
        <v/>
      </c>
      <c r="F1492" t="str">
        <f>"9725-001-92113"</f>
        <v>9725-001-92113</v>
      </c>
      <c r="G1492" t="str">
        <f t="shared" ref="G1492:G1498" si="9">"ACCT#9725-001 PCT#2 BASE"</f>
        <v>ACCT#9725-001 PCT#2 BASE</v>
      </c>
      <c r="H1492" s="2">
        <v>2175.9499999999998</v>
      </c>
      <c r="I1492" t="str">
        <f t="shared" ref="I1492:I1498" si="10">"ACCT#9725-001 PCT#2 BASE"</f>
        <v>ACCT#9725-001 PCT#2 BASE</v>
      </c>
    </row>
    <row r="1493" spans="1:9" x14ac:dyDescent="0.3">
      <c r="A1493" t="str">
        <f>""</f>
        <v/>
      </c>
      <c r="F1493" t="str">
        <f>"9725-001-92148"</f>
        <v>9725-001-92148</v>
      </c>
      <c r="G1493" t="str">
        <f t="shared" si="9"/>
        <v>ACCT#9725-001 PCT#2 BASE</v>
      </c>
      <c r="H1493" s="2">
        <v>1582.55</v>
      </c>
      <c r="I1493" t="str">
        <f t="shared" si="10"/>
        <v>ACCT#9725-001 PCT#2 BASE</v>
      </c>
    </row>
    <row r="1494" spans="1:9" x14ac:dyDescent="0.3">
      <c r="A1494" t="str">
        <f>""</f>
        <v/>
      </c>
      <c r="F1494" t="str">
        <f>"9725-001-92176"</f>
        <v>9725-001-92176</v>
      </c>
      <c r="G1494" t="str">
        <f t="shared" si="9"/>
        <v>ACCT#9725-001 PCT#2 BASE</v>
      </c>
      <c r="H1494" s="2">
        <v>178.5</v>
      </c>
      <c r="I1494" t="str">
        <f t="shared" si="10"/>
        <v>ACCT#9725-001 PCT#2 BASE</v>
      </c>
    </row>
    <row r="1495" spans="1:9" x14ac:dyDescent="0.3">
      <c r="A1495" t="str">
        <f>""</f>
        <v/>
      </c>
      <c r="F1495" t="str">
        <f>"9725-001-92204"</f>
        <v>9725-001-92204</v>
      </c>
      <c r="G1495" t="str">
        <f t="shared" si="9"/>
        <v>ACCT#9725-001 PCT#2 BASE</v>
      </c>
      <c r="H1495" s="2">
        <v>2133.6999999999998</v>
      </c>
      <c r="I1495" t="str">
        <f t="shared" si="10"/>
        <v>ACCT#9725-001 PCT#2 BASE</v>
      </c>
    </row>
    <row r="1496" spans="1:9" x14ac:dyDescent="0.3">
      <c r="A1496" t="str">
        <f>""</f>
        <v/>
      </c>
      <c r="F1496" t="str">
        <f>"9725-001-92233"</f>
        <v>9725-001-92233</v>
      </c>
      <c r="G1496" t="str">
        <f t="shared" si="9"/>
        <v>ACCT#9725-001 PCT#2 BASE</v>
      </c>
      <c r="H1496" s="2">
        <v>2160.21</v>
      </c>
      <c r="I1496" t="str">
        <f t="shared" si="10"/>
        <v>ACCT#9725-001 PCT#2 BASE</v>
      </c>
    </row>
    <row r="1497" spans="1:9" x14ac:dyDescent="0.3">
      <c r="A1497" t="str">
        <f>""</f>
        <v/>
      </c>
      <c r="F1497" t="str">
        <f>"9725-001-92266"</f>
        <v>9725-001-92266</v>
      </c>
      <c r="G1497" t="str">
        <f t="shared" si="9"/>
        <v>ACCT#9725-001 PCT#2 BASE</v>
      </c>
      <c r="H1497" s="2">
        <v>2300.7399999999998</v>
      </c>
      <c r="I1497" t="str">
        <f t="shared" si="10"/>
        <v>ACCT#9725-001 PCT#2 BASE</v>
      </c>
    </row>
    <row r="1498" spans="1:9" x14ac:dyDescent="0.3">
      <c r="A1498" t="str">
        <f>""</f>
        <v/>
      </c>
      <c r="F1498" t="str">
        <f>"9725-001-92290"</f>
        <v>9725-001-92290</v>
      </c>
      <c r="G1498" t="str">
        <f t="shared" si="9"/>
        <v>ACCT#9725-001 PCT#2 BASE</v>
      </c>
      <c r="H1498" s="2">
        <v>1980.53</v>
      </c>
      <c r="I1498" t="str">
        <f t="shared" si="10"/>
        <v>ACCT#9725-001 PCT#2 BASE</v>
      </c>
    </row>
    <row r="1499" spans="1:9" x14ac:dyDescent="0.3">
      <c r="A1499" t="str">
        <f>"ALLIED"</f>
        <v>ALLIED</v>
      </c>
      <c r="B1499" t="s">
        <v>26</v>
      </c>
      <c r="C1499">
        <v>70594</v>
      </c>
      <c r="D1499" s="2">
        <v>108.66</v>
      </c>
      <c r="E1499" s="1">
        <v>42877</v>
      </c>
      <c r="F1499" t="str">
        <f>"31404917"</f>
        <v>31404917</v>
      </c>
      <c r="G1499" t="str">
        <f>"CUST # 27615 - OEM"</f>
        <v>CUST # 27615 - OEM</v>
      </c>
      <c r="H1499" s="2">
        <v>108.66</v>
      </c>
      <c r="I1499" t="str">
        <f>"CUST # 27615 - OEM"</f>
        <v>CUST # 27615 - OEM</v>
      </c>
    </row>
    <row r="1500" spans="1:9" x14ac:dyDescent="0.3">
      <c r="A1500" t="str">
        <f>"AQUAB"</f>
        <v>AQUAB</v>
      </c>
      <c r="B1500" t="s">
        <v>35</v>
      </c>
      <c r="C1500">
        <v>70606</v>
      </c>
      <c r="D1500" s="2">
        <v>220.68</v>
      </c>
      <c r="E1500" s="1">
        <v>42878</v>
      </c>
      <c r="F1500" t="str">
        <f>"014877 - 0430 OEM"</f>
        <v>014877 - 0430 OEM</v>
      </c>
      <c r="G1500" t="str">
        <f>"CUSTOMER # 014877 - OEM"</f>
        <v>CUSTOMER # 014877 - OEM</v>
      </c>
      <c r="H1500" s="2">
        <v>220.68</v>
      </c>
      <c r="I1500" t="str">
        <f>"AQUA BEVERAGE COMPANY/OZARKA"</f>
        <v>AQUA BEVERAGE COMPANY/OZARKA</v>
      </c>
    </row>
    <row r="1501" spans="1:9" x14ac:dyDescent="0.3">
      <c r="A1501" t="str">
        <f>"B&amp;B"</f>
        <v>B&amp;B</v>
      </c>
      <c r="B1501" t="s">
        <v>53</v>
      </c>
      <c r="C1501">
        <v>70299</v>
      </c>
      <c r="D1501" s="2">
        <v>470.44</v>
      </c>
      <c r="E1501" s="1">
        <v>42863</v>
      </c>
      <c r="F1501" t="str">
        <f>"509566/513805"</f>
        <v>509566/513805</v>
      </c>
      <c r="G1501" t="str">
        <f>"CUST#1645/OEM"</f>
        <v>CUST#1645/OEM</v>
      </c>
      <c r="H1501" s="2">
        <v>470.44</v>
      </c>
      <c r="I1501" t="str">
        <f>"CUST#1645/OEM"</f>
        <v>CUST#1645/OEM</v>
      </c>
    </row>
    <row r="1502" spans="1:9" x14ac:dyDescent="0.3">
      <c r="A1502" t="str">
        <f>"BCPD"</f>
        <v>BCPD</v>
      </c>
      <c r="B1502" t="s">
        <v>58</v>
      </c>
      <c r="C1502">
        <v>70300</v>
      </c>
      <c r="D1502" s="2">
        <v>52073.29</v>
      </c>
      <c r="E1502" s="1">
        <v>42863</v>
      </c>
      <c r="F1502" t="str">
        <f>"201705041798"</f>
        <v>201705041798</v>
      </c>
      <c r="G1502" t="str">
        <f>"BOOT CAMP EXP. 2ND QTR FY'17"</f>
        <v>BOOT CAMP EXP. 2ND QTR FY'17</v>
      </c>
      <c r="H1502" s="2">
        <v>27984.73</v>
      </c>
      <c r="I1502" t="str">
        <f>"BOOT CAMP EXP. 2ND QTR FY'17"</f>
        <v>BOOT CAMP EXP. 2ND QTR FY'17</v>
      </c>
    </row>
    <row r="1503" spans="1:9" x14ac:dyDescent="0.3">
      <c r="A1503" t="str">
        <f>""</f>
        <v/>
      </c>
      <c r="F1503" t="str">
        <f>"201705041799"</f>
        <v>201705041799</v>
      </c>
      <c r="G1503" t="str">
        <f>"BOOT CAMP EXP.1ST QTR FY'17"</f>
        <v>BOOT CAMP EXP.1ST QTR FY'17</v>
      </c>
      <c r="H1503" s="2">
        <v>24088.560000000001</v>
      </c>
      <c r="I1503" t="str">
        <f>"BOOT CAMP EXP.1ST QTR FY'17"</f>
        <v>BOOT CAMP EXP.1ST QTR FY'17</v>
      </c>
    </row>
    <row r="1504" spans="1:9" x14ac:dyDescent="0.3">
      <c r="A1504" t="str">
        <f>"T3799"</f>
        <v>T3799</v>
      </c>
      <c r="B1504" t="s">
        <v>59</v>
      </c>
      <c r="C1504">
        <v>70301</v>
      </c>
      <c r="D1504" s="2">
        <v>3434.56</v>
      </c>
      <c r="E1504" s="1">
        <v>42863</v>
      </c>
      <c r="F1504" t="str">
        <f>"150"</f>
        <v>150</v>
      </c>
      <c r="G1504" t="str">
        <f>"APRIL 2017 FUEL USE"</f>
        <v>APRIL 2017 FUEL USE</v>
      </c>
      <c r="H1504" s="2">
        <v>3434.56</v>
      </c>
      <c r="I1504" t="str">
        <f>"APRIL 2017 FUEL USE"</f>
        <v>APRIL 2017 FUEL USE</v>
      </c>
    </row>
    <row r="1505" spans="1:9" x14ac:dyDescent="0.3">
      <c r="A1505" t="str">
        <f>"001081"</f>
        <v>001081</v>
      </c>
      <c r="B1505" t="s">
        <v>62</v>
      </c>
      <c r="C1505">
        <v>70302</v>
      </c>
      <c r="D1505" s="2">
        <v>8849</v>
      </c>
      <c r="E1505" s="1">
        <v>42863</v>
      </c>
      <c r="F1505" t="str">
        <f>"FINAL PAYMENT-325"</f>
        <v>FINAL PAYMENT-325</v>
      </c>
      <c r="G1505" t="str">
        <f>"381 AGREE.AD VALOREM TAX 17"</f>
        <v>381 AGREE.AD VALOREM TAX 17</v>
      </c>
      <c r="H1505" s="2">
        <v>8849</v>
      </c>
      <c r="I1505" t="str">
        <f>"381 AGREE.AD VALOREM TAX 17"</f>
        <v>381 AGREE.AD VALOREM TAX 17</v>
      </c>
    </row>
    <row r="1506" spans="1:9" x14ac:dyDescent="0.3">
      <c r="A1506" t="str">
        <f>"001081"</f>
        <v>001081</v>
      </c>
      <c r="B1506" t="s">
        <v>62</v>
      </c>
      <c r="C1506">
        <v>70621</v>
      </c>
      <c r="D1506" s="2">
        <v>7031.73</v>
      </c>
      <c r="E1506" s="1">
        <v>42886</v>
      </c>
      <c r="F1506" t="str">
        <f>"201705312316"</f>
        <v>201705312316</v>
      </c>
      <c r="G1506" t="str">
        <f>"381 AD VALOREM TAX 2017"</f>
        <v>381 AD VALOREM TAX 2017</v>
      </c>
      <c r="H1506" s="2">
        <v>7031.73</v>
      </c>
      <c r="I1506" t="str">
        <f>"381 AD VALOREM TAX 2017"</f>
        <v>381 AD VALOREM TAX 2017</v>
      </c>
    </row>
    <row r="1507" spans="1:9" x14ac:dyDescent="0.3">
      <c r="A1507" t="str">
        <f>"BEC"</f>
        <v>BEC</v>
      </c>
      <c r="B1507" t="s">
        <v>75</v>
      </c>
      <c r="C1507">
        <v>70327</v>
      </c>
      <c r="D1507" s="2">
        <v>85.35</v>
      </c>
      <c r="E1507" s="1">
        <v>42870</v>
      </c>
      <c r="F1507" t="str">
        <f>"201705151984"</f>
        <v>201705151984</v>
      </c>
      <c r="G1507" t="str">
        <f>"ACCT #5000057374"</f>
        <v>ACCT #5000057374</v>
      </c>
      <c r="H1507" s="2">
        <v>85.35</v>
      </c>
      <c r="I1507" t="str">
        <f>"ACCT #5000057374"</f>
        <v>ACCT #5000057374</v>
      </c>
    </row>
    <row r="1508" spans="1:9" x14ac:dyDescent="0.3">
      <c r="A1508" t="str">
        <f>"002469"</f>
        <v>002469</v>
      </c>
      <c r="B1508" t="s">
        <v>485</v>
      </c>
      <c r="C1508">
        <v>70303</v>
      </c>
      <c r="D1508" s="2">
        <v>87.74</v>
      </c>
      <c r="E1508" s="1">
        <v>42863</v>
      </c>
      <c r="F1508" t="str">
        <f>"15901-17 1"</f>
        <v>15901-17 1</v>
      </c>
      <c r="G1508" t="str">
        <f>"B &amp; A PROJ# B15159.01"</f>
        <v>B &amp; A PROJ# B15159.01</v>
      </c>
      <c r="H1508" s="2">
        <v>87.74</v>
      </c>
      <c r="I1508" t="str">
        <f>"B &amp; A PROJ# B15159.01"</f>
        <v>B &amp; A PROJ# B15159.01</v>
      </c>
    </row>
    <row r="1509" spans="1:9" x14ac:dyDescent="0.3">
      <c r="A1509" t="str">
        <f>"002469"</f>
        <v>002469</v>
      </c>
      <c r="B1509" t="s">
        <v>485</v>
      </c>
      <c r="C1509">
        <v>70595</v>
      </c>
      <c r="D1509" s="2">
        <v>13374.44</v>
      </c>
      <c r="E1509" s="1">
        <v>42877</v>
      </c>
      <c r="F1509" t="str">
        <f>"15901-18"</f>
        <v>15901-18</v>
      </c>
      <c r="G1509" t="str">
        <f>"B&amp;A PROJECT#B15159.01 PHASE 2"</f>
        <v>B&amp;A PROJECT#B15159.01 PHASE 2</v>
      </c>
      <c r="H1509" s="2">
        <v>13374.44</v>
      </c>
      <c r="I1509" t="str">
        <f>"B&amp;A PROJECT#B15159.01 PHASE 2"</f>
        <v>B&amp;A PROJECT#B15159.01 PHASE 2</v>
      </c>
    </row>
    <row r="1510" spans="1:9" x14ac:dyDescent="0.3">
      <c r="A1510" t="str">
        <f>"SCO"</f>
        <v>SCO</v>
      </c>
      <c r="B1510" t="s">
        <v>107</v>
      </c>
      <c r="C1510">
        <v>70304</v>
      </c>
      <c r="D1510" s="2">
        <v>4109.2</v>
      </c>
      <c r="E1510" s="1">
        <v>42863</v>
      </c>
      <c r="F1510" t="str">
        <f>"SMITHVILLE 12"</f>
        <v>SMITHVILLE 12</v>
      </c>
      <c r="G1510" t="str">
        <f>"PROJECT# 15 659"</f>
        <v>PROJECT# 15 659</v>
      </c>
      <c r="H1510" s="2">
        <v>4109.2</v>
      </c>
      <c r="I1510" t="str">
        <f>"PROJECT# 15 659"</f>
        <v>PROJECT# 15 659</v>
      </c>
    </row>
    <row r="1511" spans="1:9" x14ac:dyDescent="0.3">
      <c r="A1511" t="str">
        <f>"SCO"</f>
        <v>SCO</v>
      </c>
      <c r="B1511" t="s">
        <v>107</v>
      </c>
      <c r="C1511">
        <v>70596</v>
      </c>
      <c r="D1511" s="2">
        <v>94694.1</v>
      </c>
      <c r="E1511" s="1">
        <v>42877</v>
      </c>
      <c r="F1511" t="str">
        <f>"201705162108"</f>
        <v>201705162108</v>
      </c>
      <c r="G1511" t="str">
        <f>"APPLICATION #7"</f>
        <v>APPLICATION #7</v>
      </c>
      <c r="H1511" s="2">
        <v>94694.1</v>
      </c>
      <c r="I1511" t="str">
        <f>"APPLICATION #7"</f>
        <v>APPLICATION #7</v>
      </c>
    </row>
    <row r="1512" spans="1:9" x14ac:dyDescent="0.3">
      <c r="A1512" t="str">
        <f>"003723"</f>
        <v>003723</v>
      </c>
      <c r="B1512" t="s">
        <v>486</v>
      </c>
      <c r="C1512">
        <v>70622</v>
      </c>
      <c r="D1512" s="2">
        <v>580</v>
      </c>
      <c r="E1512" s="1">
        <v>42886</v>
      </c>
      <c r="F1512" t="str">
        <f>"18832 REISSUE"</f>
        <v>18832 REISSUE</v>
      </c>
      <c r="G1512" t="str">
        <f>"PROJECT #18832-DH ELGIN ANNEX"</f>
        <v>PROJECT #18832-DH ELGIN ANNEX</v>
      </c>
      <c r="H1512" s="2">
        <v>580</v>
      </c>
      <c r="I1512" t="str">
        <f>"PROJECT #18832-DH ELGIN ANNEX"</f>
        <v>PROJECT #18832-DH ELGIN ANNEX</v>
      </c>
    </row>
    <row r="1513" spans="1:9" x14ac:dyDescent="0.3">
      <c r="A1513" t="str">
        <f>"004873"</f>
        <v>004873</v>
      </c>
      <c r="B1513" t="s">
        <v>487</v>
      </c>
      <c r="C1513">
        <v>70597</v>
      </c>
      <c r="D1513" s="2">
        <v>3230</v>
      </c>
      <c r="E1513" s="1">
        <v>42877</v>
      </c>
      <c r="F1513" t="str">
        <f>"201705121927"</f>
        <v>201705121927</v>
      </c>
      <c r="G1513" t="str">
        <f>"Repair Mulching Head"</f>
        <v>Repair Mulching Head</v>
      </c>
      <c r="H1513" s="2">
        <v>3230</v>
      </c>
      <c r="I1513" t="str">
        <f>"Repair Mulching Head"</f>
        <v>Repair Mulching Head</v>
      </c>
    </row>
    <row r="1514" spans="1:9" x14ac:dyDescent="0.3">
      <c r="A1514" t="str">
        <f>"FNB"</f>
        <v>FNB</v>
      </c>
      <c r="B1514" t="s">
        <v>488</v>
      </c>
      <c r="C1514">
        <v>0</v>
      </c>
      <c r="D1514" s="2">
        <v>1536087.5</v>
      </c>
      <c r="E1514" s="1">
        <v>42877</v>
      </c>
      <c r="F1514" t="str">
        <f>"201705151985"</f>
        <v>201705151985</v>
      </c>
      <c r="G1514" t="str">
        <f>"SERIES 2012 REFUNDING"</f>
        <v>SERIES 2012 REFUNDING</v>
      </c>
      <c r="H1514" s="2">
        <v>621225</v>
      </c>
      <c r="I1514" t="str">
        <f>"SERIES 2012 REFUNDING"</f>
        <v>SERIES 2012 REFUNDING</v>
      </c>
    </row>
    <row r="1515" spans="1:9" x14ac:dyDescent="0.3">
      <c r="A1515" t="str">
        <f>""</f>
        <v/>
      </c>
      <c r="F1515" t="str">
        <f>""</f>
        <v/>
      </c>
      <c r="G1515" t="str">
        <f>""</f>
        <v/>
      </c>
      <c r="I1515" t="str">
        <f>"SERIES 2012 REFUNDING"</f>
        <v>SERIES 2012 REFUNDING</v>
      </c>
    </row>
    <row r="1516" spans="1:9" x14ac:dyDescent="0.3">
      <c r="A1516" t="str">
        <f>""</f>
        <v/>
      </c>
      <c r="F1516" t="str">
        <f>"201705151986"</f>
        <v>201705151986</v>
      </c>
      <c r="G1516" t="str">
        <f>"SERIES 2013 REFUNDING"</f>
        <v>SERIES 2013 REFUNDING</v>
      </c>
      <c r="H1516" s="2">
        <v>463162.5</v>
      </c>
      <c r="I1516" t="str">
        <f>"SERIES 2013 REFUNDING"</f>
        <v>SERIES 2013 REFUNDING</v>
      </c>
    </row>
    <row r="1517" spans="1:9" x14ac:dyDescent="0.3">
      <c r="A1517" t="str">
        <f>""</f>
        <v/>
      </c>
      <c r="F1517" t="str">
        <f>""</f>
        <v/>
      </c>
      <c r="G1517" t="str">
        <f>""</f>
        <v/>
      </c>
      <c r="I1517" t="str">
        <f>"SERIES 2013 REFUNDING"</f>
        <v>SERIES 2013 REFUNDING</v>
      </c>
    </row>
    <row r="1518" spans="1:9" x14ac:dyDescent="0.3">
      <c r="A1518" t="str">
        <f>""</f>
        <v/>
      </c>
      <c r="F1518" t="str">
        <f>"201705151987"</f>
        <v>201705151987</v>
      </c>
      <c r="G1518" t="str">
        <f>"SERIES 2009 REFUNDING"</f>
        <v>SERIES 2009 REFUNDING</v>
      </c>
      <c r="H1518" s="2">
        <v>451700</v>
      </c>
      <c r="I1518" t="str">
        <f>"SERIES 2009 REFUNDING"</f>
        <v>SERIES 2009 REFUNDING</v>
      </c>
    </row>
    <row r="1519" spans="1:9" x14ac:dyDescent="0.3">
      <c r="A1519" t="str">
        <f>""</f>
        <v/>
      </c>
      <c r="F1519" t="str">
        <f>""</f>
        <v/>
      </c>
      <c r="G1519" t="str">
        <f>""</f>
        <v/>
      </c>
      <c r="I1519" t="str">
        <f>"SERIES 2009 REFUNDING"</f>
        <v>SERIES 2009 REFUNDING</v>
      </c>
    </row>
    <row r="1520" spans="1:9" x14ac:dyDescent="0.3">
      <c r="A1520" t="str">
        <f>"004691"</f>
        <v>004691</v>
      </c>
      <c r="B1520" t="s">
        <v>158</v>
      </c>
      <c r="C1520">
        <v>70598</v>
      </c>
      <c r="D1520" s="2">
        <v>19</v>
      </c>
      <c r="E1520" s="1">
        <v>42877</v>
      </c>
      <c r="F1520" t="str">
        <f>"NP50391513"</f>
        <v>NP50391513</v>
      </c>
      <c r="G1520" t="str">
        <f>"Stmt# NP50391513"</f>
        <v>Stmt# NP50391513</v>
      </c>
      <c r="H1520" s="2">
        <v>19</v>
      </c>
      <c r="I1520" t="str">
        <f>"ACCT#BG361495 OEM"</f>
        <v>ACCT#BG361495 OEM</v>
      </c>
    </row>
    <row r="1521" spans="1:9" x14ac:dyDescent="0.3">
      <c r="A1521" t="str">
        <f>"WWGI"</f>
        <v>WWGI</v>
      </c>
      <c r="B1521" t="s">
        <v>172</v>
      </c>
      <c r="C1521">
        <v>70599</v>
      </c>
      <c r="D1521" s="2">
        <v>1111.82</v>
      </c>
      <c r="E1521" s="1">
        <v>42877</v>
      </c>
      <c r="F1521" t="str">
        <f>"9422062233"</f>
        <v>9422062233</v>
      </c>
      <c r="G1521" t="str">
        <f>"GRAINGER INC"</f>
        <v>GRAINGER INC</v>
      </c>
      <c r="H1521" s="2">
        <v>745.57</v>
      </c>
      <c r="I1521" t="str">
        <f>"Item# 39N938"</f>
        <v>Item# 39N938</v>
      </c>
    </row>
    <row r="1522" spans="1:9" x14ac:dyDescent="0.3">
      <c r="A1522" t="str">
        <f>""</f>
        <v/>
      </c>
      <c r="F1522" t="str">
        <f>""</f>
        <v/>
      </c>
      <c r="G1522" t="str">
        <f>""</f>
        <v/>
      </c>
      <c r="I1522" t="str">
        <f>"Item# 3UCH9"</f>
        <v>Item# 3UCH9</v>
      </c>
    </row>
    <row r="1523" spans="1:9" x14ac:dyDescent="0.3">
      <c r="A1523" t="str">
        <f>""</f>
        <v/>
      </c>
      <c r="F1523" t="str">
        <f>""</f>
        <v/>
      </c>
      <c r="G1523" t="str">
        <f>""</f>
        <v/>
      </c>
      <c r="I1523" t="str">
        <f>"Item# 2AW82"</f>
        <v>Item# 2AW82</v>
      </c>
    </row>
    <row r="1524" spans="1:9" x14ac:dyDescent="0.3">
      <c r="A1524" t="str">
        <f>""</f>
        <v/>
      </c>
      <c r="F1524" t="str">
        <f>""</f>
        <v/>
      </c>
      <c r="G1524" t="str">
        <f>""</f>
        <v/>
      </c>
      <c r="I1524" t="str">
        <f>"Item# 48WJ99"</f>
        <v>Item# 48WJ99</v>
      </c>
    </row>
    <row r="1525" spans="1:9" x14ac:dyDescent="0.3">
      <c r="A1525" t="str">
        <f>""</f>
        <v/>
      </c>
      <c r="F1525" t="str">
        <f>""</f>
        <v/>
      </c>
      <c r="G1525" t="str">
        <f>""</f>
        <v/>
      </c>
      <c r="I1525" t="str">
        <f>"Item# 1D2E4"</f>
        <v>Item# 1D2E4</v>
      </c>
    </row>
    <row r="1526" spans="1:9" x14ac:dyDescent="0.3">
      <c r="A1526" t="str">
        <f>""</f>
        <v/>
      </c>
      <c r="F1526" t="str">
        <f>""</f>
        <v/>
      </c>
      <c r="G1526" t="str">
        <f>""</f>
        <v/>
      </c>
      <c r="I1526" t="str">
        <f>"Item# 19N745"</f>
        <v>Item# 19N745</v>
      </c>
    </row>
    <row r="1527" spans="1:9" x14ac:dyDescent="0.3">
      <c r="A1527" t="str">
        <f>""</f>
        <v/>
      </c>
      <c r="F1527" t="str">
        <f>""</f>
        <v/>
      </c>
      <c r="G1527" t="str">
        <f>""</f>
        <v/>
      </c>
      <c r="I1527" t="str">
        <f>"Item# 6AJ60"</f>
        <v>Item# 6AJ60</v>
      </c>
    </row>
    <row r="1528" spans="1:9" x14ac:dyDescent="0.3">
      <c r="A1528" t="str">
        <f>""</f>
        <v/>
      </c>
      <c r="F1528" t="str">
        <f>""</f>
        <v/>
      </c>
      <c r="G1528" t="str">
        <f>""</f>
        <v/>
      </c>
      <c r="I1528" t="str">
        <f>"Item# 5AN17"</f>
        <v>Item# 5AN17</v>
      </c>
    </row>
    <row r="1529" spans="1:9" x14ac:dyDescent="0.3">
      <c r="A1529" t="str">
        <f>""</f>
        <v/>
      </c>
      <c r="F1529" t="str">
        <f>"9433072080"</f>
        <v>9433072080</v>
      </c>
      <c r="G1529" t="str">
        <f>"ACCT#886119927 OEM"</f>
        <v>ACCT#886119927 OEM</v>
      </c>
      <c r="H1529" s="2">
        <v>366.25</v>
      </c>
      <c r="I1529" t="str">
        <f>"ACCT#886119927 OEM"</f>
        <v>ACCT#886119927 OEM</v>
      </c>
    </row>
    <row r="1530" spans="1:9" x14ac:dyDescent="0.3">
      <c r="A1530" t="str">
        <f>"003545"</f>
        <v>003545</v>
      </c>
      <c r="B1530" t="s">
        <v>489</v>
      </c>
      <c r="C1530">
        <v>70305</v>
      </c>
      <c r="D1530" s="2">
        <v>348.2</v>
      </c>
      <c r="E1530" s="1">
        <v>42863</v>
      </c>
      <c r="F1530" t="str">
        <f>"99043"</f>
        <v>99043</v>
      </c>
      <c r="G1530" t="str">
        <f>"CYLINDER REPAIRS/OEM"</f>
        <v>CYLINDER REPAIRS/OEM</v>
      </c>
      <c r="H1530" s="2">
        <v>348.2</v>
      </c>
      <c r="I1530" t="str">
        <f>"CYLINDER REPAIRS/OEM"</f>
        <v>CYLINDER REPAIRS/OEM</v>
      </c>
    </row>
    <row r="1531" spans="1:9" x14ac:dyDescent="0.3">
      <c r="A1531" t="str">
        <f>"004534"</f>
        <v>004534</v>
      </c>
      <c r="B1531" t="s">
        <v>490</v>
      </c>
      <c r="C1531">
        <v>70306</v>
      </c>
      <c r="D1531" s="2">
        <v>4080</v>
      </c>
      <c r="E1531" s="1">
        <v>42863</v>
      </c>
      <c r="F1531" t="str">
        <f>"201705041800"</f>
        <v>201705041800</v>
      </c>
      <c r="G1531" t="str">
        <f>"Rhodium Renewal"</f>
        <v>Rhodium Renewal</v>
      </c>
      <c r="H1531" s="2">
        <v>4080</v>
      </c>
      <c r="I1531" t="str">
        <f>"Rhodium Renewal"</f>
        <v>Rhodium Renewal</v>
      </c>
    </row>
    <row r="1532" spans="1:9" x14ac:dyDescent="0.3">
      <c r="A1532" t="str">
        <f>"T13475"</f>
        <v>T13475</v>
      </c>
      <c r="B1532" t="s">
        <v>225</v>
      </c>
      <c r="C1532">
        <v>70320</v>
      </c>
      <c r="D1532" s="2">
        <v>17500</v>
      </c>
      <c r="E1532" s="1">
        <v>42866</v>
      </c>
      <c r="F1532" t="str">
        <f>"3280"</f>
        <v>3280</v>
      </c>
      <c r="G1532" t="str">
        <f>"#7216177-2016 DISASTER RELIEF"</f>
        <v>#7216177-2016 DISASTER RELIEF</v>
      </c>
      <c r="H1532" s="2">
        <v>17500</v>
      </c>
      <c r="I1532" t="str">
        <f>"#7216177-2016 DISASTER RELIEF"</f>
        <v>#7216177-2016 DISASTER RELIEF</v>
      </c>
    </row>
    <row r="1533" spans="1:9" x14ac:dyDescent="0.3">
      <c r="A1533" t="str">
        <f>"T13475"</f>
        <v>T13475</v>
      </c>
      <c r="B1533" t="s">
        <v>225</v>
      </c>
      <c r="C1533">
        <v>70600</v>
      </c>
      <c r="D1533" s="2">
        <v>178.38</v>
      </c>
      <c r="E1533" s="1">
        <v>42877</v>
      </c>
      <c r="F1533" t="str">
        <f>"3295"</f>
        <v>3295</v>
      </c>
      <c r="G1533" t="str">
        <f>"DISASTER RELIEF APPLICATION"</f>
        <v>DISASTER RELIEF APPLICATION</v>
      </c>
      <c r="H1533" s="2">
        <v>178.38</v>
      </c>
      <c r="I1533" t="str">
        <f>"DISASTER RELIEF APPLICATION"</f>
        <v>DISASTER RELIEF APPLICATION</v>
      </c>
    </row>
    <row r="1534" spans="1:9" x14ac:dyDescent="0.3">
      <c r="A1534" t="str">
        <f>"MC COY"</f>
        <v>MC COY</v>
      </c>
      <c r="B1534" t="s">
        <v>248</v>
      </c>
      <c r="C1534">
        <v>70307</v>
      </c>
      <c r="D1534" s="2">
        <v>64.55</v>
      </c>
      <c r="E1534" s="1">
        <v>42863</v>
      </c>
      <c r="F1534" t="str">
        <f>"6-00636603/636793"</f>
        <v>6-00636603/636793</v>
      </c>
      <c r="G1534" t="str">
        <f>"ACCT#900-98011130 001"</f>
        <v>ACCT#900-98011130 001</v>
      </c>
      <c r="H1534" s="2">
        <v>64.55</v>
      </c>
      <c r="I1534" t="str">
        <f>"ACCT#900-98011130 001"</f>
        <v>ACCT#900-98011130 001</v>
      </c>
    </row>
    <row r="1535" spans="1:9" x14ac:dyDescent="0.3">
      <c r="A1535" t="str">
        <f>"002312"</f>
        <v>002312</v>
      </c>
      <c r="B1535" t="s">
        <v>491</v>
      </c>
      <c r="C1535">
        <v>70308</v>
      </c>
      <c r="D1535" s="2">
        <v>8668.9599999999991</v>
      </c>
      <c r="E1535" s="1">
        <v>42863</v>
      </c>
      <c r="F1535" t="str">
        <f>"13815"</f>
        <v>13815</v>
      </c>
      <c r="G1535" t="str">
        <f>"BASE/PCT#2"</f>
        <v>BASE/PCT#2</v>
      </c>
      <c r="H1535" s="2">
        <v>1281.1500000000001</v>
      </c>
      <c r="I1535" t="str">
        <f>"BASE/PCT#2"</f>
        <v>BASE/PCT#2</v>
      </c>
    </row>
    <row r="1536" spans="1:9" x14ac:dyDescent="0.3">
      <c r="A1536" t="str">
        <f>""</f>
        <v/>
      </c>
      <c r="F1536" t="str">
        <f>"13885"</f>
        <v>13885</v>
      </c>
      <c r="G1536" t="str">
        <f>"RECYCLED BASE"</f>
        <v>RECYCLED BASE</v>
      </c>
      <c r="H1536" s="2">
        <v>1555.25</v>
      </c>
      <c r="I1536" t="str">
        <f>"RECYCLED BASE"</f>
        <v>RECYCLED BASE</v>
      </c>
    </row>
    <row r="1537" spans="1:9" x14ac:dyDescent="0.3">
      <c r="A1537" t="str">
        <f>""</f>
        <v/>
      </c>
      <c r="F1537" t="str">
        <f>"13956"</f>
        <v>13956</v>
      </c>
      <c r="G1537" t="str">
        <f>"BASE/PCT#2"</f>
        <v>BASE/PCT#2</v>
      </c>
      <c r="H1537" s="2">
        <v>1406.8</v>
      </c>
      <c r="I1537" t="str">
        <f>"BASE/PCT#2"</f>
        <v>BASE/PCT#2</v>
      </c>
    </row>
    <row r="1538" spans="1:9" x14ac:dyDescent="0.3">
      <c r="A1538" t="str">
        <f>""</f>
        <v/>
      </c>
      <c r="F1538" t="str">
        <f>"14023"</f>
        <v>14023</v>
      </c>
      <c r="G1538" t="str">
        <f>"ROCK/PCT#2"</f>
        <v>ROCK/PCT#2</v>
      </c>
      <c r="H1538" s="2">
        <v>4425.76</v>
      </c>
      <c r="I1538" t="str">
        <f>"ROCK/PCT#2"</f>
        <v>ROCK/PCT#2</v>
      </c>
    </row>
    <row r="1539" spans="1:9" x14ac:dyDescent="0.3">
      <c r="A1539" t="str">
        <f>"002312"</f>
        <v>002312</v>
      </c>
      <c r="B1539" t="s">
        <v>491</v>
      </c>
      <c r="C1539">
        <v>70601</v>
      </c>
      <c r="D1539" s="2">
        <v>1130.0999999999999</v>
      </c>
      <c r="E1539" s="1">
        <v>42877</v>
      </c>
      <c r="F1539" t="str">
        <f>"14033"</f>
        <v>14033</v>
      </c>
      <c r="G1539" t="str">
        <f>"PCT#2 RECYCLED BASE"</f>
        <v>PCT#2 RECYCLED BASE</v>
      </c>
      <c r="H1539" s="2">
        <v>1130.0999999999999</v>
      </c>
      <c r="I1539" t="str">
        <f>"PCT#2 RECYCLED BASE"</f>
        <v>PCT#2 RECYCLED BASE</v>
      </c>
    </row>
    <row r="1540" spans="1:9" x14ac:dyDescent="0.3">
      <c r="A1540" t="str">
        <f>"004401"</f>
        <v>004401</v>
      </c>
      <c r="B1540" t="s">
        <v>492</v>
      </c>
      <c r="C1540">
        <v>70309</v>
      </c>
      <c r="D1540" s="2">
        <v>39163.35</v>
      </c>
      <c r="E1540" s="1">
        <v>42863</v>
      </c>
      <c r="F1540" t="str">
        <f>"201705031793"</f>
        <v>201705031793</v>
      </c>
      <c r="G1540" t="str">
        <f>"INVOICE# WORK0887118"</f>
        <v>INVOICE# WORK0887118</v>
      </c>
      <c r="H1540" s="2">
        <v>23622.94</v>
      </c>
      <c r="I1540" t="str">
        <f>"Wash Machine"</f>
        <v>Wash Machine</v>
      </c>
    </row>
    <row r="1541" spans="1:9" x14ac:dyDescent="0.3">
      <c r="A1541" t="str">
        <f>""</f>
        <v/>
      </c>
      <c r="F1541" t="str">
        <f>""</f>
        <v/>
      </c>
      <c r="G1541" t="str">
        <f>""</f>
        <v/>
      </c>
      <c r="I1541" t="str">
        <f>"Inspect Machine"</f>
        <v>Inspect Machine</v>
      </c>
    </row>
    <row r="1542" spans="1:9" x14ac:dyDescent="0.3">
      <c r="A1542" t="str">
        <f>""</f>
        <v/>
      </c>
      <c r="F1542" t="str">
        <f>""</f>
        <v/>
      </c>
      <c r="G1542" t="str">
        <f>""</f>
        <v/>
      </c>
      <c r="I1542" t="str">
        <f>"Remove&amp;InstallEngine"</f>
        <v>Remove&amp;InstallEngine</v>
      </c>
    </row>
    <row r="1543" spans="1:9" x14ac:dyDescent="0.3">
      <c r="A1543" t="str">
        <f>""</f>
        <v/>
      </c>
      <c r="F1543" t="str">
        <f>""</f>
        <v/>
      </c>
      <c r="G1543" t="str">
        <f>""</f>
        <v/>
      </c>
      <c r="I1543" t="str">
        <f>"Replace Fuel Tank"</f>
        <v>Replace Fuel Tank</v>
      </c>
    </row>
    <row r="1544" spans="1:9" x14ac:dyDescent="0.3">
      <c r="A1544" t="str">
        <f>""</f>
        <v/>
      </c>
      <c r="F1544" t="str">
        <f>""</f>
        <v/>
      </c>
      <c r="G1544" t="str">
        <f>""</f>
        <v/>
      </c>
      <c r="I1544" t="str">
        <f>"Replace Fuel System"</f>
        <v>Replace Fuel System</v>
      </c>
    </row>
    <row r="1545" spans="1:9" x14ac:dyDescent="0.3">
      <c r="A1545" t="str">
        <f>""</f>
        <v/>
      </c>
      <c r="F1545" t="str">
        <f>""</f>
        <v/>
      </c>
      <c r="G1545" t="str">
        <f>""</f>
        <v/>
      </c>
      <c r="I1545" t="str">
        <f>"Replace Wiring"</f>
        <v>Replace Wiring</v>
      </c>
    </row>
    <row r="1546" spans="1:9" x14ac:dyDescent="0.3">
      <c r="A1546" t="str">
        <f>""</f>
        <v/>
      </c>
      <c r="F1546" t="str">
        <f>""</f>
        <v/>
      </c>
      <c r="G1546" t="str">
        <f>""</f>
        <v/>
      </c>
      <c r="I1546" t="str">
        <f>"Replace Hyd Hoses"</f>
        <v>Replace Hyd Hoses</v>
      </c>
    </row>
    <row r="1547" spans="1:9" x14ac:dyDescent="0.3">
      <c r="A1547" t="str">
        <f>""</f>
        <v/>
      </c>
      <c r="F1547" t="str">
        <f>""</f>
        <v/>
      </c>
      <c r="G1547" t="str">
        <f>""</f>
        <v/>
      </c>
      <c r="I1547" t="str">
        <f>"Perform Maintenance"</f>
        <v>Perform Maintenance</v>
      </c>
    </row>
    <row r="1548" spans="1:9" x14ac:dyDescent="0.3">
      <c r="A1548" t="str">
        <f>""</f>
        <v/>
      </c>
      <c r="F1548" t="str">
        <f>""</f>
        <v/>
      </c>
      <c r="G1548" t="str">
        <f>""</f>
        <v/>
      </c>
      <c r="I1548" t="str">
        <f>"Repair Cab Door"</f>
        <v>Repair Cab Door</v>
      </c>
    </row>
    <row r="1549" spans="1:9" x14ac:dyDescent="0.3">
      <c r="A1549" t="str">
        <f>""</f>
        <v/>
      </c>
      <c r="F1549" t="str">
        <f>""</f>
        <v/>
      </c>
      <c r="G1549" t="str">
        <f>""</f>
        <v/>
      </c>
      <c r="I1549" t="str">
        <f>"Repair Engine"</f>
        <v>Repair Engine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>"Repair Machine"</f>
        <v>Repair Machine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>"Repair Lift Arm"</f>
        <v>Repair Lift Arm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>"Inspect Other"</f>
        <v>Inspect Other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>"Repair Engine"</f>
        <v>Repair Engine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>"Additional Charges"</f>
        <v>Additional Charges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>"Rebate"</f>
        <v>Rebate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>"Environmental Fee"</f>
        <v>Environmental Fee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>"Supplies Charge"</f>
        <v>Supplies Charge</v>
      </c>
    </row>
    <row r="1558" spans="1:9" x14ac:dyDescent="0.3">
      <c r="A1558" t="str">
        <f>""</f>
        <v/>
      </c>
      <c r="F1558" t="str">
        <f>"201705031794"</f>
        <v>201705031794</v>
      </c>
      <c r="G1558" t="str">
        <f>"Invoice# AO28596"</f>
        <v>Invoice# AO28596</v>
      </c>
      <c r="H1558" s="2">
        <v>4951.93</v>
      </c>
      <c r="I1558" t="str">
        <f>"Item# 6V-5839"</f>
        <v>Item# 6V-5839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"Item# 6V-5842"</f>
        <v>Item# 6V-5842</v>
      </c>
    </row>
    <row r="1560" spans="1:9" x14ac:dyDescent="0.3">
      <c r="A1560" t="str">
        <f>""</f>
        <v/>
      </c>
      <c r="F1560" t="str">
        <f>""</f>
        <v/>
      </c>
      <c r="G1560" t="str">
        <f>""</f>
        <v/>
      </c>
      <c r="I1560" t="str">
        <f>"Item# 8T-4133"</f>
        <v>Item# 8T-4133</v>
      </c>
    </row>
    <row r="1561" spans="1:9" x14ac:dyDescent="0.3">
      <c r="A1561" t="str">
        <f>""</f>
        <v/>
      </c>
      <c r="F1561" t="str">
        <f>""</f>
        <v/>
      </c>
      <c r="G1561" t="str">
        <f>""</f>
        <v/>
      </c>
      <c r="I1561" t="str">
        <f>"Item# 9L-0894"</f>
        <v>Item# 9L-0894</v>
      </c>
    </row>
    <row r="1562" spans="1:9" x14ac:dyDescent="0.3">
      <c r="A1562" t="str">
        <f>""</f>
        <v/>
      </c>
      <c r="F1562" t="str">
        <f>""</f>
        <v/>
      </c>
      <c r="G1562" t="str">
        <f>""</f>
        <v/>
      </c>
      <c r="I1562" t="str">
        <f>"Item# 238-8649"</f>
        <v>Item# 238-8649</v>
      </c>
    </row>
    <row r="1563" spans="1:9" x14ac:dyDescent="0.3">
      <c r="A1563" t="str">
        <f>""</f>
        <v/>
      </c>
      <c r="F1563" t="str">
        <f>""</f>
        <v/>
      </c>
      <c r="G1563" t="str">
        <f>""</f>
        <v/>
      </c>
      <c r="I1563" t="str">
        <f>"Item# 241-2894"</f>
        <v>Item# 241-2894</v>
      </c>
    </row>
    <row r="1564" spans="1:9" x14ac:dyDescent="0.3">
      <c r="A1564" t="str">
        <f>""</f>
        <v/>
      </c>
      <c r="F1564" t="str">
        <f>""</f>
        <v/>
      </c>
      <c r="G1564" t="str">
        <f>""</f>
        <v/>
      </c>
      <c r="I1564" t="str">
        <f>"Item# 314-7599"</f>
        <v>Item# 314-7599</v>
      </c>
    </row>
    <row r="1565" spans="1:9" x14ac:dyDescent="0.3">
      <c r="A1565" t="str">
        <f>""</f>
        <v/>
      </c>
      <c r="F1565" t="str">
        <f>""</f>
        <v/>
      </c>
      <c r="G1565" t="str">
        <f>""</f>
        <v/>
      </c>
      <c r="I1565" t="str">
        <f>"Item# 387-9796"</f>
        <v>Item# 387-9796</v>
      </c>
    </row>
    <row r="1566" spans="1:9" x14ac:dyDescent="0.3">
      <c r="A1566" t="str">
        <f>""</f>
        <v/>
      </c>
      <c r="F1566" t="str">
        <f>""</f>
        <v/>
      </c>
      <c r="G1566" t="str">
        <f>""</f>
        <v/>
      </c>
      <c r="I1566" t="str">
        <f>"Item# 389-5121"</f>
        <v>Item# 389-5121</v>
      </c>
    </row>
    <row r="1567" spans="1:9" x14ac:dyDescent="0.3">
      <c r="A1567" t="str">
        <f>""</f>
        <v/>
      </c>
      <c r="F1567" t="str">
        <f>""</f>
        <v/>
      </c>
      <c r="G1567" t="str">
        <f>""</f>
        <v/>
      </c>
      <c r="I1567" t="str">
        <f>"Item# 389-5158"</f>
        <v>Item# 389-5158</v>
      </c>
    </row>
    <row r="1568" spans="1:9" x14ac:dyDescent="0.3">
      <c r="A1568" t="str">
        <f>""</f>
        <v/>
      </c>
      <c r="F1568" t="str">
        <f>""</f>
        <v/>
      </c>
      <c r="G1568" t="str">
        <f>""</f>
        <v/>
      </c>
      <c r="I1568" t="str">
        <f>"Item# 389-5166"</f>
        <v>Item# 389-5166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>"Item# 389-5167"</f>
        <v>Item# 389-5167</v>
      </c>
    </row>
    <row r="1570" spans="1:9" x14ac:dyDescent="0.3">
      <c r="A1570" t="str">
        <f>""</f>
        <v/>
      </c>
      <c r="F1570" t="str">
        <f>""</f>
        <v/>
      </c>
      <c r="G1570" t="str">
        <f>""</f>
        <v/>
      </c>
      <c r="I1570" t="str">
        <f>"Item# 389-5168"</f>
        <v>Item# 389-5168</v>
      </c>
    </row>
    <row r="1571" spans="1:9" x14ac:dyDescent="0.3">
      <c r="A1571" t="str">
        <f>""</f>
        <v/>
      </c>
      <c r="F1571" t="str">
        <f>""</f>
        <v/>
      </c>
      <c r="G1571" t="str">
        <f>""</f>
        <v/>
      </c>
      <c r="I1571" t="str">
        <f>"Item# 389-5223"</f>
        <v>Item# 389-5223</v>
      </c>
    </row>
    <row r="1572" spans="1:9" x14ac:dyDescent="0.3">
      <c r="A1572" t="str">
        <f>""</f>
        <v/>
      </c>
      <c r="F1572" t="str">
        <f>""</f>
        <v/>
      </c>
      <c r="G1572" t="str">
        <f>""</f>
        <v/>
      </c>
      <c r="I1572" t="str">
        <f>"Item# 389-5310"</f>
        <v>Item# 389-5310</v>
      </c>
    </row>
    <row r="1573" spans="1:9" x14ac:dyDescent="0.3">
      <c r="A1573" t="str">
        <f>""</f>
        <v/>
      </c>
      <c r="F1573" t="str">
        <f>""</f>
        <v/>
      </c>
      <c r="G1573" t="str">
        <f>""</f>
        <v/>
      </c>
      <c r="I1573" t="str">
        <f>"Item#  416-5886"</f>
        <v>Item#  416-5886</v>
      </c>
    </row>
    <row r="1574" spans="1:9" x14ac:dyDescent="0.3">
      <c r="A1574" t="str">
        <f>""</f>
        <v/>
      </c>
      <c r="F1574" t="str">
        <f>""</f>
        <v/>
      </c>
      <c r="G1574" t="str">
        <f>""</f>
        <v/>
      </c>
      <c r="I1574" t="str">
        <f>"Item# 765-2677"</f>
        <v>Item# 765-2677</v>
      </c>
    </row>
    <row r="1575" spans="1:9" x14ac:dyDescent="0.3">
      <c r="A1575" t="str">
        <f>""</f>
        <v/>
      </c>
      <c r="F1575" t="str">
        <f>""</f>
        <v/>
      </c>
      <c r="G1575" t="str">
        <f>""</f>
        <v/>
      </c>
      <c r="I1575" t="str">
        <f>"LABOR"</f>
        <v>LABOR</v>
      </c>
    </row>
    <row r="1576" spans="1:9" x14ac:dyDescent="0.3">
      <c r="A1576" t="str">
        <f>""</f>
        <v/>
      </c>
      <c r="F1576" t="str">
        <f>""</f>
        <v/>
      </c>
      <c r="G1576" t="str">
        <f>""</f>
        <v/>
      </c>
      <c r="I1576" t="str">
        <f>"MISC CHARGE"</f>
        <v>MISC CHARGE</v>
      </c>
    </row>
    <row r="1577" spans="1:9" x14ac:dyDescent="0.3">
      <c r="A1577" t="str">
        <f>""</f>
        <v/>
      </c>
      <c r="F1577" t="str">
        <f>""</f>
        <v/>
      </c>
      <c r="G1577" t="str">
        <f>""</f>
        <v/>
      </c>
      <c r="I1577" t="str">
        <f>"ENVIRONMENT FEE"</f>
        <v>ENVIRONMENT FEE</v>
      </c>
    </row>
    <row r="1578" spans="1:9" x14ac:dyDescent="0.3">
      <c r="A1578" t="str">
        <f>""</f>
        <v/>
      </c>
      <c r="F1578" t="str">
        <f>""</f>
        <v/>
      </c>
      <c r="G1578" t="str">
        <f>""</f>
        <v/>
      </c>
      <c r="I1578" t="str">
        <f>"SUPPLIES CHARGE"</f>
        <v>SUPPLIES CHARGE</v>
      </c>
    </row>
    <row r="1579" spans="1:9" x14ac:dyDescent="0.3">
      <c r="A1579" t="str">
        <f>""</f>
        <v/>
      </c>
      <c r="F1579" t="str">
        <f>"201705031795"</f>
        <v>201705031795</v>
      </c>
      <c r="G1579" t="str">
        <f>"skid steer 0JST01324"</f>
        <v>skid steer 0JST01324</v>
      </c>
      <c r="H1579" s="2">
        <v>7912.82</v>
      </c>
      <c r="I1579" t="str">
        <f>"Repair Cost"</f>
        <v>Repair Cost</v>
      </c>
    </row>
    <row r="1580" spans="1:9" x14ac:dyDescent="0.3">
      <c r="A1580" t="str">
        <f>""</f>
        <v/>
      </c>
      <c r="F1580" t="str">
        <f>"201705031796"</f>
        <v>201705031796</v>
      </c>
      <c r="G1580" t="str">
        <f>"MUSTANG MACHINERY COMPANY LTD"</f>
        <v>MUSTANG MACHINERY COMPANY LTD</v>
      </c>
      <c r="H1580" s="2">
        <v>2675.66</v>
      </c>
      <c r="I1580" t="str">
        <f>"Item# 265-6618"</f>
        <v>Item# 265-6618</v>
      </c>
    </row>
    <row r="1581" spans="1:9" x14ac:dyDescent="0.3">
      <c r="A1581" t="str">
        <f>""</f>
        <v/>
      </c>
      <c r="F1581" t="str">
        <f>""</f>
        <v/>
      </c>
      <c r="G1581" t="str">
        <f>""</f>
        <v/>
      </c>
      <c r="I1581" t="str">
        <f>"Item# 361-3532"</f>
        <v>Item# 361-3532</v>
      </c>
    </row>
    <row r="1582" spans="1:9" x14ac:dyDescent="0.3">
      <c r="A1582" t="str">
        <f>""</f>
        <v/>
      </c>
      <c r="F1582" t="str">
        <f>""</f>
        <v/>
      </c>
      <c r="G1582" t="str">
        <f>""</f>
        <v/>
      </c>
      <c r="I1582" t="str">
        <f>"Item# 377-6969"</f>
        <v>Item# 377-6969</v>
      </c>
    </row>
    <row r="1583" spans="1:9" x14ac:dyDescent="0.3">
      <c r="A1583" t="str">
        <f>""</f>
        <v/>
      </c>
      <c r="F1583" t="str">
        <f>""</f>
        <v/>
      </c>
      <c r="G1583" t="str">
        <f>""</f>
        <v/>
      </c>
      <c r="I1583" t="str">
        <f>"Item# 377-6970"</f>
        <v>Item# 377-6970</v>
      </c>
    </row>
    <row r="1584" spans="1:9" x14ac:dyDescent="0.3">
      <c r="A1584" t="str">
        <f>""</f>
        <v/>
      </c>
      <c r="F1584" t="str">
        <f>""</f>
        <v/>
      </c>
      <c r="G1584" t="str">
        <f>""</f>
        <v/>
      </c>
      <c r="I1584" t="str">
        <f>"Item# 185-4015"</f>
        <v>Item# 185-4015</v>
      </c>
    </row>
    <row r="1585" spans="1:9" x14ac:dyDescent="0.3">
      <c r="A1585" t="str">
        <f>""</f>
        <v/>
      </c>
      <c r="F1585" t="str">
        <f>""</f>
        <v/>
      </c>
      <c r="G1585" t="str">
        <f>""</f>
        <v/>
      </c>
      <c r="I1585" t="str">
        <f>"Item# 379-6471"</f>
        <v>Item# 379-6471</v>
      </c>
    </row>
    <row r="1586" spans="1:9" x14ac:dyDescent="0.3">
      <c r="A1586" t="str">
        <f>""</f>
        <v/>
      </c>
      <c r="F1586" t="str">
        <f>""</f>
        <v/>
      </c>
      <c r="G1586" t="str">
        <f>""</f>
        <v/>
      </c>
      <c r="I1586" t="str">
        <f>"Item# 336-6684"</f>
        <v>Item# 336-6684</v>
      </c>
    </row>
    <row r="1587" spans="1:9" x14ac:dyDescent="0.3">
      <c r="A1587" t="str">
        <f>""</f>
        <v/>
      </c>
      <c r="F1587" t="str">
        <f>""</f>
        <v/>
      </c>
      <c r="G1587" t="str">
        <f>""</f>
        <v/>
      </c>
      <c r="I1587" t="str">
        <f>"Item# 348-1862"</f>
        <v>Item# 348-1862</v>
      </c>
    </row>
    <row r="1588" spans="1:9" x14ac:dyDescent="0.3">
      <c r="A1588" t="str">
        <f>"004879"</f>
        <v>004879</v>
      </c>
      <c r="B1588" t="s">
        <v>493</v>
      </c>
      <c r="C1588">
        <v>70310</v>
      </c>
      <c r="D1588" s="2">
        <v>7012.2</v>
      </c>
      <c r="E1588" s="1">
        <v>42863</v>
      </c>
      <c r="F1588" t="str">
        <f>"200572052"</f>
        <v>200572052</v>
      </c>
      <c r="G1588" t="str">
        <f>"CUST#255120/ COLD MIX/PCT#2"</f>
        <v>CUST#255120/ COLD MIX/PCT#2</v>
      </c>
      <c r="H1588" s="2">
        <v>7012.2</v>
      </c>
      <c r="I1588" t="str">
        <f>"CUST#255120/ COLD MIX/PCT#2"</f>
        <v>CUST#255120/ COLD MIX/PCT#2</v>
      </c>
    </row>
    <row r="1589" spans="1:9" x14ac:dyDescent="0.3">
      <c r="A1589" t="str">
        <f>"003737"</f>
        <v>003737</v>
      </c>
      <c r="B1589" t="s">
        <v>376</v>
      </c>
      <c r="C1589">
        <v>70328</v>
      </c>
      <c r="D1589" s="2">
        <v>683.02</v>
      </c>
      <c r="E1589" s="1">
        <v>42870</v>
      </c>
      <c r="F1589" t="str">
        <f>"0843-001326471"</f>
        <v>0843-001326471</v>
      </c>
      <c r="G1589" t="str">
        <f>"ACCT #3-0843-0037898"</f>
        <v>ACCT #3-0843-0037898</v>
      </c>
      <c r="H1589" s="2">
        <v>683.02</v>
      </c>
      <c r="I1589" t="str">
        <f>"ACCT #3-0843-0037898"</f>
        <v>ACCT #3-0843-0037898</v>
      </c>
    </row>
    <row r="1590" spans="1:9" x14ac:dyDescent="0.3">
      <c r="A1590" t="str">
        <f>"004766"</f>
        <v>004766</v>
      </c>
      <c r="B1590" t="s">
        <v>494</v>
      </c>
      <c r="C1590">
        <v>70311</v>
      </c>
      <c r="D1590" s="2">
        <v>5182.5</v>
      </c>
      <c r="E1590" s="1">
        <v>42863</v>
      </c>
      <c r="F1590" t="str">
        <f>"201705031646"</f>
        <v>201705031646</v>
      </c>
      <c r="G1590" t="str">
        <f>"COTTLE TOWN RD/PCT#2"</f>
        <v>COTTLE TOWN RD/PCT#2</v>
      </c>
      <c r="H1590" s="2">
        <v>5182.5</v>
      </c>
      <c r="I1590" t="str">
        <f>"COTTLE TOWN RD/PCT#2"</f>
        <v>COTTLE TOWN RD/PCT#2</v>
      </c>
    </row>
    <row r="1591" spans="1:9" x14ac:dyDescent="0.3">
      <c r="A1591" t="str">
        <f>"004766"</f>
        <v>004766</v>
      </c>
      <c r="B1591" t="s">
        <v>494</v>
      </c>
      <c r="C1591">
        <v>70602</v>
      </c>
      <c r="D1591" s="2">
        <v>7645</v>
      </c>
      <c r="E1591" s="1">
        <v>42877</v>
      </c>
      <c r="F1591" t="str">
        <f>"201705162107"</f>
        <v>201705162107</v>
      </c>
      <c r="G1591" t="str">
        <f>"COTTLE TOWN RD PAVING PROJ"</f>
        <v>COTTLE TOWN RD PAVING PROJ</v>
      </c>
      <c r="H1591" s="2">
        <v>7645</v>
      </c>
      <c r="I1591" t="str">
        <f>"COTTLE TOWN RD PAVING PROJ"</f>
        <v>COTTLE TOWN RD PAVING PROJ</v>
      </c>
    </row>
    <row r="1592" spans="1:9" x14ac:dyDescent="0.3">
      <c r="A1592" t="str">
        <f>"004284"</f>
        <v>004284</v>
      </c>
      <c r="B1592" t="s">
        <v>495</v>
      </c>
      <c r="C1592">
        <v>70603</v>
      </c>
      <c r="D1592" s="2">
        <v>149</v>
      </c>
      <c r="E1592" s="1">
        <v>42877</v>
      </c>
      <c r="F1592" t="str">
        <f>"11423098"</f>
        <v>11423098</v>
      </c>
      <c r="G1592" t="str">
        <f>"SEMINAR J HESTER"</f>
        <v>SEMINAR J HESTER</v>
      </c>
      <c r="H1592" s="2">
        <v>149</v>
      </c>
      <c r="I1592" t="str">
        <f>"SEMINAR J HESTER"</f>
        <v>SEMINAR J HESTER</v>
      </c>
    </row>
    <row r="1593" spans="1:9" x14ac:dyDescent="0.3">
      <c r="A1593" t="str">
        <f>"004539"</f>
        <v>004539</v>
      </c>
      <c r="B1593" t="s">
        <v>496</v>
      </c>
      <c r="C1593">
        <v>70312</v>
      </c>
      <c r="D1593" s="2">
        <v>233491</v>
      </c>
      <c r="E1593" s="1">
        <v>42863</v>
      </c>
      <c r="F1593" t="str">
        <f>"7"</f>
        <v>7</v>
      </c>
      <c r="G1593" t="str">
        <f>"PROJECT#BASTROP FIRE STAT #4"</f>
        <v>PROJECT#BASTROP FIRE STAT #4</v>
      </c>
      <c r="H1593" s="2">
        <v>233491</v>
      </c>
      <c r="I1593" t="str">
        <f>"PROJECT#BASTROP FIRE STAT #4"</f>
        <v>PROJECT#BASTROP FIRE STAT #4</v>
      </c>
    </row>
    <row r="1594" spans="1:9" x14ac:dyDescent="0.3">
      <c r="A1594" t="str">
        <f>"003484"</f>
        <v>003484</v>
      </c>
      <c r="B1594" t="s">
        <v>433</v>
      </c>
      <c r="C1594">
        <v>70313</v>
      </c>
      <c r="D1594" s="2">
        <v>22915.26</v>
      </c>
      <c r="E1594" s="1">
        <v>42863</v>
      </c>
      <c r="F1594" t="str">
        <f>"90001393-4"</f>
        <v>90001393-4</v>
      </c>
      <c r="G1594" t="str">
        <f>"ORDER# TX-1999-012/031"</f>
        <v>ORDER# TX-1999-012/031</v>
      </c>
      <c r="H1594" s="2">
        <v>22915.26</v>
      </c>
      <c r="I1594" t="str">
        <f>"ORDER# TX-1999-012/031"</f>
        <v>ORDER# TX-1999-012/031</v>
      </c>
    </row>
    <row r="1595" spans="1:9" x14ac:dyDescent="0.3">
      <c r="A1595" t="str">
        <f>"003132"</f>
        <v>003132</v>
      </c>
      <c r="B1595" t="s">
        <v>497</v>
      </c>
      <c r="C1595">
        <v>70314</v>
      </c>
      <c r="D1595" s="2">
        <v>25000</v>
      </c>
      <c r="E1595" s="1">
        <v>42863</v>
      </c>
      <c r="F1595" t="str">
        <f>"BC05012017"</f>
        <v>BC05012017</v>
      </c>
      <c r="G1595" t="str">
        <f>"6TH PAYMENT/REFORESTATION"</f>
        <v>6TH PAYMENT/REFORESTATION</v>
      </c>
      <c r="H1595" s="2">
        <v>25000</v>
      </c>
      <c r="I1595" t="str">
        <f>"6TH PAYMENT/REFORESTATION"</f>
        <v>6TH PAYMENT/REFORESTATION</v>
      </c>
    </row>
    <row r="1596" spans="1:9" x14ac:dyDescent="0.3">
      <c r="A1596" t="str">
        <f>"T5739"</f>
        <v>T5739</v>
      </c>
      <c r="B1596" t="s">
        <v>461</v>
      </c>
      <c r="C1596">
        <v>70315</v>
      </c>
      <c r="D1596" s="2">
        <v>111.92</v>
      </c>
      <c r="E1596" s="1">
        <v>42863</v>
      </c>
      <c r="F1596" t="str">
        <f>"201705021615"</f>
        <v>201705021615</v>
      </c>
      <c r="G1596" t="str">
        <f>"REFRIGERATION"</f>
        <v>REFRIGERATION</v>
      </c>
      <c r="H1596" s="2">
        <v>111.92</v>
      </c>
      <c r="I1596" t="str">
        <f>"REFRIG INV55822825"</f>
        <v>REFRIG INV55822825</v>
      </c>
    </row>
    <row r="1597" spans="1:9" x14ac:dyDescent="0.3">
      <c r="A1597" t="str">
        <f>"WM"</f>
        <v>WM</v>
      </c>
      <c r="B1597" t="s">
        <v>498</v>
      </c>
      <c r="C1597">
        <v>70316</v>
      </c>
      <c r="D1597" s="2">
        <v>71.33</v>
      </c>
      <c r="E1597" s="1">
        <v>42863</v>
      </c>
      <c r="F1597" t="str">
        <f>"009484"</f>
        <v>009484</v>
      </c>
      <c r="G1597" t="str">
        <f>"WAL MART COMMUNITY BRC"</f>
        <v>WAL MART COMMUNITY BRC</v>
      </c>
      <c r="H1597" s="2">
        <v>71.33</v>
      </c>
      <c r="I1597" t="str">
        <f>"Inv# 009484"</f>
        <v>Inv# 009484</v>
      </c>
    </row>
    <row r="1598" spans="1:9" x14ac:dyDescent="0.3">
      <c r="A1598" t="str">
        <f>"ALLSTA"</f>
        <v>ALLSTA</v>
      </c>
      <c r="B1598" t="s">
        <v>499</v>
      </c>
      <c r="C1598">
        <v>0</v>
      </c>
      <c r="D1598" s="2">
        <v>10769.88</v>
      </c>
      <c r="E1598" s="1">
        <v>42881</v>
      </c>
      <c r="F1598" t="str">
        <f>"201705232300"</f>
        <v>201705232300</v>
      </c>
      <c r="G1598" t="str">
        <f>"ALLSTATE-AMERICAN HERITAGE LIF"</f>
        <v>ALLSTATE-AMERICAN HERITAGE LIF</v>
      </c>
      <c r="H1598" s="2">
        <v>0.08</v>
      </c>
      <c r="I1598" t="str">
        <f>"ALLSTATE-AMERICAN HERITAGE LIF"</f>
        <v>ALLSTATE-AMERICAN HERITAGE LIF</v>
      </c>
    </row>
    <row r="1599" spans="1:9" x14ac:dyDescent="0.3">
      <c r="A1599" t="str">
        <f>""</f>
        <v/>
      </c>
      <c r="F1599" t="str">
        <f>"AS 201705021588"</f>
        <v>AS 201705021588</v>
      </c>
      <c r="G1599" t="str">
        <f t="shared" ref="G1599:G1612" si="11">"ALLSTATE"</f>
        <v>ALLSTATE</v>
      </c>
      <c r="H1599" s="2">
        <v>36.14</v>
      </c>
      <c r="I1599" t="str">
        <f t="shared" ref="I1599:I1612" si="12">"ALLSTATE"</f>
        <v>ALLSTATE</v>
      </c>
    </row>
    <row r="1600" spans="1:9" x14ac:dyDescent="0.3">
      <c r="A1600" t="str">
        <f>""</f>
        <v/>
      </c>
      <c r="F1600" t="str">
        <f>"AS 201705021643"</f>
        <v>AS 201705021643</v>
      </c>
      <c r="G1600" t="str">
        <f t="shared" si="11"/>
        <v>ALLSTATE</v>
      </c>
      <c r="H1600" s="2">
        <v>1191.24</v>
      </c>
      <c r="I1600" t="str">
        <f t="shared" si="12"/>
        <v>ALLSTATE</v>
      </c>
    </row>
    <row r="1601" spans="1:9" x14ac:dyDescent="0.3">
      <c r="A1601" t="str">
        <f>""</f>
        <v/>
      </c>
      <c r="F1601" t="str">
        <f>"AS 201705172283"</f>
        <v>AS 201705172283</v>
      </c>
      <c r="G1601" t="str">
        <f t="shared" si="11"/>
        <v>ALLSTATE</v>
      </c>
      <c r="H1601" s="2">
        <v>1218.3800000000001</v>
      </c>
      <c r="I1601" t="str">
        <f t="shared" si="12"/>
        <v>ALLSTATE</v>
      </c>
    </row>
    <row r="1602" spans="1:9" x14ac:dyDescent="0.3">
      <c r="A1602" t="str">
        <f>""</f>
        <v/>
      </c>
      <c r="F1602" t="str">
        <f>"AS 201705172284"</f>
        <v>AS 201705172284</v>
      </c>
      <c r="G1602" t="str">
        <f t="shared" si="11"/>
        <v>ALLSTATE</v>
      </c>
      <c r="H1602" s="2">
        <v>36.14</v>
      </c>
      <c r="I1602" t="str">
        <f t="shared" si="12"/>
        <v>ALLSTATE</v>
      </c>
    </row>
    <row r="1603" spans="1:9" x14ac:dyDescent="0.3">
      <c r="A1603" t="str">
        <f>""</f>
        <v/>
      </c>
      <c r="F1603" t="str">
        <f>"ASD201705021643"</f>
        <v>ASD201705021643</v>
      </c>
      <c r="G1603" t="str">
        <f t="shared" si="11"/>
        <v>ALLSTATE</v>
      </c>
      <c r="H1603" s="2">
        <v>411.36</v>
      </c>
      <c r="I1603" t="str">
        <f t="shared" si="12"/>
        <v>ALLSTATE</v>
      </c>
    </row>
    <row r="1604" spans="1:9" x14ac:dyDescent="0.3">
      <c r="A1604" t="str">
        <f>""</f>
        <v/>
      </c>
      <c r="F1604" t="str">
        <f>"ASD201705172283"</f>
        <v>ASD201705172283</v>
      </c>
      <c r="G1604" t="str">
        <f t="shared" si="11"/>
        <v>ALLSTATE</v>
      </c>
      <c r="H1604" s="2">
        <v>411.36</v>
      </c>
      <c r="I1604" t="str">
        <f t="shared" si="12"/>
        <v>ALLSTATE</v>
      </c>
    </row>
    <row r="1605" spans="1:9" x14ac:dyDescent="0.3">
      <c r="A1605" t="str">
        <f>""</f>
        <v/>
      </c>
      <c r="F1605" t="str">
        <f>"ASI201705021588"</f>
        <v>ASI201705021588</v>
      </c>
      <c r="G1605" t="str">
        <f t="shared" si="11"/>
        <v>ALLSTATE</v>
      </c>
      <c r="H1605" s="2">
        <v>100.63</v>
      </c>
      <c r="I1605" t="str">
        <f t="shared" si="12"/>
        <v>ALLSTATE</v>
      </c>
    </row>
    <row r="1606" spans="1:9" x14ac:dyDescent="0.3">
      <c r="A1606" t="str">
        <f>""</f>
        <v/>
      </c>
      <c r="F1606" t="str">
        <f>"ASI201705021643"</f>
        <v>ASI201705021643</v>
      </c>
      <c r="G1606" t="str">
        <f t="shared" si="11"/>
        <v>ALLSTATE</v>
      </c>
      <c r="H1606" s="2">
        <v>1344.63</v>
      </c>
      <c r="I1606" t="str">
        <f t="shared" si="12"/>
        <v>ALLSTATE</v>
      </c>
    </row>
    <row r="1607" spans="1:9" x14ac:dyDescent="0.3">
      <c r="A1607" t="str">
        <f>""</f>
        <v/>
      </c>
      <c r="F1607" t="str">
        <f>"ASI201705172283"</f>
        <v>ASI201705172283</v>
      </c>
      <c r="G1607" t="str">
        <f t="shared" si="11"/>
        <v>ALLSTATE</v>
      </c>
      <c r="H1607" s="2">
        <v>1427.15</v>
      </c>
      <c r="I1607" t="str">
        <f t="shared" si="12"/>
        <v>ALLSTATE</v>
      </c>
    </row>
    <row r="1608" spans="1:9" x14ac:dyDescent="0.3">
      <c r="A1608" t="str">
        <f>""</f>
        <v/>
      </c>
      <c r="F1608" t="str">
        <f>"ASI201705172284"</f>
        <v>ASI201705172284</v>
      </c>
      <c r="G1608" t="str">
        <f t="shared" si="11"/>
        <v>ALLSTATE</v>
      </c>
      <c r="H1608" s="2">
        <v>100.63</v>
      </c>
      <c r="I1608" t="str">
        <f t="shared" si="12"/>
        <v>ALLSTATE</v>
      </c>
    </row>
    <row r="1609" spans="1:9" x14ac:dyDescent="0.3">
      <c r="A1609" t="str">
        <f>""</f>
        <v/>
      </c>
      <c r="F1609" t="str">
        <f>"AST201705021588"</f>
        <v>AST201705021588</v>
      </c>
      <c r="G1609" t="str">
        <f t="shared" si="11"/>
        <v>ALLSTATE</v>
      </c>
      <c r="H1609" s="2">
        <v>119.47</v>
      </c>
      <c r="I1609" t="str">
        <f t="shared" si="12"/>
        <v>ALLSTATE</v>
      </c>
    </row>
    <row r="1610" spans="1:9" x14ac:dyDescent="0.3">
      <c r="A1610" t="str">
        <f>""</f>
        <v/>
      </c>
      <c r="F1610" t="str">
        <f>"AST201705021643"</f>
        <v>AST201705021643</v>
      </c>
      <c r="G1610" t="str">
        <f t="shared" si="11"/>
        <v>ALLSTATE</v>
      </c>
      <c r="H1610" s="2">
        <v>2126.6</v>
      </c>
      <c r="I1610" t="str">
        <f t="shared" si="12"/>
        <v>ALLSTATE</v>
      </c>
    </row>
    <row r="1611" spans="1:9" x14ac:dyDescent="0.3">
      <c r="A1611" t="str">
        <f>""</f>
        <v/>
      </c>
      <c r="F1611" t="str">
        <f>"AST201705172283"</f>
        <v>AST201705172283</v>
      </c>
      <c r="G1611" t="str">
        <f t="shared" si="11"/>
        <v>ALLSTATE</v>
      </c>
      <c r="H1611" s="2">
        <v>2126.6</v>
      </c>
      <c r="I1611" t="str">
        <f t="shared" si="12"/>
        <v>ALLSTATE</v>
      </c>
    </row>
    <row r="1612" spans="1:9" x14ac:dyDescent="0.3">
      <c r="A1612" t="str">
        <f>""</f>
        <v/>
      </c>
      <c r="F1612" t="str">
        <f>"AST201705172284"</f>
        <v>AST201705172284</v>
      </c>
      <c r="G1612" t="str">
        <f t="shared" si="11"/>
        <v>ALLSTATE</v>
      </c>
      <c r="H1612" s="2">
        <v>119.47</v>
      </c>
      <c r="I1612" t="str">
        <f t="shared" si="12"/>
        <v>ALLSTATE</v>
      </c>
    </row>
    <row r="1613" spans="1:9" x14ac:dyDescent="0.3">
      <c r="A1613" t="str">
        <f>"002234"</f>
        <v>002234</v>
      </c>
      <c r="B1613" t="s">
        <v>500</v>
      </c>
      <c r="C1613">
        <v>0</v>
      </c>
      <c r="D1613" s="2">
        <v>1368</v>
      </c>
      <c r="E1613" s="1">
        <v>42881</v>
      </c>
      <c r="F1613" t="str">
        <f>"BAS201705021643"</f>
        <v>BAS201705021643</v>
      </c>
      <c r="G1613" t="str">
        <f>"B.A.S.E."</f>
        <v>B.A.S.E.</v>
      </c>
      <c r="H1613" s="2">
        <v>582</v>
      </c>
      <c r="I1613" t="str">
        <f>"B.A.S.E."</f>
        <v>B.A.S.E.</v>
      </c>
    </row>
    <row r="1614" spans="1:9" x14ac:dyDescent="0.3">
      <c r="A1614" t="str">
        <f>""</f>
        <v/>
      </c>
      <c r="F1614" t="str">
        <f>"BAS201705172283"</f>
        <v>BAS201705172283</v>
      </c>
      <c r="G1614" t="str">
        <f>"B.A.S.E."</f>
        <v>B.A.S.E.</v>
      </c>
      <c r="H1614" s="2">
        <v>786</v>
      </c>
      <c r="I1614" t="str">
        <f>"B.A.S.E."</f>
        <v>B.A.S.E.</v>
      </c>
    </row>
    <row r="1615" spans="1:9" x14ac:dyDescent="0.3">
      <c r="A1615" t="str">
        <f>"T12180"</f>
        <v>T12180</v>
      </c>
      <c r="B1615" t="s">
        <v>501</v>
      </c>
      <c r="C1615">
        <v>0</v>
      </c>
      <c r="D1615" s="2">
        <v>3347.12</v>
      </c>
      <c r="E1615" s="1">
        <v>42860</v>
      </c>
      <c r="F1615" t="str">
        <f>"DDP201705021645"</f>
        <v>DDP201705021645</v>
      </c>
      <c r="G1615" t="str">
        <f>"AP - TEXAS DISCOUNT DENTAL"</f>
        <v>AP - TEXAS DISCOUNT DENTAL</v>
      </c>
      <c r="H1615" s="2">
        <v>6.53</v>
      </c>
      <c r="I1615" t="str">
        <f>"AP - TEXAS DISCOUNT DENTAL"</f>
        <v>AP - TEXAS DISCOUNT DENTAL</v>
      </c>
    </row>
    <row r="1616" spans="1:9" x14ac:dyDescent="0.3">
      <c r="A1616" t="str">
        <f>""</f>
        <v/>
      </c>
      <c r="F1616" t="str">
        <f>"DHM201705021645"</f>
        <v>DHM201705021645</v>
      </c>
      <c r="G1616" t="str">
        <f>"AP - DENTAL HMO"</f>
        <v>AP - DENTAL HMO</v>
      </c>
      <c r="H1616" s="2">
        <v>35.49</v>
      </c>
      <c r="I1616" t="str">
        <f>"AP - DENTAL HMO"</f>
        <v>AP - DENTAL HMO</v>
      </c>
    </row>
    <row r="1617" spans="1:9" x14ac:dyDescent="0.3">
      <c r="A1617" t="str">
        <f>""</f>
        <v/>
      </c>
      <c r="F1617" t="str">
        <f>"DTX201705021645"</f>
        <v>DTX201705021645</v>
      </c>
      <c r="G1617" t="str">
        <f>"AP - TEXAS DENTAL"</f>
        <v>AP - TEXAS DENTAL</v>
      </c>
      <c r="H1617" s="2">
        <v>390.47</v>
      </c>
      <c r="I1617" t="str">
        <f>"AP - TEXAS DENTAL"</f>
        <v>AP - TEXAS DENTAL</v>
      </c>
    </row>
    <row r="1618" spans="1:9" x14ac:dyDescent="0.3">
      <c r="A1618" t="str">
        <f>""</f>
        <v/>
      </c>
      <c r="F1618" t="str">
        <f>"FD 201705021645"</f>
        <v>FD 201705021645</v>
      </c>
      <c r="G1618" t="str">
        <f>"AP - FT DEARBORN PRE-TAX"</f>
        <v>AP - FT DEARBORN PRE-TAX</v>
      </c>
      <c r="H1618" s="2">
        <v>206.34</v>
      </c>
      <c r="I1618" t="str">
        <f>"AP - FT DEARBORN PRE-TAX"</f>
        <v>AP - FT DEARBORN PRE-TAX</v>
      </c>
    </row>
    <row r="1619" spans="1:9" x14ac:dyDescent="0.3">
      <c r="A1619" t="str">
        <f>""</f>
        <v/>
      </c>
      <c r="F1619" t="str">
        <f>"FDT201705021645"</f>
        <v>FDT201705021645</v>
      </c>
      <c r="G1619" t="str">
        <f>"AP - FT DEARBORN AFTER TAX"</f>
        <v>AP - FT DEARBORN AFTER TAX</v>
      </c>
      <c r="H1619" s="2">
        <v>87.75</v>
      </c>
      <c r="I1619" t="str">
        <f>"AP - FT DEARBORN AFTER TAX"</f>
        <v>AP - FT DEARBORN AFTER TAX</v>
      </c>
    </row>
    <row r="1620" spans="1:9" x14ac:dyDescent="0.3">
      <c r="A1620" t="str">
        <f>""</f>
        <v/>
      </c>
      <c r="F1620" t="str">
        <f>"FLX201705021645"</f>
        <v>FLX201705021645</v>
      </c>
      <c r="G1620" t="str">
        <f>"AP - TEX FLEX"</f>
        <v>AP - TEX FLEX</v>
      </c>
      <c r="H1620" s="2">
        <v>364</v>
      </c>
      <c r="I1620" t="str">
        <f>"AP - TEX FLEX"</f>
        <v>AP - TEX FLEX</v>
      </c>
    </row>
    <row r="1621" spans="1:9" x14ac:dyDescent="0.3">
      <c r="A1621" t="str">
        <f>""</f>
        <v/>
      </c>
      <c r="F1621" t="str">
        <f>"MHS201705021645"</f>
        <v>MHS201705021645</v>
      </c>
      <c r="G1621" t="str">
        <f>"AP - HEALTH SELECT MEDICAL"</f>
        <v>AP - HEALTH SELECT MEDICAL</v>
      </c>
      <c r="H1621" s="2">
        <v>1951.32</v>
      </c>
      <c r="I1621" t="str">
        <f>"AP - HEALTH SELECT MEDICAL"</f>
        <v>AP - HEALTH SELECT MEDICAL</v>
      </c>
    </row>
    <row r="1622" spans="1:9" x14ac:dyDescent="0.3">
      <c r="A1622" t="str">
        <f>""</f>
        <v/>
      </c>
      <c r="F1622" t="str">
        <f>"MSW201705021645"</f>
        <v>MSW201705021645</v>
      </c>
      <c r="G1622" t="str">
        <f>"AP - SCOTT &amp; WHITE MEDICAL"</f>
        <v>AP - SCOTT &amp; WHITE MEDICAL</v>
      </c>
      <c r="H1622" s="2">
        <v>291.82</v>
      </c>
      <c r="I1622" t="str">
        <f>"AP - SCOTT &amp; WHITE MEDICAL"</f>
        <v>AP - SCOTT &amp; WHITE MEDICAL</v>
      </c>
    </row>
    <row r="1623" spans="1:9" x14ac:dyDescent="0.3">
      <c r="A1623" t="str">
        <f>""</f>
        <v/>
      </c>
      <c r="F1623" t="str">
        <f>"SPE201705021645"</f>
        <v>SPE201705021645</v>
      </c>
      <c r="G1623" t="str">
        <f>"AP - STATE VISION"</f>
        <v>AP - STATE VISION</v>
      </c>
      <c r="H1623" s="2">
        <v>13.4</v>
      </c>
      <c r="I1623" t="str">
        <f>"AP - STATE VISION"</f>
        <v>AP - STATE VISION</v>
      </c>
    </row>
    <row r="1624" spans="1:9" x14ac:dyDescent="0.3">
      <c r="A1624" t="str">
        <f>"T12180"</f>
        <v>T12180</v>
      </c>
      <c r="B1624" t="s">
        <v>501</v>
      </c>
      <c r="C1624">
        <v>0</v>
      </c>
      <c r="D1624" s="2">
        <v>3347.12</v>
      </c>
      <c r="E1624" s="1">
        <v>42874</v>
      </c>
      <c r="F1624" t="str">
        <f>"DDP201705172285"</f>
        <v>DDP201705172285</v>
      </c>
      <c r="G1624" t="str">
        <f>"AP - TEXAS DISCOUNT DENTAL"</f>
        <v>AP - TEXAS DISCOUNT DENTAL</v>
      </c>
      <c r="H1624" s="2">
        <v>6.53</v>
      </c>
      <c r="I1624" t="str">
        <f>"AP - TEXAS DISCOUNT DENTAL"</f>
        <v>AP - TEXAS DISCOUNT DENTAL</v>
      </c>
    </row>
    <row r="1625" spans="1:9" x14ac:dyDescent="0.3">
      <c r="A1625" t="str">
        <f>""</f>
        <v/>
      </c>
      <c r="F1625" t="str">
        <f>"DHM201705172285"</f>
        <v>DHM201705172285</v>
      </c>
      <c r="G1625" t="str">
        <f>"AP - DENTAL HMO"</f>
        <v>AP - DENTAL HMO</v>
      </c>
      <c r="H1625" s="2">
        <v>35.49</v>
      </c>
      <c r="I1625" t="str">
        <f>"AP - DENTAL HMO"</f>
        <v>AP - DENTAL HMO</v>
      </c>
    </row>
    <row r="1626" spans="1:9" x14ac:dyDescent="0.3">
      <c r="A1626" t="str">
        <f>""</f>
        <v/>
      </c>
      <c r="F1626" t="str">
        <f>"DTX201705172285"</f>
        <v>DTX201705172285</v>
      </c>
      <c r="G1626" t="str">
        <f>"AP - TEXAS DENTAL"</f>
        <v>AP - TEXAS DENTAL</v>
      </c>
      <c r="H1626" s="2">
        <v>390.47</v>
      </c>
      <c r="I1626" t="str">
        <f>"AP - TEXAS DENTAL"</f>
        <v>AP - TEXAS DENTAL</v>
      </c>
    </row>
    <row r="1627" spans="1:9" x14ac:dyDescent="0.3">
      <c r="A1627" t="str">
        <f>""</f>
        <v/>
      </c>
      <c r="F1627" t="str">
        <f>"FD 201705172285"</f>
        <v>FD 201705172285</v>
      </c>
      <c r="G1627" t="str">
        <f>"AP - FT DEARBORN PRE-TAX"</f>
        <v>AP - FT DEARBORN PRE-TAX</v>
      </c>
      <c r="H1627" s="2">
        <v>206.34</v>
      </c>
      <c r="I1627" t="str">
        <f>"AP - FT DEARBORN PRE-TAX"</f>
        <v>AP - FT DEARBORN PRE-TAX</v>
      </c>
    </row>
    <row r="1628" spans="1:9" x14ac:dyDescent="0.3">
      <c r="A1628" t="str">
        <f>""</f>
        <v/>
      </c>
      <c r="F1628" t="str">
        <f>"FDT201705172285"</f>
        <v>FDT201705172285</v>
      </c>
      <c r="G1628" t="str">
        <f>"AP - FT DEARBORN AFTER TAX"</f>
        <v>AP - FT DEARBORN AFTER TAX</v>
      </c>
      <c r="H1628" s="2">
        <v>87.75</v>
      </c>
      <c r="I1628" t="str">
        <f>"AP - FT DEARBORN AFTER TAX"</f>
        <v>AP - FT DEARBORN AFTER TAX</v>
      </c>
    </row>
    <row r="1629" spans="1:9" x14ac:dyDescent="0.3">
      <c r="A1629" t="str">
        <f>""</f>
        <v/>
      </c>
      <c r="F1629" t="str">
        <f>"FLX201705172285"</f>
        <v>FLX201705172285</v>
      </c>
      <c r="G1629" t="str">
        <f>"AP - TEX FLEX"</f>
        <v>AP - TEX FLEX</v>
      </c>
      <c r="H1629" s="2">
        <v>364</v>
      </c>
      <c r="I1629" t="str">
        <f>"AP - TEX FLEX"</f>
        <v>AP - TEX FLEX</v>
      </c>
    </row>
    <row r="1630" spans="1:9" x14ac:dyDescent="0.3">
      <c r="A1630" t="str">
        <f>""</f>
        <v/>
      </c>
      <c r="F1630" t="str">
        <f>"MHS201705172285"</f>
        <v>MHS201705172285</v>
      </c>
      <c r="G1630" t="str">
        <f>"AP - HEALTH SELECT MEDICAL"</f>
        <v>AP - HEALTH SELECT MEDICAL</v>
      </c>
      <c r="H1630" s="2">
        <v>1951.32</v>
      </c>
      <c r="I1630" t="str">
        <f>"AP - HEALTH SELECT MEDICAL"</f>
        <v>AP - HEALTH SELECT MEDICAL</v>
      </c>
    </row>
    <row r="1631" spans="1:9" x14ac:dyDescent="0.3">
      <c r="A1631" t="str">
        <f>""</f>
        <v/>
      </c>
      <c r="F1631" t="str">
        <f>"MSW201705172285"</f>
        <v>MSW201705172285</v>
      </c>
      <c r="G1631" t="str">
        <f>"AP - SCOTT &amp; WHITE MEDICAL"</f>
        <v>AP - SCOTT &amp; WHITE MEDICAL</v>
      </c>
      <c r="H1631" s="2">
        <v>291.82</v>
      </c>
      <c r="I1631" t="str">
        <f>"AP - SCOTT &amp; WHITE MEDICAL"</f>
        <v>AP - SCOTT &amp; WHITE MEDICAL</v>
      </c>
    </row>
    <row r="1632" spans="1:9" x14ac:dyDescent="0.3">
      <c r="A1632" t="str">
        <f>""</f>
        <v/>
      </c>
      <c r="F1632" t="str">
        <f>"SPE201705172285"</f>
        <v>SPE201705172285</v>
      </c>
      <c r="G1632" t="str">
        <f>"AP - STATE VISION"</f>
        <v>AP - STATE VISION</v>
      </c>
      <c r="H1632" s="2">
        <v>13.4</v>
      </c>
      <c r="I1632" t="str">
        <f>"AP - STATE VISION"</f>
        <v>AP - STATE VISION</v>
      </c>
    </row>
    <row r="1633" spans="1:9" x14ac:dyDescent="0.3">
      <c r="A1633" t="str">
        <f>"COLONI"</f>
        <v>COLONI</v>
      </c>
      <c r="B1633" t="s">
        <v>502</v>
      </c>
      <c r="C1633">
        <v>0</v>
      </c>
      <c r="D1633" s="2">
        <v>4906.3999999999996</v>
      </c>
      <c r="E1633" s="1">
        <v>42881</v>
      </c>
      <c r="F1633" t="str">
        <f>"CL 201705021588"</f>
        <v>CL 201705021588</v>
      </c>
      <c r="G1633" t="str">
        <f t="shared" ref="G1633:G1652" si="13">"COLONIAL"</f>
        <v>COLONIAL</v>
      </c>
      <c r="H1633" s="2">
        <v>14.49</v>
      </c>
      <c r="I1633" t="str">
        <f t="shared" ref="I1633:I1652" si="14">"COLONIAL"</f>
        <v>COLONIAL</v>
      </c>
    </row>
    <row r="1634" spans="1:9" x14ac:dyDescent="0.3">
      <c r="A1634" t="str">
        <f>""</f>
        <v/>
      </c>
      <c r="F1634" t="str">
        <f>"CL 201705021643"</f>
        <v>CL 201705021643</v>
      </c>
      <c r="G1634" t="str">
        <f t="shared" si="13"/>
        <v>COLONIAL</v>
      </c>
      <c r="H1634" s="2">
        <v>774.21</v>
      </c>
      <c r="I1634" t="str">
        <f t="shared" si="14"/>
        <v>COLONIAL</v>
      </c>
    </row>
    <row r="1635" spans="1:9" x14ac:dyDescent="0.3">
      <c r="A1635" t="str">
        <f>""</f>
        <v/>
      </c>
      <c r="F1635" t="str">
        <f>"CL 201705172283"</f>
        <v>CL 201705172283</v>
      </c>
      <c r="G1635" t="str">
        <f t="shared" si="13"/>
        <v>COLONIAL</v>
      </c>
      <c r="H1635" s="2">
        <v>774.21</v>
      </c>
      <c r="I1635" t="str">
        <f t="shared" si="14"/>
        <v>COLONIAL</v>
      </c>
    </row>
    <row r="1636" spans="1:9" x14ac:dyDescent="0.3">
      <c r="A1636" t="str">
        <f>""</f>
        <v/>
      </c>
      <c r="F1636" t="str">
        <f>"CL 201705172284"</f>
        <v>CL 201705172284</v>
      </c>
      <c r="G1636" t="str">
        <f t="shared" si="13"/>
        <v>COLONIAL</v>
      </c>
      <c r="H1636" s="2">
        <v>14.49</v>
      </c>
      <c r="I1636" t="str">
        <f t="shared" si="14"/>
        <v>COLONIAL</v>
      </c>
    </row>
    <row r="1637" spans="1:9" x14ac:dyDescent="0.3">
      <c r="A1637" t="str">
        <f>""</f>
        <v/>
      </c>
      <c r="F1637" t="str">
        <f>"CLC201705021643"</f>
        <v>CLC201705021643</v>
      </c>
      <c r="G1637" t="str">
        <f t="shared" si="13"/>
        <v>COLONIAL</v>
      </c>
      <c r="H1637" s="2">
        <v>100.6</v>
      </c>
      <c r="I1637" t="str">
        <f t="shared" si="14"/>
        <v>COLONIAL</v>
      </c>
    </row>
    <row r="1638" spans="1:9" x14ac:dyDescent="0.3">
      <c r="A1638" t="str">
        <f>""</f>
        <v/>
      </c>
      <c r="F1638" t="str">
        <f>"CLC201705172283"</f>
        <v>CLC201705172283</v>
      </c>
      <c r="G1638" t="str">
        <f t="shared" si="13"/>
        <v>COLONIAL</v>
      </c>
      <c r="H1638" s="2">
        <v>100.6</v>
      </c>
      <c r="I1638" t="str">
        <f t="shared" si="14"/>
        <v>COLONIAL</v>
      </c>
    </row>
    <row r="1639" spans="1:9" x14ac:dyDescent="0.3">
      <c r="A1639" t="str">
        <f>""</f>
        <v/>
      </c>
      <c r="F1639" t="str">
        <f>"CLI201705021643"</f>
        <v>CLI201705021643</v>
      </c>
      <c r="G1639" t="str">
        <f t="shared" si="13"/>
        <v>COLONIAL</v>
      </c>
      <c r="H1639" s="2">
        <v>491.71</v>
      </c>
      <c r="I1639" t="str">
        <f t="shared" si="14"/>
        <v>COLONIAL</v>
      </c>
    </row>
    <row r="1640" spans="1:9" x14ac:dyDescent="0.3">
      <c r="A1640" t="str">
        <f>""</f>
        <v/>
      </c>
      <c r="F1640" t="str">
        <f>"CLI201705172283"</f>
        <v>CLI201705172283</v>
      </c>
      <c r="G1640" t="str">
        <f t="shared" si="13"/>
        <v>COLONIAL</v>
      </c>
      <c r="H1640" s="2">
        <v>491.71</v>
      </c>
      <c r="I1640" t="str">
        <f t="shared" si="14"/>
        <v>COLONIAL</v>
      </c>
    </row>
    <row r="1641" spans="1:9" x14ac:dyDescent="0.3">
      <c r="A1641" t="str">
        <f>""</f>
        <v/>
      </c>
      <c r="F1641" t="str">
        <f>"CLK201705021643"</f>
        <v>CLK201705021643</v>
      </c>
      <c r="G1641" t="str">
        <f t="shared" si="13"/>
        <v>COLONIAL</v>
      </c>
      <c r="H1641" s="2">
        <v>27.09</v>
      </c>
      <c r="I1641" t="str">
        <f t="shared" si="14"/>
        <v>COLONIAL</v>
      </c>
    </row>
    <row r="1642" spans="1:9" x14ac:dyDescent="0.3">
      <c r="A1642" t="str">
        <f>""</f>
        <v/>
      </c>
      <c r="F1642" t="str">
        <f>"CLK201705172283"</f>
        <v>CLK201705172283</v>
      </c>
      <c r="G1642" t="str">
        <f t="shared" si="13"/>
        <v>COLONIAL</v>
      </c>
      <c r="H1642" s="2">
        <v>27.09</v>
      </c>
      <c r="I1642" t="str">
        <f t="shared" si="14"/>
        <v>COLONIAL</v>
      </c>
    </row>
    <row r="1643" spans="1:9" x14ac:dyDescent="0.3">
      <c r="A1643" t="str">
        <f>""</f>
        <v/>
      </c>
      <c r="F1643" t="str">
        <f>"CLS201705021588"</f>
        <v>CLS201705021588</v>
      </c>
      <c r="G1643" t="str">
        <f t="shared" si="13"/>
        <v>COLONIAL</v>
      </c>
      <c r="H1643" s="2">
        <v>22.47</v>
      </c>
      <c r="I1643" t="str">
        <f t="shared" si="14"/>
        <v>COLONIAL</v>
      </c>
    </row>
    <row r="1644" spans="1:9" x14ac:dyDescent="0.3">
      <c r="A1644" t="str">
        <f>""</f>
        <v/>
      </c>
      <c r="F1644" t="str">
        <f>"CLS201705021643"</f>
        <v>CLS201705021643</v>
      </c>
      <c r="G1644" t="str">
        <f t="shared" si="13"/>
        <v>COLONIAL</v>
      </c>
      <c r="H1644" s="2">
        <v>340.22</v>
      </c>
      <c r="I1644" t="str">
        <f t="shared" si="14"/>
        <v>COLONIAL</v>
      </c>
    </row>
    <row r="1645" spans="1:9" x14ac:dyDescent="0.3">
      <c r="A1645" t="str">
        <f>""</f>
        <v/>
      </c>
      <c r="F1645" t="str">
        <f>"CLS201705172283"</f>
        <v>CLS201705172283</v>
      </c>
      <c r="G1645" t="str">
        <f t="shared" si="13"/>
        <v>COLONIAL</v>
      </c>
      <c r="H1645" s="2">
        <v>340.22</v>
      </c>
      <c r="I1645" t="str">
        <f t="shared" si="14"/>
        <v>COLONIAL</v>
      </c>
    </row>
    <row r="1646" spans="1:9" x14ac:dyDescent="0.3">
      <c r="A1646" t="str">
        <f>""</f>
        <v/>
      </c>
      <c r="F1646" t="str">
        <f>"CLS201705172284"</f>
        <v>CLS201705172284</v>
      </c>
      <c r="G1646" t="str">
        <f t="shared" si="13"/>
        <v>COLONIAL</v>
      </c>
      <c r="H1646" s="2">
        <v>22.47</v>
      </c>
      <c r="I1646" t="str">
        <f t="shared" si="14"/>
        <v>COLONIAL</v>
      </c>
    </row>
    <row r="1647" spans="1:9" x14ac:dyDescent="0.3">
      <c r="A1647" t="str">
        <f>""</f>
        <v/>
      </c>
      <c r="F1647" t="str">
        <f>"CLT201705021643"</f>
        <v>CLT201705021643</v>
      </c>
      <c r="G1647" t="str">
        <f t="shared" si="13"/>
        <v>COLONIAL</v>
      </c>
      <c r="H1647" s="2">
        <v>402.75</v>
      </c>
      <c r="I1647" t="str">
        <f t="shared" si="14"/>
        <v>COLONIAL</v>
      </c>
    </row>
    <row r="1648" spans="1:9" x14ac:dyDescent="0.3">
      <c r="A1648" t="str">
        <f>""</f>
        <v/>
      </c>
      <c r="F1648" t="str">
        <f>"CLT201705172283"</f>
        <v>CLT201705172283</v>
      </c>
      <c r="G1648" t="str">
        <f t="shared" si="13"/>
        <v>COLONIAL</v>
      </c>
      <c r="H1648" s="2">
        <v>402.75</v>
      </c>
      <c r="I1648" t="str">
        <f t="shared" si="14"/>
        <v>COLONIAL</v>
      </c>
    </row>
    <row r="1649" spans="1:9" x14ac:dyDescent="0.3">
      <c r="A1649" t="str">
        <f>""</f>
        <v/>
      </c>
      <c r="F1649" t="str">
        <f>"CLU201705021643"</f>
        <v>CLU201705021643</v>
      </c>
      <c r="G1649" t="str">
        <f t="shared" si="13"/>
        <v>COLONIAL</v>
      </c>
      <c r="H1649" s="2">
        <v>236.1</v>
      </c>
      <c r="I1649" t="str">
        <f t="shared" si="14"/>
        <v>COLONIAL</v>
      </c>
    </row>
    <row r="1650" spans="1:9" x14ac:dyDescent="0.3">
      <c r="A1650" t="str">
        <f>""</f>
        <v/>
      </c>
      <c r="F1650" t="str">
        <f>"CLU201705172283"</f>
        <v>CLU201705172283</v>
      </c>
      <c r="G1650" t="str">
        <f t="shared" si="13"/>
        <v>COLONIAL</v>
      </c>
      <c r="H1650" s="2">
        <v>236.1</v>
      </c>
      <c r="I1650" t="str">
        <f t="shared" si="14"/>
        <v>COLONIAL</v>
      </c>
    </row>
    <row r="1651" spans="1:9" x14ac:dyDescent="0.3">
      <c r="A1651" t="str">
        <f>""</f>
        <v/>
      </c>
      <c r="F1651" t="str">
        <f>"CLW201705021643"</f>
        <v>CLW201705021643</v>
      </c>
      <c r="G1651" t="str">
        <f t="shared" si="13"/>
        <v>COLONIAL</v>
      </c>
      <c r="H1651" s="2">
        <v>43.56</v>
      </c>
      <c r="I1651" t="str">
        <f t="shared" si="14"/>
        <v>COLONIAL</v>
      </c>
    </row>
    <row r="1652" spans="1:9" x14ac:dyDescent="0.3">
      <c r="A1652" t="str">
        <f>""</f>
        <v/>
      </c>
      <c r="F1652" t="str">
        <f>"CLW201705172283"</f>
        <v>CLW201705172283</v>
      </c>
      <c r="G1652" t="str">
        <f t="shared" si="13"/>
        <v>COLONIAL</v>
      </c>
      <c r="H1652" s="2">
        <v>43.56</v>
      </c>
      <c r="I1652" t="str">
        <f t="shared" si="14"/>
        <v>COLONIAL</v>
      </c>
    </row>
    <row r="1653" spans="1:9" x14ac:dyDescent="0.3">
      <c r="A1653" t="str">
        <f>"T14390"</f>
        <v>T14390</v>
      </c>
      <c r="B1653" t="s">
        <v>125</v>
      </c>
      <c r="C1653">
        <v>0</v>
      </c>
      <c r="D1653" s="2">
        <v>7174.34</v>
      </c>
      <c r="E1653" s="1">
        <v>42860</v>
      </c>
      <c r="F1653" t="str">
        <f>"CPI201705021588"</f>
        <v>CPI201705021588</v>
      </c>
      <c r="G1653" t="str">
        <f>"DEFERRED COMP 457B PAYABLE"</f>
        <v>DEFERRED COMP 457B PAYABLE</v>
      </c>
      <c r="H1653" s="2">
        <v>107.5</v>
      </c>
      <c r="I1653" t="str">
        <f>"DEFERRED COMP 457B PAYABLE"</f>
        <v>DEFERRED COMP 457B PAYABLE</v>
      </c>
    </row>
    <row r="1654" spans="1:9" x14ac:dyDescent="0.3">
      <c r="A1654" t="str">
        <f>""</f>
        <v/>
      </c>
      <c r="F1654" t="str">
        <f>"CPI201705021643"</f>
        <v>CPI201705021643</v>
      </c>
      <c r="G1654" t="str">
        <f>"DEFERRED COMP 457B PAYABLE"</f>
        <v>DEFERRED COMP 457B PAYABLE</v>
      </c>
      <c r="H1654" s="2">
        <v>7066.84</v>
      </c>
      <c r="I1654" t="str">
        <f>"DEFERRED COMP 457B PAYABLE"</f>
        <v>DEFERRED COMP 457B PAYABLE</v>
      </c>
    </row>
    <row r="1655" spans="1:9" x14ac:dyDescent="0.3">
      <c r="A1655" t="str">
        <f>"T14390"</f>
        <v>T14390</v>
      </c>
      <c r="B1655" t="s">
        <v>125</v>
      </c>
      <c r="C1655">
        <v>0</v>
      </c>
      <c r="D1655" s="2">
        <v>7174.34</v>
      </c>
      <c r="E1655" s="1">
        <v>42874</v>
      </c>
      <c r="F1655" t="str">
        <f>"CPI201705172283"</f>
        <v>CPI201705172283</v>
      </c>
      <c r="G1655" t="str">
        <f>"DEFERRED COMP 457B PAYABLE"</f>
        <v>DEFERRED COMP 457B PAYABLE</v>
      </c>
      <c r="H1655" s="2">
        <v>7066.84</v>
      </c>
      <c r="I1655" t="str">
        <f>"DEFERRED COMP 457B PAYABLE"</f>
        <v>DEFERRED COMP 457B PAYABLE</v>
      </c>
    </row>
    <row r="1656" spans="1:9" x14ac:dyDescent="0.3">
      <c r="A1656" t="str">
        <f>""</f>
        <v/>
      </c>
      <c r="F1656" t="str">
        <f>"CPI201705172284"</f>
        <v>CPI201705172284</v>
      </c>
      <c r="G1656" t="str">
        <f>"DEFERRED COMP 457B PAYABLE"</f>
        <v>DEFERRED COMP 457B PAYABLE</v>
      </c>
      <c r="H1656" s="2">
        <v>107.5</v>
      </c>
      <c r="I1656" t="str">
        <f>"DEFERRED COMP 457B PAYABLE"</f>
        <v>DEFERRED COMP 457B PAYABLE</v>
      </c>
    </row>
    <row r="1657" spans="1:9" x14ac:dyDescent="0.3">
      <c r="A1657" t="str">
        <f>"T10761"</f>
        <v>T10761</v>
      </c>
      <c r="B1657" t="s">
        <v>503</v>
      </c>
      <c r="C1657">
        <v>45563</v>
      </c>
      <c r="D1657" s="2">
        <v>1345.62</v>
      </c>
      <c r="E1657" s="1">
        <v>42860</v>
      </c>
      <c r="F1657" t="str">
        <f>"B13201705021643"</f>
        <v>B13201705021643</v>
      </c>
      <c r="G1657" t="str">
        <f>"Rosa Warren 15-10357-TMD"</f>
        <v>Rosa Warren 15-10357-TMD</v>
      </c>
      <c r="H1657" s="2">
        <v>853.85</v>
      </c>
      <c r="I1657" t="str">
        <f>"Rosa Warren 15-10357-TMD"</f>
        <v>Rosa Warren 15-10357-TMD</v>
      </c>
    </row>
    <row r="1658" spans="1:9" x14ac:dyDescent="0.3">
      <c r="A1658" t="str">
        <f>""</f>
        <v/>
      </c>
      <c r="F1658" t="str">
        <f>"BJL201705021643"</f>
        <v>BJL201705021643</v>
      </c>
      <c r="G1658" t="str">
        <f>"Julian Luna 14-10230-TMD"</f>
        <v>Julian Luna 14-10230-TMD</v>
      </c>
      <c r="H1658" s="2">
        <v>491.77</v>
      </c>
      <c r="I1658" t="str">
        <f>"Julian Luna 14-10230-TMD"</f>
        <v>Julian Luna 14-10230-TMD</v>
      </c>
    </row>
    <row r="1659" spans="1:9" x14ac:dyDescent="0.3">
      <c r="A1659" t="str">
        <f>"T10761"</f>
        <v>T10761</v>
      </c>
      <c r="B1659" t="s">
        <v>503</v>
      </c>
      <c r="C1659">
        <v>45608</v>
      </c>
      <c r="D1659" s="2">
        <v>1345.62</v>
      </c>
      <c r="E1659" s="1">
        <v>42874</v>
      </c>
      <c r="F1659" t="str">
        <f>"B13201705172283"</f>
        <v>B13201705172283</v>
      </c>
      <c r="G1659" t="str">
        <f>"Rosa Warren 15-10357-TMD"</f>
        <v>Rosa Warren 15-10357-TMD</v>
      </c>
      <c r="H1659" s="2">
        <v>853.85</v>
      </c>
      <c r="I1659" t="str">
        <f>"Rosa Warren 15-10357-TMD"</f>
        <v>Rosa Warren 15-10357-TMD</v>
      </c>
    </row>
    <row r="1660" spans="1:9" x14ac:dyDescent="0.3">
      <c r="A1660" t="str">
        <f>""</f>
        <v/>
      </c>
      <c r="F1660" t="str">
        <f>"BJL201705172283"</f>
        <v>BJL201705172283</v>
      </c>
      <c r="G1660" t="str">
        <f>"Julian Luna 14-10230-TMD"</f>
        <v>Julian Luna 14-10230-TMD</v>
      </c>
      <c r="H1660" s="2">
        <v>491.77</v>
      </c>
      <c r="I1660" t="str">
        <f>"Julian Luna 14-10230-TMD"</f>
        <v>Julian Luna 14-10230-TMD</v>
      </c>
    </row>
    <row r="1661" spans="1:9" x14ac:dyDescent="0.3">
      <c r="A1661" t="str">
        <f>"GUARD"</f>
        <v>GUARD</v>
      </c>
      <c r="B1661" t="s">
        <v>504</v>
      </c>
      <c r="C1661">
        <v>0</v>
      </c>
      <c r="D1661" s="2">
        <v>36844.050000000003</v>
      </c>
      <c r="E1661" s="1">
        <v>42881</v>
      </c>
      <c r="F1661" t="str">
        <f>"201705232293"</f>
        <v>201705232293</v>
      </c>
      <c r="G1661" t="str">
        <f>"Dental Rounding May 2017"</f>
        <v>Dental Rounding May 2017</v>
      </c>
      <c r="H1661" s="2">
        <v>-5.7</v>
      </c>
      <c r="I1661" t="str">
        <f>"Dental Rounding May 2017"</f>
        <v>Dental Rounding May 2017</v>
      </c>
    </row>
    <row r="1662" spans="1:9" x14ac:dyDescent="0.3">
      <c r="A1662" t="str">
        <f>""</f>
        <v/>
      </c>
      <c r="F1662" t="str">
        <f>"201705232295"</f>
        <v>201705232295</v>
      </c>
      <c r="G1662" t="str">
        <f>"Life Ins Rounding May 2017"</f>
        <v>Life Ins Rounding May 2017</v>
      </c>
      <c r="H1662" s="2">
        <v>-0.28999999999999998</v>
      </c>
      <c r="I1662" t="str">
        <f>"GUARDIAN"</f>
        <v>GUARDIAN</v>
      </c>
    </row>
    <row r="1663" spans="1:9" x14ac:dyDescent="0.3">
      <c r="A1663" t="str">
        <f>""</f>
        <v/>
      </c>
      <c r="F1663" t="str">
        <f>"201705232291"</f>
        <v>201705232291</v>
      </c>
      <c r="G1663" t="str">
        <f>"Retiree May 2017"</f>
        <v>Retiree May 2017</v>
      </c>
      <c r="H1663" s="2">
        <v>2851.35</v>
      </c>
      <c r="I1663" t="str">
        <f>"Retiree May 2017"</f>
        <v>Retiree May 2017</v>
      </c>
    </row>
    <row r="1664" spans="1:9" x14ac:dyDescent="0.3">
      <c r="A1664" t="str">
        <f>""</f>
        <v/>
      </c>
      <c r="F1664" t="str">
        <f>"201705232292"</f>
        <v>201705232292</v>
      </c>
      <c r="G1664" t="str">
        <f>"COBRA coverage"</f>
        <v>COBRA coverage</v>
      </c>
      <c r="H1664" s="2">
        <v>36.96</v>
      </c>
      <c r="I1664" t="str">
        <f>"COBRA coverage"</f>
        <v>COBRA coverage</v>
      </c>
    </row>
    <row r="1665" spans="1:9" x14ac:dyDescent="0.3">
      <c r="A1665" t="str">
        <f>""</f>
        <v/>
      </c>
      <c r="F1665" t="str">
        <f>"201705232294"</f>
        <v>201705232294</v>
      </c>
      <c r="G1665" t="str">
        <f>"Retiree Life coverage may 2017"</f>
        <v>Retiree Life coverage may 2017</v>
      </c>
      <c r="H1665" s="2">
        <v>151.07</v>
      </c>
      <c r="I1665" t="str">
        <f>"Retiree Life coverage may 2017"</f>
        <v>Retiree Life coverage may 2017</v>
      </c>
    </row>
    <row r="1666" spans="1:9" x14ac:dyDescent="0.3">
      <c r="A1666" t="str">
        <f>""</f>
        <v/>
      </c>
      <c r="F1666" t="str">
        <f>"201705232296"</f>
        <v>201705232296</v>
      </c>
      <c r="G1666" t="str">
        <f>"LTD rounding May 2017"</f>
        <v>LTD rounding May 2017</v>
      </c>
      <c r="H1666" s="2">
        <v>0.08</v>
      </c>
      <c r="I1666" t="str">
        <f>"LTD rounding May 2017"</f>
        <v>LTD rounding May 2017</v>
      </c>
    </row>
    <row r="1667" spans="1:9" x14ac:dyDescent="0.3">
      <c r="A1667" t="str">
        <f>""</f>
        <v/>
      </c>
      <c r="F1667" t="str">
        <f>"ADC201705021588"</f>
        <v>ADC201705021588</v>
      </c>
      <c r="G1667" t="str">
        <f t="shared" ref="G1667:G1679" si="15">"GUARDIAN"</f>
        <v>GUARDIAN</v>
      </c>
      <c r="H1667" s="2">
        <v>0.16</v>
      </c>
      <c r="I1667" t="str">
        <f t="shared" ref="I1667:I1730" si="16">"GUARDIAN"</f>
        <v>GUARDIAN</v>
      </c>
    </row>
    <row r="1668" spans="1:9" x14ac:dyDescent="0.3">
      <c r="A1668" t="str">
        <f>""</f>
        <v/>
      </c>
      <c r="F1668" t="str">
        <f>"ADC201705021643"</f>
        <v>ADC201705021643</v>
      </c>
      <c r="G1668" t="str">
        <f t="shared" si="15"/>
        <v>GUARDIAN</v>
      </c>
      <c r="H1668" s="2">
        <v>5.53</v>
      </c>
      <c r="I1668" t="str">
        <f t="shared" si="16"/>
        <v>GUARDIAN</v>
      </c>
    </row>
    <row r="1669" spans="1:9" x14ac:dyDescent="0.3">
      <c r="A1669" t="str">
        <f>""</f>
        <v/>
      </c>
      <c r="F1669" t="str">
        <f>"ADC201705172283"</f>
        <v>ADC201705172283</v>
      </c>
      <c r="G1669" t="str">
        <f t="shared" si="15"/>
        <v>GUARDIAN</v>
      </c>
      <c r="H1669" s="2">
        <v>5.53</v>
      </c>
      <c r="I1669" t="str">
        <f t="shared" si="16"/>
        <v>GUARDIAN</v>
      </c>
    </row>
    <row r="1670" spans="1:9" x14ac:dyDescent="0.3">
      <c r="A1670" t="str">
        <f>""</f>
        <v/>
      </c>
      <c r="F1670" t="str">
        <f>"ADC201705172284"</f>
        <v>ADC201705172284</v>
      </c>
      <c r="G1670" t="str">
        <f t="shared" si="15"/>
        <v>GUARDIAN</v>
      </c>
      <c r="H1670" s="2">
        <v>0.16</v>
      </c>
      <c r="I1670" t="str">
        <f t="shared" si="16"/>
        <v>GUARDIAN</v>
      </c>
    </row>
    <row r="1671" spans="1:9" x14ac:dyDescent="0.3">
      <c r="A1671" t="str">
        <f>""</f>
        <v/>
      </c>
      <c r="F1671" t="str">
        <f>"ADE201705021588"</f>
        <v>ADE201705021588</v>
      </c>
      <c r="G1671" t="str">
        <f t="shared" si="15"/>
        <v>GUARDIAN</v>
      </c>
      <c r="H1671" s="2">
        <v>6.6</v>
      </c>
      <c r="I1671" t="str">
        <f t="shared" si="16"/>
        <v>GUARDIAN</v>
      </c>
    </row>
    <row r="1672" spans="1:9" x14ac:dyDescent="0.3">
      <c r="A1672" t="str">
        <f>""</f>
        <v/>
      </c>
      <c r="F1672" t="str">
        <f>"ADE201705021643"</f>
        <v>ADE201705021643</v>
      </c>
      <c r="G1672" t="str">
        <f t="shared" si="15"/>
        <v>GUARDIAN</v>
      </c>
      <c r="H1672" s="2">
        <v>212.34</v>
      </c>
      <c r="I1672" t="str">
        <f t="shared" si="16"/>
        <v>GUARDIAN</v>
      </c>
    </row>
    <row r="1673" spans="1:9" x14ac:dyDescent="0.3">
      <c r="A1673" t="str">
        <f>""</f>
        <v/>
      </c>
      <c r="F1673" t="str">
        <f>"ADE201705172283"</f>
        <v>ADE201705172283</v>
      </c>
      <c r="G1673" t="str">
        <f t="shared" si="15"/>
        <v>GUARDIAN</v>
      </c>
      <c r="H1673" s="2">
        <v>212.34</v>
      </c>
      <c r="I1673" t="str">
        <f t="shared" si="16"/>
        <v>GUARDIAN</v>
      </c>
    </row>
    <row r="1674" spans="1:9" x14ac:dyDescent="0.3">
      <c r="A1674" t="str">
        <f>""</f>
        <v/>
      </c>
      <c r="F1674" t="str">
        <f>"ADE201705172284"</f>
        <v>ADE201705172284</v>
      </c>
      <c r="G1674" t="str">
        <f t="shared" si="15"/>
        <v>GUARDIAN</v>
      </c>
      <c r="H1674" s="2">
        <v>6.6</v>
      </c>
      <c r="I1674" t="str">
        <f t="shared" si="16"/>
        <v>GUARDIAN</v>
      </c>
    </row>
    <row r="1675" spans="1:9" x14ac:dyDescent="0.3">
      <c r="A1675" t="str">
        <f>""</f>
        <v/>
      </c>
      <c r="F1675" t="str">
        <f>"ADS201705021588"</f>
        <v>ADS201705021588</v>
      </c>
      <c r="G1675" t="str">
        <f t="shared" si="15"/>
        <v>GUARDIAN</v>
      </c>
      <c r="H1675" s="2">
        <v>0.98</v>
      </c>
      <c r="I1675" t="str">
        <f t="shared" si="16"/>
        <v>GUARDIAN</v>
      </c>
    </row>
    <row r="1676" spans="1:9" x14ac:dyDescent="0.3">
      <c r="A1676" t="str">
        <f>""</f>
        <v/>
      </c>
      <c r="F1676" t="str">
        <f>"ADS201705021643"</f>
        <v>ADS201705021643</v>
      </c>
      <c r="G1676" t="str">
        <f t="shared" si="15"/>
        <v>GUARDIAN</v>
      </c>
      <c r="H1676" s="2">
        <v>35.14</v>
      </c>
      <c r="I1676" t="str">
        <f t="shared" si="16"/>
        <v>GUARDIAN</v>
      </c>
    </row>
    <row r="1677" spans="1:9" x14ac:dyDescent="0.3">
      <c r="A1677" t="str">
        <f>""</f>
        <v/>
      </c>
      <c r="F1677" t="str">
        <f>"ADS201705172283"</f>
        <v>ADS201705172283</v>
      </c>
      <c r="G1677" t="str">
        <f t="shared" si="15"/>
        <v>GUARDIAN</v>
      </c>
      <c r="H1677" s="2">
        <v>35.14</v>
      </c>
      <c r="I1677" t="str">
        <f t="shared" si="16"/>
        <v>GUARDIAN</v>
      </c>
    </row>
    <row r="1678" spans="1:9" x14ac:dyDescent="0.3">
      <c r="A1678" t="str">
        <f>""</f>
        <v/>
      </c>
      <c r="F1678" t="str">
        <f>"ADS201705172284"</f>
        <v>ADS201705172284</v>
      </c>
      <c r="G1678" t="str">
        <f t="shared" si="15"/>
        <v>GUARDIAN</v>
      </c>
      <c r="H1678" s="2">
        <v>0.98</v>
      </c>
      <c r="I1678" t="str">
        <f t="shared" si="16"/>
        <v>GUARDIAN</v>
      </c>
    </row>
    <row r="1679" spans="1:9" x14ac:dyDescent="0.3">
      <c r="A1679" t="str">
        <f>""</f>
        <v/>
      </c>
      <c r="F1679" t="str">
        <f>"GDC201705021588"</f>
        <v>GDC201705021588</v>
      </c>
      <c r="G1679" t="str">
        <f t="shared" si="15"/>
        <v>GUARDIAN</v>
      </c>
      <c r="H1679" s="2">
        <v>130.6</v>
      </c>
      <c r="I1679" t="str">
        <f t="shared" si="16"/>
        <v>GUARDIAN</v>
      </c>
    </row>
    <row r="1680" spans="1:9" x14ac:dyDescent="0.3">
      <c r="A1680" t="str">
        <f>""</f>
        <v/>
      </c>
      <c r="F1680" t="str">
        <f>""</f>
        <v/>
      </c>
      <c r="G1680" t="str">
        <f>""</f>
        <v/>
      </c>
      <c r="I1680" t="str">
        <f t="shared" si="16"/>
        <v>GUARDIAN</v>
      </c>
    </row>
    <row r="1681" spans="1:9" x14ac:dyDescent="0.3">
      <c r="A1681" t="str">
        <f>""</f>
        <v/>
      </c>
      <c r="F1681" t="str">
        <f>"GDC201705021643"</f>
        <v>GDC201705021643</v>
      </c>
      <c r="G1681" t="str">
        <f>"GUARDIAN"</f>
        <v>GUARDIAN</v>
      </c>
      <c r="H1681" s="2">
        <v>2332.94</v>
      </c>
      <c r="I1681" t="str">
        <f t="shared" si="16"/>
        <v>GUARDIAN</v>
      </c>
    </row>
    <row r="1682" spans="1:9" x14ac:dyDescent="0.3">
      <c r="A1682" t="str">
        <f>""</f>
        <v/>
      </c>
      <c r="F1682" t="str">
        <f>""</f>
        <v/>
      </c>
      <c r="G1682" t="str">
        <f>""</f>
        <v/>
      </c>
      <c r="I1682" t="str">
        <f t="shared" si="16"/>
        <v>GUARDIAN</v>
      </c>
    </row>
    <row r="1683" spans="1:9" x14ac:dyDescent="0.3">
      <c r="A1683" t="str">
        <f>""</f>
        <v/>
      </c>
      <c r="F1683" t="str">
        <f>""</f>
        <v/>
      </c>
      <c r="G1683" t="str">
        <f>""</f>
        <v/>
      </c>
      <c r="I1683" t="str">
        <f t="shared" si="16"/>
        <v>GUARDIAN</v>
      </c>
    </row>
    <row r="1684" spans="1:9" x14ac:dyDescent="0.3">
      <c r="A1684" t="str">
        <f>""</f>
        <v/>
      </c>
      <c r="F1684" t="str">
        <f>""</f>
        <v/>
      </c>
      <c r="G1684" t="str">
        <f>""</f>
        <v/>
      </c>
      <c r="I1684" t="str">
        <f t="shared" si="16"/>
        <v>GUARDIAN</v>
      </c>
    </row>
    <row r="1685" spans="1:9" x14ac:dyDescent="0.3">
      <c r="A1685" t="str">
        <f>""</f>
        <v/>
      </c>
      <c r="F1685" t="str">
        <f>""</f>
        <v/>
      </c>
      <c r="G1685" t="str">
        <f>""</f>
        <v/>
      </c>
      <c r="I1685" t="str">
        <f t="shared" si="16"/>
        <v>GUARDIAN</v>
      </c>
    </row>
    <row r="1686" spans="1:9" x14ac:dyDescent="0.3">
      <c r="A1686" t="str">
        <f>""</f>
        <v/>
      </c>
      <c r="F1686" t="str">
        <f>""</f>
        <v/>
      </c>
      <c r="G1686" t="str">
        <f>""</f>
        <v/>
      </c>
      <c r="I1686" t="str">
        <f t="shared" si="16"/>
        <v>GUARDIAN</v>
      </c>
    </row>
    <row r="1687" spans="1:9" x14ac:dyDescent="0.3">
      <c r="A1687" t="str">
        <f>""</f>
        <v/>
      </c>
      <c r="F1687" t="str">
        <f>""</f>
        <v/>
      </c>
      <c r="G1687" t="str">
        <f>""</f>
        <v/>
      </c>
      <c r="I1687" t="str">
        <f t="shared" si="16"/>
        <v>GUARDIAN</v>
      </c>
    </row>
    <row r="1688" spans="1:9" x14ac:dyDescent="0.3">
      <c r="A1688" t="str">
        <f>""</f>
        <v/>
      </c>
      <c r="F1688" t="str">
        <f>""</f>
        <v/>
      </c>
      <c r="G1688" t="str">
        <f>""</f>
        <v/>
      </c>
      <c r="I1688" t="str">
        <f t="shared" si="16"/>
        <v>GUARDIAN</v>
      </c>
    </row>
    <row r="1689" spans="1:9" x14ac:dyDescent="0.3">
      <c r="A1689" t="str">
        <f>""</f>
        <v/>
      </c>
      <c r="F1689" t="str">
        <f>""</f>
        <v/>
      </c>
      <c r="G1689" t="str">
        <f>""</f>
        <v/>
      </c>
      <c r="I1689" t="str">
        <f t="shared" si="16"/>
        <v>GUARDIAN</v>
      </c>
    </row>
    <row r="1690" spans="1:9" x14ac:dyDescent="0.3">
      <c r="A1690" t="str">
        <f>""</f>
        <v/>
      </c>
      <c r="F1690" t="str">
        <f>""</f>
        <v/>
      </c>
      <c r="G1690" t="str">
        <f>""</f>
        <v/>
      </c>
      <c r="I1690" t="str">
        <f t="shared" si="16"/>
        <v>GUARDIAN</v>
      </c>
    </row>
    <row r="1691" spans="1:9" x14ac:dyDescent="0.3">
      <c r="A1691" t="str">
        <f>""</f>
        <v/>
      </c>
      <c r="F1691" t="str">
        <f>""</f>
        <v/>
      </c>
      <c r="G1691" t="str">
        <f>""</f>
        <v/>
      </c>
      <c r="I1691" t="str">
        <f t="shared" si="16"/>
        <v>GUARDIAN</v>
      </c>
    </row>
    <row r="1692" spans="1:9" x14ac:dyDescent="0.3">
      <c r="A1692" t="str">
        <f>""</f>
        <v/>
      </c>
      <c r="F1692" t="str">
        <f>""</f>
        <v/>
      </c>
      <c r="G1692" t="str">
        <f>""</f>
        <v/>
      </c>
      <c r="I1692" t="str">
        <f t="shared" si="16"/>
        <v>GUARDIAN</v>
      </c>
    </row>
    <row r="1693" spans="1:9" x14ac:dyDescent="0.3">
      <c r="A1693" t="str">
        <f>""</f>
        <v/>
      </c>
      <c r="F1693" t="str">
        <f>""</f>
        <v/>
      </c>
      <c r="G1693" t="str">
        <f>""</f>
        <v/>
      </c>
      <c r="I1693" t="str">
        <f t="shared" si="16"/>
        <v>GUARDIAN</v>
      </c>
    </row>
    <row r="1694" spans="1:9" x14ac:dyDescent="0.3">
      <c r="A1694" t="str">
        <f>""</f>
        <v/>
      </c>
      <c r="F1694" t="str">
        <f>""</f>
        <v/>
      </c>
      <c r="G1694" t="str">
        <f>""</f>
        <v/>
      </c>
      <c r="I1694" t="str">
        <f t="shared" si="16"/>
        <v>GUARDIAN</v>
      </c>
    </row>
    <row r="1695" spans="1:9" x14ac:dyDescent="0.3">
      <c r="A1695" t="str">
        <f>""</f>
        <v/>
      </c>
      <c r="F1695" t="str">
        <f>""</f>
        <v/>
      </c>
      <c r="G1695" t="str">
        <f>""</f>
        <v/>
      </c>
      <c r="I1695" t="str">
        <f t="shared" si="16"/>
        <v>GUARDIAN</v>
      </c>
    </row>
    <row r="1696" spans="1:9" x14ac:dyDescent="0.3">
      <c r="A1696" t="str">
        <f>""</f>
        <v/>
      </c>
      <c r="F1696" t="str">
        <f>""</f>
        <v/>
      </c>
      <c r="G1696" t="str">
        <f>""</f>
        <v/>
      </c>
      <c r="I1696" t="str">
        <f t="shared" si="16"/>
        <v>GUARDIAN</v>
      </c>
    </row>
    <row r="1697" spans="1:9" x14ac:dyDescent="0.3">
      <c r="A1697" t="str">
        <f>""</f>
        <v/>
      </c>
      <c r="F1697" t="str">
        <f>""</f>
        <v/>
      </c>
      <c r="G1697" t="str">
        <f>""</f>
        <v/>
      </c>
      <c r="I1697" t="str">
        <f t="shared" si="16"/>
        <v>GUARDIAN</v>
      </c>
    </row>
    <row r="1698" spans="1:9" x14ac:dyDescent="0.3">
      <c r="A1698" t="str">
        <f>""</f>
        <v/>
      </c>
      <c r="F1698" t="str">
        <f>""</f>
        <v/>
      </c>
      <c r="G1698" t="str">
        <f>""</f>
        <v/>
      </c>
      <c r="I1698" t="str">
        <f t="shared" si="16"/>
        <v>GUARDIAN</v>
      </c>
    </row>
    <row r="1699" spans="1:9" x14ac:dyDescent="0.3">
      <c r="A1699" t="str">
        <f>""</f>
        <v/>
      </c>
      <c r="F1699" t="str">
        <f>""</f>
        <v/>
      </c>
      <c r="G1699" t="str">
        <f>""</f>
        <v/>
      </c>
      <c r="I1699" t="str">
        <f t="shared" si="16"/>
        <v>GUARDIAN</v>
      </c>
    </row>
    <row r="1700" spans="1:9" x14ac:dyDescent="0.3">
      <c r="A1700" t="str">
        <f>""</f>
        <v/>
      </c>
      <c r="F1700" t="str">
        <f>""</f>
        <v/>
      </c>
      <c r="G1700" t="str">
        <f>""</f>
        <v/>
      </c>
      <c r="I1700" t="str">
        <f t="shared" si="16"/>
        <v>GUARDIAN</v>
      </c>
    </row>
    <row r="1701" spans="1:9" x14ac:dyDescent="0.3">
      <c r="A1701" t="str">
        <f>""</f>
        <v/>
      </c>
      <c r="F1701" t="str">
        <f>""</f>
        <v/>
      </c>
      <c r="G1701" t="str">
        <f>""</f>
        <v/>
      </c>
      <c r="I1701" t="str">
        <f t="shared" si="16"/>
        <v>GUARDIAN</v>
      </c>
    </row>
    <row r="1702" spans="1:9" x14ac:dyDescent="0.3">
      <c r="A1702" t="str">
        <f>""</f>
        <v/>
      </c>
      <c r="F1702" t="str">
        <f>""</f>
        <v/>
      </c>
      <c r="G1702" t="str">
        <f>""</f>
        <v/>
      </c>
      <c r="I1702" t="str">
        <f t="shared" si="16"/>
        <v>GUARDIAN</v>
      </c>
    </row>
    <row r="1703" spans="1:9" x14ac:dyDescent="0.3">
      <c r="A1703" t="str">
        <f>""</f>
        <v/>
      </c>
      <c r="F1703" t="str">
        <f>""</f>
        <v/>
      </c>
      <c r="G1703" t="str">
        <f>""</f>
        <v/>
      </c>
      <c r="I1703" t="str">
        <f t="shared" si="16"/>
        <v>GUARDIAN</v>
      </c>
    </row>
    <row r="1704" spans="1:9" x14ac:dyDescent="0.3">
      <c r="A1704" t="str">
        <f>""</f>
        <v/>
      </c>
      <c r="F1704" t="str">
        <f>""</f>
        <v/>
      </c>
      <c r="G1704" t="str">
        <f>""</f>
        <v/>
      </c>
      <c r="I1704" t="str">
        <f t="shared" si="16"/>
        <v>GUARDIAN</v>
      </c>
    </row>
    <row r="1705" spans="1:9" x14ac:dyDescent="0.3">
      <c r="A1705" t="str">
        <f>""</f>
        <v/>
      </c>
      <c r="F1705" t="str">
        <f>""</f>
        <v/>
      </c>
      <c r="G1705" t="str">
        <f>""</f>
        <v/>
      </c>
      <c r="I1705" t="str">
        <f t="shared" si="16"/>
        <v>GUARDIAN</v>
      </c>
    </row>
    <row r="1706" spans="1:9" x14ac:dyDescent="0.3">
      <c r="A1706" t="str">
        <f>""</f>
        <v/>
      </c>
      <c r="F1706" t="str">
        <f>""</f>
        <v/>
      </c>
      <c r="G1706" t="str">
        <f>""</f>
        <v/>
      </c>
      <c r="I1706" t="str">
        <f t="shared" si="16"/>
        <v>GUARDIAN</v>
      </c>
    </row>
    <row r="1707" spans="1:9" x14ac:dyDescent="0.3">
      <c r="A1707" t="str">
        <f>""</f>
        <v/>
      </c>
      <c r="F1707" t="str">
        <f>""</f>
        <v/>
      </c>
      <c r="G1707" t="str">
        <f>""</f>
        <v/>
      </c>
      <c r="I1707" t="str">
        <f t="shared" si="16"/>
        <v>GUARDIAN</v>
      </c>
    </row>
    <row r="1708" spans="1:9" x14ac:dyDescent="0.3">
      <c r="A1708" t="str">
        <f>""</f>
        <v/>
      </c>
      <c r="F1708" t="str">
        <f>""</f>
        <v/>
      </c>
      <c r="G1708" t="str">
        <f>""</f>
        <v/>
      </c>
      <c r="I1708" t="str">
        <f t="shared" si="16"/>
        <v>GUARDIAN</v>
      </c>
    </row>
    <row r="1709" spans="1:9" x14ac:dyDescent="0.3">
      <c r="A1709" t="str">
        <f>""</f>
        <v/>
      </c>
      <c r="F1709" t="str">
        <f>""</f>
        <v/>
      </c>
      <c r="G1709" t="str">
        <f>""</f>
        <v/>
      </c>
      <c r="I1709" t="str">
        <f t="shared" si="16"/>
        <v>GUARDIAN</v>
      </c>
    </row>
    <row r="1710" spans="1:9" x14ac:dyDescent="0.3">
      <c r="A1710" t="str">
        <f>""</f>
        <v/>
      </c>
      <c r="F1710" t="str">
        <f>"GDC201705172283"</f>
        <v>GDC201705172283</v>
      </c>
      <c r="G1710" t="str">
        <f>"GUARDIAN"</f>
        <v>GUARDIAN</v>
      </c>
      <c r="H1710" s="2">
        <v>2350.8000000000002</v>
      </c>
      <c r="I1710" t="str">
        <f t="shared" si="16"/>
        <v>GUARDIAN</v>
      </c>
    </row>
    <row r="1711" spans="1:9" x14ac:dyDescent="0.3">
      <c r="A1711" t="str">
        <f>""</f>
        <v/>
      </c>
      <c r="F1711" t="str">
        <f>""</f>
        <v/>
      </c>
      <c r="G1711" t="str">
        <f>""</f>
        <v/>
      </c>
      <c r="I1711" t="str">
        <f t="shared" si="16"/>
        <v>GUARDIAN</v>
      </c>
    </row>
    <row r="1712" spans="1:9" x14ac:dyDescent="0.3">
      <c r="A1712" t="str">
        <f>""</f>
        <v/>
      </c>
      <c r="F1712" t="str">
        <f>""</f>
        <v/>
      </c>
      <c r="G1712" t="str">
        <f>""</f>
        <v/>
      </c>
      <c r="I1712" t="str">
        <f t="shared" si="16"/>
        <v>GUARDIAN</v>
      </c>
    </row>
    <row r="1713" spans="1:9" x14ac:dyDescent="0.3">
      <c r="A1713" t="str">
        <f>""</f>
        <v/>
      </c>
      <c r="F1713" t="str">
        <f>""</f>
        <v/>
      </c>
      <c r="G1713" t="str">
        <f>""</f>
        <v/>
      </c>
      <c r="I1713" t="str">
        <f t="shared" si="16"/>
        <v>GUARDIAN</v>
      </c>
    </row>
    <row r="1714" spans="1:9" x14ac:dyDescent="0.3">
      <c r="A1714" t="str">
        <f>""</f>
        <v/>
      </c>
      <c r="F1714" t="str">
        <f>""</f>
        <v/>
      </c>
      <c r="G1714" t="str">
        <f>""</f>
        <v/>
      </c>
      <c r="I1714" t="str">
        <f t="shared" si="16"/>
        <v>GUARDIAN</v>
      </c>
    </row>
    <row r="1715" spans="1:9" x14ac:dyDescent="0.3">
      <c r="A1715" t="str">
        <f>""</f>
        <v/>
      </c>
      <c r="F1715" t="str">
        <f>""</f>
        <v/>
      </c>
      <c r="G1715" t="str">
        <f>""</f>
        <v/>
      </c>
      <c r="I1715" t="str">
        <f t="shared" si="16"/>
        <v>GUARDIAN</v>
      </c>
    </row>
    <row r="1716" spans="1:9" x14ac:dyDescent="0.3">
      <c r="A1716" t="str">
        <f>""</f>
        <v/>
      </c>
      <c r="F1716" t="str">
        <f>""</f>
        <v/>
      </c>
      <c r="G1716" t="str">
        <f>""</f>
        <v/>
      </c>
      <c r="I1716" t="str">
        <f t="shared" si="16"/>
        <v>GUARDIAN</v>
      </c>
    </row>
    <row r="1717" spans="1:9" x14ac:dyDescent="0.3">
      <c r="A1717" t="str">
        <f>""</f>
        <v/>
      </c>
      <c r="F1717" t="str">
        <f>""</f>
        <v/>
      </c>
      <c r="G1717" t="str">
        <f>""</f>
        <v/>
      </c>
      <c r="I1717" t="str">
        <f t="shared" si="16"/>
        <v>GUARDIAN</v>
      </c>
    </row>
    <row r="1718" spans="1:9" x14ac:dyDescent="0.3">
      <c r="A1718" t="str">
        <f>""</f>
        <v/>
      </c>
      <c r="F1718" t="str">
        <f>""</f>
        <v/>
      </c>
      <c r="G1718" t="str">
        <f>""</f>
        <v/>
      </c>
      <c r="I1718" t="str">
        <f t="shared" si="16"/>
        <v>GUARDIAN</v>
      </c>
    </row>
    <row r="1719" spans="1:9" x14ac:dyDescent="0.3">
      <c r="A1719" t="str">
        <f>""</f>
        <v/>
      </c>
      <c r="F1719" t="str">
        <f>""</f>
        <v/>
      </c>
      <c r="G1719" t="str">
        <f>""</f>
        <v/>
      </c>
      <c r="I1719" t="str">
        <f t="shared" si="16"/>
        <v>GUARDIAN</v>
      </c>
    </row>
    <row r="1720" spans="1:9" x14ac:dyDescent="0.3">
      <c r="A1720" t="str">
        <f>""</f>
        <v/>
      </c>
      <c r="F1720" t="str">
        <f>""</f>
        <v/>
      </c>
      <c r="G1720" t="str">
        <f>""</f>
        <v/>
      </c>
      <c r="I1720" t="str">
        <f t="shared" si="16"/>
        <v>GUARDIAN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 t="shared" si="16"/>
        <v>GUARDIAN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 t="shared" si="16"/>
        <v>GUARDIAN</v>
      </c>
    </row>
    <row r="1723" spans="1:9" x14ac:dyDescent="0.3">
      <c r="A1723" t="str">
        <f>""</f>
        <v/>
      </c>
      <c r="F1723" t="str">
        <f>""</f>
        <v/>
      </c>
      <c r="G1723" t="str">
        <f>""</f>
        <v/>
      </c>
      <c r="I1723" t="str">
        <f t="shared" si="16"/>
        <v>GUARDIAN</v>
      </c>
    </row>
    <row r="1724" spans="1:9" x14ac:dyDescent="0.3">
      <c r="A1724" t="str">
        <f>""</f>
        <v/>
      </c>
      <c r="F1724" t="str">
        <f>""</f>
        <v/>
      </c>
      <c r="G1724" t="str">
        <f>""</f>
        <v/>
      </c>
      <c r="I1724" t="str">
        <f t="shared" si="16"/>
        <v>GUARDIAN</v>
      </c>
    </row>
    <row r="1725" spans="1:9" x14ac:dyDescent="0.3">
      <c r="A1725" t="str">
        <f>""</f>
        <v/>
      </c>
      <c r="F1725" t="str">
        <f>""</f>
        <v/>
      </c>
      <c r="G1725" t="str">
        <f>""</f>
        <v/>
      </c>
      <c r="I1725" t="str">
        <f t="shared" si="16"/>
        <v>GUARDIAN</v>
      </c>
    </row>
    <row r="1726" spans="1:9" x14ac:dyDescent="0.3">
      <c r="A1726" t="str">
        <f>""</f>
        <v/>
      </c>
      <c r="F1726" t="str">
        <f>""</f>
        <v/>
      </c>
      <c r="G1726" t="str">
        <f>""</f>
        <v/>
      </c>
      <c r="I1726" t="str">
        <f t="shared" si="16"/>
        <v>GUARDIAN</v>
      </c>
    </row>
    <row r="1727" spans="1:9" x14ac:dyDescent="0.3">
      <c r="A1727" t="str">
        <f>""</f>
        <v/>
      </c>
      <c r="F1727" t="str">
        <f>""</f>
        <v/>
      </c>
      <c r="G1727" t="str">
        <f>""</f>
        <v/>
      </c>
      <c r="I1727" t="str">
        <f t="shared" si="16"/>
        <v>GUARDIAN</v>
      </c>
    </row>
    <row r="1728" spans="1:9" x14ac:dyDescent="0.3">
      <c r="A1728" t="str">
        <f>""</f>
        <v/>
      </c>
      <c r="F1728" t="str">
        <f>""</f>
        <v/>
      </c>
      <c r="G1728" t="str">
        <f>""</f>
        <v/>
      </c>
      <c r="I1728" t="str">
        <f t="shared" si="16"/>
        <v>GUARDIAN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 t="shared" si="16"/>
        <v>GUARDIAN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 t="shared" si="16"/>
        <v>GUARDIAN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 t="shared" ref="I1731:I1794" si="17">"GUARDIAN"</f>
        <v>GUARDIAN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 t="shared" si="17"/>
        <v>GUARDIAN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 t="shared" si="17"/>
        <v>GUARDIAN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 t="shared" si="17"/>
        <v>GUARDIAN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 t="shared" si="17"/>
        <v>GUARDIAN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 t="shared" si="17"/>
        <v>GUARDIAN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 t="shared" si="17"/>
        <v>GUARDIAN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 t="shared" si="17"/>
        <v>GUARDIAN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 t="shared" si="17"/>
        <v>GUARDIAN</v>
      </c>
    </row>
    <row r="1740" spans="1:9" x14ac:dyDescent="0.3">
      <c r="A1740" t="str">
        <f>""</f>
        <v/>
      </c>
      <c r="F1740" t="str">
        <f>"GDC201705172284"</f>
        <v>GDC201705172284</v>
      </c>
      <c r="G1740" t="str">
        <f>"GUARDIAN"</f>
        <v>GUARDIAN</v>
      </c>
      <c r="H1740" s="2">
        <v>130.6</v>
      </c>
      <c r="I1740" t="str">
        <f t="shared" si="17"/>
        <v>GUARDIAN</v>
      </c>
    </row>
    <row r="1741" spans="1:9" x14ac:dyDescent="0.3">
      <c r="A1741" t="str">
        <f>""</f>
        <v/>
      </c>
      <c r="F1741" t="str">
        <f>""</f>
        <v/>
      </c>
      <c r="G1741" t="str">
        <f>""</f>
        <v/>
      </c>
      <c r="I1741" t="str">
        <f t="shared" si="17"/>
        <v>GUARDIAN</v>
      </c>
    </row>
    <row r="1742" spans="1:9" x14ac:dyDescent="0.3">
      <c r="A1742" t="str">
        <f>""</f>
        <v/>
      </c>
      <c r="F1742" t="str">
        <f>"GDE201705021588"</f>
        <v>GDE201705021588</v>
      </c>
      <c r="G1742" t="str">
        <f>"GUARDIAN"</f>
        <v>GUARDIAN</v>
      </c>
      <c r="H1742" s="2">
        <v>162.80000000000001</v>
      </c>
      <c r="I1742" t="str">
        <f t="shared" si="17"/>
        <v>GUARDIAN</v>
      </c>
    </row>
    <row r="1743" spans="1:9" x14ac:dyDescent="0.3">
      <c r="A1743" t="str">
        <f>""</f>
        <v/>
      </c>
      <c r="F1743" t="str">
        <f>"GDE201705021643"</f>
        <v>GDE201705021643</v>
      </c>
      <c r="G1743" t="str">
        <f>"GUARDIAN"</f>
        <v>GUARDIAN</v>
      </c>
      <c r="H1743" s="2">
        <v>3774</v>
      </c>
      <c r="I1743" t="str">
        <f t="shared" si="17"/>
        <v>GUARDIAN</v>
      </c>
    </row>
    <row r="1744" spans="1:9" x14ac:dyDescent="0.3">
      <c r="A1744" t="str">
        <f>""</f>
        <v/>
      </c>
      <c r="F1744" t="str">
        <f>""</f>
        <v/>
      </c>
      <c r="G1744" t="str">
        <f>""</f>
        <v/>
      </c>
      <c r="I1744" t="str">
        <f t="shared" si="17"/>
        <v>GUARDIAN</v>
      </c>
    </row>
    <row r="1745" spans="1:9" x14ac:dyDescent="0.3">
      <c r="A1745" t="str">
        <f>""</f>
        <v/>
      </c>
      <c r="F1745" t="str">
        <f>""</f>
        <v/>
      </c>
      <c r="G1745" t="str">
        <f>""</f>
        <v/>
      </c>
      <c r="I1745" t="str">
        <f t="shared" si="17"/>
        <v>GUARDIAN</v>
      </c>
    </row>
    <row r="1746" spans="1:9" x14ac:dyDescent="0.3">
      <c r="A1746" t="str">
        <f>""</f>
        <v/>
      </c>
      <c r="F1746" t="str">
        <f>""</f>
        <v/>
      </c>
      <c r="G1746" t="str">
        <f>""</f>
        <v/>
      </c>
      <c r="I1746" t="str">
        <f t="shared" si="17"/>
        <v>GUARDIAN</v>
      </c>
    </row>
    <row r="1747" spans="1:9" x14ac:dyDescent="0.3">
      <c r="A1747" t="str">
        <f>""</f>
        <v/>
      </c>
      <c r="F1747" t="str">
        <f>""</f>
        <v/>
      </c>
      <c r="G1747" t="str">
        <f>""</f>
        <v/>
      </c>
      <c r="I1747" t="str">
        <f t="shared" si="17"/>
        <v>GUARDIAN</v>
      </c>
    </row>
    <row r="1748" spans="1:9" x14ac:dyDescent="0.3">
      <c r="A1748" t="str">
        <f>""</f>
        <v/>
      </c>
      <c r="F1748" t="str">
        <f>""</f>
        <v/>
      </c>
      <c r="G1748" t="str">
        <f>""</f>
        <v/>
      </c>
      <c r="I1748" t="str">
        <f t="shared" si="17"/>
        <v>GUARDIAN</v>
      </c>
    </row>
    <row r="1749" spans="1:9" x14ac:dyDescent="0.3">
      <c r="A1749" t="str">
        <f>""</f>
        <v/>
      </c>
      <c r="F1749" t="str">
        <f>""</f>
        <v/>
      </c>
      <c r="G1749" t="str">
        <f>""</f>
        <v/>
      </c>
      <c r="I1749" t="str">
        <f t="shared" si="17"/>
        <v>GUARDIAN</v>
      </c>
    </row>
    <row r="1750" spans="1:9" x14ac:dyDescent="0.3">
      <c r="A1750" t="str">
        <f>""</f>
        <v/>
      </c>
      <c r="F1750" t="str">
        <f>""</f>
        <v/>
      </c>
      <c r="G1750" t="str">
        <f>""</f>
        <v/>
      </c>
      <c r="I1750" t="str">
        <f t="shared" si="17"/>
        <v>GUARDIAN</v>
      </c>
    </row>
    <row r="1751" spans="1:9" x14ac:dyDescent="0.3">
      <c r="A1751" t="str">
        <f>""</f>
        <v/>
      </c>
      <c r="F1751" t="str">
        <f>""</f>
        <v/>
      </c>
      <c r="G1751" t="str">
        <f>""</f>
        <v/>
      </c>
      <c r="I1751" t="str">
        <f t="shared" si="17"/>
        <v>GUARDIAN</v>
      </c>
    </row>
    <row r="1752" spans="1:9" x14ac:dyDescent="0.3">
      <c r="A1752" t="str">
        <f>""</f>
        <v/>
      </c>
      <c r="F1752" t="str">
        <f>""</f>
        <v/>
      </c>
      <c r="G1752" t="str">
        <f>""</f>
        <v/>
      </c>
      <c r="I1752" t="str">
        <f t="shared" si="17"/>
        <v>GUARDIAN</v>
      </c>
    </row>
    <row r="1753" spans="1:9" x14ac:dyDescent="0.3">
      <c r="A1753" t="str">
        <f>""</f>
        <v/>
      </c>
      <c r="F1753" t="str">
        <f>""</f>
        <v/>
      </c>
      <c r="G1753" t="str">
        <f>""</f>
        <v/>
      </c>
      <c r="I1753" t="str">
        <f t="shared" si="17"/>
        <v>GUARDIAN</v>
      </c>
    </row>
    <row r="1754" spans="1:9" x14ac:dyDescent="0.3">
      <c r="A1754" t="str">
        <f>""</f>
        <v/>
      </c>
      <c r="F1754" t="str">
        <f>""</f>
        <v/>
      </c>
      <c r="G1754" t="str">
        <f>""</f>
        <v/>
      </c>
      <c r="I1754" t="str">
        <f t="shared" si="17"/>
        <v>GUARDIAN</v>
      </c>
    </row>
    <row r="1755" spans="1:9" x14ac:dyDescent="0.3">
      <c r="A1755" t="str">
        <f>""</f>
        <v/>
      </c>
      <c r="F1755" t="str">
        <f>""</f>
        <v/>
      </c>
      <c r="G1755" t="str">
        <f>""</f>
        <v/>
      </c>
      <c r="I1755" t="str">
        <f t="shared" si="17"/>
        <v>GUARDIAN</v>
      </c>
    </row>
    <row r="1756" spans="1:9" x14ac:dyDescent="0.3">
      <c r="A1756" t="str">
        <f>""</f>
        <v/>
      </c>
      <c r="F1756" t="str">
        <f>""</f>
        <v/>
      </c>
      <c r="G1756" t="str">
        <f>""</f>
        <v/>
      </c>
      <c r="I1756" t="str">
        <f t="shared" si="17"/>
        <v>GUARDIAN</v>
      </c>
    </row>
    <row r="1757" spans="1:9" x14ac:dyDescent="0.3">
      <c r="A1757" t="str">
        <f>""</f>
        <v/>
      </c>
      <c r="F1757" t="str">
        <f>""</f>
        <v/>
      </c>
      <c r="G1757" t="str">
        <f>""</f>
        <v/>
      </c>
      <c r="I1757" t="str">
        <f t="shared" si="17"/>
        <v>GUARDIAN</v>
      </c>
    </row>
    <row r="1758" spans="1:9" x14ac:dyDescent="0.3">
      <c r="A1758" t="str">
        <f>""</f>
        <v/>
      </c>
      <c r="F1758" t="str">
        <f>""</f>
        <v/>
      </c>
      <c r="G1758" t="str">
        <f>""</f>
        <v/>
      </c>
      <c r="I1758" t="str">
        <f t="shared" si="17"/>
        <v>GUARDIAN</v>
      </c>
    </row>
    <row r="1759" spans="1:9" x14ac:dyDescent="0.3">
      <c r="A1759" t="str">
        <f>""</f>
        <v/>
      </c>
      <c r="F1759" t="str">
        <f>""</f>
        <v/>
      </c>
      <c r="G1759" t="str">
        <f>""</f>
        <v/>
      </c>
      <c r="I1759" t="str">
        <f t="shared" si="17"/>
        <v>GUARDIAN</v>
      </c>
    </row>
    <row r="1760" spans="1:9" x14ac:dyDescent="0.3">
      <c r="A1760" t="str">
        <f>""</f>
        <v/>
      </c>
      <c r="F1760" t="str">
        <f>""</f>
        <v/>
      </c>
      <c r="G1760" t="str">
        <f>""</f>
        <v/>
      </c>
      <c r="I1760" t="str">
        <f t="shared" si="17"/>
        <v>GUARDIAN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 t="shared" si="17"/>
        <v>GUARDIAN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 t="shared" si="17"/>
        <v>GUARDIAN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 t="shared" si="17"/>
        <v>GUARDIAN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 t="shared" si="17"/>
        <v>GUARDIAN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 t="shared" si="17"/>
        <v>GUARDIAN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 t="shared" si="17"/>
        <v>GUARDIAN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 t="shared" si="17"/>
        <v>GUARDIAN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 t="shared" si="17"/>
        <v>GUARDIAN</v>
      </c>
    </row>
    <row r="1769" spans="1:9" x14ac:dyDescent="0.3">
      <c r="A1769" t="str">
        <f>""</f>
        <v/>
      </c>
      <c r="F1769" t="str">
        <f>""</f>
        <v/>
      </c>
      <c r="G1769" t="str">
        <f>""</f>
        <v/>
      </c>
      <c r="I1769" t="str">
        <f t="shared" si="17"/>
        <v>GUARDIAN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 t="shared" si="17"/>
        <v>GUARDIAN</v>
      </c>
    </row>
    <row r="1771" spans="1:9" x14ac:dyDescent="0.3">
      <c r="A1771" t="str">
        <f>""</f>
        <v/>
      </c>
      <c r="F1771" t="str">
        <f>""</f>
        <v/>
      </c>
      <c r="G1771" t="str">
        <f>""</f>
        <v/>
      </c>
      <c r="I1771" t="str">
        <f t="shared" si="17"/>
        <v>GUARDIAN</v>
      </c>
    </row>
    <row r="1772" spans="1:9" x14ac:dyDescent="0.3">
      <c r="A1772" t="str">
        <f>""</f>
        <v/>
      </c>
      <c r="F1772" t="str">
        <f>""</f>
        <v/>
      </c>
      <c r="G1772" t="str">
        <f>""</f>
        <v/>
      </c>
      <c r="I1772" t="str">
        <f t="shared" si="17"/>
        <v>GUARDIAN</v>
      </c>
    </row>
    <row r="1773" spans="1:9" x14ac:dyDescent="0.3">
      <c r="A1773" t="str">
        <f>""</f>
        <v/>
      </c>
      <c r="F1773" t="str">
        <f>""</f>
        <v/>
      </c>
      <c r="G1773" t="str">
        <f>""</f>
        <v/>
      </c>
      <c r="I1773" t="str">
        <f t="shared" si="17"/>
        <v>GUARDIAN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 t="shared" si="17"/>
        <v>GUARDIAN</v>
      </c>
    </row>
    <row r="1775" spans="1:9" x14ac:dyDescent="0.3">
      <c r="A1775" t="str">
        <f>""</f>
        <v/>
      </c>
      <c r="F1775" t="str">
        <f>""</f>
        <v/>
      </c>
      <c r="G1775" t="str">
        <f>""</f>
        <v/>
      </c>
      <c r="I1775" t="str">
        <f t="shared" si="17"/>
        <v>GUARDIAN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 t="shared" si="17"/>
        <v>GUARDIAN</v>
      </c>
    </row>
    <row r="1777" spans="1:9" x14ac:dyDescent="0.3">
      <c r="A1777" t="str">
        <f>""</f>
        <v/>
      </c>
      <c r="F1777" t="str">
        <f>""</f>
        <v/>
      </c>
      <c r="G1777" t="str">
        <f>""</f>
        <v/>
      </c>
      <c r="I1777" t="str">
        <f t="shared" si="17"/>
        <v>GUARDIAN</v>
      </c>
    </row>
    <row r="1778" spans="1:9" x14ac:dyDescent="0.3">
      <c r="A1778" t="str">
        <f>""</f>
        <v/>
      </c>
      <c r="F1778" t="str">
        <f>""</f>
        <v/>
      </c>
      <c r="G1778" t="str">
        <f>""</f>
        <v/>
      </c>
      <c r="I1778" t="str">
        <f t="shared" si="17"/>
        <v>GUARDIAN</v>
      </c>
    </row>
    <row r="1779" spans="1:9" x14ac:dyDescent="0.3">
      <c r="A1779" t="str">
        <f>""</f>
        <v/>
      </c>
      <c r="F1779" t="str">
        <f>""</f>
        <v/>
      </c>
      <c r="G1779" t="str">
        <f>""</f>
        <v/>
      </c>
      <c r="I1779" t="str">
        <f t="shared" si="17"/>
        <v>GUARDIAN</v>
      </c>
    </row>
    <row r="1780" spans="1:9" x14ac:dyDescent="0.3">
      <c r="A1780" t="str">
        <f>""</f>
        <v/>
      </c>
      <c r="F1780" t="str">
        <f>""</f>
        <v/>
      </c>
      <c r="G1780" t="str">
        <f>""</f>
        <v/>
      </c>
      <c r="I1780" t="str">
        <f t="shared" si="17"/>
        <v>GUARDIAN</v>
      </c>
    </row>
    <row r="1781" spans="1:9" x14ac:dyDescent="0.3">
      <c r="A1781" t="str">
        <f>""</f>
        <v/>
      </c>
      <c r="F1781" t="str">
        <f>""</f>
        <v/>
      </c>
      <c r="G1781" t="str">
        <f>""</f>
        <v/>
      </c>
      <c r="I1781" t="str">
        <f t="shared" si="17"/>
        <v>GUARDIAN</v>
      </c>
    </row>
    <row r="1782" spans="1:9" x14ac:dyDescent="0.3">
      <c r="A1782" t="str">
        <f>""</f>
        <v/>
      </c>
      <c r="F1782" t="str">
        <f>""</f>
        <v/>
      </c>
      <c r="G1782" t="str">
        <f>""</f>
        <v/>
      </c>
      <c r="I1782" t="str">
        <f t="shared" si="17"/>
        <v>GUARDIAN</v>
      </c>
    </row>
    <row r="1783" spans="1:9" x14ac:dyDescent="0.3">
      <c r="A1783" t="str">
        <f>""</f>
        <v/>
      </c>
      <c r="F1783" t="str">
        <f>""</f>
        <v/>
      </c>
      <c r="G1783" t="str">
        <f>""</f>
        <v/>
      </c>
      <c r="I1783" t="str">
        <f t="shared" si="17"/>
        <v>GUARDIAN</v>
      </c>
    </row>
    <row r="1784" spans="1:9" x14ac:dyDescent="0.3">
      <c r="A1784" t="str">
        <f>""</f>
        <v/>
      </c>
      <c r="F1784" t="str">
        <f>""</f>
        <v/>
      </c>
      <c r="G1784" t="str">
        <f>""</f>
        <v/>
      </c>
      <c r="I1784" t="str">
        <f t="shared" si="17"/>
        <v>GUARDIAN</v>
      </c>
    </row>
    <row r="1785" spans="1:9" x14ac:dyDescent="0.3">
      <c r="A1785" t="str">
        <f>""</f>
        <v/>
      </c>
      <c r="F1785" t="str">
        <f>"GDE201705172283"</f>
        <v>GDE201705172283</v>
      </c>
      <c r="G1785" t="str">
        <f>"GUARDIAN"</f>
        <v>GUARDIAN</v>
      </c>
      <c r="H1785" s="2">
        <v>3803.6</v>
      </c>
      <c r="I1785" t="str">
        <f t="shared" si="17"/>
        <v>GUARDIAN</v>
      </c>
    </row>
    <row r="1786" spans="1:9" x14ac:dyDescent="0.3">
      <c r="A1786" t="str">
        <f>""</f>
        <v/>
      </c>
      <c r="F1786" t="str">
        <f>""</f>
        <v/>
      </c>
      <c r="G1786" t="str">
        <f>""</f>
        <v/>
      </c>
      <c r="I1786" t="str">
        <f t="shared" si="17"/>
        <v>GUARDIAN</v>
      </c>
    </row>
    <row r="1787" spans="1:9" x14ac:dyDescent="0.3">
      <c r="A1787" t="str">
        <f>""</f>
        <v/>
      </c>
      <c r="F1787" t="str">
        <f>""</f>
        <v/>
      </c>
      <c r="G1787" t="str">
        <f>""</f>
        <v/>
      </c>
      <c r="I1787" t="str">
        <f t="shared" si="17"/>
        <v>GUARDIAN</v>
      </c>
    </row>
    <row r="1788" spans="1:9" x14ac:dyDescent="0.3">
      <c r="A1788" t="str">
        <f>""</f>
        <v/>
      </c>
      <c r="F1788" t="str">
        <f>""</f>
        <v/>
      </c>
      <c r="G1788" t="str">
        <f>""</f>
        <v/>
      </c>
      <c r="I1788" t="str">
        <f t="shared" si="17"/>
        <v>GUARDIAN</v>
      </c>
    </row>
    <row r="1789" spans="1:9" x14ac:dyDescent="0.3">
      <c r="A1789" t="str">
        <f>""</f>
        <v/>
      </c>
      <c r="F1789" t="str">
        <f>""</f>
        <v/>
      </c>
      <c r="G1789" t="str">
        <f>""</f>
        <v/>
      </c>
      <c r="I1789" t="str">
        <f t="shared" si="17"/>
        <v>GUARDIAN</v>
      </c>
    </row>
    <row r="1790" spans="1:9" x14ac:dyDescent="0.3">
      <c r="A1790" t="str">
        <f>""</f>
        <v/>
      </c>
      <c r="F1790" t="str">
        <f>""</f>
        <v/>
      </c>
      <c r="G1790" t="str">
        <f>""</f>
        <v/>
      </c>
      <c r="I1790" t="str">
        <f t="shared" si="17"/>
        <v>GUARDIAN</v>
      </c>
    </row>
    <row r="1791" spans="1:9" x14ac:dyDescent="0.3">
      <c r="A1791" t="str">
        <f>""</f>
        <v/>
      </c>
      <c r="F1791" t="str">
        <f>""</f>
        <v/>
      </c>
      <c r="G1791" t="str">
        <f>""</f>
        <v/>
      </c>
      <c r="I1791" t="str">
        <f t="shared" si="17"/>
        <v>GUARDIAN</v>
      </c>
    </row>
    <row r="1792" spans="1:9" x14ac:dyDescent="0.3">
      <c r="A1792" t="str">
        <f>""</f>
        <v/>
      </c>
      <c r="F1792" t="str">
        <f>""</f>
        <v/>
      </c>
      <c r="G1792" t="str">
        <f>""</f>
        <v/>
      </c>
      <c r="I1792" t="str">
        <f t="shared" si="17"/>
        <v>GUARDIAN</v>
      </c>
    </row>
    <row r="1793" spans="1:9" x14ac:dyDescent="0.3">
      <c r="A1793" t="str">
        <f>""</f>
        <v/>
      </c>
      <c r="F1793" t="str">
        <f>""</f>
        <v/>
      </c>
      <c r="G1793" t="str">
        <f>""</f>
        <v/>
      </c>
      <c r="I1793" t="str">
        <f t="shared" si="17"/>
        <v>GUARDIAN</v>
      </c>
    </row>
    <row r="1794" spans="1:9" x14ac:dyDescent="0.3">
      <c r="A1794" t="str">
        <f>""</f>
        <v/>
      </c>
      <c r="F1794" t="str">
        <f>""</f>
        <v/>
      </c>
      <c r="G1794" t="str">
        <f>""</f>
        <v/>
      </c>
      <c r="I1794" t="str">
        <f t="shared" si="17"/>
        <v>GUARDIAN</v>
      </c>
    </row>
    <row r="1795" spans="1:9" x14ac:dyDescent="0.3">
      <c r="A1795" t="str">
        <f>""</f>
        <v/>
      </c>
      <c r="F1795" t="str">
        <f>""</f>
        <v/>
      </c>
      <c r="G1795" t="str">
        <f>""</f>
        <v/>
      </c>
      <c r="I1795" t="str">
        <f t="shared" ref="I1795:I1858" si="18">"GUARDIAN"</f>
        <v>GUARDIAN</v>
      </c>
    </row>
    <row r="1796" spans="1:9" x14ac:dyDescent="0.3">
      <c r="A1796" t="str">
        <f>""</f>
        <v/>
      </c>
      <c r="F1796" t="str">
        <f>""</f>
        <v/>
      </c>
      <c r="G1796" t="str">
        <f>""</f>
        <v/>
      </c>
      <c r="I1796" t="str">
        <f t="shared" si="18"/>
        <v>GUARDIAN</v>
      </c>
    </row>
    <row r="1797" spans="1:9" x14ac:dyDescent="0.3">
      <c r="A1797" t="str">
        <f>""</f>
        <v/>
      </c>
      <c r="F1797" t="str">
        <f>""</f>
        <v/>
      </c>
      <c r="G1797" t="str">
        <f>""</f>
        <v/>
      </c>
      <c r="I1797" t="str">
        <f t="shared" si="18"/>
        <v>GUARDIAN</v>
      </c>
    </row>
    <row r="1798" spans="1:9" x14ac:dyDescent="0.3">
      <c r="A1798" t="str">
        <f>""</f>
        <v/>
      </c>
      <c r="F1798" t="str">
        <f>""</f>
        <v/>
      </c>
      <c r="G1798" t="str">
        <f>""</f>
        <v/>
      </c>
      <c r="I1798" t="str">
        <f t="shared" si="18"/>
        <v>GUARDIAN</v>
      </c>
    </row>
    <row r="1799" spans="1:9" x14ac:dyDescent="0.3">
      <c r="A1799" t="str">
        <f>""</f>
        <v/>
      </c>
      <c r="F1799" t="str">
        <f>""</f>
        <v/>
      </c>
      <c r="G1799" t="str">
        <f>""</f>
        <v/>
      </c>
      <c r="I1799" t="str">
        <f t="shared" si="18"/>
        <v>GUARDIAN</v>
      </c>
    </row>
    <row r="1800" spans="1:9" x14ac:dyDescent="0.3">
      <c r="A1800" t="str">
        <f>""</f>
        <v/>
      </c>
      <c r="F1800" t="str">
        <f>""</f>
        <v/>
      </c>
      <c r="G1800" t="str">
        <f>""</f>
        <v/>
      </c>
      <c r="I1800" t="str">
        <f t="shared" si="18"/>
        <v>GUARDIAN</v>
      </c>
    </row>
    <row r="1801" spans="1:9" x14ac:dyDescent="0.3">
      <c r="A1801" t="str">
        <f>""</f>
        <v/>
      </c>
      <c r="F1801" t="str">
        <f>""</f>
        <v/>
      </c>
      <c r="G1801" t="str">
        <f>""</f>
        <v/>
      </c>
      <c r="I1801" t="str">
        <f t="shared" si="18"/>
        <v>GUARDIAN</v>
      </c>
    </row>
    <row r="1802" spans="1:9" x14ac:dyDescent="0.3">
      <c r="A1802" t="str">
        <f>""</f>
        <v/>
      </c>
      <c r="F1802" t="str">
        <f>""</f>
        <v/>
      </c>
      <c r="G1802" t="str">
        <f>""</f>
        <v/>
      </c>
      <c r="I1802" t="str">
        <f t="shared" si="18"/>
        <v>GUARDIAN</v>
      </c>
    </row>
    <row r="1803" spans="1:9" x14ac:dyDescent="0.3">
      <c r="A1803" t="str">
        <f>""</f>
        <v/>
      </c>
      <c r="F1803" t="str">
        <f>""</f>
        <v/>
      </c>
      <c r="G1803" t="str">
        <f>""</f>
        <v/>
      </c>
      <c r="I1803" t="str">
        <f t="shared" si="18"/>
        <v>GUARDIAN</v>
      </c>
    </row>
    <row r="1804" spans="1:9" x14ac:dyDescent="0.3">
      <c r="A1804" t="str">
        <f>""</f>
        <v/>
      </c>
      <c r="F1804" t="str">
        <f>""</f>
        <v/>
      </c>
      <c r="G1804" t="str">
        <f>""</f>
        <v/>
      </c>
      <c r="I1804" t="str">
        <f t="shared" si="18"/>
        <v>GUARDIAN</v>
      </c>
    </row>
    <row r="1805" spans="1:9" x14ac:dyDescent="0.3">
      <c r="A1805" t="str">
        <f>""</f>
        <v/>
      </c>
      <c r="F1805" t="str">
        <f>""</f>
        <v/>
      </c>
      <c r="G1805" t="str">
        <f>""</f>
        <v/>
      </c>
      <c r="I1805" t="str">
        <f t="shared" si="18"/>
        <v>GUARDIAN</v>
      </c>
    </row>
    <row r="1806" spans="1:9" x14ac:dyDescent="0.3">
      <c r="A1806" t="str">
        <f>""</f>
        <v/>
      </c>
      <c r="F1806" t="str">
        <f>""</f>
        <v/>
      </c>
      <c r="G1806" t="str">
        <f>""</f>
        <v/>
      </c>
      <c r="I1806" t="str">
        <f t="shared" si="18"/>
        <v>GUARDIAN</v>
      </c>
    </row>
    <row r="1807" spans="1:9" x14ac:dyDescent="0.3">
      <c r="A1807" t="str">
        <f>""</f>
        <v/>
      </c>
      <c r="F1807" t="str">
        <f>""</f>
        <v/>
      </c>
      <c r="G1807" t="str">
        <f>""</f>
        <v/>
      </c>
      <c r="I1807" t="str">
        <f t="shared" si="18"/>
        <v>GUARDIAN</v>
      </c>
    </row>
    <row r="1808" spans="1:9" x14ac:dyDescent="0.3">
      <c r="A1808" t="str">
        <f>""</f>
        <v/>
      </c>
      <c r="F1808" t="str">
        <f>""</f>
        <v/>
      </c>
      <c r="G1808" t="str">
        <f>""</f>
        <v/>
      </c>
      <c r="I1808" t="str">
        <f t="shared" si="18"/>
        <v>GUARDIAN</v>
      </c>
    </row>
    <row r="1809" spans="1:9" x14ac:dyDescent="0.3">
      <c r="A1809" t="str">
        <f>""</f>
        <v/>
      </c>
      <c r="F1809" t="str">
        <f>""</f>
        <v/>
      </c>
      <c r="G1809" t="str">
        <f>""</f>
        <v/>
      </c>
      <c r="I1809" t="str">
        <f t="shared" si="18"/>
        <v>GUARDIAN</v>
      </c>
    </row>
    <row r="1810" spans="1:9" x14ac:dyDescent="0.3">
      <c r="A1810" t="str">
        <f>""</f>
        <v/>
      </c>
      <c r="F1810" t="str">
        <f>""</f>
        <v/>
      </c>
      <c r="G1810" t="str">
        <f>""</f>
        <v/>
      </c>
      <c r="I1810" t="str">
        <f t="shared" si="18"/>
        <v>GUARDIAN</v>
      </c>
    </row>
    <row r="1811" spans="1:9" x14ac:dyDescent="0.3">
      <c r="A1811" t="str">
        <f>""</f>
        <v/>
      </c>
      <c r="F1811" t="str">
        <f>""</f>
        <v/>
      </c>
      <c r="G1811" t="str">
        <f>""</f>
        <v/>
      </c>
      <c r="I1811" t="str">
        <f t="shared" si="18"/>
        <v>GUARDIAN</v>
      </c>
    </row>
    <row r="1812" spans="1:9" x14ac:dyDescent="0.3">
      <c r="A1812" t="str">
        <f>""</f>
        <v/>
      </c>
      <c r="F1812" t="str">
        <f>""</f>
        <v/>
      </c>
      <c r="G1812" t="str">
        <f>""</f>
        <v/>
      </c>
      <c r="I1812" t="str">
        <f t="shared" si="18"/>
        <v>GUARDIAN</v>
      </c>
    </row>
    <row r="1813" spans="1:9" x14ac:dyDescent="0.3">
      <c r="A1813" t="str">
        <f>""</f>
        <v/>
      </c>
      <c r="F1813" t="str">
        <f>""</f>
        <v/>
      </c>
      <c r="G1813" t="str">
        <f>""</f>
        <v/>
      </c>
      <c r="I1813" t="str">
        <f t="shared" si="18"/>
        <v>GUARDIAN</v>
      </c>
    </row>
    <row r="1814" spans="1:9" x14ac:dyDescent="0.3">
      <c r="A1814" t="str">
        <f>""</f>
        <v/>
      </c>
      <c r="F1814" t="str">
        <f>""</f>
        <v/>
      </c>
      <c r="G1814" t="str">
        <f>""</f>
        <v/>
      </c>
      <c r="I1814" t="str">
        <f t="shared" si="18"/>
        <v>GUARDIAN</v>
      </c>
    </row>
    <row r="1815" spans="1:9" x14ac:dyDescent="0.3">
      <c r="A1815" t="str">
        <f>""</f>
        <v/>
      </c>
      <c r="F1815" t="str">
        <f>""</f>
        <v/>
      </c>
      <c r="G1815" t="str">
        <f>""</f>
        <v/>
      </c>
      <c r="I1815" t="str">
        <f t="shared" si="18"/>
        <v>GUARDIAN</v>
      </c>
    </row>
    <row r="1816" spans="1:9" x14ac:dyDescent="0.3">
      <c r="A1816" t="str">
        <f>""</f>
        <v/>
      </c>
      <c r="F1816" t="str">
        <f>""</f>
        <v/>
      </c>
      <c r="G1816" t="str">
        <f>""</f>
        <v/>
      </c>
      <c r="I1816" t="str">
        <f t="shared" si="18"/>
        <v>GUARDIAN</v>
      </c>
    </row>
    <row r="1817" spans="1:9" x14ac:dyDescent="0.3">
      <c r="A1817" t="str">
        <f>""</f>
        <v/>
      </c>
      <c r="F1817" t="str">
        <f>""</f>
        <v/>
      </c>
      <c r="G1817" t="str">
        <f>""</f>
        <v/>
      </c>
      <c r="I1817" t="str">
        <f t="shared" si="18"/>
        <v>GUARDIAN</v>
      </c>
    </row>
    <row r="1818" spans="1:9" x14ac:dyDescent="0.3">
      <c r="A1818" t="str">
        <f>""</f>
        <v/>
      </c>
      <c r="F1818" t="str">
        <f>""</f>
        <v/>
      </c>
      <c r="G1818" t="str">
        <f>""</f>
        <v/>
      </c>
      <c r="I1818" t="str">
        <f t="shared" si="18"/>
        <v>GUARDIAN</v>
      </c>
    </row>
    <row r="1819" spans="1:9" x14ac:dyDescent="0.3">
      <c r="A1819" t="str">
        <f>""</f>
        <v/>
      </c>
      <c r="F1819" t="str">
        <f>""</f>
        <v/>
      </c>
      <c r="G1819" t="str">
        <f>""</f>
        <v/>
      </c>
      <c r="I1819" t="str">
        <f t="shared" si="18"/>
        <v>GUARDIAN</v>
      </c>
    </row>
    <row r="1820" spans="1:9" x14ac:dyDescent="0.3">
      <c r="A1820" t="str">
        <f>""</f>
        <v/>
      </c>
      <c r="F1820" t="str">
        <f>""</f>
        <v/>
      </c>
      <c r="G1820" t="str">
        <f>""</f>
        <v/>
      </c>
      <c r="I1820" t="str">
        <f t="shared" si="18"/>
        <v>GUARDIAN</v>
      </c>
    </row>
    <row r="1821" spans="1:9" x14ac:dyDescent="0.3">
      <c r="A1821" t="str">
        <f>""</f>
        <v/>
      </c>
      <c r="F1821" t="str">
        <f>""</f>
        <v/>
      </c>
      <c r="G1821" t="str">
        <f>""</f>
        <v/>
      </c>
      <c r="I1821" t="str">
        <f t="shared" si="18"/>
        <v>GUARDIAN</v>
      </c>
    </row>
    <row r="1822" spans="1:9" x14ac:dyDescent="0.3">
      <c r="A1822" t="str">
        <f>""</f>
        <v/>
      </c>
      <c r="F1822" t="str">
        <f>""</f>
        <v/>
      </c>
      <c r="G1822" t="str">
        <f>""</f>
        <v/>
      </c>
      <c r="I1822" t="str">
        <f t="shared" si="18"/>
        <v>GUARDIAN</v>
      </c>
    </row>
    <row r="1823" spans="1:9" x14ac:dyDescent="0.3">
      <c r="A1823" t="str">
        <f>""</f>
        <v/>
      </c>
      <c r="F1823" t="str">
        <f>""</f>
        <v/>
      </c>
      <c r="G1823" t="str">
        <f>""</f>
        <v/>
      </c>
      <c r="I1823" t="str">
        <f t="shared" si="18"/>
        <v>GUARDIAN</v>
      </c>
    </row>
    <row r="1824" spans="1:9" x14ac:dyDescent="0.3">
      <c r="A1824" t="str">
        <f>""</f>
        <v/>
      </c>
      <c r="F1824" t="str">
        <f>""</f>
        <v/>
      </c>
      <c r="G1824" t="str">
        <f>""</f>
        <v/>
      </c>
      <c r="I1824" t="str">
        <f t="shared" si="18"/>
        <v>GUARDIAN</v>
      </c>
    </row>
    <row r="1825" spans="1:9" x14ac:dyDescent="0.3">
      <c r="A1825" t="str">
        <f>""</f>
        <v/>
      </c>
      <c r="F1825" t="str">
        <f>""</f>
        <v/>
      </c>
      <c r="G1825" t="str">
        <f>""</f>
        <v/>
      </c>
      <c r="I1825" t="str">
        <f t="shared" si="18"/>
        <v>GUARDIAN</v>
      </c>
    </row>
    <row r="1826" spans="1:9" x14ac:dyDescent="0.3">
      <c r="A1826" t="str">
        <f>""</f>
        <v/>
      </c>
      <c r="F1826" t="str">
        <f>""</f>
        <v/>
      </c>
      <c r="G1826" t="str">
        <f>""</f>
        <v/>
      </c>
      <c r="I1826" t="str">
        <f t="shared" si="18"/>
        <v>GUARDIAN</v>
      </c>
    </row>
    <row r="1827" spans="1:9" x14ac:dyDescent="0.3">
      <c r="A1827" t="str">
        <f>""</f>
        <v/>
      </c>
      <c r="F1827" t="str">
        <f>"GDE201705172284"</f>
        <v>GDE201705172284</v>
      </c>
      <c r="G1827" t="str">
        <f>"GUARDIAN"</f>
        <v>GUARDIAN</v>
      </c>
      <c r="H1827" s="2">
        <v>162.80000000000001</v>
      </c>
      <c r="I1827" t="str">
        <f t="shared" si="18"/>
        <v>GUARDIAN</v>
      </c>
    </row>
    <row r="1828" spans="1:9" x14ac:dyDescent="0.3">
      <c r="A1828" t="str">
        <f>""</f>
        <v/>
      </c>
      <c r="F1828" t="str">
        <f>"GDF201705021588"</f>
        <v>GDF201705021588</v>
      </c>
      <c r="G1828" t="str">
        <f>"GUARDIAN"</f>
        <v>GUARDIAN</v>
      </c>
      <c r="H1828" s="2">
        <v>96.56</v>
      </c>
      <c r="I1828" t="str">
        <f t="shared" si="18"/>
        <v>GUARDIAN</v>
      </c>
    </row>
    <row r="1829" spans="1:9" x14ac:dyDescent="0.3">
      <c r="A1829" t="str">
        <f>""</f>
        <v/>
      </c>
      <c r="F1829" t="str">
        <f>""</f>
        <v/>
      </c>
      <c r="G1829" t="str">
        <f>""</f>
        <v/>
      </c>
      <c r="I1829" t="str">
        <f t="shared" si="18"/>
        <v>GUARDIAN</v>
      </c>
    </row>
    <row r="1830" spans="1:9" x14ac:dyDescent="0.3">
      <c r="A1830" t="str">
        <f>""</f>
        <v/>
      </c>
      <c r="F1830" t="str">
        <f>"GDF201705021643"</f>
        <v>GDF201705021643</v>
      </c>
      <c r="G1830" t="str">
        <f>"GUARDIAN"</f>
        <v>GUARDIAN</v>
      </c>
      <c r="H1830" s="2">
        <v>2076.04</v>
      </c>
      <c r="I1830" t="str">
        <f t="shared" si="18"/>
        <v>GUARDIAN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 t="shared" si="18"/>
        <v>GUARDIAN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 t="shared" si="18"/>
        <v>GUARDIAN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 t="shared" si="18"/>
        <v>GUARDIAN</v>
      </c>
    </row>
    <row r="1834" spans="1:9" x14ac:dyDescent="0.3">
      <c r="A1834" t="str">
        <f>""</f>
        <v/>
      </c>
      <c r="F1834" t="str">
        <f>""</f>
        <v/>
      </c>
      <c r="G1834" t="str">
        <f>""</f>
        <v/>
      </c>
      <c r="I1834" t="str">
        <f t="shared" si="18"/>
        <v>GUARDIAN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 t="shared" si="18"/>
        <v>GUARDIAN</v>
      </c>
    </row>
    <row r="1836" spans="1:9" x14ac:dyDescent="0.3">
      <c r="A1836" t="str">
        <f>""</f>
        <v/>
      </c>
      <c r="F1836" t="str">
        <f>""</f>
        <v/>
      </c>
      <c r="G1836" t="str">
        <f>""</f>
        <v/>
      </c>
      <c r="I1836" t="str">
        <f t="shared" si="18"/>
        <v>GUARDIAN</v>
      </c>
    </row>
    <row r="1837" spans="1:9" x14ac:dyDescent="0.3">
      <c r="A1837" t="str">
        <f>""</f>
        <v/>
      </c>
      <c r="F1837" t="str">
        <f>""</f>
        <v/>
      </c>
      <c r="G1837" t="str">
        <f>""</f>
        <v/>
      </c>
      <c r="I1837" t="str">
        <f t="shared" si="18"/>
        <v>GUARDIAN</v>
      </c>
    </row>
    <row r="1838" spans="1:9" x14ac:dyDescent="0.3">
      <c r="A1838" t="str">
        <f>""</f>
        <v/>
      </c>
      <c r="F1838" t="str">
        <f>""</f>
        <v/>
      </c>
      <c r="G1838" t="str">
        <f>""</f>
        <v/>
      </c>
      <c r="I1838" t="str">
        <f t="shared" si="18"/>
        <v>GUARDIAN</v>
      </c>
    </row>
    <row r="1839" spans="1:9" x14ac:dyDescent="0.3">
      <c r="A1839" t="str">
        <f>""</f>
        <v/>
      </c>
      <c r="F1839" t="str">
        <f>""</f>
        <v/>
      </c>
      <c r="G1839" t="str">
        <f>""</f>
        <v/>
      </c>
      <c r="I1839" t="str">
        <f t="shared" si="18"/>
        <v>GUARDIAN</v>
      </c>
    </row>
    <row r="1840" spans="1:9" x14ac:dyDescent="0.3">
      <c r="A1840" t="str">
        <f>""</f>
        <v/>
      </c>
      <c r="F1840" t="str">
        <f>""</f>
        <v/>
      </c>
      <c r="G1840" t="str">
        <f>""</f>
        <v/>
      </c>
      <c r="I1840" t="str">
        <f t="shared" si="18"/>
        <v>GUARDIAN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 t="shared" si="18"/>
        <v>GUARDIAN</v>
      </c>
    </row>
    <row r="1842" spans="1:9" x14ac:dyDescent="0.3">
      <c r="A1842" t="str">
        <f>""</f>
        <v/>
      </c>
      <c r="F1842" t="str">
        <f>""</f>
        <v/>
      </c>
      <c r="G1842" t="str">
        <f>""</f>
        <v/>
      </c>
      <c r="I1842" t="str">
        <f t="shared" si="18"/>
        <v>GUARDIAN</v>
      </c>
    </row>
    <row r="1843" spans="1:9" x14ac:dyDescent="0.3">
      <c r="A1843" t="str">
        <f>""</f>
        <v/>
      </c>
      <c r="F1843" t="str">
        <f>""</f>
        <v/>
      </c>
      <c r="G1843" t="str">
        <f>""</f>
        <v/>
      </c>
      <c r="I1843" t="str">
        <f t="shared" si="18"/>
        <v>GUARDIAN</v>
      </c>
    </row>
    <row r="1844" spans="1:9" x14ac:dyDescent="0.3">
      <c r="A1844" t="str">
        <f>""</f>
        <v/>
      </c>
      <c r="F1844" t="str">
        <f>""</f>
        <v/>
      </c>
      <c r="G1844" t="str">
        <f>""</f>
        <v/>
      </c>
      <c r="I1844" t="str">
        <f t="shared" si="18"/>
        <v>GUARDIAN</v>
      </c>
    </row>
    <row r="1845" spans="1:9" x14ac:dyDescent="0.3">
      <c r="A1845" t="str">
        <f>""</f>
        <v/>
      </c>
      <c r="F1845" t="str">
        <f>""</f>
        <v/>
      </c>
      <c r="G1845" t="str">
        <f>""</f>
        <v/>
      </c>
      <c r="I1845" t="str">
        <f t="shared" si="18"/>
        <v>GUARDIAN</v>
      </c>
    </row>
    <row r="1846" spans="1:9" x14ac:dyDescent="0.3">
      <c r="A1846" t="str">
        <f>""</f>
        <v/>
      </c>
      <c r="F1846" t="str">
        <f>""</f>
        <v/>
      </c>
      <c r="G1846" t="str">
        <f>""</f>
        <v/>
      </c>
      <c r="I1846" t="str">
        <f t="shared" si="18"/>
        <v>GUARDIAN</v>
      </c>
    </row>
    <row r="1847" spans="1:9" x14ac:dyDescent="0.3">
      <c r="A1847" t="str">
        <f>""</f>
        <v/>
      </c>
      <c r="F1847" t="str">
        <f>""</f>
        <v/>
      </c>
      <c r="G1847" t="str">
        <f>""</f>
        <v/>
      </c>
      <c r="I1847" t="str">
        <f t="shared" si="18"/>
        <v>GUARDIAN</v>
      </c>
    </row>
    <row r="1848" spans="1:9" x14ac:dyDescent="0.3">
      <c r="A1848" t="str">
        <f>""</f>
        <v/>
      </c>
      <c r="F1848" t="str">
        <f>""</f>
        <v/>
      </c>
      <c r="G1848" t="str">
        <f>""</f>
        <v/>
      </c>
      <c r="I1848" t="str">
        <f t="shared" si="18"/>
        <v>GUARDIAN</v>
      </c>
    </row>
    <row r="1849" spans="1:9" x14ac:dyDescent="0.3">
      <c r="A1849" t="str">
        <f>""</f>
        <v/>
      </c>
      <c r="F1849" t="str">
        <f>""</f>
        <v/>
      </c>
      <c r="G1849" t="str">
        <f>""</f>
        <v/>
      </c>
      <c r="I1849" t="str">
        <f t="shared" si="18"/>
        <v>GUARDIAN</v>
      </c>
    </row>
    <row r="1850" spans="1:9" x14ac:dyDescent="0.3">
      <c r="A1850" t="str">
        <f>""</f>
        <v/>
      </c>
      <c r="F1850" t="str">
        <f>""</f>
        <v/>
      </c>
      <c r="G1850" t="str">
        <f>""</f>
        <v/>
      </c>
      <c r="I1850" t="str">
        <f t="shared" si="18"/>
        <v>GUARDIAN</v>
      </c>
    </row>
    <row r="1851" spans="1:9" x14ac:dyDescent="0.3">
      <c r="A1851" t="str">
        <f>""</f>
        <v/>
      </c>
      <c r="F1851" t="str">
        <f>""</f>
        <v/>
      </c>
      <c r="G1851" t="str">
        <f>""</f>
        <v/>
      </c>
      <c r="I1851" t="str">
        <f t="shared" si="18"/>
        <v>GUARDIAN</v>
      </c>
    </row>
    <row r="1852" spans="1:9" x14ac:dyDescent="0.3">
      <c r="A1852" t="str">
        <f>""</f>
        <v/>
      </c>
      <c r="F1852" t="str">
        <f>""</f>
        <v/>
      </c>
      <c r="G1852" t="str">
        <f>""</f>
        <v/>
      </c>
      <c r="I1852" t="str">
        <f t="shared" si="18"/>
        <v>GUARDIAN</v>
      </c>
    </row>
    <row r="1853" spans="1:9" x14ac:dyDescent="0.3">
      <c r="A1853" t="str">
        <f>""</f>
        <v/>
      </c>
      <c r="F1853" t="str">
        <f>""</f>
        <v/>
      </c>
      <c r="G1853" t="str">
        <f>""</f>
        <v/>
      </c>
      <c r="I1853" t="str">
        <f t="shared" si="18"/>
        <v>GUARDIAN</v>
      </c>
    </row>
    <row r="1854" spans="1:9" x14ac:dyDescent="0.3">
      <c r="A1854" t="str">
        <f>""</f>
        <v/>
      </c>
      <c r="F1854" t="str">
        <f>""</f>
        <v/>
      </c>
      <c r="G1854" t="str">
        <f>""</f>
        <v/>
      </c>
      <c r="I1854" t="str">
        <f t="shared" si="18"/>
        <v>GUARDIAN</v>
      </c>
    </row>
    <row r="1855" spans="1:9" x14ac:dyDescent="0.3">
      <c r="A1855" t="str">
        <f>""</f>
        <v/>
      </c>
      <c r="F1855" t="str">
        <f>""</f>
        <v/>
      </c>
      <c r="G1855" t="str">
        <f>""</f>
        <v/>
      </c>
      <c r="I1855" t="str">
        <f t="shared" si="18"/>
        <v>GUARDIAN</v>
      </c>
    </row>
    <row r="1856" spans="1:9" x14ac:dyDescent="0.3">
      <c r="A1856" t="str">
        <f>""</f>
        <v/>
      </c>
      <c r="F1856" t="str">
        <f>""</f>
        <v/>
      </c>
      <c r="G1856" t="str">
        <f>""</f>
        <v/>
      </c>
      <c r="I1856" t="str">
        <f t="shared" si="18"/>
        <v>GUARDIAN</v>
      </c>
    </row>
    <row r="1857" spans="1:9" x14ac:dyDescent="0.3">
      <c r="A1857" t="str">
        <f>""</f>
        <v/>
      </c>
      <c r="F1857" t="str">
        <f>"GDF201705172283"</f>
        <v>GDF201705172283</v>
      </c>
      <c r="G1857" t="str">
        <f>"GUARDIAN"</f>
        <v>GUARDIAN</v>
      </c>
      <c r="H1857" s="2">
        <v>2076.04</v>
      </c>
      <c r="I1857" t="str">
        <f t="shared" si="18"/>
        <v>GUARDIAN</v>
      </c>
    </row>
    <row r="1858" spans="1:9" x14ac:dyDescent="0.3">
      <c r="A1858" t="str">
        <f>""</f>
        <v/>
      </c>
      <c r="F1858" t="str">
        <f>""</f>
        <v/>
      </c>
      <c r="G1858" t="str">
        <f>""</f>
        <v/>
      </c>
      <c r="I1858" t="str">
        <f t="shared" si="18"/>
        <v>GUARDIAN</v>
      </c>
    </row>
    <row r="1859" spans="1:9" x14ac:dyDescent="0.3">
      <c r="A1859" t="str">
        <f>""</f>
        <v/>
      </c>
      <c r="F1859" t="str">
        <f>""</f>
        <v/>
      </c>
      <c r="G1859" t="str">
        <f>""</f>
        <v/>
      </c>
      <c r="I1859" t="str">
        <f t="shared" ref="I1859:I1922" si="19">"GUARDIAN"</f>
        <v>GUARDIAN</v>
      </c>
    </row>
    <row r="1860" spans="1:9" x14ac:dyDescent="0.3">
      <c r="A1860" t="str">
        <f>""</f>
        <v/>
      </c>
      <c r="F1860" t="str">
        <f>""</f>
        <v/>
      </c>
      <c r="G1860" t="str">
        <f>""</f>
        <v/>
      </c>
      <c r="I1860" t="str">
        <f t="shared" si="19"/>
        <v>GUARDIAN</v>
      </c>
    </row>
    <row r="1861" spans="1:9" x14ac:dyDescent="0.3">
      <c r="A1861" t="str">
        <f>""</f>
        <v/>
      </c>
      <c r="F1861" t="str">
        <f>""</f>
        <v/>
      </c>
      <c r="G1861" t="str">
        <f>""</f>
        <v/>
      </c>
      <c r="I1861" t="str">
        <f t="shared" si="19"/>
        <v>GUARDIAN</v>
      </c>
    </row>
    <row r="1862" spans="1:9" x14ac:dyDescent="0.3">
      <c r="A1862" t="str">
        <f>""</f>
        <v/>
      </c>
      <c r="F1862" t="str">
        <f>""</f>
        <v/>
      </c>
      <c r="G1862" t="str">
        <f>""</f>
        <v/>
      </c>
      <c r="I1862" t="str">
        <f t="shared" si="19"/>
        <v>GUARDIAN</v>
      </c>
    </row>
    <row r="1863" spans="1:9" x14ac:dyDescent="0.3">
      <c r="A1863" t="str">
        <f>""</f>
        <v/>
      </c>
      <c r="F1863" t="str">
        <f>""</f>
        <v/>
      </c>
      <c r="G1863" t="str">
        <f>""</f>
        <v/>
      </c>
      <c r="I1863" t="str">
        <f t="shared" si="19"/>
        <v>GUARDIAN</v>
      </c>
    </row>
    <row r="1864" spans="1:9" x14ac:dyDescent="0.3">
      <c r="A1864" t="str">
        <f>""</f>
        <v/>
      </c>
      <c r="F1864" t="str">
        <f>""</f>
        <v/>
      </c>
      <c r="G1864" t="str">
        <f>""</f>
        <v/>
      </c>
      <c r="I1864" t="str">
        <f t="shared" si="19"/>
        <v>GUARDIAN</v>
      </c>
    </row>
    <row r="1865" spans="1:9" x14ac:dyDescent="0.3">
      <c r="A1865" t="str">
        <f>""</f>
        <v/>
      </c>
      <c r="F1865" t="str">
        <f>""</f>
        <v/>
      </c>
      <c r="G1865" t="str">
        <f>""</f>
        <v/>
      </c>
      <c r="I1865" t="str">
        <f t="shared" si="19"/>
        <v>GUARDIAN</v>
      </c>
    </row>
    <row r="1866" spans="1:9" x14ac:dyDescent="0.3">
      <c r="A1866" t="str">
        <f>""</f>
        <v/>
      </c>
      <c r="F1866" t="str">
        <f>""</f>
        <v/>
      </c>
      <c r="G1866" t="str">
        <f>""</f>
        <v/>
      </c>
      <c r="I1866" t="str">
        <f t="shared" si="19"/>
        <v>GUARDIAN</v>
      </c>
    </row>
    <row r="1867" spans="1:9" x14ac:dyDescent="0.3">
      <c r="A1867" t="str">
        <f>""</f>
        <v/>
      </c>
      <c r="F1867" t="str">
        <f>""</f>
        <v/>
      </c>
      <c r="G1867" t="str">
        <f>""</f>
        <v/>
      </c>
      <c r="I1867" t="str">
        <f t="shared" si="19"/>
        <v>GUARDIAN</v>
      </c>
    </row>
    <row r="1868" spans="1:9" x14ac:dyDescent="0.3">
      <c r="A1868" t="str">
        <f>""</f>
        <v/>
      </c>
      <c r="F1868" t="str">
        <f>""</f>
        <v/>
      </c>
      <c r="G1868" t="str">
        <f>""</f>
        <v/>
      </c>
      <c r="I1868" t="str">
        <f t="shared" si="19"/>
        <v>GUARDIAN</v>
      </c>
    </row>
    <row r="1869" spans="1:9" x14ac:dyDescent="0.3">
      <c r="A1869" t="str">
        <f>""</f>
        <v/>
      </c>
      <c r="F1869" t="str">
        <f>""</f>
        <v/>
      </c>
      <c r="G1869" t="str">
        <f>""</f>
        <v/>
      </c>
      <c r="I1869" t="str">
        <f t="shared" si="19"/>
        <v>GUARDIAN</v>
      </c>
    </row>
    <row r="1870" spans="1:9" x14ac:dyDescent="0.3">
      <c r="A1870" t="str">
        <f>""</f>
        <v/>
      </c>
      <c r="F1870" t="str">
        <f>""</f>
        <v/>
      </c>
      <c r="G1870" t="str">
        <f>""</f>
        <v/>
      </c>
      <c r="I1870" t="str">
        <f t="shared" si="19"/>
        <v>GUARDIAN</v>
      </c>
    </row>
    <row r="1871" spans="1:9" x14ac:dyDescent="0.3">
      <c r="A1871" t="str">
        <f>""</f>
        <v/>
      </c>
      <c r="F1871" t="str">
        <f>""</f>
        <v/>
      </c>
      <c r="G1871" t="str">
        <f>""</f>
        <v/>
      </c>
      <c r="I1871" t="str">
        <f t="shared" si="19"/>
        <v>GUARDIAN</v>
      </c>
    </row>
    <row r="1872" spans="1:9" x14ac:dyDescent="0.3">
      <c r="A1872" t="str">
        <f>""</f>
        <v/>
      </c>
      <c r="F1872" t="str">
        <f>""</f>
        <v/>
      </c>
      <c r="G1872" t="str">
        <f>""</f>
        <v/>
      </c>
      <c r="I1872" t="str">
        <f t="shared" si="19"/>
        <v>GUARDIAN</v>
      </c>
    </row>
    <row r="1873" spans="1:9" x14ac:dyDescent="0.3">
      <c r="A1873" t="str">
        <f>""</f>
        <v/>
      </c>
      <c r="F1873" t="str">
        <f>""</f>
        <v/>
      </c>
      <c r="G1873" t="str">
        <f>""</f>
        <v/>
      </c>
      <c r="I1873" t="str">
        <f t="shared" si="19"/>
        <v>GUARDIAN</v>
      </c>
    </row>
    <row r="1874" spans="1:9" x14ac:dyDescent="0.3">
      <c r="A1874" t="str">
        <f>""</f>
        <v/>
      </c>
      <c r="F1874" t="str">
        <f>""</f>
        <v/>
      </c>
      <c r="G1874" t="str">
        <f>""</f>
        <v/>
      </c>
      <c r="I1874" t="str">
        <f t="shared" si="19"/>
        <v>GUARDIAN</v>
      </c>
    </row>
    <row r="1875" spans="1:9" x14ac:dyDescent="0.3">
      <c r="A1875" t="str">
        <f>""</f>
        <v/>
      </c>
      <c r="F1875" t="str">
        <f>""</f>
        <v/>
      </c>
      <c r="G1875" t="str">
        <f>""</f>
        <v/>
      </c>
      <c r="I1875" t="str">
        <f t="shared" si="19"/>
        <v>GUARDIAN</v>
      </c>
    </row>
    <row r="1876" spans="1:9" x14ac:dyDescent="0.3">
      <c r="A1876" t="str">
        <f>""</f>
        <v/>
      </c>
      <c r="F1876" t="str">
        <f>""</f>
        <v/>
      </c>
      <c r="G1876" t="str">
        <f>""</f>
        <v/>
      </c>
      <c r="I1876" t="str">
        <f t="shared" si="19"/>
        <v>GUARDIAN</v>
      </c>
    </row>
    <row r="1877" spans="1:9" x14ac:dyDescent="0.3">
      <c r="A1877" t="str">
        <f>""</f>
        <v/>
      </c>
      <c r="F1877" t="str">
        <f>""</f>
        <v/>
      </c>
      <c r="G1877" t="str">
        <f>""</f>
        <v/>
      </c>
      <c r="I1877" t="str">
        <f t="shared" si="19"/>
        <v>GUARDIAN</v>
      </c>
    </row>
    <row r="1878" spans="1:9" x14ac:dyDescent="0.3">
      <c r="A1878" t="str">
        <f>""</f>
        <v/>
      </c>
      <c r="F1878" t="str">
        <f>""</f>
        <v/>
      </c>
      <c r="G1878" t="str">
        <f>""</f>
        <v/>
      </c>
      <c r="I1878" t="str">
        <f t="shared" si="19"/>
        <v>GUARDIAN</v>
      </c>
    </row>
    <row r="1879" spans="1:9" x14ac:dyDescent="0.3">
      <c r="A1879" t="str">
        <f>""</f>
        <v/>
      </c>
      <c r="F1879" t="str">
        <f>""</f>
        <v/>
      </c>
      <c r="G1879" t="str">
        <f>""</f>
        <v/>
      </c>
      <c r="I1879" t="str">
        <f t="shared" si="19"/>
        <v>GUARDIAN</v>
      </c>
    </row>
    <row r="1880" spans="1:9" x14ac:dyDescent="0.3">
      <c r="A1880" t="str">
        <f>""</f>
        <v/>
      </c>
      <c r="F1880" t="str">
        <f>""</f>
        <v/>
      </c>
      <c r="G1880" t="str">
        <f>""</f>
        <v/>
      </c>
      <c r="I1880" t="str">
        <f t="shared" si="19"/>
        <v>GUARDIAN</v>
      </c>
    </row>
    <row r="1881" spans="1:9" x14ac:dyDescent="0.3">
      <c r="A1881" t="str">
        <f>""</f>
        <v/>
      </c>
      <c r="F1881" t="str">
        <f>""</f>
        <v/>
      </c>
      <c r="G1881" t="str">
        <f>""</f>
        <v/>
      </c>
      <c r="I1881" t="str">
        <f t="shared" si="19"/>
        <v>GUARDIAN</v>
      </c>
    </row>
    <row r="1882" spans="1:9" x14ac:dyDescent="0.3">
      <c r="A1882" t="str">
        <f>""</f>
        <v/>
      </c>
      <c r="F1882" t="str">
        <f>""</f>
        <v/>
      </c>
      <c r="G1882" t="str">
        <f>""</f>
        <v/>
      </c>
      <c r="I1882" t="str">
        <f t="shared" si="19"/>
        <v>GUARDIAN</v>
      </c>
    </row>
    <row r="1883" spans="1:9" x14ac:dyDescent="0.3">
      <c r="A1883" t="str">
        <f>""</f>
        <v/>
      </c>
      <c r="F1883" t="str">
        <f>""</f>
        <v/>
      </c>
      <c r="G1883" t="str">
        <f>""</f>
        <v/>
      </c>
      <c r="I1883" t="str">
        <f t="shared" si="19"/>
        <v>GUARDIAN</v>
      </c>
    </row>
    <row r="1884" spans="1:9" x14ac:dyDescent="0.3">
      <c r="A1884" t="str">
        <f>""</f>
        <v/>
      </c>
      <c r="F1884" t="str">
        <f>"GDF201705172284"</f>
        <v>GDF201705172284</v>
      </c>
      <c r="G1884" t="str">
        <f>"GUARDIAN"</f>
        <v>GUARDIAN</v>
      </c>
      <c r="H1884" s="2">
        <v>96.56</v>
      </c>
      <c r="I1884" t="str">
        <f t="shared" si="19"/>
        <v>GUARDIAN</v>
      </c>
    </row>
    <row r="1885" spans="1:9" x14ac:dyDescent="0.3">
      <c r="A1885" t="str">
        <f>""</f>
        <v/>
      </c>
      <c r="F1885" t="str">
        <f>""</f>
        <v/>
      </c>
      <c r="G1885" t="str">
        <f>""</f>
        <v/>
      </c>
      <c r="I1885" t="str">
        <f t="shared" si="19"/>
        <v>GUARDIAN</v>
      </c>
    </row>
    <row r="1886" spans="1:9" x14ac:dyDescent="0.3">
      <c r="A1886" t="str">
        <f>""</f>
        <v/>
      </c>
      <c r="F1886" t="str">
        <f>"GDS201705021643"</f>
        <v>GDS201705021643</v>
      </c>
      <c r="G1886" t="str">
        <f>"GUARDIAN"</f>
        <v>GUARDIAN</v>
      </c>
      <c r="H1886" s="2">
        <v>1997.94</v>
      </c>
      <c r="I1886" t="str">
        <f t="shared" si="19"/>
        <v>GUARDIAN</v>
      </c>
    </row>
    <row r="1887" spans="1:9" x14ac:dyDescent="0.3">
      <c r="A1887" t="str">
        <f>""</f>
        <v/>
      </c>
      <c r="F1887" t="str">
        <f>""</f>
        <v/>
      </c>
      <c r="G1887" t="str">
        <f>""</f>
        <v/>
      </c>
      <c r="I1887" t="str">
        <f t="shared" si="19"/>
        <v>GUARDIAN</v>
      </c>
    </row>
    <row r="1888" spans="1:9" x14ac:dyDescent="0.3">
      <c r="A1888" t="str">
        <f>""</f>
        <v/>
      </c>
      <c r="F1888" t="str">
        <f>""</f>
        <v/>
      </c>
      <c r="G1888" t="str">
        <f>""</f>
        <v/>
      </c>
      <c r="I1888" t="str">
        <f t="shared" si="19"/>
        <v>GUARDIAN</v>
      </c>
    </row>
    <row r="1889" spans="1:9" x14ac:dyDescent="0.3">
      <c r="A1889" t="str">
        <f>""</f>
        <v/>
      </c>
      <c r="F1889" t="str">
        <f>""</f>
        <v/>
      </c>
      <c r="G1889" t="str">
        <f>""</f>
        <v/>
      </c>
      <c r="I1889" t="str">
        <f t="shared" si="19"/>
        <v>GUARDIAN</v>
      </c>
    </row>
    <row r="1890" spans="1:9" x14ac:dyDescent="0.3">
      <c r="A1890" t="str">
        <f>""</f>
        <v/>
      </c>
      <c r="F1890" t="str">
        <f>""</f>
        <v/>
      </c>
      <c r="G1890" t="str">
        <f>""</f>
        <v/>
      </c>
      <c r="I1890" t="str">
        <f t="shared" si="19"/>
        <v>GUARDIAN</v>
      </c>
    </row>
    <row r="1891" spans="1:9" x14ac:dyDescent="0.3">
      <c r="A1891" t="str">
        <f>""</f>
        <v/>
      </c>
      <c r="F1891" t="str">
        <f>""</f>
        <v/>
      </c>
      <c r="G1891" t="str">
        <f>""</f>
        <v/>
      </c>
      <c r="I1891" t="str">
        <f t="shared" si="19"/>
        <v>GUARDIAN</v>
      </c>
    </row>
    <row r="1892" spans="1:9" x14ac:dyDescent="0.3">
      <c r="A1892" t="str">
        <f>""</f>
        <v/>
      </c>
      <c r="F1892" t="str">
        <f>""</f>
        <v/>
      </c>
      <c r="G1892" t="str">
        <f>""</f>
        <v/>
      </c>
      <c r="I1892" t="str">
        <f t="shared" si="19"/>
        <v>GUARDIAN</v>
      </c>
    </row>
    <row r="1893" spans="1:9" x14ac:dyDescent="0.3">
      <c r="A1893" t="str">
        <f>""</f>
        <v/>
      </c>
      <c r="F1893" t="str">
        <f>""</f>
        <v/>
      </c>
      <c r="G1893" t="str">
        <f>""</f>
        <v/>
      </c>
      <c r="I1893" t="str">
        <f t="shared" si="19"/>
        <v>GUARDIAN</v>
      </c>
    </row>
    <row r="1894" spans="1:9" x14ac:dyDescent="0.3">
      <c r="A1894" t="str">
        <f>""</f>
        <v/>
      </c>
      <c r="F1894" t="str">
        <f>""</f>
        <v/>
      </c>
      <c r="G1894" t="str">
        <f>""</f>
        <v/>
      </c>
      <c r="I1894" t="str">
        <f t="shared" si="19"/>
        <v>GUARDIAN</v>
      </c>
    </row>
    <row r="1895" spans="1:9" x14ac:dyDescent="0.3">
      <c r="A1895" t="str">
        <f>""</f>
        <v/>
      </c>
      <c r="F1895" t="str">
        <f>""</f>
        <v/>
      </c>
      <c r="G1895" t="str">
        <f>""</f>
        <v/>
      </c>
      <c r="I1895" t="str">
        <f t="shared" si="19"/>
        <v>GUARDIAN</v>
      </c>
    </row>
    <row r="1896" spans="1:9" x14ac:dyDescent="0.3">
      <c r="A1896" t="str">
        <f>""</f>
        <v/>
      </c>
      <c r="F1896" t="str">
        <f>""</f>
        <v/>
      </c>
      <c r="G1896" t="str">
        <f>""</f>
        <v/>
      </c>
      <c r="I1896" t="str">
        <f t="shared" si="19"/>
        <v>GUARDIAN</v>
      </c>
    </row>
    <row r="1897" spans="1:9" x14ac:dyDescent="0.3">
      <c r="A1897" t="str">
        <f>""</f>
        <v/>
      </c>
      <c r="F1897" t="str">
        <f>""</f>
        <v/>
      </c>
      <c r="G1897" t="str">
        <f>""</f>
        <v/>
      </c>
      <c r="I1897" t="str">
        <f t="shared" si="19"/>
        <v>GUARDIAN</v>
      </c>
    </row>
    <row r="1898" spans="1:9" x14ac:dyDescent="0.3">
      <c r="A1898" t="str">
        <f>""</f>
        <v/>
      </c>
      <c r="F1898" t="str">
        <f>""</f>
        <v/>
      </c>
      <c r="G1898" t="str">
        <f>""</f>
        <v/>
      </c>
      <c r="I1898" t="str">
        <f t="shared" si="19"/>
        <v>GUARDIAN</v>
      </c>
    </row>
    <row r="1899" spans="1:9" x14ac:dyDescent="0.3">
      <c r="A1899" t="str">
        <f>""</f>
        <v/>
      </c>
      <c r="F1899" t="str">
        <f>""</f>
        <v/>
      </c>
      <c r="G1899" t="str">
        <f>""</f>
        <v/>
      </c>
      <c r="I1899" t="str">
        <f t="shared" si="19"/>
        <v>GUARDIAN</v>
      </c>
    </row>
    <row r="1900" spans="1:9" x14ac:dyDescent="0.3">
      <c r="A1900" t="str">
        <f>""</f>
        <v/>
      </c>
      <c r="F1900" t="str">
        <f>""</f>
        <v/>
      </c>
      <c r="G1900" t="str">
        <f>""</f>
        <v/>
      </c>
      <c r="I1900" t="str">
        <f t="shared" si="19"/>
        <v>GUARDIAN</v>
      </c>
    </row>
    <row r="1901" spans="1:9" x14ac:dyDescent="0.3">
      <c r="A1901" t="str">
        <f>""</f>
        <v/>
      </c>
      <c r="F1901" t="str">
        <f>""</f>
        <v/>
      </c>
      <c r="G1901" t="str">
        <f>""</f>
        <v/>
      </c>
      <c r="I1901" t="str">
        <f t="shared" si="19"/>
        <v>GUARDIAN</v>
      </c>
    </row>
    <row r="1902" spans="1:9" x14ac:dyDescent="0.3">
      <c r="A1902" t="str">
        <f>""</f>
        <v/>
      </c>
      <c r="F1902" t="str">
        <f>""</f>
        <v/>
      </c>
      <c r="G1902" t="str">
        <f>""</f>
        <v/>
      </c>
      <c r="I1902" t="str">
        <f t="shared" si="19"/>
        <v>GUARDIAN</v>
      </c>
    </row>
    <row r="1903" spans="1:9" x14ac:dyDescent="0.3">
      <c r="A1903" t="str">
        <f>""</f>
        <v/>
      </c>
      <c r="F1903" t="str">
        <f>""</f>
        <v/>
      </c>
      <c r="G1903" t="str">
        <f>""</f>
        <v/>
      </c>
      <c r="I1903" t="str">
        <f t="shared" si="19"/>
        <v>GUARDIAN</v>
      </c>
    </row>
    <row r="1904" spans="1:9" x14ac:dyDescent="0.3">
      <c r="A1904" t="str">
        <f>""</f>
        <v/>
      </c>
      <c r="F1904" t="str">
        <f>""</f>
        <v/>
      </c>
      <c r="G1904" t="str">
        <f>""</f>
        <v/>
      </c>
      <c r="I1904" t="str">
        <f t="shared" si="19"/>
        <v>GUARDIAN</v>
      </c>
    </row>
    <row r="1905" spans="1:9" x14ac:dyDescent="0.3">
      <c r="A1905" t="str">
        <f>""</f>
        <v/>
      </c>
      <c r="F1905" t="str">
        <f>""</f>
        <v/>
      </c>
      <c r="G1905" t="str">
        <f>""</f>
        <v/>
      </c>
      <c r="I1905" t="str">
        <f t="shared" si="19"/>
        <v>GUARDIAN</v>
      </c>
    </row>
    <row r="1906" spans="1:9" x14ac:dyDescent="0.3">
      <c r="A1906" t="str">
        <f>""</f>
        <v/>
      </c>
      <c r="F1906" t="str">
        <f>""</f>
        <v/>
      </c>
      <c r="G1906" t="str">
        <f>""</f>
        <v/>
      </c>
      <c r="I1906" t="str">
        <f t="shared" si="19"/>
        <v>GUARDIAN</v>
      </c>
    </row>
    <row r="1907" spans="1:9" x14ac:dyDescent="0.3">
      <c r="A1907" t="str">
        <f>""</f>
        <v/>
      </c>
      <c r="F1907" t="str">
        <f>""</f>
        <v/>
      </c>
      <c r="G1907" t="str">
        <f>""</f>
        <v/>
      </c>
      <c r="I1907" t="str">
        <f t="shared" si="19"/>
        <v>GUARDIAN</v>
      </c>
    </row>
    <row r="1908" spans="1:9" x14ac:dyDescent="0.3">
      <c r="A1908" t="str">
        <f>""</f>
        <v/>
      </c>
      <c r="F1908" t="str">
        <f>""</f>
        <v/>
      </c>
      <c r="G1908" t="str">
        <f>""</f>
        <v/>
      </c>
      <c r="I1908" t="str">
        <f t="shared" si="19"/>
        <v>GUARDIAN</v>
      </c>
    </row>
    <row r="1909" spans="1:9" x14ac:dyDescent="0.3">
      <c r="A1909" t="str">
        <f>""</f>
        <v/>
      </c>
      <c r="F1909" t="str">
        <f>""</f>
        <v/>
      </c>
      <c r="G1909" t="str">
        <f>""</f>
        <v/>
      </c>
      <c r="I1909" t="str">
        <f t="shared" si="19"/>
        <v>GUARDIAN</v>
      </c>
    </row>
    <row r="1910" spans="1:9" x14ac:dyDescent="0.3">
      <c r="A1910" t="str">
        <f>""</f>
        <v/>
      </c>
      <c r="F1910" t="str">
        <f>""</f>
        <v/>
      </c>
      <c r="G1910" t="str">
        <f>""</f>
        <v/>
      </c>
      <c r="I1910" t="str">
        <f t="shared" si="19"/>
        <v>GUARDIAN</v>
      </c>
    </row>
    <row r="1911" spans="1:9" x14ac:dyDescent="0.3">
      <c r="A1911" t="str">
        <f>""</f>
        <v/>
      </c>
      <c r="F1911" t="str">
        <f>""</f>
        <v/>
      </c>
      <c r="G1911" t="str">
        <f>""</f>
        <v/>
      </c>
      <c r="I1911" t="str">
        <f t="shared" si="19"/>
        <v>GUARDIAN</v>
      </c>
    </row>
    <row r="1912" spans="1:9" x14ac:dyDescent="0.3">
      <c r="A1912" t="str">
        <f>""</f>
        <v/>
      </c>
      <c r="F1912" t="str">
        <f>""</f>
        <v/>
      </c>
      <c r="G1912" t="str">
        <f>""</f>
        <v/>
      </c>
      <c r="I1912" t="str">
        <f t="shared" si="19"/>
        <v>GUARDIAN</v>
      </c>
    </row>
    <row r="1913" spans="1:9" x14ac:dyDescent="0.3">
      <c r="A1913" t="str">
        <f>""</f>
        <v/>
      </c>
      <c r="F1913" t="str">
        <f>""</f>
        <v/>
      </c>
      <c r="G1913" t="str">
        <f>""</f>
        <v/>
      </c>
      <c r="I1913" t="str">
        <f t="shared" si="19"/>
        <v>GUARDIAN</v>
      </c>
    </row>
    <row r="1914" spans="1:9" x14ac:dyDescent="0.3">
      <c r="A1914" t="str">
        <f>""</f>
        <v/>
      </c>
      <c r="F1914" t="str">
        <f>""</f>
        <v/>
      </c>
      <c r="G1914" t="str">
        <f>""</f>
        <v/>
      </c>
      <c r="I1914" t="str">
        <f t="shared" si="19"/>
        <v>GUARDIAN</v>
      </c>
    </row>
    <row r="1915" spans="1:9" x14ac:dyDescent="0.3">
      <c r="A1915" t="str">
        <f>""</f>
        <v/>
      </c>
      <c r="F1915" t="str">
        <f>""</f>
        <v/>
      </c>
      <c r="G1915" t="str">
        <f>""</f>
        <v/>
      </c>
      <c r="I1915" t="str">
        <f t="shared" si="19"/>
        <v>GUARDIAN</v>
      </c>
    </row>
    <row r="1916" spans="1:9" x14ac:dyDescent="0.3">
      <c r="A1916" t="str">
        <f>""</f>
        <v/>
      </c>
      <c r="F1916" t="str">
        <f>""</f>
        <v/>
      </c>
      <c r="G1916" t="str">
        <f>""</f>
        <v/>
      </c>
      <c r="I1916" t="str">
        <f t="shared" si="19"/>
        <v>GUARDIAN</v>
      </c>
    </row>
    <row r="1917" spans="1:9" x14ac:dyDescent="0.3">
      <c r="A1917" t="str">
        <f>""</f>
        <v/>
      </c>
      <c r="F1917" t="str">
        <f>"GDS201705172283"</f>
        <v>GDS201705172283</v>
      </c>
      <c r="G1917" t="str">
        <f>"GUARDIAN"</f>
        <v>GUARDIAN</v>
      </c>
      <c r="H1917" s="2">
        <v>1997.94</v>
      </c>
      <c r="I1917" t="str">
        <f t="shared" si="19"/>
        <v>GUARDIAN</v>
      </c>
    </row>
    <row r="1918" spans="1:9" x14ac:dyDescent="0.3">
      <c r="A1918" t="str">
        <f>""</f>
        <v/>
      </c>
      <c r="F1918" t="str">
        <f>""</f>
        <v/>
      </c>
      <c r="G1918" t="str">
        <f>""</f>
        <v/>
      </c>
      <c r="I1918" t="str">
        <f t="shared" si="19"/>
        <v>GUARDIAN</v>
      </c>
    </row>
    <row r="1919" spans="1:9" x14ac:dyDescent="0.3">
      <c r="A1919" t="str">
        <f>""</f>
        <v/>
      </c>
      <c r="F1919" t="str">
        <f>""</f>
        <v/>
      </c>
      <c r="G1919" t="str">
        <f>""</f>
        <v/>
      </c>
      <c r="I1919" t="str">
        <f t="shared" si="19"/>
        <v>GUARDIAN</v>
      </c>
    </row>
    <row r="1920" spans="1:9" x14ac:dyDescent="0.3">
      <c r="A1920" t="str">
        <f>""</f>
        <v/>
      </c>
      <c r="F1920" t="str">
        <f>""</f>
        <v/>
      </c>
      <c r="G1920" t="str">
        <f>""</f>
        <v/>
      </c>
      <c r="I1920" t="str">
        <f t="shared" si="19"/>
        <v>GUARDIAN</v>
      </c>
    </row>
    <row r="1921" spans="1:9" x14ac:dyDescent="0.3">
      <c r="A1921" t="str">
        <f>""</f>
        <v/>
      </c>
      <c r="F1921" t="str">
        <f>""</f>
        <v/>
      </c>
      <c r="G1921" t="str">
        <f>""</f>
        <v/>
      </c>
      <c r="I1921" t="str">
        <f t="shared" si="19"/>
        <v>GUARDIAN</v>
      </c>
    </row>
    <row r="1922" spans="1:9" x14ac:dyDescent="0.3">
      <c r="A1922" t="str">
        <f>""</f>
        <v/>
      </c>
      <c r="F1922" t="str">
        <f>""</f>
        <v/>
      </c>
      <c r="G1922" t="str">
        <f>""</f>
        <v/>
      </c>
      <c r="I1922" t="str">
        <f t="shared" si="19"/>
        <v>GUARDIAN</v>
      </c>
    </row>
    <row r="1923" spans="1:9" x14ac:dyDescent="0.3">
      <c r="A1923" t="str">
        <f>""</f>
        <v/>
      </c>
      <c r="F1923" t="str">
        <f>""</f>
        <v/>
      </c>
      <c r="G1923" t="str">
        <f>""</f>
        <v/>
      </c>
      <c r="I1923" t="str">
        <f t="shared" ref="I1923:I1947" si="20">"GUARDIAN"</f>
        <v>GUARDIAN</v>
      </c>
    </row>
    <row r="1924" spans="1:9" x14ac:dyDescent="0.3">
      <c r="A1924" t="str">
        <f>""</f>
        <v/>
      </c>
      <c r="F1924" t="str">
        <f>""</f>
        <v/>
      </c>
      <c r="G1924" t="str">
        <f>""</f>
        <v/>
      </c>
      <c r="I1924" t="str">
        <f t="shared" si="20"/>
        <v>GUARDIAN</v>
      </c>
    </row>
    <row r="1925" spans="1:9" x14ac:dyDescent="0.3">
      <c r="A1925" t="str">
        <f>""</f>
        <v/>
      </c>
      <c r="F1925" t="str">
        <f>""</f>
        <v/>
      </c>
      <c r="G1925" t="str">
        <f>""</f>
        <v/>
      </c>
      <c r="I1925" t="str">
        <f t="shared" si="20"/>
        <v>GUARDIAN</v>
      </c>
    </row>
    <row r="1926" spans="1:9" x14ac:dyDescent="0.3">
      <c r="A1926" t="str">
        <f>""</f>
        <v/>
      </c>
      <c r="F1926" t="str">
        <f>""</f>
        <v/>
      </c>
      <c r="G1926" t="str">
        <f>""</f>
        <v/>
      </c>
      <c r="I1926" t="str">
        <f t="shared" si="20"/>
        <v>GUARDIAN</v>
      </c>
    </row>
    <row r="1927" spans="1:9" x14ac:dyDescent="0.3">
      <c r="A1927" t="str">
        <f>""</f>
        <v/>
      </c>
      <c r="F1927" t="str">
        <f>""</f>
        <v/>
      </c>
      <c r="G1927" t="str">
        <f>""</f>
        <v/>
      </c>
      <c r="I1927" t="str">
        <f t="shared" si="20"/>
        <v>GUARDIAN</v>
      </c>
    </row>
    <row r="1928" spans="1:9" x14ac:dyDescent="0.3">
      <c r="A1928" t="str">
        <f>""</f>
        <v/>
      </c>
      <c r="F1928" t="str">
        <f>""</f>
        <v/>
      </c>
      <c r="G1928" t="str">
        <f>""</f>
        <v/>
      </c>
      <c r="I1928" t="str">
        <f t="shared" si="20"/>
        <v>GUARDIAN</v>
      </c>
    </row>
    <row r="1929" spans="1:9" x14ac:dyDescent="0.3">
      <c r="A1929" t="str">
        <f>""</f>
        <v/>
      </c>
      <c r="F1929" t="str">
        <f>""</f>
        <v/>
      </c>
      <c r="G1929" t="str">
        <f>""</f>
        <v/>
      </c>
      <c r="I1929" t="str">
        <f t="shared" si="20"/>
        <v>GUARDIAN</v>
      </c>
    </row>
    <row r="1930" spans="1:9" x14ac:dyDescent="0.3">
      <c r="A1930" t="str">
        <f>""</f>
        <v/>
      </c>
      <c r="F1930" t="str">
        <f>""</f>
        <v/>
      </c>
      <c r="G1930" t="str">
        <f>""</f>
        <v/>
      </c>
      <c r="I1930" t="str">
        <f t="shared" si="20"/>
        <v>GUARDIAN</v>
      </c>
    </row>
    <row r="1931" spans="1:9" x14ac:dyDescent="0.3">
      <c r="A1931" t="str">
        <f>""</f>
        <v/>
      </c>
      <c r="F1931" t="str">
        <f>""</f>
        <v/>
      </c>
      <c r="G1931" t="str">
        <f>""</f>
        <v/>
      </c>
      <c r="I1931" t="str">
        <f t="shared" si="20"/>
        <v>GUARDIAN</v>
      </c>
    </row>
    <row r="1932" spans="1:9" x14ac:dyDescent="0.3">
      <c r="A1932" t="str">
        <f>""</f>
        <v/>
      </c>
      <c r="F1932" t="str">
        <f>""</f>
        <v/>
      </c>
      <c r="G1932" t="str">
        <f>""</f>
        <v/>
      </c>
      <c r="I1932" t="str">
        <f t="shared" si="20"/>
        <v>GUARDIAN</v>
      </c>
    </row>
    <row r="1933" spans="1:9" x14ac:dyDescent="0.3">
      <c r="A1933" t="str">
        <f>""</f>
        <v/>
      </c>
      <c r="F1933" t="str">
        <f>""</f>
        <v/>
      </c>
      <c r="G1933" t="str">
        <f>""</f>
        <v/>
      </c>
      <c r="I1933" t="str">
        <f t="shared" si="20"/>
        <v>GUARDIAN</v>
      </c>
    </row>
    <row r="1934" spans="1:9" x14ac:dyDescent="0.3">
      <c r="A1934" t="str">
        <f>""</f>
        <v/>
      </c>
      <c r="F1934" t="str">
        <f>""</f>
        <v/>
      </c>
      <c r="G1934" t="str">
        <f>""</f>
        <v/>
      </c>
      <c r="I1934" t="str">
        <f t="shared" si="20"/>
        <v>GUARDIAN</v>
      </c>
    </row>
    <row r="1935" spans="1:9" x14ac:dyDescent="0.3">
      <c r="A1935" t="str">
        <f>""</f>
        <v/>
      </c>
      <c r="F1935" t="str">
        <f>""</f>
        <v/>
      </c>
      <c r="G1935" t="str">
        <f>""</f>
        <v/>
      </c>
      <c r="I1935" t="str">
        <f t="shared" si="20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20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20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20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20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20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20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20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20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20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20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20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20"/>
        <v>GUARDIAN</v>
      </c>
    </row>
    <row r="1948" spans="1:9" x14ac:dyDescent="0.3">
      <c r="A1948" t="str">
        <f>""</f>
        <v/>
      </c>
      <c r="F1948" t="str">
        <f>"GV1201705021588"</f>
        <v>GV1201705021588</v>
      </c>
      <c r="G1948" t="str">
        <f>"GUARDIAN VISION"</f>
        <v>GUARDIAN VISION</v>
      </c>
      <c r="H1948" s="2">
        <v>5.6</v>
      </c>
      <c r="I1948" t="str">
        <f>"GUARDIAN VISION"</f>
        <v>GUARDIAN VISION</v>
      </c>
    </row>
    <row r="1949" spans="1:9" x14ac:dyDescent="0.3">
      <c r="A1949" t="str">
        <f>""</f>
        <v/>
      </c>
      <c r="F1949" t="str">
        <f>"GV1201705021643"</f>
        <v>GV1201705021643</v>
      </c>
      <c r="G1949" t="str">
        <f>"GUARDIAN VISION"</f>
        <v>GUARDIAN VISION</v>
      </c>
      <c r="H1949" s="2">
        <v>352.8</v>
      </c>
      <c r="I1949" t="str">
        <f>"GUARDIAN VISION"</f>
        <v>GUARDIAN VISION</v>
      </c>
    </row>
    <row r="1950" spans="1:9" x14ac:dyDescent="0.3">
      <c r="A1950" t="str">
        <f>""</f>
        <v/>
      </c>
      <c r="F1950" t="str">
        <f>"GV1201705172283"</f>
        <v>GV1201705172283</v>
      </c>
      <c r="G1950" t="str">
        <f>"GUARDIAN VISION"</f>
        <v>GUARDIAN VISION</v>
      </c>
      <c r="H1950" s="2">
        <v>352.8</v>
      </c>
      <c r="I1950" t="str">
        <f>"GUARDIAN VISION"</f>
        <v>GUARDIAN VISION</v>
      </c>
    </row>
    <row r="1951" spans="1:9" x14ac:dyDescent="0.3">
      <c r="A1951" t="str">
        <f>""</f>
        <v/>
      </c>
      <c r="F1951" t="str">
        <f>"GV1201705172284"</f>
        <v>GV1201705172284</v>
      </c>
      <c r="G1951" t="str">
        <f>"GUARDIAN VISION"</f>
        <v>GUARDIAN VISION</v>
      </c>
      <c r="H1951" s="2">
        <v>5.6</v>
      </c>
      <c r="I1951" t="str">
        <f>"GUARDIAN VISION"</f>
        <v>GUARDIAN VISION</v>
      </c>
    </row>
    <row r="1952" spans="1:9" x14ac:dyDescent="0.3">
      <c r="A1952" t="str">
        <f>""</f>
        <v/>
      </c>
      <c r="F1952" t="str">
        <f>"GVE201705021588"</f>
        <v>GVE201705021588</v>
      </c>
      <c r="G1952" t="str">
        <f>"GUARDIAN VISION VENDOR"</f>
        <v>GUARDIAN VISION VENDOR</v>
      </c>
      <c r="H1952" s="2">
        <v>22.14</v>
      </c>
      <c r="I1952" t="str">
        <f>"GUARDIAN VISION VENDOR"</f>
        <v>GUARDIAN VISION VENDOR</v>
      </c>
    </row>
    <row r="1953" spans="1:9" x14ac:dyDescent="0.3">
      <c r="A1953" t="str">
        <f>""</f>
        <v/>
      </c>
      <c r="F1953" t="str">
        <f>"GVE201705021643"</f>
        <v>GVE201705021643</v>
      </c>
      <c r="G1953" t="str">
        <f>"GUARDIAN VISION VENDOR"</f>
        <v>GUARDIAN VISION VENDOR</v>
      </c>
      <c r="H1953" s="2">
        <v>516.6</v>
      </c>
      <c r="I1953" t="str">
        <f>"GUARDIAN VISION VENDOR"</f>
        <v>GUARDIAN VISION VENDOR</v>
      </c>
    </row>
    <row r="1954" spans="1:9" x14ac:dyDescent="0.3">
      <c r="A1954" t="str">
        <f>""</f>
        <v/>
      </c>
      <c r="F1954" t="str">
        <f>"GVE201705172283"</f>
        <v>GVE201705172283</v>
      </c>
      <c r="G1954" t="str">
        <f>"GUARDIAN VISION VENDOR"</f>
        <v>GUARDIAN VISION VENDOR</v>
      </c>
      <c r="H1954" s="2">
        <v>523.98</v>
      </c>
      <c r="I1954" t="str">
        <f>"GUARDIAN VISION VENDOR"</f>
        <v>GUARDIAN VISION VENDOR</v>
      </c>
    </row>
    <row r="1955" spans="1:9" x14ac:dyDescent="0.3">
      <c r="A1955" t="str">
        <f>""</f>
        <v/>
      </c>
      <c r="F1955" t="str">
        <f>"GVE201705172284"</f>
        <v>GVE201705172284</v>
      </c>
      <c r="G1955" t="str">
        <f>"GUARDIAN VISION VENDOR"</f>
        <v>GUARDIAN VISION VENDOR</v>
      </c>
      <c r="H1955" s="2">
        <v>22.14</v>
      </c>
      <c r="I1955" t="str">
        <f>"GUARDIAN VISION VENDOR"</f>
        <v>GUARDIAN VISION VENDOR</v>
      </c>
    </row>
    <row r="1956" spans="1:9" x14ac:dyDescent="0.3">
      <c r="A1956" t="str">
        <f>""</f>
        <v/>
      </c>
      <c r="F1956" t="str">
        <f>"GVF201705021588"</f>
        <v>GVF201705021588</v>
      </c>
      <c r="G1956" t="str">
        <f>"GUARDIAN VISION VENDOR"</f>
        <v>GUARDIAN VISION VENDOR</v>
      </c>
      <c r="H1956" s="2">
        <v>19.7</v>
      </c>
      <c r="I1956" t="str">
        <f>"GUARDIAN VISION VENDOR"</f>
        <v>GUARDIAN VISION VENDOR</v>
      </c>
    </row>
    <row r="1957" spans="1:9" x14ac:dyDescent="0.3">
      <c r="A1957" t="str">
        <f>""</f>
        <v/>
      </c>
      <c r="F1957" t="str">
        <f>"GVF201705021643"</f>
        <v>GVF201705021643</v>
      </c>
      <c r="G1957" t="str">
        <f>"GUARDIAN VISION"</f>
        <v>GUARDIAN VISION</v>
      </c>
      <c r="H1957" s="2">
        <v>443.25</v>
      </c>
      <c r="I1957" t="str">
        <f>"GUARDIAN VISION"</f>
        <v>GUARDIAN VISION</v>
      </c>
    </row>
    <row r="1958" spans="1:9" x14ac:dyDescent="0.3">
      <c r="A1958" t="str">
        <f>""</f>
        <v/>
      </c>
      <c r="F1958" t="str">
        <f>"GVF201705172283"</f>
        <v>GVF201705172283</v>
      </c>
      <c r="G1958" t="str">
        <f>"GUARDIAN VISION"</f>
        <v>GUARDIAN VISION</v>
      </c>
      <c r="H1958" s="2">
        <v>443.25</v>
      </c>
      <c r="I1958" t="str">
        <f>"GUARDIAN VISION"</f>
        <v>GUARDIAN VISION</v>
      </c>
    </row>
    <row r="1959" spans="1:9" x14ac:dyDescent="0.3">
      <c r="A1959" t="str">
        <f>""</f>
        <v/>
      </c>
      <c r="F1959" t="str">
        <f>"GVF201705172284"</f>
        <v>GVF201705172284</v>
      </c>
      <c r="G1959" t="str">
        <f>"GUARDIAN VISION VENDOR"</f>
        <v>GUARDIAN VISION VENDOR</v>
      </c>
      <c r="H1959" s="2">
        <v>19.7</v>
      </c>
      <c r="I1959" t="str">
        <f>"GUARDIAN VISION VENDOR"</f>
        <v>GUARDIAN VISION VENDOR</v>
      </c>
    </row>
    <row r="1960" spans="1:9" x14ac:dyDescent="0.3">
      <c r="A1960" t="str">
        <f>""</f>
        <v/>
      </c>
      <c r="F1960" t="str">
        <f>"LIA201705021643"</f>
        <v>LIA201705021643</v>
      </c>
      <c r="G1960" t="str">
        <f>"GUARDIAN"</f>
        <v>GUARDIAN</v>
      </c>
      <c r="H1960" s="2">
        <v>118.19</v>
      </c>
      <c r="I1960" t="str">
        <f t="shared" ref="I1960:I1991" si="21">"GUARDIAN"</f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21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21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21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21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21"/>
        <v>GUARDIAN</v>
      </c>
    </row>
    <row r="1966" spans="1:9" x14ac:dyDescent="0.3">
      <c r="A1966" t="str">
        <f>""</f>
        <v/>
      </c>
      <c r="F1966" t="str">
        <f>""</f>
        <v/>
      </c>
      <c r="G1966" t="str">
        <f>""</f>
        <v/>
      </c>
      <c r="I1966" t="str">
        <f t="shared" si="21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21"/>
        <v>GUARDIAN</v>
      </c>
    </row>
    <row r="1968" spans="1:9" x14ac:dyDescent="0.3">
      <c r="A1968" t="str">
        <f>""</f>
        <v/>
      </c>
      <c r="F1968" t="str">
        <f>""</f>
        <v/>
      </c>
      <c r="G1968" t="str">
        <f>""</f>
        <v/>
      </c>
      <c r="I1968" t="str">
        <f t="shared" si="21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21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21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21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21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21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21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21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21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21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21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21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21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21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21"/>
        <v>GUARDIAN</v>
      </c>
    </row>
    <row r="1983" spans="1:9" x14ac:dyDescent="0.3">
      <c r="A1983" t="str">
        <f>""</f>
        <v/>
      </c>
      <c r="F1983" t="str">
        <f>"LIA201705172283"</f>
        <v>LIA201705172283</v>
      </c>
      <c r="G1983" t="str">
        <f>"GUARDIAN"</f>
        <v>GUARDIAN</v>
      </c>
      <c r="H1983" s="2">
        <v>118.19</v>
      </c>
      <c r="I1983" t="str">
        <f t="shared" si="21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21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21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21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si="21"/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21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21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21"/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21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ref="I1992:I2023" si="22">"GUARDIAN"</f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22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22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22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22"/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22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22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22"/>
        <v>GUARDIAN</v>
      </c>
    </row>
    <row r="2000" spans="1:9" x14ac:dyDescent="0.3">
      <c r="A2000" t="str">
        <f>""</f>
        <v/>
      </c>
      <c r="F2000" t="str">
        <f>""</f>
        <v/>
      </c>
      <c r="G2000" t="str">
        <f>""</f>
        <v/>
      </c>
      <c r="I2000" t="str">
        <f t="shared" si="22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22"/>
        <v>GUARDIAN</v>
      </c>
    </row>
    <row r="2002" spans="1:9" x14ac:dyDescent="0.3">
      <c r="A2002" t="str">
        <f>""</f>
        <v/>
      </c>
      <c r="F2002" t="str">
        <f>""</f>
        <v/>
      </c>
      <c r="G2002" t="str">
        <f>""</f>
        <v/>
      </c>
      <c r="I2002" t="str">
        <f t="shared" si="22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22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22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22"/>
        <v>GUARDIAN</v>
      </c>
    </row>
    <row r="2006" spans="1:9" x14ac:dyDescent="0.3">
      <c r="A2006" t="str">
        <f>""</f>
        <v/>
      </c>
      <c r="F2006" t="str">
        <f>"LIC201705021588"</f>
        <v>LIC201705021588</v>
      </c>
      <c r="G2006" t="str">
        <f>"GUARDIAN"</f>
        <v>GUARDIAN</v>
      </c>
      <c r="H2006" s="2">
        <v>1.05</v>
      </c>
      <c r="I2006" t="str">
        <f t="shared" si="22"/>
        <v>GUARDIAN</v>
      </c>
    </row>
    <row r="2007" spans="1:9" x14ac:dyDescent="0.3">
      <c r="A2007" t="str">
        <f>""</f>
        <v/>
      </c>
      <c r="F2007" t="str">
        <f>"LIC201705021643"</f>
        <v>LIC201705021643</v>
      </c>
      <c r="G2007" t="str">
        <f>"GUARDIAN"</f>
        <v>GUARDIAN</v>
      </c>
      <c r="H2007" s="2">
        <v>39.5</v>
      </c>
      <c r="I2007" t="str">
        <f t="shared" si="22"/>
        <v>GUARDIAN</v>
      </c>
    </row>
    <row r="2008" spans="1:9" x14ac:dyDescent="0.3">
      <c r="A2008" t="str">
        <f>""</f>
        <v/>
      </c>
      <c r="F2008" t="str">
        <f>"LIC201705172283"</f>
        <v>LIC201705172283</v>
      </c>
      <c r="G2008" t="str">
        <f>"GUARDIAN"</f>
        <v>GUARDIAN</v>
      </c>
      <c r="H2008" s="2">
        <v>39.5</v>
      </c>
      <c r="I2008" t="str">
        <f t="shared" si="22"/>
        <v>GUARDIAN</v>
      </c>
    </row>
    <row r="2009" spans="1:9" x14ac:dyDescent="0.3">
      <c r="A2009" t="str">
        <f>""</f>
        <v/>
      </c>
      <c r="F2009" t="str">
        <f>"LIC201705172284"</f>
        <v>LIC201705172284</v>
      </c>
      <c r="G2009" t="str">
        <f>"GUARDIAN"</f>
        <v>GUARDIAN</v>
      </c>
      <c r="H2009" s="2">
        <v>1.05</v>
      </c>
      <c r="I2009" t="str">
        <f t="shared" si="22"/>
        <v>GUARDIAN</v>
      </c>
    </row>
    <row r="2010" spans="1:9" x14ac:dyDescent="0.3">
      <c r="A2010" t="str">
        <f>""</f>
        <v/>
      </c>
      <c r="F2010" t="str">
        <f>"LIE201705021588"</f>
        <v>LIE201705021588</v>
      </c>
      <c r="G2010" t="str">
        <f>"GUARDIAN"</f>
        <v>GUARDIAN</v>
      </c>
      <c r="H2010" s="2">
        <v>134.1</v>
      </c>
      <c r="I2010" t="str">
        <f t="shared" si="22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22"/>
        <v>GUARDIAN</v>
      </c>
    </row>
    <row r="2012" spans="1:9" x14ac:dyDescent="0.3">
      <c r="A2012" t="str">
        <f>""</f>
        <v/>
      </c>
      <c r="F2012" t="str">
        <f>"LIE201705021643"</f>
        <v>LIE201705021643</v>
      </c>
      <c r="G2012" t="str">
        <f>"GUARDIAN"</f>
        <v>GUARDIAN</v>
      </c>
      <c r="H2012" s="2">
        <v>3107.4</v>
      </c>
      <c r="I2012" t="str">
        <f t="shared" si="22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22"/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22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22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22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22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22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22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22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22"/>
        <v>GUARDIAN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22"/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22"/>
        <v>GUARDIAN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ref="I2024:I2055" si="23">"GUARDIAN"</f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23"/>
        <v>GUARDIAN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23"/>
        <v>GUARDIAN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23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23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23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23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23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23"/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23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23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23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23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23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23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23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23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23"/>
        <v>GUARDIAN</v>
      </c>
    </row>
    <row r="2042" spans="1:9" x14ac:dyDescent="0.3">
      <c r="A2042" t="str">
        <f>""</f>
        <v/>
      </c>
      <c r="F2042" t="str">
        <f>""</f>
        <v/>
      </c>
      <c r="G2042" t="str">
        <f>""</f>
        <v/>
      </c>
      <c r="I2042" t="str">
        <f t="shared" si="23"/>
        <v>GUARDIAN</v>
      </c>
    </row>
    <row r="2043" spans="1:9" x14ac:dyDescent="0.3">
      <c r="A2043" t="str">
        <f>""</f>
        <v/>
      </c>
      <c r="F2043" t="str">
        <f>""</f>
        <v/>
      </c>
      <c r="G2043" t="str">
        <f>""</f>
        <v/>
      </c>
      <c r="I2043" t="str">
        <f t="shared" si="23"/>
        <v>GUARDIAN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23"/>
        <v>GUARDIAN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23"/>
        <v>GUARDIAN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23"/>
        <v>GUARDIAN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23"/>
        <v>GUARDIAN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23"/>
        <v>GUARDIAN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23"/>
        <v>GUARDIAN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23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si="23"/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23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23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23"/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23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ref="I2056:I2087" si="24">"GUARDIAN"</f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24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24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24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24"/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24"/>
        <v>GUARDIAN</v>
      </c>
    </row>
    <row r="2062" spans="1:9" x14ac:dyDescent="0.3">
      <c r="A2062" t="str">
        <f>""</f>
        <v/>
      </c>
      <c r="F2062" t="str">
        <f>"LIE201705172283"</f>
        <v>LIE201705172283</v>
      </c>
      <c r="G2062" t="str">
        <f>"GUARDIAN"</f>
        <v>GUARDIAN</v>
      </c>
      <c r="H2062" s="2">
        <v>3111.1</v>
      </c>
      <c r="I2062" t="str">
        <f t="shared" si="24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24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24"/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24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24"/>
        <v>GUARDIAN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24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24"/>
        <v>GUARDIAN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24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24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24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24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24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24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24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24"/>
        <v>GUARDIAN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24"/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24"/>
        <v>GUARDIAN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24"/>
        <v>GUARDIAN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24"/>
        <v>GUARDIAN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24"/>
        <v>GUARDIAN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24"/>
        <v>GUARDIAN</v>
      </c>
    </row>
    <row r="2083" spans="1:9" x14ac:dyDescent="0.3">
      <c r="A2083" t="str">
        <f>""</f>
        <v/>
      </c>
      <c r="F2083" t="str">
        <f>""</f>
        <v/>
      </c>
      <c r="G2083" t="str">
        <f>""</f>
        <v/>
      </c>
      <c r="I2083" t="str">
        <f t="shared" si="24"/>
        <v>GUARDIAN</v>
      </c>
    </row>
    <row r="2084" spans="1:9" x14ac:dyDescent="0.3">
      <c r="A2084" t="str">
        <f>""</f>
        <v/>
      </c>
      <c r="F2084" t="str">
        <f>""</f>
        <v/>
      </c>
      <c r="G2084" t="str">
        <f>""</f>
        <v/>
      </c>
      <c r="I2084" t="str">
        <f t="shared" si="24"/>
        <v>GUARDIAN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24"/>
        <v>GUARDIAN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24"/>
        <v>GUARDIAN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24"/>
        <v>GUARDIAN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ref="I2088:I2119" si="25">"GUARDIAN"</f>
        <v>GUARDIAN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25"/>
        <v>GUARDIAN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25"/>
        <v>GUARDIAN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25"/>
        <v>GUARDIAN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25"/>
        <v>GUARDIAN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25"/>
        <v>GUARDIAN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25"/>
        <v>GUARDIAN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25"/>
        <v>GUARDIAN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25"/>
        <v>GUARDIAN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25"/>
        <v>GUARDIAN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25"/>
        <v>GUARDIAN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25"/>
        <v>GUARDIAN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25"/>
        <v>GUARDIAN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25"/>
        <v>GUARDIAN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25"/>
        <v>GUARDIAN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25"/>
        <v>GUARDIAN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25"/>
        <v>GUARDIAN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25"/>
        <v>GUARDIAN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25"/>
        <v>GUARDIAN</v>
      </c>
    </row>
    <row r="2107" spans="1:9" x14ac:dyDescent="0.3">
      <c r="A2107" t="str">
        <f>""</f>
        <v/>
      </c>
      <c r="F2107" t="str">
        <f>""</f>
        <v/>
      </c>
      <c r="G2107" t="str">
        <f>""</f>
        <v/>
      </c>
      <c r="I2107" t="str">
        <f t="shared" si="25"/>
        <v>GUARDIAN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25"/>
        <v>GUARDIAN</v>
      </c>
    </row>
    <row r="2109" spans="1:9" x14ac:dyDescent="0.3">
      <c r="A2109" t="str">
        <f>""</f>
        <v/>
      </c>
      <c r="F2109" t="str">
        <f>""</f>
        <v/>
      </c>
      <c r="G2109" t="str">
        <f>""</f>
        <v/>
      </c>
      <c r="I2109" t="str">
        <f t="shared" si="25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25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25"/>
        <v>GUARDIAN</v>
      </c>
    </row>
    <row r="2112" spans="1:9" x14ac:dyDescent="0.3">
      <c r="A2112" t="str">
        <f>""</f>
        <v/>
      </c>
      <c r="F2112" t="str">
        <f>"LIE201705172284"</f>
        <v>LIE201705172284</v>
      </c>
      <c r="G2112" t="str">
        <f>"GUARDIAN"</f>
        <v>GUARDIAN</v>
      </c>
      <c r="H2112" s="2">
        <v>134.1</v>
      </c>
      <c r="I2112" t="str">
        <f t="shared" si="25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25"/>
        <v>GUARDIAN</v>
      </c>
    </row>
    <row r="2114" spans="1:9" x14ac:dyDescent="0.3">
      <c r="A2114" t="str">
        <f>""</f>
        <v/>
      </c>
      <c r="F2114" t="str">
        <f>"LIS201705021588"</f>
        <v>LIS201705021588</v>
      </c>
      <c r="G2114" t="str">
        <f t="shared" ref="G2114:G2125" si="26">"GUARDIAN"</f>
        <v>GUARDIAN</v>
      </c>
      <c r="H2114" s="2">
        <v>33.33</v>
      </c>
      <c r="I2114" t="str">
        <f t="shared" si="25"/>
        <v>GUARDIAN</v>
      </c>
    </row>
    <row r="2115" spans="1:9" x14ac:dyDescent="0.3">
      <c r="A2115" t="str">
        <f>""</f>
        <v/>
      </c>
      <c r="F2115" t="str">
        <f>"LIS201705021643"</f>
        <v>LIS201705021643</v>
      </c>
      <c r="G2115" t="str">
        <f t="shared" si="26"/>
        <v>GUARDIAN</v>
      </c>
      <c r="H2115" s="2">
        <v>417.49</v>
      </c>
      <c r="I2115" t="str">
        <f t="shared" si="25"/>
        <v>GUARDIAN</v>
      </c>
    </row>
    <row r="2116" spans="1:9" x14ac:dyDescent="0.3">
      <c r="A2116" t="str">
        <f>""</f>
        <v/>
      </c>
      <c r="F2116" t="str">
        <f>"LIS201705172283"</f>
        <v>LIS201705172283</v>
      </c>
      <c r="G2116" t="str">
        <f t="shared" si="26"/>
        <v>GUARDIAN</v>
      </c>
      <c r="H2116" s="2">
        <v>417.49</v>
      </c>
      <c r="I2116" t="str">
        <f t="shared" si="25"/>
        <v>GUARDIAN</v>
      </c>
    </row>
    <row r="2117" spans="1:9" x14ac:dyDescent="0.3">
      <c r="A2117" t="str">
        <f>""</f>
        <v/>
      </c>
      <c r="F2117" t="str">
        <f>"LIS201705172284"</f>
        <v>LIS201705172284</v>
      </c>
      <c r="G2117" t="str">
        <f t="shared" si="26"/>
        <v>GUARDIAN</v>
      </c>
      <c r="H2117" s="2">
        <v>33.33</v>
      </c>
      <c r="I2117" t="str">
        <f t="shared" si="25"/>
        <v>GUARDIAN</v>
      </c>
    </row>
    <row r="2118" spans="1:9" x14ac:dyDescent="0.3">
      <c r="A2118" t="str">
        <f>""</f>
        <v/>
      </c>
      <c r="F2118" t="str">
        <f>"LTD201705021588"</f>
        <v>LTD201705021588</v>
      </c>
      <c r="G2118" t="str">
        <f t="shared" si="26"/>
        <v>GUARDIAN</v>
      </c>
      <c r="H2118" s="2">
        <v>62.54</v>
      </c>
      <c r="I2118" t="str">
        <f t="shared" si="25"/>
        <v>GUARDIAN</v>
      </c>
    </row>
    <row r="2119" spans="1:9" x14ac:dyDescent="0.3">
      <c r="A2119" t="str">
        <f>""</f>
        <v/>
      </c>
      <c r="F2119" t="str">
        <f>"LTD201705021643"</f>
        <v>LTD201705021643</v>
      </c>
      <c r="G2119" t="str">
        <f t="shared" si="26"/>
        <v>GUARDIAN</v>
      </c>
      <c r="H2119" s="2">
        <v>770.7</v>
      </c>
      <c r="I2119" t="str">
        <f t="shared" si="25"/>
        <v>GUARDIAN</v>
      </c>
    </row>
    <row r="2120" spans="1:9" x14ac:dyDescent="0.3">
      <c r="A2120" t="str">
        <f>""</f>
        <v/>
      </c>
      <c r="F2120" t="str">
        <f>"LTD201705172283"</f>
        <v>LTD201705172283</v>
      </c>
      <c r="G2120" t="str">
        <f t="shared" si="26"/>
        <v>GUARDIAN</v>
      </c>
      <c r="H2120" s="2">
        <v>770.7</v>
      </c>
      <c r="I2120" t="str">
        <f t="shared" ref="I2120:I2125" si="27">"GUARDIAN"</f>
        <v>GUARDIAN</v>
      </c>
    </row>
    <row r="2121" spans="1:9" x14ac:dyDescent="0.3">
      <c r="A2121" t="str">
        <f>""</f>
        <v/>
      </c>
      <c r="F2121" t="str">
        <f>"LTD201705172284"</f>
        <v>LTD201705172284</v>
      </c>
      <c r="G2121" t="str">
        <f t="shared" si="26"/>
        <v>GUARDIAN</v>
      </c>
      <c r="H2121" s="2">
        <v>62.54</v>
      </c>
      <c r="I2121" t="str">
        <f t="shared" si="27"/>
        <v>GUARDIAN</v>
      </c>
    </row>
    <row r="2122" spans="1:9" x14ac:dyDescent="0.3">
      <c r="A2122" t="str">
        <f>"GUARDI"</f>
        <v>GUARDI</v>
      </c>
      <c r="B2122" t="s">
        <v>504</v>
      </c>
      <c r="C2122">
        <v>0</v>
      </c>
      <c r="D2122" s="2">
        <v>126.32</v>
      </c>
      <c r="E2122" s="1">
        <v>42881</v>
      </c>
      <c r="F2122" t="str">
        <f>"AEG201705021643"</f>
        <v>AEG201705021643</v>
      </c>
      <c r="G2122" t="str">
        <f t="shared" si="26"/>
        <v>GUARDIAN</v>
      </c>
      <c r="H2122" s="2">
        <v>9.51</v>
      </c>
      <c r="I2122" t="str">
        <f t="shared" si="27"/>
        <v>GUARDIAN</v>
      </c>
    </row>
    <row r="2123" spans="1:9" x14ac:dyDescent="0.3">
      <c r="A2123" t="str">
        <f>""</f>
        <v/>
      </c>
      <c r="F2123" t="str">
        <f>"AEG201705172283"</f>
        <v>AEG201705172283</v>
      </c>
      <c r="G2123" t="str">
        <f t="shared" si="26"/>
        <v>GUARDIAN</v>
      </c>
      <c r="H2123" s="2">
        <v>9.51</v>
      </c>
      <c r="I2123" t="str">
        <f t="shared" si="27"/>
        <v>GUARDIAN</v>
      </c>
    </row>
    <row r="2124" spans="1:9" x14ac:dyDescent="0.3">
      <c r="A2124" t="str">
        <f>""</f>
        <v/>
      </c>
      <c r="F2124" t="str">
        <f>"AFG201705021643"</f>
        <v>AFG201705021643</v>
      </c>
      <c r="G2124" t="str">
        <f t="shared" si="26"/>
        <v>GUARDIAN</v>
      </c>
      <c r="H2124" s="2">
        <v>53.65</v>
      </c>
      <c r="I2124" t="str">
        <f t="shared" si="27"/>
        <v>GUARDIAN</v>
      </c>
    </row>
    <row r="2125" spans="1:9" x14ac:dyDescent="0.3">
      <c r="A2125" t="str">
        <f>""</f>
        <v/>
      </c>
      <c r="F2125" t="str">
        <f>"AFG201705172283"</f>
        <v>AFG201705172283</v>
      </c>
      <c r="G2125" t="str">
        <f t="shared" si="26"/>
        <v>GUARDIAN</v>
      </c>
      <c r="H2125" s="2">
        <v>53.65</v>
      </c>
      <c r="I2125" t="str">
        <f t="shared" si="27"/>
        <v>GUARDIAN</v>
      </c>
    </row>
    <row r="2126" spans="1:9" x14ac:dyDescent="0.3">
      <c r="A2126" t="str">
        <f>"IRSACS"</f>
        <v>IRSACS</v>
      </c>
      <c r="B2126" t="s">
        <v>505</v>
      </c>
      <c r="C2126">
        <v>45562</v>
      </c>
      <c r="D2126" s="2">
        <v>238.43</v>
      </c>
      <c r="E2126" s="1">
        <v>42860</v>
      </c>
      <c r="F2126" t="str">
        <f>"IJ2201705021643"</f>
        <v>IJ2201705021643</v>
      </c>
      <c r="G2126" t="str">
        <f>"LISA JACKSON 2 IRS LEVY"</f>
        <v>LISA JACKSON 2 IRS LEVY</v>
      </c>
      <c r="H2126" s="2">
        <v>238.43</v>
      </c>
      <c r="I2126" t="str">
        <f>"LISA JACKSON 2 IRS LEVY"</f>
        <v>LISA JACKSON 2 IRS LEVY</v>
      </c>
    </row>
    <row r="2127" spans="1:9" x14ac:dyDescent="0.3">
      <c r="A2127" t="str">
        <f>"IRSACS"</f>
        <v>IRSACS</v>
      </c>
      <c r="B2127" t="s">
        <v>505</v>
      </c>
      <c r="C2127">
        <v>45607</v>
      </c>
      <c r="D2127" s="2">
        <v>238.43</v>
      </c>
      <c r="E2127" s="1">
        <v>42874</v>
      </c>
      <c r="F2127" t="str">
        <f>"IJ2201705172283"</f>
        <v>IJ2201705172283</v>
      </c>
      <c r="G2127" t="str">
        <f>"LISA JACKSON 2 IRS LEVY"</f>
        <v>LISA JACKSON 2 IRS LEVY</v>
      </c>
      <c r="H2127" s="2">
        <v>238.43</v>
      </c>
      <c r="I2127" t="str">
        <f>"LISA JACKSON 2 IRS LEVY"</f>
        <v>LISA JACKSON 2 IRS LEVY</v>
      </c>
    </row>
    <row r="2128" spans="1:9" x14ac:dyDescent="0.3">
      <c r="A2128" t="str">
        <f>"IRSPY"</f>
        <v>IRSPY</v>
      </c>
      <c r="B2128" t="s">
        <v>506</v>
      </c>
      <c r="C2128">
        <v>0</v>
      </c>
      <c r="D2128" s="2">
        <v>215424.85</v>
      </c>
      <c r="E2128" s="1">
        <v>42860</v>
      </c>
      <c r="F2128" t="str">
        <f>"T1 201704261565"</f>
        <v>T1 201704261565</v>
      </c>
      <c r="G2128" t="str">
        <f>"FEDERAL WITHHOLDING"</f>
        <v>FEDERAL WITHHOLDING</v>
      </c>
      <c r="H2128" s="2">
        <v>230.71</v>
      </c>
      <c r="I2128" t="str">
        <f>"FEDERAL WITHHOLDING"</f>
        <v>FEDERAL WITHHOLDING</v>
      </c>
    </row>
    <row r="2129" spans="1:9" x14ac:dyDescent="0.3">
      <c r="A2129" t="str">
        <f>""</f>
        <v/>
      </c>
      <c r="F2129" t="str">
        <f>"T1 201705021588"</f>
        <v>T1 201705021588</v>
      </c>
      <c r="G2129" t="str">
        <f>"FEDERAL WITHHOLDING"</f>
        <v>FEDERAL WITHHOLDING</v>
      </c>
      <c r="H2129" s="2">
        <v>3371.34</v>
      </c>
      <c r="I2129" t="str">
        <f>"FEDERAL WITHHOLDING"</f>
        <v>FEDERAL WITHHOLDING</v>
      </c>
    </row>
    <row r="2130" spans="1:9" x14ac:dyDescent="0.3">
      <c r="A2130" t="str">
        <f>""</f>
        <v/>
      </c>
      <c r="F2130" t="str">
        <f>"T1 201705021643"</f>
        <v>T1 201705021643</v>
      </c>
      <c r="G2130" t="str">
        <f>"FEDERAL WITHHOLDING"</f>
        <v>FEDERAL WITHHOLDING</v>
      </c>
      <c r="H2130" s="2">
        <v>77260.52</v>
      </c>
      <c r="I2130" t="str">
        <f>"FEDERAL WITHHOLDING"</f>
        <v>FEDERAL WITHHOLDING</v>
      </c>
    </row>
    <row r="2131" spans="1:9" x14ac:dyDescent="0.3">
      <c r="A2131" t="str">
        <f>""</f>
        <v/>
      </c>
      <c r="F2131" t="str">
        <f>"T1 201705021644"</f>
        <v>T1 201705021644</v>
      </c>
      <c r="G2131" t="str">
        <f>"FEDERAL WITHHOLDING"</f>
        <v>FEDERAL WITHHOLDING</v>
      </c>
      <c r="H2131" s="2">
        <v>8.0299999999999994</v>
      </c>
      <c r="I2131" t="str">
        <f>"FEDERAL WITHHOLDING"</f>
        <v>FEDERAL WITHHOLDING</v>
      </c>
    </row>
    <row r="2132" spans="1:9" x14ac:dyDescent="0.3">
      <c r="A2132" t="str">
        <f>""</f>
        <v/>
      </c>
      <c r="F2132" t="str">
        <f>"T1 201705021645"</f>
        <v>T1 201705021645</v>
      </c>
      <c r="G2132" t="str">
        <f>"FEDERAL WITHHOLDING"</f>
        <v>FEDERAL WITHHOLDING</v>
      </c>
      <c r="H2132" s="2">
        <v>4331.13</v>
      </c>
      <c r="I2132" t="str">
        <f>"FEDERAL WITHHOLDING"</f>
        <v>FEDERAL WITHHOLDING</v>
      </c>
    </row>
    <row r="2133" spans="1:9" x14ac:dyDescent="0.3">
      <c r="A2133" t="str">
        <f>""</f>
        <v/>
      </c>
      <c r="F2133" t="str">
        <f>"T3 201704261565"</f>
        <v>T3 201704261565</v>
      </c>
      <c r="G2133" t="str">
        <f>"SOCIAL SECURITY TAXES"</f>
        <v>SOCIAL SECURITY TAXES</v>
      </c>
      <c r="H2133" s="2">
        <v>274.64</v>
      </c>
      <c r="I2133" t="str">
        <f t="shared" ref="I2133:I2164" si="28">"SOCIAL SECURITY TAXES"</f>
        <v>SOCIAL SECURITY TAXES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28"/>
        <v>SOCIAL SECURITY TAXES</v>
      </c>
    </row>
    <row r="2135" spans="1:9" x14ac:dyDescent="0.3">
      <c r="A2135" t="str">
        <f>""</f>
        <v/>
      </c>
      <c r="F2135" t="str">
        <f>"T3 201705021588"</f>
        <v>T3 201705021588</v>
      </c>
      <c r="G2135" t="str">
        <f>"SOCIAL SECURITY TAXES"</f>
        <v>SOCIAL SECURITY TAXES</v>
      </c>
      <c r="H2135" s="2">
        <v>3868.66</v>
      </c>
      <c r="I2135" t="str">
        <f t="shared" si="28"/>
        <v>SOCIAL SECURITY TAXES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28"/>
        <v>SOCIAL SECURITY TAXES</v>
      </c>
    </row>
    <row r="2137" spans="1:9" x14ac:dyDescent="0.3">
      <c r="A2137" t="str">
        <f>""</f>
        <v/>
      </c>
      <c r="F2137" t="str">
        <f>"T3 201705021643"</f>
        <v>T3 201705021643</v>
      </c>
      <c r="G2137" t="str">
        <f>"SOCIAL SECURITY TAXES"</f>
        <v>SOCIAL SECURITY TAXES</v>
      </c>
      <c r="H2137" s="2">
        <v>95973.7</v>
      </c>
      <c r="I2137" t="str">
        <f t="shared" si="28"/>
        <v>SOCIAL SECURITY TAXES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28"/>
        <v>SOCIAL SECURITY TAXES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28"/>
        <v>SOCIAL SECURITY TAXES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28"/>
        <v>SOCIAL SECURITY TAXES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28"/>
        <v>SOCIAL SECURITY TAXES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28"/>
        <v>SOCIAL SECURITY TAXES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28"/>
        <v>SOCIAL SECURITY TAXES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28"/>
        <v>SOCIAL SECURITY TAXES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28"/>
        <v>SOCIAL SECURITY TAXES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28"/>
        <v>SOCIAL SECURITY TAXES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28"/>
        <v>SOCIAL SECURITY TAXES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28"/>
        <v>SOCIAL SECURITY TAXES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28"/>
        <v>SOCIAL SECURITY TAXES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28"/>
        <v>SOCIAL SECURITY TAXES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28"/>
        <v>SOCIAL SECURITY TAXES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28"/>
        <v>SOCIAL SECURITY TAXES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28"/>
        <v>SOCIAL SECURITY TAXES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28"/>
        <v>SOCIAL SECURITY TAXES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28"/>
        <v>SOCIAL SECURITY TAXES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28"/>
        <v>SOCIAL SECURITY TAXES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28"/>
        <v>SOCIAL SECURITY TAXES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28"/>
        <v>SOCIAL SECURITY TAXES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28"/>
        <v>SOCIAL SECURITY TAXES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28"/>
        <v>SOCIAL SECURITY TAXES</v>
      </c>
    </row>
    <row r="2161" spans="1:9" x14ac:dyDescent="0.3">
      <c r="A2161" t="str">
        <f>""</f>
        <v/>
      </c>
      <c r="F2161" t="str">
        <f>""</f>
        <v/>
      </c>
      <c r="G2161" t="str">
        <f>""</f>
        <v/>
      </c>
      <c r="I2161" t="str">
        <f t="shared" si="28"/>
        <v>SOCIAL SECURITY TAXES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28"/>
        <v>SOCIAL SECURITY TAXES</v>
      </c>
    </row>
    <row r="2163" spans="1:9" x14ac:dyDescent="0.3">
      <c r="A2163" t="str">
        <f>""</f>
        <v/>
      </c>
      <c r="F2163" t="str">
        <f>""</f>
        <v/>
      </c>
      <c r="G2163" t="str">
        <f>""</f>
        <v/>
      </c>
      <c r="I2163" t="str">
        <f t="shared" si="28"/>
        <v>SOCIAL SECURITY TAXES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28"/>
        <v>SOCIAL SECURITY TAXES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ref="I2165:I2192" si="29">"SOCIAL SECURITY TAXES"</f>
        <v>SOCIAL SECURITY TAXES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29"/>
        <v>SOCIAL SECURITY TAXES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29"/>
        <v>SOCIAL SECURITY TAXES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29"/>
        <v>SOCIAL SECURITY TAXES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29"/>
        <v>SOCIAL SECURITY TAXES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29"/>
        <v>SOCIAL SECURITY TAXES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29"/>
        <v>SOCIAL SECURITY TAXES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29"/>
        <v>SOCIAL SECURITY TAXES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29"/>
        <v>SOCIAL SECURITY TAXES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29"/>
        <v>SOCIAL SECURITY TAXES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29"/>
        <v>SOCIAL SECURITY TAXES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29"/>
        <v>SOCIAL SECURITY TAXES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29"/>
        <v>SOCIAL SECURITY TAXES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29"/>
        <v>SOCIAL SECURITY TAXES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si="29"/>
        <v>SOCIAL SECURITY TAXES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29"/>
        <v>SOCIAL SECURITY TAXES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29"/>
        <v>SOCIAL SECURITY TAXES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29"/>
        <v>SOCIAL SECURITY TAXES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29"/>
        <v>SOCIAL SECURITY TAXES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29"/>
        <v>SOCIAL SECURITY TAXES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29"/>
        <v>SOCIAL SECURITY TAXES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29"/>
        <v>SOCIAL SECURITY TAXES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29"/>
        <v>SOCIAL SECURITY TAXES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29"/>
        <v>SOCIAL SECURITY TAXES</v>
      </c>
    </row>
    <row r="2189" spans="1:9" x14ac:dyDescent="0.3">
      <c r="A2189" t="str">
        <f>""</f>
        <v/>
      </c>
      <c r="F2189" t="str">
        <f>"T3 201705021644"</f>
        <v>T3 201705021644</v>
      </c>
      <c r="G2189" t="str">
        <f>"SOCIAL SECURITY TAXES"</f>
        <v>SOCIAL SECURITY TAXES</v>
      </c>
      <c r="H2189" s="2">
        <v>4.5999999999999996</v>
      </c>
      <c r="I2189" t="str">
        <f t="shared" si="29"/>
        <v>SOCIAL SECURITY TAXES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29"/>
        <v>SOCIAL SECURITY TAXES</v>
      </c>
    </row>
    <row r="2191" spans="1:9" x14ac:dyDescent="0.3">
      <c r="A2191" t="str">
        <f>""</f>
        <v/>
      </c>
      <c r="F2191" t="str">
        <f>"T3 201705021645"</f>
        <v>T3 201705021645</v>
      </c>
      <c r="G2191" t="str">
        <f>"SOCIAL SECURITY TAXES"</f>
        <v>SOCIAL SECURITY TAXES</v>
      </c>
      <c r="H2191" s="2">
        <v>5418.7</v>
      </c>
      <c r="I2191" t="str">
        <f t="shared" si="29"/>
        <v>SOCIAL SECURITY TAXES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29"/>
        <v>SOCIAL SECURITY TAXES</v>
      </c>
    </row>
    <row r="2193" spans="1:9" x14ac:dyDescent="0.3">
      <c r="A2193" t="str">
        <f>""</f>
        <v/>
      </c>
      <c r="F2193" t="str">
        <f>"T4 201704261565"</f>
        <v>T4 201704261565</v>
      </c>
      <c r="G2193" t="str">
        <f>"MEDICARE TAXES"</f>
        <v>MEDICARE TAXES</v>
      </c>
      <c r="H2193" s="2">
        <v>64.239999999999995</v>
      </c>
      <c r="I2193" t="str">
        <f t="shared" ref="I2193:I2224" si="30">"MEDICARE TAXES"</f>
        <v>MEDICARE TAXES</v>
      </c>
    </row>
    <row r="2194" spans="1:9" x14ac:dyDescent="0.3">
      <c r="A2194" t="str">
        <f>""</f>
        <v/>
      </c>
      <c r="F2194" t="str">
        <f>""</f>
        <v/>
      </c>
      <c r="G2194" t="str">
        <f>""</f>
        <v/>
      </c>
      <c r="I2194" t="str">
        <f t="shared" si="30"/>
        <v>MEDICARE TAXES</v>
      </c>
    </row>
    <row r="2195" spans="1:9" x14ac:dyDescent="0.3">
      <c r="A2195" t="str">
        <f>""</f>
        <v/>
      </c>
      <c r="F2195" t="str">
        <f>"T4 201705021588"</f>
        <v>T4 201705021588</v>
      </c>
      <c r="G2195" t="str">
        <f>"MEDICARE TAXES"</f>
        <v>MEDICARE TAXES</v>
      </c>
      <c r="H2195" s="2">
        <v>904.78</v>
      </c>
      <c r="I2195" t="str">
        <f t="shared" si="30"/>
        <v>MEDICARE TAXES</v>
      </c>
    </row>
    <row r="2196" spans="1:9" x14ac:dyDescent="0.3">
      <c r="A2196" t="str">
        <f>""</f>
        <v/>
      </c>
      <c r="F2196" t="str">
        <f>""</f>
        <v/>
      </c>
      <c r="G2196" t="str">
        <f>""</f>
        <v/>
      </c>
      <c r="I2196" t="str">
        <f t="shared" si="30"/>
        <v>MEDICARE TAXES</v>
      </c>
    </row>
    <row r="2197" spans="1:9" x14ac:dyDescent="0.3">
      <c r="A2197" t="str">
        <f>""</f>
        <v/>
      </c>
      <c r="F2197" t="str">
        <f>"T4 201705021643"</f>
        <v>T4 201705021643</v>
      </c>
      <c r="G2197" t="str">
        <f>"MEDICARE TAXES"</f>
        <v>MEDICARE TAXES</v>
      </c>
      <c r="H2197" s="2">
        <v>22445.46</v>
      </c>
      <c r="I2197" t="str">
        <f t="shared" si="30"/>
        <v>MEDICARE TAXES</v>
      </c>
    </row>
    <row r="2198" spans="1:9" x14ac:dyDescent="0.3">
      <c r="A2198" t="str">
        <f>""</f>
        <v/>
      </c>
      <c r="F2198" t="str">
        <f>""</f>
        <v/>
      </c>
      <c r="G2198" t="str">
        <f>""</f>
        <v/>
      </c>
      <c r="I2198" t="str">
        <f t="shared" si="30"/>
        <v>MEDICARE TAXES</v>
      </c>
    </row>
    <row r="2199" spans="1:9" x14ac:dyDescent="0.3">
      <c r="A2199" t="str">
        <f>""</f>
        <v/>
      </c>
      <c r="F2199" t="str">
        <f>""</f>
        <v/>
      </c>
      <c r="G2199" t="str">
        <f>""</f>
        <v/>
      </c>
      <c r="I2199" t="str">
        <f t="shared" si="30"/>
        <v>MEDICARE TAXES</v>
      </c>
    </row>
    <row r="2200" spans="1:9" x14ac:dyDescent="0.3">
      <c r="A2200" t="str">
        <f>""</f>
        <v/>
      </c>
      <c r="F2200" t="str">
        <f>""</f>
        <v/>
      </c>
      <c r="G2200" t="str">
        <f>""</f>
        <v/>
      </c>
      <c r="I2200" t="str">
        <f t="shared" si="30"/>
        <v>MEDICARE TAXES</v>
      </c>
    </row>
    <row r="2201" spans="1:9" x14ac:dyDescent="0.3">
      <c r="A2201" t="str">
        <f>""</f>
        <v/>
      </c>
      <c r="F2201" t="str">
        <f>""</f>
        <v/>
      </c>
      <c r="G2201" t="str">
        <f>""</f>
        <v/>
      </c>
      <c r="I2201" t="str">
        <f t="shared" si="30"/>
        <v>MEDICARE TAXES</v>
      </c>
    </row>
    <row r="2202" spans="1:9" x14ac:dyDescent="0.3">
      <c r="A2202" t="str">
        <f>""</f>
        <v/>
      </c>
      <c r="F2202" t="str">
        <f>""</f>
        <v/>
      </c>
      <c r="G2202" t="str">
        <f>""</f>
        <v/>
      </c>
      <c r="I2202" t="str">
        <f t="shared" si="30"/>
        <v>MEDICARE TAXES</v>
      </c>
    </row>
    <row r="2203" spans="1:9" x14ac:dyDescent="0.3">
      <c r="A2203" t="str">
        <f>""</f>
        <v/>
      </c>
      <c r="F2203" t="str">
        <f>""</f>
        <v/>
      </c>
      <c r="G2203" t="str">
        <f>""</f>
        <v/>
      </c>
      <c r="I2203" t="str">
        <f t="shared" si="30"/>
        <v>MEDICARE TAXES</v>
      </c>
    </row>
    <row r="2204" spans="1:9" x14ac:dyDescent="0.3">
      <c r="A2204" t="str">
        <f>""</f>
        <v/>
      </c>
      <c r="F2204" t="str">
        <f>""</f>
        <v/>
      </c>
      <c r="G2204" t="str">
        <f>""</f>
        <v/>
      </c>
      <c r="I2204" t="str">
        <f t="shared" si="30"/>
        <v>MEDICARE TAXES</v>
      </c>
    </row>
    <row r="2205" spans="1:9" x14ac:dyDescent="0.3">
      <c r="A2205" t="str">
        <f>""</f>
        <v/>
      </c>
      <c r="F2205" t="str">
        <f>""</f>
        <v/>
      </c>
      <c r="G2205" t="str">
        <f>""</f>
        <v/>
      </c>
      <c r="I2205" t="str">
        <f t="shared" si="30"/>
        <v>MEDICARE TAXES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30"/>
        <v>MEDICARE TAXES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30"/>
        <v>MEDICARE TAXES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30"/>
        <v>MEDICARE TAXES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30"/>
        <v>MEDICARE TAXES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30"/>
        <v>MEDICARE TAXES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30"/>
        <v>MEDICARE TAXES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30"/>
        <v>MEDICARE TAXES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30"/>
        <v>MEDICARE TAXES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30"/>
        <v>MEDICARE TAXES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30"/>
        <v>MEDICARE TAXES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30"/>
        <v>MEDICARE TAXES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30"/>
        <v>MEDICARE TAXES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30"/>
        <v>MEDICARE TAXES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30"/>
        <v>MEDICARE TAXES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30"/>
        <v>MEDICARE TAXES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30"/>
        <v>MEDICARE TAXES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30"/>
        <v>MEDICARE TAXES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30"/>
        <v>MEDICARE TAXES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30"/>
        <v>MEDICARE TAXES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ref="I2225:I2252" si="31">"MEDICARE TAXES"</f>
        <v>MEDICARE TAXES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31"/>
        <v>MEDICARE TAXES</v>
      </c>
    </row>
    <row r="2227" spans="1:9" x14ac:dyDescent="0.3">
      <c r="A2227" t="str">
        <f>""</f>
        <v/>
      </c>
      <c r="F2227" t="str">
        <f>""</f>
        <v/>
      </c>
      <c r="G2227" t="str">
        <f>""</f>
        <v/>
      </c>
      <c r="I2227" t="str">
        <f t="shared" si="31"/>
        <v>MEDICARE TAXES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31"/>
        <v>MEDICARE TAXES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31"/>
        <v>MEDICARE TAXES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31"/>
        <v>MEDICARE TAXES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31"/>
        <v>MEDICARE TAXES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31"/>
        <v>MEDICARE TAXES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31"/>
        <v>MEDICARE TAXES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31"/>
        <v>MEDICARE TAXES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31"/>
        <v>MEDICARE TAXES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31"/>
        <v>MEDICARE TAXES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si="31"/>
        <v>MEDICARE TAXES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31"/>
        <v>MEDICARE TAXES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31"/>
        <v>MEDICARE TAXES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31"/>
        <v>MEDICARE TAXES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31"/>
        <v>MEDICARE TAXES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31"/>
        <v>MEDICARE TAXES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31"/>
        <v>MEDICARE TAXES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31"/>
        <v>MEDICARE TAXES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31"/>
        <v>MEDICARE TAXES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31"/>
        <v>MEDICARE TAXES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31"/>
        <v>MEDICARE TAXES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31"/>
        <v>MEDICARE TAXES</v>
      </c>
    </row>
    <row r="2249" spans="1:9" x14ac:dyDescent="0.3">
      <c r="A2249" t="str">
        <f>""</f>
        <v/>
      </c>
      <c r="F2249" t="str">
        <f>"T4 201705021644"</f>
        <v>T4 201705021644</v>
      </c>
      <c r="G2249" t="str">
        <f>"MEDICARE TAXES"</f>
        <v>MEDICARE TAXES</v>
      </c>
      <c r="H2249" s="2">
        <v>1.08</v>
      </c>
      <c r="I2249" t="str">
        <f t="shared" si="31"/>
        <v>MEDICARE TAXES</v>
      </c>
    </row>
    <row r="2250" spans="1:9" x14ac:dyDescent="0.3">
      <c r="A2250" t="str">
        <f>""</f>
        <v/>
      </c>
      <c r="F2250" t="str">
        <f>""</f>
        <v/>
      </c>
      <c r="G2250" t="str">
        <f>""</f>
        <v/>
      </c>
      <c r="I2250" t="str">
        <f t="shared" si="31"/>
        <v>MEDICARE TAXES</v>
      </c>
    </row>
    <row r="2251" spans="1:9" x14ac:dyDescent="0.3">
      <c r="A2251" t="str">
        <f>""</f>
        <v/>
      </c>
      <c r="F2251" t="str">
        <f>"T4 201705021645"</f>
        <v>T4 201705021645</v>
      </c>
      <c r="G2251" t="str">
        <f>"MEDICARE TAXES"</f>
        <v>MEDICARE TAXES</v>
      </c>
      <c r="H2251" s="2">
        <v>1267.26</v>
      </c>
      <c r="I2251" t="str">
        <f t="shared" si="31"/>
        <v>MEDICARE TAXES</v>
      </c>
    </row>
    <row r="2252" spans="1:9" x14ac:dyDescent="0.3">
      <c r="A2252" t="str">
        <f>""</f>
        <v/>
      </c>
      <c r="F2252" t="str">
        <f>""</f>
        <v/>
      </c>
      <c r="G2252" t="str">
        <f>""</f>
        <v/>
      </c>
      <c r="I2252" t="str">
        <f t="shared" si="31"/>
        <v>MEDICARE TAXES</v>
      </c>
    </row>
    <row r="2253" spans="1:9" x14ac:dyDescent="0.3">
      <c r="A2253" t="str">
        <f>"IRSPY"</f>
        <v>IRSPY</v>
      </c>
      <c r="B2253" t="s">
        <v>506</v>
      </c>
      <c r="C2253">
        <v>0</v>
      </c>
      <c r="D2253" s="2">
        <v>215755.26</v>
      </c>
      <c r="E2253" s="1">
        <v>42874</v>
      </c>
      <c r="F2253" t="str">
        <f>"T1 201705172283"</f>
        <v>T1 201705172283</v>
      </c>
      <c r="G2253" t="str">
        <f>"FEDERAL WITHHOLDING"</f>
        <v>FEDERAL WITHHOLDING</v>
      </c>
      <c r="H2253" s="2">
        <v>77642.320000000007</v>
      </c>
      <c r="I2253" t="str">
        <f>"FEDERAL WITHHOLDING"</f>
        <v>FEDERAL WITHHOLDING</v>
      </c>
    </row>
    <row r="2254" spans="1:9" x14ac:dyDescent="0.3">
      <c r="A2254" t="str">
        <f>""</f>
        <v/>
      </c>
      <c r="F2254" t="str">
        <f>"T1 201705172284"</f>
        <v>T1 201705172284</v>
      </c>
      <c r="G2254" t="str">
        <f>"FEDERAL WITHHOLDING"</f>
        <v>FEDERAL WITHHOLDING</v>
      </c>
      <c r="H2254" s="2">
        <v>3399.36</v>
      </c>
      <c r="I2254" t="str">
        <f>"FEDERAL WITHHOLDING"</f>
        <v>FEDERAL WITHHOLDING</v>
      </c>
    </row>
    <row r="2255" spans="1:9" x14ac:dyDescent="0.3">
      <c r="A2255" t="str">
        <f>""</f>
        <v/>
      </c>
      <c r="F2255" t="str">
        <f>"T1 201705172285"</f>
        <v>T1 201705172285</v>
      </c>
      <c r="G2255" t="str">
        <f>"FEDERAL WITHHOLDING"</f>
        <v>FEDERAL WITHHOLDING</v>
      </c>
      <c r="H2255" s="2">
        <v>4456.4399999999996</v>
      </c>
      <c r="I2255" t="str">
        <f>"FEDERAL WITHHOLDING"</f>
        <v>FEDERAL WITHHOLDING</v>
      </c>
    </row>
    <row r="2256" spans="1:9" x14ac:dyDescent="0.3">
      <c r="A2256" t="str">
        <f>""</f>
        <v/>
      </c>
      <c r="F2256" t="str">
        <f>"T3 201705172283"</f>
        <v>T3 201705172283</v>
      </c>
      <c r="G2256" t="str">
        <f>"SOCIAL SECURITY TAXES"</f>
        <v>SOCIAL SECURITY TAXES</v>
      </c>
      <c r="H2256" s="2">
        <v>96279.46</v>
      </c>
      <c r="I2256" t="str">
        <f t="shared" ref="I2256:I2287" si="32">"SOCIAL SECURITY TAXES"</f>
        <v>SOCIAL SECURITY TAXES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32"/>
        <v>SOCIAL SECURITY TAXES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32"/>
        <v>SOCIAL SECURITY TAXES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32"/>
        <v>SOCIAL SECURITY TAXES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32"/>
        <v>SOCIAL SECURITY TAXES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32"/>
        <v>SOCIAL SECURITY TAXES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32"/>
        <v>SOCIAL SECURITY TAXES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32"/>
        <v>SOCIAL SECURITY TAXES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32"/>
        <v>SOCIAL SECURITY TAXES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32"/>
        <v>SOCIAL SECURITY TAXES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32"/>
        <v>SOCIAL SECURITY TAXES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32"/>
        <v>SOCIAL SECURITY TAXES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32"/>
        <v>SOCIAL SECURITY TAXES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si="32"/>
        <v>SOCIAL SECURITY TAXES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32"/>
        <v>SOCIAL SECURITY TAXES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32"/>
        <v>SOCIAL SECURITY TAXES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32"/>
        <v>SOCIAL SECURITY TAXES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32"/>
        <v>SOCIAL SECURITY TAXES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32"/>
        <v>SOCIAL SECURITY TAXES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32"/>
        <v>SOCIAL SECURITY TAXES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32"/>
        <v>SOCIAL SECURITY TAXES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32"/>
        <v>SOCIAL SECURITY TAXES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32"/>
        <v>SOCIAL SECURITY TAXES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32"/>
        <v>SOCIAL SECURITY TAXES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32"/>
        <v>SOCIAL SECURITY TAXES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32"/>
        <v>SOCIAL SECURITY TAXES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32"/>
        <v>SOCIAL SECURITY TAXES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32"/>
        <v>SOCIAL SECURITY TAXES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32"/>
        <v>SOCIAL SECURITY TAXES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32"/>
        <v>SOCIAL SECURITY TAXES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32"/>
        <v>SOCIAL SECURITY TAXES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32"/>
        <v>SOCIAL SECURITY TAXES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ref="I2288:I2311" si="33">"SOCIAL SECURITY TAXES"</f>
        <v>SOCIAL SECURITY TAXES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33"/>
        <v>SOCIAL SECURITY TAXES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33"/>
        <v>SOCIAL SECURITY TAXES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33"/>
        <v>SOCIAL SECURITY TAXES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33"/>
        <v>SOCIAL SECURITY TAXES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33"/>
        <v>SOCIAL SECURITY TAXES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33"/>
        <v>SOCIAL SECURITY TAXES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33"/>
        <v>SOCIAL SECURITY TAXES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33"/>
        <v>SOCIAL SECURITY TAXES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33"/>
        <v>SOCIAL SECURITY TAXES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33"/>
        <v>SOCIAL SECURITY TAXES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33"/>
        <v>SOCIAL SECURITY TAXES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33"/>
        <v>SOCIAL SECURITY TAXES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si="33"/>
        <v>SOCIAL SECURITY TAXES</v>
      </c>
    </row>
    <row r="2302" spans="1:9" x14ac:dyDescent="0.3">
      <c r="A2302" t="str">
        <f>""</f>
        <v/>
      </c>
      <c r="F2302" t="str">
        <f>""</f>
        <v/>
      </c>
      <c r="G2302" t="str">
        <f>""</f>
        <v/>
      </c>
      <c r="I2302" t="str">
        <f t="shared" si="33"/>
        <v>SOCIAL SECURITY TAXES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33"/>
        <v>SOCIAL SECURITY TAXES</v>
      </c>
    </row>
    <row r="2304" spans="1:9" x14ac:dyDescent="0.3">
      <c r="A2304" t="str">
        <f>""</f>
        <v/>
      </c>
      <c r="F2304" t="str">
        <f>""</f>
        <v/>
      </c>
      <c r="G2304" t="str">
        <f>""</f>
        <v/>
      </c>
      <c r="I2304" t="str">
        <f t="shared" si="33"/>
        <v>SOCIAL SECURITY TAXES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33"/>
        <v>SOCIAL SECURITY TAXES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33"/>
        <v>SOCIAL SECURITY TAXES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33"/>
        <v>SOCIAL SECURITY TAXES</v>
      </c>
    </row>
    <row r="2308" spans="1:9" x14ac:dyDescent="0.3">
      <c r="A2308" t="str">
        <f>""</f>
        <v/>
      </c>
      <c r="F2308" t="str">
        <f>"T3 201705172284"</f>
        <v>T3 201705172284</v>
      </c>
      <c r="G2308" t="str">
        <f>"SOCIAL SECURITY TAXES"</f>
        <v>SOCIAL SECURITY TAXES</v>
      </c>
      <c r="H2308" s="2">
        <v>3881.54</v>
      </c>
      <c r="I2308" t="str">
        <f t="shared" si="33"/>
        <v>SOCIAL SECURITY TAXES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33"/>
        <v>SOCIAL SECURITY TAXES</v>
      </c>
    </row>
    <row r="2310" spans="1:9" x14ac:dyDescent="0.3">
      <c r="A2310" t="str">
        <f>""</f>
        <v/>
      </c>
      <c r="F2310" t="str">
        <f>"T3 201705172285"</f>
        <v>T3 201705172285</v>
      </c>
      <c r="G2310" t="str">
        <f>"SOCIAL SECURITY TAXES"</f>
        <v>SOCIAL SECURITY TAXES</v>
      </c>
      <c r="H2310" s="2">
        <v>5406.84</v>
      </c>
      <c r="I2310" t="str">
        <f t="shared" si="33"/>
        <v>SOCIAL SECURITY TAXES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33"/>
        <v>SOCIAL SECURITY TAXES</v>
      </c>
    </row>
    <row r="2312" spans="1:9" x14ac:dyDescent="0.3">
      <c r="A2312" t="str">
        <f>""</f>
        <v/>
      </c>
      <c r="F2312" t="str">
        <f>"T4 201705172283"</f>
        <v>T4 201705172283</v>
      </c>
      <c r="G2312" t="str">
        <f>"MEDICARE TAXES"</f>
        <v>MEDICARE TAXES</v>
      </c>
      <c r="H2312" s="2">
        <v>22517</v>
      </c>
      <c r="I2312" t="str">
        <f t="shared" ref="I2312:I2343" si="34">"MEDICARE TAXES"</f>
        <v>MEDICARE TAXES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34"/>
        <v>MEDICARE TAXES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34"/>
        <v>MEDICARE TAXES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34"/>
        <v>MEDICARE TAXES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34"/>
        <v>MEDICARE TAXES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34"/>
        <v>MEDICARE TAXES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34"/>
        <v>MEDICARE TAXES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34"/>
        <v>MEDICARE TAXES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34"/>
        <v>MEDICARE TAXES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34"/>
        <v>MEDICARE TAXES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34"/>
        <v>MEDICARE TAXES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34"/>
        <v>MEDICARE TAXES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34"/>
        <v>MEDICARE TAXES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34"/>
        <v>MEDICARE TAXES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34"/>
        <v>MEDICARE TAXES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34"/>
        <v>MEDICARE TAXES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34"/>
        <v>MEDICARE TAXES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34"/>
        <v>MEDICARE TAXES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34"/>
        <v>MEDICARE TAXES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34"/>
        <v>MEDICARE TAXES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34"/>
        <v>MEDICARE TAXES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si="34"/>
        <v>MEDICARE TAXES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34"/>
        <v>MEDICARE TAXES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34"/>
        <v>MEDICARE TAXES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34"/>
        <v>MEDICARE TAXES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34"/>
        <v>MEDICARE TAXES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34"/>
        <v>MEDICARE TAXES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34"/>
        <v>MEDICARE TAXES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34"/>
        <v>MEDICARE TAXES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34"/>
        <v>MEDICARE TAXES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34"/>
        <v>MEDICARE TAXES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34"/>
        <v>MEDICARE TAXES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ref="I2344:I2367" si="35">"MEDICARE TAXES"</f>
        <v>MEDICARE TAXES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35"/>
        <v>MEDICARE TAXES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35"/>
        <v>MEDICARE TAXES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35"/>
        <v>MEDICARE TAXES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35"/>
        <v>MEDICARE TAXES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35"/>
        <v>MEDICARE TAXES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35"/>
        <v>MEDICARE TAXES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35"/>
        <v>MEDICARE TAXES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35"/>
        <v>MEDICARE TAXES</v>
      </c>
    </row>
    <row r="2353" spans="1:9" x14ac:dyDescent="0.3">
      <c r="A2353" t="str">
        <f>""</f>
        <v/>
      </c>
      <c r="F2353" t="str">
        <f>""</f>
        <v/>
      </c>
      <c r="G2353" t="str">
        <f>""</f>
        <v/>
      </c>
      <c r="I2353" t="str">
        <f t="shared" si="35"/>
        <v>MEDICARE TAXES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35"/>
        <v>MEDICARE TAXES</v>
      </c>
    </row>
    <row r="2355" spans="1:9" x14ac:dyDescent="0.3">
      <c r="A2355" t="str">
        <f>""</f>
        <v/>
      </c>
      <c r="F2355" t="str">
        <f>""</f>
        <v/>
      </c>
      <c r="G2355" t="str">
        <f>""</f>
        <v/>
      </c>
      <c r="I2355" t="str">
        <f t="shared" si="35"/>
        <v>MEDICARE TAXES</v>
      </c>
    </row>
    <row r="2356" spans="1:9" x14ac:dyDescent="0.3">
      <c r="A2356" t="str">
        <f>""</f>
        <v/>
      </c>
      <c r="F2356" t="str">
        <f>""</f>
        <v/>
      </c>
      <c r="G2356" t="str">
        <f>""</f>
        <v/>
      </c>
      <c r="I2356" t="str">
        <f t="shared" si="35"/>
        <v>MEDICARE TAXES</v>
      </c>
    </row>
    <row r="2357" spans="1:9" x14ac:dyDescent="0.3">
      <c r="A2357" t="str">
        <f>""</f>
        <v/>
      </c>
      <c r="F2357" t="str">
        <f>""</f>
        <v/>
      </c>
      <c r="G2357" t="str">
        <f>""</f>
        <v/>
      </c>
      <c r="I2357" t="str">
        <f t="shared" si="35"/>
        <v>MEDICARE TAXES</v>
      </c>
    </row>
    <row r="2358" spans="1:9" x14ac:dyDescent="0.3">
      <c r="A2358" t="str">
        <f>""</f>
        <v/>
      </c>
      <c r="F2358" t="str">
        <f>""</f>
        <v/>
      </c>
      <c r="G2358" t="str">
        <f>""</f>
        <v/>
      </c>
      <c r="I2358" t="str">
        <f t="shared" si="35"/>
        <v>MEDICARE TAXES</v>
      </c>
    </row>
    <row r="2359" spans="1:9" x14ac:dyDescent="0.3">
      <c r="A2359" t="str">
        <f>""</f>
        <v/>
      </c>
      <c r="F2359" t="str">
        <f>""</f>
        <v/>
      </c>
      <c r="G2359" t="str">
        <f>""</f>
        <v/>
      </c>
      <c r="I2359" t="str">
        <f t="shared" si="35"/>
        <v>MEDICARE TAXES</v>
      </c>
    </row>
    <row r="2360" spans="1:9" x14ac:dyDescent="0.3">
      <c r="A2360" t="str">
        <f>""</f>
        <v/>
      </c>
      <c r="F2360" t="str">
        <f>""</f>
        <v/>
      </c>
      <c r="G2360" t="str">
        <f>""</f>
        <v/>
      </c>
      <c r="I2360" t="str">
        <f t="shared" si="35"/>
        <v>MEDICARE TAXES</v>
      </c>
    </row>
    <row r="2361" spans="1:9" x14ac:dyDescent="0.3">
      <c r="A2361" t="str">
        <f>""</f>
        <v/>
      </c>
      <c r="F2361" t="str">
        <f>""</f>
        <v/>
      </c>
      <c r="G2361" t="str">
        <f>""</f>
        <v/>
      </c>
      <c r="I2361" t="str">
        <f t="shared" si="35"/>
        <v>MEDICARE TAXES</v>
      </c>
    </row>
    <row r="2362" spans="1:9" x14ac:dyDescent="0.3">
      <c r="A2362" t="str">
        <f>""</f>
        <v/>
      </c>
      <c r="F2362" t="str">
        <f>""</f>
        <v/>
      </c>
      <c r="G2362" t="str">
        <f>""</f>
        <v/>
      </c>
      <c r="I2362" t="str">
        <f t="shared" si="35"/>
        <v>MEDICARE TAXES</v>
      </c>
    </row>
    <row r="2363" spans="1:9" x14ac:dyDescent="0.3">
      <c r="A2363" t="str">
        <f>""</f>
        <v/>
      </c>
      <c r="F2363" t="str">
        <f>""</f>
        <v/>
      </c>
      <c r="G2363" t="str">
        <f>""</f>
        <v/>
      </c>
      <c r="I2363" t="str">
        <f t="shared" si="35"/>
        <v>MEDICARE TAXES</v>
      </c>
    </row>
    <row r="2364" spans="1:9" x14ac:dyDescent="0.3">
      <c r="A2364" t="str">
        <f>""</f>
        <v/>
      </c>
      <c r="F2364" t="str">
        <f>"T4 201705172284"</f>
        <v>T4 201705172284</v>
      </c>
      <c r="G2364" t="str">
        <f>"MEDICARE TAXES"</f>
        <v>MEDICARE TAXES</v>
      </c>
      <c r="H2364" s="2">
        <v>907.8</v>
      </c>
      <c r="I2364" t="str">
        <f t="shared" si="35"/>
        <v>MEDICARE TAXES</v>
      </c>
    </row>
    <row r="2365" spans="1:9" x14ac:dyDescent="0.3">
      <c r="A2365" t="str">
        <f>""</f>
        <v/>
      </c>
      <c r="F2365" t="str">
        <f>""</f>
        <v/>
      </c>
      <c r="G2365" t="str">
        <f>""</f>
        <v/>
      </c>
      <c r="I2365" t="str">
        <f t="shared" si="35"/>
        <v>MEDICARE TAXES</v>
      </c>
    </row>
    <row r="2366" spans="1:9" x14ac:dyDescent="0.3">
      <c r="A2366" t="str">
        <f>""</f>
        <v/>
      </c>
      <c r="F2366" t="str">
        <f>"T4 201705172285"</f>
        <v>T4 201705172285</v>
      </c>
      <c r="G2366" t="str">
        <f>"MEDICARE TAXES"</f>
        <v>MEDICARE TAXES</v>
      </c>
      <c r="H2366" s="2">
        <v>1264.5</v>
      </c>
      <c r="I2366" t="str">
        <f t="shared" si="35"/>
        <v>MEDICARE TAXES</v>
      </c>
    </row>
    <row r="2367" spans="1:9" x14ac:dyDescent="0.3">
      <c r="A2367" t="str">
        <f>""</f>
        <v/>
      </c>
      <c r="F2367" t="str">
        <f>""</f>
        <v/>
      </c>
      <c r="G2367" t="str">
        <f>""</f>
        <v/>
      </c>
      <c r="I2367" t="str">
        <f t="shared" si="35"/>
        <v>MEDICARE TAXES</v>
      </c>
    </row>
    <row r="2368" spans="1:9" x14ac:dyDescent="0.3">
      <c r="A2368" t="str">
        <f>"004638"</f>
        <v>004638</v>
      </c>
      <c r="B2368" t="s">
        <v>507</v>
      </c>
      <c r="C2368">
        <v>45561</v>
      </c>
      <c r="D2368" s="2">
        <v>72.41</v>
      </c>
      <c r="E2368" s="1">
        <v>42860</v>
      </c>
      <c r="F2368" t="str">
        <f>"C64201705021643"</f>
        <v>C64201705021643</v>
      </c>
      <c r="G2368" t="str">
        <f>"CASE #912745322"</f>
        <v>CASE #912745322</v>
      </c>
      <c r="H2368" s="2">
        <v>72.41</v>
      </c>
      <c r="I2368" t="str">
        <f>"CASE #912745322"</f>
        <v>CASE #912745322</v>
      </c>
    </row>
    <row r="2369" spans="1:9" x14ac:dyDescent="0.3">
      <c r="A2369" t="str">
        <f>"004638"</f>
        <v>004638</v>
      </c>
      <c r="B2369" t="s">
        <v>507</v>
      </c>
      <c r="C2369">
        <v>45606</v>
      </c>
      <c r="D2369" s="2">
        <v>72.41</v>
      </c>
      <c r="E2369" s="1">
        <v>42874</v>
      </c>
      <c r="F2369" t="str">
        <f>"C64201705172283"</f>
        <v>C64201705172283</v>
      </c>
      <c r="G2369" t="str">
        <f>"CASE #912745322"</f>
        <v>CASE #912745322</v>
      </c>
      <c r="H2369" s="2">
        <v>72.41</v>
      </c>
      <c r="I2369" t="str">
        <f>"CASE #912745322"</f>
        <v>CASE #912745322</v>
      </c>
    </row>
    <row r="2370" spans="1:9" x14ac:dyDescent="0.3">
      <c r="A2370" t="str">
        <f>"001507"</f>
        <v>001507</v>
      </c>
      <c r="B2370" t="s">
        <v>508</v>
      </c>
      <c r="C2370">
        <v>0</v>
      </c>
      <c r="D2370" s="2">
        <v>26857.5</v>
      </c>
      <c r="E2370" s="1">
        <v>42881</v>
      </c>
      <c r="F2370" t="str">
        <f>"201705232299"</f>
        <v>201705232299</v>
      </c>
      <c r="G2370" t="str">
        <f>"May 2017"</f>
        <v>May 2017</v>
      </c>
      <c r="H2370" s="2">
        <v>26857.5</v>
      </c>
      <c r="I2370" t="str">
        <f>"May 2017"</f>
        <v>May 2017</v>
      </c>
    </row>
    <row r="2371" spans="1:9" x14ac:dyDescent="0.3">
      <c r="A2371" t="str">
        <f>"002456"</f>
        <v>002456</v>
      </c>
      <c r="B2371" t="s">
        <v>509</v>
      </c>
      <c r="C2371">
        <v>0</v>
      </c>
      <c r="D2371" s="2">
        <v>796.52</v>
      </c>
      <c r="E2371" s="1">
        <v>42881</v>
      </c>
      <c r="F2371" t="str">
        <f>"LIX201705021643"</f>
        <v>LIX201705021643</v>
      </c>
      <c r="G2371" t="str">
        <f>"TEXAS LIFE/OLIVO GROUP"</f>
        <v>TEXAS LIFE/OLIVO GROUP</v>
      </c>
      <c r="H2371" s="2">
        <v>398.26</v>
      </c>
      <c r="I2371" t="str">
        <f>"TEXAS LIFE/OLIVO GROUP"</f>
        <v>TEXAS LIFE/OLIVO GROUP</v>
      </c>
    </row>
    <row r="2372" spans="1:9" x14ac:dyDescent="0.3">
      <c r="A2372" t="str">
        <f>""</f>
        <v/>
      </c>
      <c r="F2372" t="str">
        <f>"LIX201705172283"</f>
        <v>LIX201705172283</v>
      </c>
      <c r="G2372" t="str">
        <f>"TEXAS LIFE/OLIVO GROUP"</f>
        <v>TEXAS LIFE/OLIVO GROUP</v>
      </c>
      <c r="H2372" s="2">
        <v>398.26</v>
      </c>
      <c r="I2372" t="str">
        <f>"TEXAS LIFE/OLIVO GROUP"</f>
        <v>TEXAS LIFE/OLIVO GROUP</v>
      </c>
    </row>
    <row r="2373" spans="1:9" x14ac:dyDescent="0.3">
      <c r="A2373" t="str">
        <f>"T1357"</f>
        <v>T1357</v>
      </c>
      <c r="B2373" t="s">
        <v>510</v>
      </c>
      <c r="C2373">
        <v>45612</v>
      </c>
      <c r="D2373" s="2">
        <v>4.68</v>
      </c>
      <c r="E2373" s="1">
        <v>42881</v>
      </c>
      <c r="F2373" t="str">
        <f>"201705262313"</f>
        <v>201705262313</v>
      </c>
      <c r="G2373" t="str">
        <f>"REF OVERPAYMENT JAN-SEPT"</f>
        <v>REF OVERPAYMENT JAN-SEPT</v>
      </c>
      <c r="H2373" s="2">
        <v>4.68</v>
      </c>
      <c r="I2373" t="str">
        <f>"REF OVERPAYMENT JAN-SEPT"</f>
        <v>REF OVERPAYMENT JAN-SEPT</v>
      </c>
    </row>
    <row r="2374" spans="1:9" x14ac:dyDescent="0.3">
      <c r="A2374" t="str">
        <f>"TACHEB"</f>
        <v>TACHEB</v>
      </c>
      <c r="B2374" t="s">
        <v>511</v>
      </c>
      <c r="C2374">
        <v>45611</v>
      </c>
      <c r="D2374" s="2">
        <v>315448.5</v>
      </c>
      <c r="E2374" s="1">
        <v>42881</v>
      </c>
      <c r="F2374" t="str">
        <f>"201705232297"</f>
        <v>201705232297</v>
      </c>
      <c r="G2374" t="str">
        <f>"Retiree May 2017"</f>
        <v>Retiree May 2017</v>
      </c>
      <c r="H2374" s="2">
        <v>15640.26</v>
      </c>
      <c r="I2374" t="str">
        <f>"Retiree May 2017"</f>
        <v>Retiree May 2017</v>
      </c>
    </row>
    <row r="2375" spans="1:9" x14ac:dyDescent="0.3">
      <c r="A2375" t="str">
        <f>""</f>
        <v/>
      </c>
      <c r="F2375" t="str">
        <f>"201705232298"</f>
        <v>201705232298</v>
      </c>
      <c r="G2375" t="str">
        <f>"COBRA May 2017"</f>
        <v>COBRA May 2017</v>
      </c>
      <c r="H2375" s="2">
        <v>621.96</v>
      </c>
      <c r="I2375" t="str">
        <f>"TAC HEALTH BENEFITS POOL"</f>
        <v>TAC HEALTH BENEFITS POOL</v>
      </c>
    </row>
    <row r="2376" spans="1:9" x14ac:dyDescent="0.3">
      <c r="A2376" t="str">
        <f>""</f>
        <v/>
      </c>
      <c r="F2376" t="str">
        <f>"2EC201705021588"</f>
        <v>2EC201705021588</v>
      </c>
      <c r="G2376" t="str">
        <f>"BCBS PAYABLE"</f>
        <v>BCBS PAYABLE</v>
      </c>
      <c r="H2376" s="2">
        <v>1709.76</v>
      </c>
      <c r="I2376" t="str">
        <f t="shared" ref="I2376:I2407" si="36">"BCBS PAYABLE"</f>
        <v>BCBS PAYABLE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36"/>
        <v>BCBS PAYABLE</v>
      </c>
    </row>
    <row r="2378" spans="1:9" x14ac:dyDescent="0.3">
      <c r="A2378" t="str">
        <f>""</f>
        <v/>
      </c>
      <c r="F2378" t="str">
        <f>"2EC201705021643"</f>
        <v>2EC201705021643</v>
      </c>
      <c r="G2378" t="str">
        <f>"BCBS PAYABLE"</f>
        <v>BCBS PAYABLE</v>
      </c>
      <c r="H2378" s="2">
        <v>38897.040000000001</v>
      </c>
      <c r="I2378" t="str">
        <f t="shared" si="36"/>
        <v>BCBS PAYABLE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36"/>
        <v>BCBS PAYABLE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36"/>
        <v>BCBS PAYABLE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36"/>
        <v>BCBS PAYABLE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36"/>
        <v>BCBS PAYABLE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36"/>
        <v>BCBS PAYABLE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36"/>
        <v>BCBS PAYABLE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36"/>
        <v>BCBS PAYABLE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36"/>
        <v>BCBS PAYABLE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36"/>
        <v>BCBS PAYABLE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36"/>
        <v>BCBS PAYABLE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36"/>
        <v>BCBS PAYABLE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36"/>
        <v>BCBS PAYABLE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36"/>
        <v>BCBS PAYABLE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36"/>
        <v>BCBS PAYABLE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36"/>
        <v>BCBS PAYABLE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36"/>
        <v>BCBS PAYABLE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36"/>
        <v>BCBS PAYABLE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36"/>
        <v>BCBS PAYABLE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36"/>
        <v>BCBS PAYABLE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36"/>
        <v>BCBS PAYABLE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36"/>
        <v>BCBS PAYABLE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36"/>
        <v>BCBS PAYABLE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36"/>
        <v>BCBS PAYABLE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si="36"/>
        <v>BCBS PAYABLE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36"/>
        <v>BCBS PAYABLE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36"/>
        <v>BCBS PAYABLE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36"/>
        <v>BCBS PAYABLE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36"/>
        <v>BCBS PAYABLE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36"/>
        <v>BCBS PAYABLE</v>
      </c>
    </row>
    <row r="2408" spans="1:9" x14ac:dyDescent="0.3">
      <c r="A2408" t="str">
        <f>""</f>
        <v/>
      </c>
      <c r="F2408" t="str">
        <f>"2EC201705172283"</f>
        <v>2EC201705172283</v>
      </c>
      <c r="G2408" t="str">
        <f>"BCBS PAYABLE"</f>
        <v>BCBS PAYABLE</v>
      </c>
      <c r="H2408" s="2">
        <v>38897.040000000001</v>
      </c>
      <c r="I2408" t="str">
        <f t="shared" ref="I2408:I2439" si="37">"BCBS PAYABLE"</f>
        <v>BCBS PAYABLE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37"/>
        <v>BCBS PAYABLE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37"/>
        <v>BCBS PAYABLE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37"/>
        <v>BCBS PAYABLE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37"/>
        <v>BCBS PAYABLE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37"/>
        <v>BCBS PAYABLE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37"/>
        <v>BCBS PAYABLE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37"/>
        <v>BCBS PAYABLE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37"/>
        <v>BCBS PAYABLE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37"/>
        <v>BCBS PAYABLE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37"/>
        <v>BCBS PAYABLE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37"/>
        <v>BCBS PAYABLE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37"/>
        <v>BCBS PAYABLE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37"/>
        <v>BCBS PAYABLE</v>
      </c>
    </row>
    <row r="2422" spans="1:9" x14ac:dyDescent="0.3">
      <c r="A2422" t="str">
        <f>""</f>
        <v/>
      </c>
      <c r="F2422" t="str">
        <f>""</f>
        <v/>
      </c>
      <c r="G2422" t="str">
        <f>""</f>
        <v/>
      </c>
      <c r="I2422" t="str">
        <f t="shared" si="37"/>
        <v>BCBS PAYABLE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37"/>
        <v>BCBS PAYABLE</v>
      </c>
    </row>
    <row r="2424" spans="1:9" x14ac:dyDescent="0.3">
      <c r="A2424" t="str">
        <f>""</f>
        <v/>
      </c>
      <c r="F2424" t="str">
        <f>""</f>
        <v/>
      </c>
      <c r="G2424" t="str">
        <f>""</f>
        <v/>
      </c>
      <c r="I2424" t="str">
        <f t="shared" si="37"/>
        <v>BCBS PAYABLE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37"/>
        <v>BCBS PAYABLE</v>
      </c>
    </row>
    <row r="2426" spans="1:9" x14ac:dyDescent="0.3">
      <c r="A2426" t="str">
        <f>""</f>
        <v/>
      </c>
      <c r="F2426" t="str">
        <f>""</f>
        <v/>
      </c>
      <c r="G2426" t="str">
        <f>""</f>
        <v/>
      </c>
      <c r="I2426" t="str">
        <f t="shared" si="37"/>
        <v>BCBS PAYABLE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37"/>
        <v>BCBS PAYABLE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37"/>
        <v>BCBS PAYABLE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37"/>
        <v>BCBS PAYABLE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37"/>
        <v>BCBS PAYABLE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37"/>
        <v>BCBS PAYABLE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37"/>
        <v>BCBS PAYABLE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37"/>
        <v>BCBS PAYABLE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37"/>
        <v>BCBS PAYABLE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37"/>
        <v>BCBS PAYABLE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37"/>
        <v>BCBS PAYABLE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37"/>
        <v>BCBS PAYABLE</v>
      </c>
    </row>
    <row r="2438" spans="1:9" x14ac:dyDescent="0.3">
      <c r="A2438" t="str">
        <f>""</f>
        <v/>
      </c>
      <c r="F2438" t="str">
        <f>"2EC201705172284"</f>
        <v>2EC201705172284</v>
      </c>
      <c r="G2438" t="str">
        <f>"BCBS PAYABLE"</f>
        <v>BCBS PAYABLE</v>
      </c>
      <c r="H2438" s="2">
        <v>1709.76</v>
      </c>
      <c r="I2438" t="str">
        <f t="shared" si="37"/>
        <v>BCBS PAYABLE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37"/>
        <v>BCBS PAYABLE</v>
      </c>
    </row>
    <row r="2440" spans="1:9" x14ac:dyDescent="0.3">
      <c r="A2440" t="str">
        <f>""</f>
        <v/>
      </c>
      <c r="F2440" t="str">
        <f>"2EF201705021643"</f>
        <v>2EF201705021643</v>
      </c>
      <c r="G2440" t="str">
        <f>"BCBS PAYABLE"</f>
        <v>BCBS PAYABLE</v>
      </c>
      <c r="H2440" s="2">
        <v>2548.1999999999998</v>
      </c>
      <c r="I2440" t="str">
        <f t="shared" ref="I2440:I2471" si="38">"BCBS PAYABLE"</f>
        <v>BCBS PAYABLE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38"/>
        <v>BCBS PAYABLE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38"/>
        <v>BCBS PAYABLE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38"/>
        <v>BCBS PAYABLE</v>
      </c>
    </row>
    <row r="2444" spans="1:9" x14ac:dyDescent="0.3">
      <c r="A2444" t="str">
        <f>""</f>
        <v/>
      </c>
      <c r="F2444" t="str">
        <f>"2EF201705172283"</f>
        <v>2EF201705172283</v>
      </c>
      <c r="G2444" t="str">
        <f>"BCBS PAYABLE"</f>
        <v>BCBS PAYABLE</v>
      </c>
      <c r="H2444" s="2">
        <v>2548.1999999999998</v>
      </c>
      <c r="I2444" t="str">
        <f t="shared" si="38"/>
        <v>BCBS PAYABLE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38"/>
        <v>BCBS PAYABLE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38"/>
        <v>BCBS PAYABLE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38"/>
        <v>BCBS PAYABLE</v>
      </c>
    </row>
    <row r="2448" spans="1:9" x14ac:dyDescent="0.3">
      <c r="A2448" t="str">
        <f>""</f>
        <v/>
      </c>
      <c r="F2448" t="str">
        <f>"2EO201705021588"</f>
        <v>2EO201705021588</v>
      </c>
      <c r="G2448" t="str">
        <f>"BCBS PAYABLE"</f>
        <v>BCBS PAYABLE</v>
      </c>
      <c r="H2448" s="2">
        <v>3731.76</v>
      </c>
      <c r="I2448" t="str">
        <f t="shared" si="38"/>
        <v>BCBS PAYABLE</v>
      </c>
    </row>
    <row r="2449" spans="1:9" x14ac:dyDescent="0.3">
      <c r="A2449" t="str">
        <f>""</f>
        <v/>
      </c>
      <c r="F2449" t="str">
        <f>"2EO201705021643"</f>
        <v>2EO201705021643</v>
      </c>
      <c r="G2449" t="str">
        <f>"BCBS PAYABLE"</f>
        <v>BCBS PAYABLE</v>
      </c>
      <c r="H2449" s="2">
        <v>84586.559999999998</v>
      </c>
      <c r="I2449" t="str">
        <f t="shared" si="38"/>
        <v>BCBS PAYABLE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38"/>
        <v>BCBS PAYABLE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38"/>
        <v>BCBS PAYABLE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38"/>
        <v>BCBS PAYABLE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38"/>
        <v>BCBS PAYABLE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38"/>
        <v>BCBS PAYABLE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38"/>
        <v>BCBS PAYABLE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38"/>
        <v>BCBS PAYABLE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38"/>
        <v>BCBS PAYABLE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si="38"/>
        <v>BCBS PAYABLE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38"/>
        <v>BCBS PAYABLE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38"/>
        <v>BCBS PAYABLE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38"/>
        <v>BCBS PAYABLE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38"/>
        <v>BCBS PAYABLE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38"/>
        <v>BCBS PAYABLE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38"/>
        <v>BCBS PAYABLE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38"/>
        <v>BCBS PAYABLE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38"/>
        <v>BCBS PAYABLE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38"/>
        <v>BCBS PAYABLE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38"/>
        <v>BCBS PAYABLE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38"/>
        <v>BCBS PAYABLE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38"/>
        <v>BCBS PAYABLE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38"/>
        <v>BCBS PAYABLE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ref="I2472:I2503" si="39">"BCBS PAYABLE"</f>
        <v>BCBS PAYABLE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39"/>
        <v>BCBS PAYABLE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39"/>
        <v>BCBS PAYABLE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39"/>
        <v>BCBS PAYABLE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39"/>
        <v>BCBS PAYABLE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39"/>
        <v>BCBS PAYABLE</v>
      </c>
    </row>
    <row r="2478" spans="1:9" x14ac:dyDescent="0.3">
      <c r="A2478" t="str">
        <f>""</f>
        <v/>
      </c>
      <c r="F2478" t="str">
        <f>""</f>
        <v/>
      </c>
      <c r="G2478" t="str">
        <f>""</f>
        <v/>
      </c>
      <c r="I2478" t="str">
        <f t="shared" si="39"/>
        <v>BCBS PAYABLE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39"/>
        <v>BCBS PAYABLE</v>
      </c>
    </row>
    <row r="2480" spans="1:9" x14ac:dyDescent="0.3">
      <c r="A2480" t="str">
        <f>""</f>
        <v/>
      </c>
      <c r="F2480" t="str">
        <f>""</f>
        <v/>
      </c>
      <c r="G2480" t="str">
        <f>""</f>
        <v/>
      </c>
      <c r="I2480" t="str">
        <f t="shared" si="39"/>
        <v>BCBS PAYABLE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39"/>
        <v>BCBS PAYABLE</v>
      </c>
    </row>
    <row r="2482" spans="1:9" x14ac:dyDescent="0.3">
      <c r="A2482" t="str">
        <f>""</f>
        <v/>
      </c>
      <c r="F2482" t="str">
        <f>""</f>
        <v/>
      </c>
      <c r="G2482" t="str">
        <f>""</f>
        <v/>
      </c>
      <c r="I2482" t="str">
        <f t="shared" si="39"/>
        <v>BCBS PAYABLE</v>
      </c>
    </row>
    <row r="2483" spans="1:9" x14ac:dyDescent="0.3">
      <c r="A2483" t="str">
        <f>""</f>
        <v/>
      </c>
      <c r="F2483" t="str">
        <f>""</f>
        <v/>
      </c>
      <c r="G2483" t="str">
        <f>""</f>
        <v/>
      </c>
      <c r="I2483" t="str">
        <f t="shared" si="39"/>
        <v>BCBS PAYABLE</v>
      </c>
    </row>
    <row r="2484" spans="1:9" x14ac:dyDescent="0.3">
      <c r="A2484" t="str">
        <f>""</f>
        <v/>
      </c>
      <c r="F2484" t="str">
        <f>""</f>
        <v/>
      </c>
      <c r="G2484" t="str">
        <f>""</f>
        <v/>
      </c>
      <c r="I2484" t="str">
        <f t="shared" si="39"/>
        <v>BCBS PAYABLE</v>
      </c>
    </row>
    <row r="2485" spans="1:9" x14ac:dyDescent="0.3">
      <c r="A2485" t="str">
        <f>""</f>
        <v/>
      </c>
      <c r="F2485" t="str">
        <f>""</f>
        <v/>
      </c>
      <c r="G2485" t="str">
        <f>""</f>
        <v/>
      </c>
      <c r="I2485" t="str">
        <f t="shared" si="39"/>
        <v>BCBS PAYABLE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39"/>
        <v>BCBS PAYABLE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39"/>
        <v>BCBS PAYABLE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39"/>
        <v>BCBS PAYABLE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39"/>
        <v>BCBS PAYABLE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39"/>
        <v>BCBS PAYABLE</v>
      </c>
    </row>
    <row r="2491" spans="1:9" x14ac:dyDescent="0.3">
      <c r="A2491" t="str">
        <f>""</f>
        <v/>
      </c>
      <c r="F2491" t="str">
        <f>"2EO201705172283"</f>
        <v>2EO201705172283</v>
      </c>
      <c r="G2491" t="str">
        <f>"BCBS PAYABLE"</f>
        <v>BCBS PAYABLE</v>
      </c>
      <c r="H2491" s="2">
        <v>85208.52</v>
      </c>
      <c r="I2491" t="str">
        <f t="shared" si="39"/>
        <v>BCBS PAYABLE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39"/>
        <v>BCBS PAYABLE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39"/>
        <v>BCBS PAYABLE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39"/>
        <v>BCBS PAYABLE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39"/>
        <v>BCBS PAYABLE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39"/>
        <v>BCBS PAYABLE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39"/>
        <v>BCBS PAYABLE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39"/>
        <v>BCBS PAYABLE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39"/>
        <v>BCBS PAYABLE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39"/>
        <v>BCBS PAYABLE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39"/>
        <v>BCBS PAYABLE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39"/>
        <v>BCBS PAYABLE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39"/>
        <v>BCBS PAYABLE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ref="I2504:I2535" si="40">"BCBS PAYABLE"</f>
        <v>BCBS PAYABLE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40"/>
        <v>BCBS PAYABLE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40"/>
        <v>BCBS PAYABLE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40"/>
        <v>BCBS PAYABLE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40"/>
        <v>BCBS PAYABLE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40"/>
        <v>BCBS PAYABLE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40"/>
        <v>BCBS PAYABLE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40"/>
        <v>BCBS PAYABLE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40"/>
        <v>BCBS PAYABLE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40"/>
        <v>BCBS PAYABLE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40"/>
        <v>BCBS PAYABLE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40"/>
        <v>BCBS PAYABLE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40"/>
        <v>BCBS PAYABLE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si="40"/>
        <v>BCBS PAYABLE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40"/>
        <v>BCBS PAYABLE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40"/>
        <v>BCBS PAYABLE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40"/>
        <v>BCBS PAYABLE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40"/>
        <v>BCBS PAYABLE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40"/>
        <v>BCBS PAYABLE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40"/>
        <v>BCBS PAYABLE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40"/>
        <v>BCBS PAYABLE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40"/>
        <v>BCBS PAYABLE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40"/>
        <v>BCBS PAYABLE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40"/>
        <v>BCBS PAYABLE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40"/>
        <v>BCBS PAYABLE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40"/>
        <v>BCBS PAYABLE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40"/>
        <v>BCBS PAYABLE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40"/>
        <v>BCBS PAYABLE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40"/>
        <v>BCBS PAYABLE</v>
      </c>
    </row>
    <row r="2533" spans="1:9" x14ac:dyDescent="0.3">
      <c r="A2533" t="str">
        <f>""</f>
        <v/>
      </c>
      <c r="F2533" t="str">
        <f>"2EO201705172284"</f>
        <v>2EO201705172284</v>
      </c>
      <c r="G2533" t="str">
        <f>"BCBS PAYABLE"</f>
        <v>BCBS PAYABLE</v>
      </c>
      <c r="H2533" s="2">
        <v>3731.76</v>
      </c>
      <c r="I2533" t="str">
        <f t="shared" si="40"/>
        <v>BCBS PAYABLE</v>
      </c>
    </row>
    <row r="2534" spans="1:9" x14ac:dyDescent="0.3">
      <c r="A2534" t="str">
        <f>""</f>
        <v/>
      </c>
      <c r="F2534" t="str">
        <f>"2ES201705021643"</f>
        <v>2ES201705021643</v>
      </c>
      <c r="G2534" t="str">
        <f>"BCBS PAYABLE"</f>
        <v>BCBS PAYABLE</v>
      </c>
      <c r="H2534" s="2">
        <v>17808.84</v>
      </c>
      <c r="I2534" t="str">
        <f t="shared" si="40"/>
        <v>BCBS PAYABLE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40"/>
        <v>BCBS PAYABLE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ref="I2536:I2567" si="41">"BCBS PAYABLE"</f>
        <v>BCBS PAYABLE</v>
      </c>
    </row>
    <row r="2537" spans="1:9" x14ac:dyDescent="0.3">
      <c r="A2537" t="str">
        <f>""</f>
        <v/>
      </c>
      <c r="F2537" t="str">
        <f>""</f>
        <v/>
      </c>
      <c r="G2537" t="str">
        <f>""</f>
        <v/>
      </c>
      <c r="I2537" t="str">
        <f t="shared" si="41"/>
        <v>BCBS PAYABLE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41"/>
        <v>BCBS PAYABLE</v>
      </c>
    </row>
    <row r="2539" spans="1:9" x14ac:dyDescent="0.3">
      <c r="A2539" t="str">
        <f>""</f>
        <v/>
      </c>
      <c r="F2539" t="str">
        <f>""</f>
        <v/>
      </c>
      <c r="G2539" t="str">
        <f>""</f>
        <v/>
      </c>
      <c r="I2539" t="str">
        <f t="shared" si="41"/>
        <v>BCBS PAYABLE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41"/>
        <v>BCBS PAYABLE</v>
      </c>
    </row>
    <row r="2541" spans="1:9" x14ac:dyDescent="0.3">
      <c r="A2541" t="str">
        <f>""</f>
        <v/>
      </c>
      <c r="F2541" t="str">
        <f>""</f>
        <v/>
      </c>
      <c r="G2541" t="str">
        <f>""</f>
        <v/>
      </c>
      <c r="I2541" t="str">
        <f t="shared" si="41"/>
        <v>BCBS PAYABLE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41"/>
        <v>BCBS PAYABLE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41"/>
        <v>BCBS PAYABLE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41"/>
        <v>BCBS PAYABLE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41"/>
        <v>BCBS PAYABLE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41"/>
        <v>BCBS PAYABLE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41"/>
        <v>BCBS PAYABLE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41"/>
        <v>BCBS PAYABLE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41"/>
        <v>BCBS PAYABLE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41"/>
        <v>BCBS PAYABLE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41"/>
        <v>BCBS PAYABLE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41"/>
        <v>BCBS PAYABLE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41"/>
        <v>BCBS PAYABLE</v>
      </c>
    </row>
    <row r="2554" spans="1:9" x14ac:dyDescent="0.3">
      <c r="A2554" t="str">
        <f>""</f>
        <v/>
      </c>
      <c r="F2554" t="str">
        <f>"2ES201705172283"</f>
        <v>2ES201705172283</v>
      </c>
      <c r="G2554" t="str">
        <f>"BCBS PAYABLE"</f>
        <v>BCBS PAYABLE</v>
      </c>
      <c r="H2554" s="2">
        <v>17808.84</v>
      </c>
      <c r="I2554" t="str">
        <f t="shared" si="41"/>
        <v>BCBS PAYABLE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41"/>
        <v>BCBS PAYABLE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41"/>
        <v>BCBS PAYABLE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41"/>
        <v>BCBS PAYABLE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41"/>
        <v>BCBS PAYABLE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41"/>
        <v>BCBS PAYABLE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41"/>
        <v>BCBS PAYABLE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41"/>
        <v>BCBS PAYABLE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41"/>
        <v>BCBS PAYABLE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41"/>
        <v>BCBS PAYABLE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41"/>
        <v>BCBS PAYABLE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41"/>
        <v>BCBS PAYABLE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41"/>
        <v>BCBS PAYABLE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41"/>
        <v>BCBS PAYABLE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ref="I2568:I2573" si="42">"BCBS PAYABLE"</f>
        <v>BCBS PAYABLE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42"/>
        <v>BCBS PAYABLE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42"/>
        <v>BCBS PAYABLE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42"/>
        <v>BCBS PAYABLE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42"/>
        <v>BCBS PAYABLE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si="42"/>
        <v>BCBS PAYABLE</v>
      </c>
    </row>
    <row r="2574" spans="1:9" x14ac:dyDescent="0.3">
      <c r="A2574" t="str">
        <f>"TAGO"</f>
        <v>TAGO</v>
      </c>
      <c r="B2574" t="s">
        <v>512</v>
      </c>
      <c r="C2574">
        <v>0</v>
      </c>
      <c r="D2574" s="2">
        <v>4161.1400000000003</v>
      </c>
      <c r="E2574" s="1">
        <v>42860</v>
      </c>
      <c r="F2574" t="str">
        <f>"C18201705021588"</f>
        <v>C18201705021588</v>
      </c>
      <c r="G2574" t="str">
        <f>"CAUSE# 0011635329"</f>
        <v>CAUSE# 0011635329</v>
      </c>
      <c r="H2574" s="2">
        <v>603.23</v>
      </c>
      <c r="I2574" t="str">
        <f>"CAUSE# 0011635329"</f>
        <v>CAUSE# 0011635329</v>
      </c>
    </row>
    <row r="2575" spans="1:9" x14ac:dyDescent="0.3">
      <c r="A2575" t="str">
        <f>""</f>
        <v/>
      </c>
      <c r="F2575" t="str">
        <f>"C2 201705021588"</f>
        <v>C2 201705021588</v>
      </c>
      <c r="G2575" t="str">
        <f>"0012982132CCL7445"</f>
        <v>0012982132CCL7445</v>
      </c>
      <c r="H2575" s="2">
        <v>692.31</v>
      </c>
      <c r="I2575" t="str">
        <f>"0012982132CCL7445"</f>
        <v>0012982132CCL7445</v>
      </c>
    </row>
    <row r="2576" spans="1:9" x14ac:dyDescent="0.3">
      <c r="A2576" t="str">
        <f>""</f>
        <v/>
      </c>
      <c r="F2576" t="str">
        <f>"C20201705021643"</f>
        <v>C20201705021643</v>
      </c>
      <c r="G2576" t="str">
        <f>"001003981107-12252"</f>
        <v>001003981107-12252</v>
      </c>
      <c r="H2576" s="2">
        <v>115.39</v>
      </c>
      <c r="I2576" t="str">
        <f>"001003981107-12252"</f>
        <v>001003981107-12252</v>
      </c>
    </row>
    <row r="2577" spans="1:9" x14ac:dyDescent="0.3">
      <c r="A2577" t="str">
        <f>""</f>
        <v/>
      </c>
      <c r="F2577" t="str">
        <f>"C39201705021643"</f>
        <v>C39201705021643</v>
      </c>
      <c r="G2577" t="str">
        <f>"0012352184423-1520"</f>
        <v>0012352184423-1520</v>
      </c>
      <c r="H2577" s="2">
        <v>273.23</v>
      </c>
      <c r="I2577" t="str">
        <f>"0012352184423-1520"</f>
        <v>0012352184423-1520</v>
      </c>
    </row>
    <row r="2578" spans="1:9" x14ac:dyDescent="0.3">
      <c r="A2578" t="str">
        <f>""</f>
        <v/>
      </c>
      <c r="F2578" t="str">
        <f>"C42201705021643"</f>
        <v>C42201705021643</v>
      </c>
      <c r="G2578" t="str">
        <f>"001236769211-14410"</f>
        <v>001236769211-14410</v>
      </c>
      <c r="H2578" s="2">
        <v>230.31</v>
      </c>
      <c r="I2578" t="str">
        <f>"001236769211-14410"</f>
        <v>001236769211-14410</v>
      </c>
    </row>
    <row r="2579" spans="1:9" x14ac:dyDescent="0.3">
      <c r="A2579" t="str">
        <f>""</f>
        <v/>
      </c>
      <c r="F2579" t="str">
        <f>"C46201705021643"</f>
        <v>C46201705021643</v>
      </c>
      <c r="G2579" t="str">
        <f>"CAUSE# 11-14911"</f>
        <v>CAUSE# 11-14911</v>
      </c>
      <c r="H2579" s="2">
        <v>238.62</v>
      </c>
      <c r="I2579" t="str">
        <f>"CAUSE# 11-14911"</f>
        <v>CAUSE# 11-14911</v>
      </c>
    </row>
    <row r="2580" spans="1:9" x14ac:dyDescent="0.3">
      <c r="A2580" t="str">
        <f>""</f>
        <v/>
      </c>
      <c r="F2580" t="str">
        <f>"C53201705021643"</f>
        <v>C53201705021643</v>
      </c>
      <c r="G2580" t="str">
        <f>"0012453366"</f>
        <v>0012453366</v>
      </c>
      <c r="H2580" s="2">
        <v>207.69</v>
      </c>
      <c r="I2580" t="str">
        <f>"0012453366"</f>
        <v>0012453366</v>
      </c>
    </row>
    <row r="2581" spans="1:9" x14ac:dyDescent="0.3">
      <c r="A2581" t="str">
        <f>""</f>
        <v/>
      </c>
      <c r="F2581" t="str">
        <f>"C59201705021643"</f>
        <v>C59201705021643</v>
      </c>
      <c r="G2581" t="str">
        <f>"0012936495140043"</f>
        <v>0012936495140043</v>
      </c>
      <c r="H2581" s="2">
        <v>226.15</v>
      </c>
      <c r="I2581" t="str">
        <f>"0012936495140043"</f>
        <v>0012936495140043</v>
      </c>
    </row>
    <row r="2582" spans="1:9" x14ac:dyDescent="0.3">
      <c r="A2582" t="str">
        <f>""</f>
        <v/>
      </c>
      <c r="F2582" t="str">
        <f>"C60201705021643"</f>
        <v>C60201705021643</v>
      </c>
      <c r="G2582" t="str">
        <f>"00130730762012V300"</f>
        <v>00130730762012V300</v>
      </c>
      <c r="H2582" s="2">
        <v>399.32</v>
      </c>
      <c r="I2582" t="str">
        <f>"00130730762012V300"</f>
        <v>00130730762012V300</v>
      </c>
    </row>
    <row r="2583" spans="1:9" x14ac:dyDescent="0.3">
      <c r="A2583" t="str">
        <f>""</f>
        <v/>
      </c>
      <c r="F2583" t="str">
        <f>"C61201705021643"</f>
        <v>C61201705021643</v>
      </c>
      <c r="G2583" t="str">
        <f>"001174398213713"</f>
        <v>001174398213713</v>
      </c>
      <c r="H2583" s="2">
        <v>143.96</v>
      </c>
      <c r="I2583" t="str">
        <f>"001174398213713"</f>
        <v>001174398213713</v>
      </c>
    </row>
    <row r="2584" spans="1:9" x14ac:dyDescent="0.3">
      <c r="A2584" t="str">
        <f>""</f>
        <v/>
      </c>
      <c r="F2584" t="str">
        <f>"C62201705021643"</f>
        <v>C62201705021643</v>
      </c>
      <c r="G2584" t="str">
        <f>"# 0012128865"</f>
        <v># 0012128865</v>
      </c>
      <c r="H2584" s="2">
        <v>243.23</v>
      </c>
      <c r="I2584" t="str">
        <f>"# 0012128865"</f>
        <v># 0012128865</v>
      </c>
    </row>
    <row r="2585" spans="1:9" x14ac:dyDescent="0.3">
      <c r="A2585" t="str">
        <f>""</f>
        <v/>
      </c>
      <c r="F2585" t="str">
        <f>"C63201705021643"</f>
        <v>C63201705021643</v>
      </c>
      <c r="G2585" t="str">
        <f>"00132751231517246"</f>
        <v>00132751231517246</v>
      </c>
      <c r="H2585" s="2">
        <v>46.15</v>
      </c>
      <c r="I2585" t="str">
        <f>"00132751231517246"</f>
        <v>00132751231517246</v>
      </c>
    </row>
    <row r="2586" spans="1:9" x14ac:dyDescent="0.3">
      <c r="A2586" t="str">
        <f>""</f>
        <v/>
      </c>
      <c r="F2586" t="str">
        <f>"C65201705021643"</f>
        <v>C65201705021643</v>
      </c>
      <c r="G2586" t="str">
        <f>"12-14956"</f>
        <v>12-14956</v>
      </c>
      <c r="H2586" s="2">
        <v>411.1</v>
      </c>
      <c r="I2586" t="str">
        <f>"12-14956"</f>
        <v>12-14956</v>
      </c>
    </row>
    <row r="2587" spans="1:9" x14ac:dyDescent="0.3">
      <c r="A2587" t="str">
        <f>""</f>
        <v/>
      </c>
      <c r="F2587" t="str">
        <f>"C66201705021643"</f>
        <v>C66201705021643</v>
      </c>
      <c r="G2587" t="str">
        <f>"# 0012871801"</f>
        <v># 0012871801</v>
      </c>
      <c r="H2587" s="2">
        <v>90</v>
      </c>
      <c r="I2587" t="str">
        <f>"# 0012871801"</f>
        <v># 0012871801</v>
      </c>
    </row>
    <row r="2588" spans="1:9" x14ac:dyDescent="0.3">
      <c r="A2588" t="str">
        <f>""</f>
        <v/>
      </c>
      <c r="F2588" t="str">
        <f>"C66201705021645"</f>
        <v>C66201705021645</v>
      </c>
      <c r="G2588" t="str">
        <f>"CAUSE#D1FM13007058"</f>
        <v>CAUSE#D1FM13007058</v>
      </c>
      <c r="H2588" s="2">
        <v>138.46</v>
      </c>
      <c r="I2588" t="str">
        <f>"CAUSE#D1FM13007058"</f>
        <v>CAUSE#D1FM13007058</v>
      </c>
    </row>
    <row r="2589" spans="1:9" x14ac:dyDescent="0.3">
      <c r="A2589" t="str">
        <f>""</f>
        <v/>
      </c>
      <c r="F2589" t="str">
        <f>"C67201705021643"</f>
        <v>C67201705021643</v>
      </c>
      <c r="G2589" t="str">
        <f>"13154657"</f>
        <v>13154657</v>
      </c>
      <c r="H2589" s="2">
        <v>101.99</v>
      </c>
      <c r="I2589" t="str">
        <f>"13154657"</f>
        <v>13154657</v>
      </c>
    </row>
    <row r="2590" spans="1:9" x14ac:dyDescent="0.3">
      <c r="A2590" t="str">
        <f>"TAGO"</f>
        <v>TAGO</v>
      </c>
      <c r="B2590" t="s">
        <v>512</v>
      </c>
      <c r="C2590">
        <v>0</v>
      </c>
      <c r="D2590" s="2">
        <v>4161.1400000000003</v>
      </c>
      <c r="E2590" s="1">
        <v>42874</v>
      </c>
      <c r="F2590" t="str">
        <f>"C18201705172284"</f>
        <v>C18201705172284</v>
      </c>
      <c r="G2590" t="str">
        <f>"CAUSE# 0011635329"</f>
        <v>CAUSE# 0011635329</v>
      </c>
      <c r="H2590" s="2">
        <v>603.23</v>
      </c>
      <c r="I2590" t="str">
        <f>"CAUSE# 0011635329"</f>
        <v>CAUSE# 0011635329</v>
      </c>
    </row>
    <row r="2591" spans="1:9" x14ac:dyDescent="0.3">
      <c r="A2591" t="str">
        <f>""</f>
        <v/>
      </c>
      <c r="F2591" t="str">
        <f>"C2 201705172284"</f>
        <v>C2 201705172284</v>
      </c>
      <c r="G2591" t="str">
        <f>"0012982132CCL7445"</f>
        <v>0012982132CCL7445</v>
      </c>
      <c r="H2591" s="2">
        <v>692.31</v>
      </c>
      <c r="I2591" t="str">
        <f>"0012982132CCL7445"</f>
        <v>0012982132CCL7445</v>
      </c>
    </row>
    <row r="2592" spans="1:9" x14ac:dyDescent="0.3">
      <c r="A2592" t="str">
        <f>""</f>
        <v/>
      </c>
      <c r="F2592" t="str">
        <f>"C20201705172283"</f>
        <v>C20201705172283</v>
      </c>
      <c r="G2592" t="str">
        <f>"001003981107-12252"</f>
        <v>001003981107-12252</v>
      </c>
      <c r="H2592" s="2">
        <v>115.39</v>
      </c>
      <c r="I2592" t="str">
        <f>"001003981107-12252"</f>
        <v>001003981107-12252</v>
      </c>
    </row>
    <row r="2593" spans="1:9" x14ac:dyDescent="0.3">
      <c r="A2593" t="str">
        <f>""</f>
        <v/>
      </c>
      <c r="F2593" t="str">
        <f>"C39201705172283"</f>
        <v>C39201705172283</v>
      </c>
      <c r="G2593" t="str">
        <f>"0012352184423-1520"</f>
        <v>0012352184423-1520</v>
      </c>
      <c r="H2593" s="2">
        <v>273.23</v>
      </c>
      <c r="I2593" t="str">
        <f>"0012352184423-1520"</f>
        <v>0012352184423-1520</v>
      </c>
    </row>
    <row r="2594" spans="1:9" x14ac:dyDescent="0.3">
      <c r="A2594" t="str">
        <f>""</f>
        <v/>
      </c>
      <c r="F2594" t="str">
        <f>"C42201705172283"</f>
        <v>C42201705172283</v>
      </c>
      <c r="G2594" t="str">
        <f>"001236769211-14410"</f>
        <v>001236769211-14410</v>
      </c>
      <c r="H2594" s="2">
        <v>230.31</v>
      </c>
      <c r="I2594" t="str">
        <f>"001236769211-14410"</f>
        <v>001236769211-14410</v>
      </c>
    </row>
    <row r="2595" spans="1:9" x14ac:dyDescent="0.3">
      <c r="A2595" t="str">
        <f>""</f>
        <v/>
      </c>
      <c r="F2595" t="str">
        <f>"C46201705172283"</f>
        <v>C46201705172283</v>
      </c>
      <c r="G2595" t="str">
        <f>"CAUSE# 11-14911"</f>
        <v>CAUSE# 11-14911</v>
      </c>
      <c r="H2595" s="2">
        <v>238.62</v>
      </c>
      <c r="I2595" t="str">
        <f>"CAUSE# 11-14911"</f>
        <v>CAUSE# 11-14911</v>
      </c>
    </row>
    <row r="2596" spans="1:9" x14ac:dyDescent="0.3">
      <c r="A2596" t="str">
        <f>""</f>
        <v/>
      </c>
      <c r="F2596" t="str">
        <f>"C53201705172283"</f>
        <v>C53201705172283</v>
      </c>
      <c r="G2596" t="str">
        <f>"0012453366"</f>
        <v>0012453366</v>
      </c>
      <c r="H2596" s="2">
        <v>207.69</v>
      </c>
      <c r="I2596" t="str">
        <f>"0012453366"</f>
        <v>0012453366</v>
      </c>
    </row>
    <row r="2597" spans="1:9" x14ac:dyDescent="0.3">
      <c r="A2597" t="str">
        <f>""</f>
        <v/>
      </c>
      <c r="F2597" t="str">
        <f>"C59201705172283"</f>
        <v>C59201705172283</v>
      </c>
      <c r="G2597" t="str">
        <f>"0012936495140043"</f>
        <v>0012936495140043</v>
      </c>
      <c r="H2597" s="2">
        <v>226.15</v>
      </c>
      <c r="I2597" t="str">
        <f>"0012936495140043"</f>
        <v>0012936495140043</v>
      </c>
    </row>
    <row r="2598" spans="1:9" x14ac:dyDescent="0.3">
      <c r="A2598" t="str">
        <f>""</f>
        <v/>
      </c>
      <c r="F2598" t="str">
        <f>"C60201705172283"</f>
        <v>C60201705172283</v>
      </c>
      <c r="G2598" t="str">
        <f>"00130730762012V300"</f>
        <v>00130730762012V300</v>
      </c>
      <c r="H2598" s="2">
        <v>399.32</v>
      </c>
      <c r="I2598" t="str">
        <f>"00130730762012V300"</f>
        <v>00130730762012V300</v>
      </c>
    </row>
    <row r="2599" spans="1:9" x14ac:dyDescent="0.3">
      <c r="A2599" t="str">
        <f>""</f>
        <v/>
      </c>
      <c r="F2599" t="str">
        <f>"C61201705172283"</f>
        <v>C61201705172283</v>
      </c>
      <c r="G2599" t="str">
        <f>"001174398213713"</f>
        <v>001174398213713</v>
      </c>
      <c r="H2599" s="2">
        <v>143.96</v>
      </c>
      <c r="I2599" t="str">
        <f>"001174398213713"</f>
        <v>001174398213713</v>
      </c>
    </row>
    <row r="2600" spans="1:9" x14ac:dyDescent="0.3">
      <c r="A2600" t="str">
        <f>""</f>
        <v/>
      </c>
      <c r="F2600" t="str">
        <f>"C62201705172283"</f>
        <v>C62201705172283</v>
      </c>
      <c r="G2600" t="str">
        <f>"# 0012128865"</f>
        <v># 0012128865</v>
      </c>
      <c r="H2600" s="2">
        <v>243.23</v>
      </c>
      <c r="I2600" t="str">
        <f>"# 0012128865"</f>
        <v># 0012128865</v>
      </c>
    </row>
    <row r="2601" spans="1:9" x14ac:dyDescent="0.3">
      <c r="A2601" t="str">
        <f>""</f>
        <v/>
      </c>
      <c r="F2601" t="str">
        <f>"C63201705172283"</f>
        <v>C63201705172283</v>
      </c>
      <c r="G2601" t="str">
        <f>"00132751231517246"</f>
        <v>00132751231517246</v>
      </c>
      <c r="H2601" s="2">
        <v>46.15</v>
      </c>
      <c r="I2601" t="str">
        <f>"00132751231517246"</f>
        <v>00132751231517246</v>
      </c>
    </row>
    <row r="2602" spans="1:9" x14ac:dyDescent="0.3">
      <c r="A2602" t="str">
        <f>""</f>
        <v/>
      </c>
      <c r="F2602" t="str">
        <f>"C65201705172283"</f>
        <v>C65201705172283</v>
      </c>
      <c r="G2602" t="str">
        <f>"12-14956"</f>
        <v>12-14956</v>
      </c>
      <c r="H2602" s="2">
        <v>411.1</v>
      </c>
      <c r="I2602" t="str">
        <f>"12-14956"</f>
        <v>12-14956</v>
      </c>
    </row>
    <row r="2603" spans="1:9" x14ac:dyDescent="0.3">
      <c r="A2603" t="str">
        <f>""</f>
        <v/>
      </c>
      <c r="F2603" t="str">
        <f>"C66201705172283"</f>
        <v>C66201705172283</v>
      </c>
      <c r="G2603" t="str">
        <f>"# 0012871801"</f>
        <v># 0012871801</v>
      </c>
      <c r="H2603" s="2">
        <v>90</v>
      </c>
      <c r="I2603" t="str">
        <f>"# 0012871801"</f>
        <v># 0012871801</v>
      </c>
    </row>
    <row r="2604" spans="1:9" x14ac:dyDescent="0.3">
      <c r="A2604" t="str">
        <f>""</f>
        <v/>
      </c>
      <c r="F2604" t="str">
        <f>"C66201705172285"</f>
        <v>C66201705172285</v>
      </c>
      <c r="G2604" t="str">
        <f>"CAUSE#D1FM13007058"</f>
        <v>CAUSE#D1FM13007058</v>
      </c>
      <c r="H2604" s="2">
        <v>138.46</v>
      </c>
      <c r="I2604" t="str">
        <f>"CAUSE#D1FM13007058"</f>
        <v>CAUSE#D1FM13007058</v>
      </c>
    </row>
    <row r="2605" spans="1:9" x14ac:dyDescent="0.3">
      <c r="A2605" t="str">
        <f>""</f>
        <v/>
      </c>
      <c r="F2605" t="str">
        <f>"C67201705172283"</f>
        <v>C67201705172283</v>
      </c>
      <c r="G2605" t="str">
        <f>"13154657"</f>
        <v>13154657</v>
      </c>
      <c r="H2605" s="2">
        <v>101.99</v>
      </c>
      <c r="I2605" t="str">
        <f>"13154657"</f>
        <v>13154657</v>
      </c>
    </row>
    <row r="2606" spans="1:9" x14ac:dyDescent="0.3">
      <c r="A2606" t="str">
        <f>"TCDRS"</f>
        <v>TCDRS</v>
      </c>
      <c r="B2606" t="s">
        <v>513</v>
      </c>
      <c r="C2606">
        <v>0</v>
      </c>
      <c r="D2606" s="2">
        <v>301813.03000000003</v>
      </c>
      <c r="E2606" s="1">
        <v>42874</v>
      </c>
      <c r="F2606" t="str">
        <f>"RET201704261565"</f>
        <v>RET201704261565</v>
      </c>
      <c r="G2606" t="str">
        <f>"TEXAS COUNTY &amp; DISTRICT RET"</f>
        <v>TEXAS COUNTY &amp; DISTRICT RET</v>
      </c>
      <c r="H2606" s="2">
        <v>378.3</v>
      </c>
      <c r="I2606" t="str">
        <f>"TEXAS COUNTY &amp; DISTRICT RET"</f>
        <v>TEXAS COUNTY &amp; DISTRICT RET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>"TEXAS COUNTY &amp; DISTRICT RET"</f>
        <v>TEXAS COUNTY &amp; DISTRICT RET</v>
      </c>
    </row>
    <row r="2608" spans="1:9" x14ac:dyDescent="0.3">
      <c r="A2608" t="str">
        <f>""</f>
        <v/>
      </c>
      <c r="F2608" t="str">
        <f>"RET201705021588"</f>
        <v>RET201705021588</v>
      </c>
      <c r="G2608" t="str">
        <f>"TEXAS COUNTY  DISTRICT RET"</f>
        <v>TEXAS COUNTY  DISTRICT RET</v>
      </c>
      <c r="H2608" s="2">
        <v>5540.16</v>
      </c>
      <c r="I2608" t="str">
        <f>"TEXAS COUNTY  DISTRICT RET"</f>
        <v>TEXAS COUNTY  DISTRICT RET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>"TEXAS COUNTY  DISTRICT RET"</f>
        <v>TEXAS COUNTY  DISTRICT RET</v>
      </c>
    </row>
    <row r="2610" spans="1:9" x14ac:dyDescent="0.3">
      <c r="A2610" t="str">
        <f>""</f>
        <v/>
      </c>
      <c r="F2610" t="str">
        <f>"RET201705021643"</f>
        <v>RET201705021643</v>
      </c>
      <c r="G2610" t="str">
        <f>"TEXAS COUNTY &amp; DISTRICT RET"</f>
        <v>TEXAS COUNTY &amp; DISTRICT RET</v>
      </c>
      <c r="H2610" s="2">
        <v>137109.07999999999</v>
      </c>
      <c r="I2610" t="str">
        <f t="shared" ref="I2610:I2641" si="43">"TEXAS COUNTY &amp; DISTRICT RET"</f>
        <v>TEXAS COUNTY &amp; DISTRICT RET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43"/>
        <v>TEXAS COUNTY &amp; DISTRICT RET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43"/>
        <v>TEXAS COUNTY &amp; DISTRICT RET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43"/>
        <v>TEXAS COUNTY &amp; DISTRICT RET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43"/>
        <v>TEXAS COUNTY &amp; DISTRICT RET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43"/>
        <v>TEXAS COUNTY &amp; DISTRICT RET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43"/>
        <v>TEXAS COUNTY &amp; DISTRICT RET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43"/>
        <v>TEXAS COUNTY &amp; DISTRICT RET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43"/>
        <v>TEXAS COUNTY &amp; DISTRICT RET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43"/>
        <v>TEXAS COUNTY &amp; DISTRICT RET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43"/>
        <v>TEXAS COUNTY &amp; DISTRICT RET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43"/>
        <v>TEXAS COUNTY &amp; DISTRICT RET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43"/>
        <v>TEXAS COUNTY &amp; DISTRICT RET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43"/>
        <v>TEXAS COUNTY &amp; DISTRICT RET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43"/>
        <v>TEXAS COUNTY &amp; DISTRICT RET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43"/>
        <v>TEXAS COUNTY &amp; DISTRICT RET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43"/>
        <v>TEXAS COUNTY &amp; DISTRICT RET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43"/>
        <v>TEXAS COUNTY &amp; DISTRICT RET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43"/>
        <v>TEXAS COUNTY &amp; DISTRICT RET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43"/>
        <v>TEXAS COUNTY &amp; DISTRICT RET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43"/>
        <v>TEXAS COUNTY &amp; DISTRICT RET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43"/>
        <v>TEXAS COUNTY &amp; DISTRICT RET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43"/>
        <v>TEXAS COUNTY &amp; DISTRICT RET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43"/>
        <v>TEXAS COUNTY &amp; DISTRICT RET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43"/>
        <v>TEXAS COUNTY &amp; DISTRICT RET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43"/>
        <v>TEXAS COUNTY &amp; DISTRICT RET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43"/>
        <v>TEXAS COUNTY &amp; DISTRICT RET</v>
      </c>
    </row>
    <row r="2637" spans="1:9" x14ac:dyDescent="0.3">
      <c r="A2637" t="str">
        <f>""</f>
        <v/>
      </c>
      <c r="F2637" t="str">
        <f>""</f>
        <v/>
      </c>
      <c r="G2637" t="str">
        <f>""</f>
        <v/>
      </c>
      <c r="I2637" t="str">
        <f t="shared" si="43"/>
        <v>TEXAS COUNTY &amp; DISTRICT RET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43"/>
        <v>TEXAS COUNTY &amp; DISTRICT RET</v>
      </c>
    </row>
    <row r="2639" spans="1:9" x14ac:dyDescent="0.3">
      <c r="A2639" t="str">
        <f>""</f>
        <v/>
      </c>
      <c r="F2639" t="str">
        <f>""</f>
        <v/>
      </c>
      <c r="G2639" t="str">
        <f>""</f>
        <v/>
      </c>
      <c r="I2639" t="str">
        <f t="shared" si="43"/>
        <v>TEXAS COUNTY &amp; DISTRICT RET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43"/>
        <v>TEXAS COUNTY &amp; DISTRICT RET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43"/>
        <v>TEXAS COUNTY &amp; DISTRICT RET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ref="I2642:I2660" si="44">"TEXAS COUNTY &amp; DISTRICT RET"</f>
        <v>TEXAS COUNTY &amp; DISTRICT RET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44"/>
        <v>TEXAS COUNTY &amp; DISTRICT RET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44"/>
        <v>TEXAS COUNTY &amp; DISTRICT RET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44"/>
        <v>TEXAS COUNTY &amp; DISTRICT RET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44"/>
        <v>TEXAS COUNTY &amp; DISTRICT RET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44"/>
        <v>TEXAS COUNTY &amp; DISTRICT RET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44"/>
        <v>TEXAS COUNTY &amp; DISTRICT RET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44"/>
        <v>TEXAS COUNTY &amp; DISTRICT RET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44"/>
        <v>TEXAS COUNTY &amp; DISTRICT RET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44"/>
        <v>TEXAS COUNTY &amp; DISTRICT RET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44"/>
        <v>TEXAS COUNTY &amp; DISTRICT RET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44"/>
        <v>TEXAS COUNTY &amp; DISTRICT RET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44"/>
        <v>TEXAS COUNTY &amp; DISTRICT RET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44"/>
        <v>TEXAS COUNTY &amp; DISTRICT RET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44"/>
        <v>TEXAS COUNTY &amp; DISTRICT RET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44"/>
        <v>TEXAS COUNTY &amp; DISTRICT RET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44"/>
        <v>TEXAS COUNTY &amp; DISTRICT RET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44"/>
        <v>TEXAS COUNTY &amp; DISTRICT RET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44"/>
        <v>TEXAS COUNTY &amp; DISTRICT RET</v>
      </c>
    </row>
    <row r="2661" spans="1:9" x14ac:dyDescent="0.3">
      <c r="A2661" t="str">
        <f>""</f>
        <v/>
      </c>
      <c r="F2661" t="str">
        <f>"RET201705021644"</f>
        <v>RET201705021644</v>
      </c>
      <c r="G2661" t="str">
        <f>"TEXAS COUNTY  DISTRICT RET"</f>
        <v>TEXAS COUNTY  DISTRICT RET</v>
      </c>
      <c r="H2661" s="2">
        <v>6.35</v>
      </c>
      <c r="I2661" t="str">
        <f>"TEXAS COUNTY  DISTRICT RET"</f>
        <v>TEXAS COUNTY  DISTRICT RET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>"TEXAS COUNTY  DISTRICT RET"</f>
        <v>TEXAS COUNTY  DISTRICT RET</v>
      </c>
    </row>
    <row r="2663" spans="1:9" x14ac:dyDescent="0.3">
      <c r="A2663" t="str">
        <f>""</f>
        <v/>
      </c>
      <c r="F2663" t="str">
        <f>"RET201705021645"</f>
        <v>RET201705021645</v>
      </c>
      <c r="G2663" t="str">
        <f>"TEXAS COUNTY &amp; DISTRICT RET"</f>
        <v>TEXAS COUNTY &amp; DISTRICT RET</v>
      </c>
      <c r="H2663" s="2">
        <v>7747.56</v>
      </c>
      <c r="I2663" t="str">
        <f t="shared" ref="I2663:I2694" si="45">"TEXAS COUNTY &amp; DISTRICT RET"</f>
        <v>TEXAS COUNTY &amp; DISTRICT RET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45"/>
        <v>TEXAS COUNTY &amp; DISTRICT RET</v>
      </c>
    </row>
    <row r="2665" spans="1:9" x14ac:dyDescent="0.3">
      <c r="A2665" t="str">
        <f>""</f>
        <v/>
      </c>
      <c r="F2665" t="str">
        <f>"RET201705172283"</f>
        <v>RET201705172283</v>
      </c>
      <c r="G2665" t="str">
        <f>"TEXAS COUNTY &amp; DISTRICT RET"</f>
        <v>TEXAS COUNTY &amp; DISTRICT RET</v>
      </c>
      <c r="H2665" s="2">
        <v>137562.59</v>
      </c>
      <c r="I2665" t="str">
        <f t="shared" si="45"/>
        <v>TEXAS COUNTY &amp; DISTRICT RET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45"/>
        <v>TEXAS COUNTY &amp; DISTRICT RET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45"/>
        <v>TEXAS COUNTY &amp; DISTRICT RET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si="45"/>
        <v>TEXAS COUNTY &amp; DISTRICT RET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45"/>
        <v>TEXAS COUNTY &amp; DISTRICT RET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45"/>
        <v>TEXAS COUNTY &amp; DISTRICT RET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45"/>
        <v>TEXAS COUNTY &amp; DISTRICT RET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45"/>
        <v>TEXAS COUNTY &amp; DISTRICT RET</v>
      </c>
    </row>
    <row r="2673" spans="1:9" x14ac:dyDescent="0.3">
      <c r="A2673" t="str">
        <f>""</f>
        <v/>
      </c>
      <c r="F2673" t="str">
        <f>""</f>
        <v/>
      </c>
      <c r="G2673" t="str">
        <f>""</f>
        <v/>
      </c>
      <c r="I2673" t="str">
        <f t="shared" si="45"/>
        <v>TEXAS COUNTY &amp; DISTRICT RET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45"/>
        <v>TEXAS COUNTY &amp; DISTRICT RET</v>
      </c>
    </row>
    <row r="2675" spans="1:9" x14ac:dyDescent="0.3">
      <c r="A2675" t="str">
        <f>""</f>
        <v/>
      </c>
      <c r="F2675" t="str">
        <f>""</f>
        <v/>
      </c>
      <c r="G2675" t="str">
        <f>""</f>
        <v/>
      </c>
      <c r="I2675" t="str">
        <f t="shared" si="45"/>
        <v>TEXAS COUNTY &amp; DISTRICT RET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45"/>
        <v>TEXAS COUNTY &amp; DISTRICT RET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45"/>
        <v>TEXAS COUNTY &amp; DISTRICT RET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45"/>
        <v>TEXAS COUNTY &amp; DISTRICT RET</v>
      </c>
    </row>
    <row r="2679" spans="1:9" x14ac:dyDescent="0.3">
      <c r="A2679" t="str">
        <f>""</f>
        <v/>
      </c>
      <c r="F2679" t="str">
        <f>""</f>
        <v/>
      </c>
      <c r="G2679" t="str">
        <f>""</f>
        <v/>
      </c>
      <c r="I2679" t="str">
        <f t="shared" si="45"/>
        <v>TEXAS COUNTY &amp; DISTRICT RET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45"/>
        <v>TEXAS COUNTY &amp; DISTRICT RET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45"/>
        <v>TEXAS COUNTY &amp; DISTRICT RET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45"/>
        <v>TEXAS COUNTY &amp; DISTRICT RET</v>
      </c>
    </row>
    <row r="2683" spans="1:9" x14ac:dyDescent="0.3">
      <c r="A2683" t="str">
        <f>""</f>
        <v/>
      </c>
      <c r="F2683" t="str">
        <f>""</f>
        <v/>
      </c>
      <c r="G2683" t="str">
        <f>""</f>
        <v/>
      </c>
      <c r="I2683" t="str">
        <f t="shared" si="45"/>
        <v>TEXAS COUNTY &amp; DISTRICT RET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45"/>
        <v>TEXAS COUNTY &amp; DISTRICT RET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45"/>
        <v>TEXAS COUNTY &amp; DISTRICT RET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45"/>
        <v>TEXAS COUNTY &amp; DISTRICT RET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45"/>
        <v>TEXAS COUNTY &amp; DISTRICT RET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45"/>
        <v>TEXAS COUNTY &amp; DISTRICT RET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45"/>
        <v>TEXAS COUNTY &amp; DISTRICT RET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45"/>
        <v>TEXAS COUNTY &amp; DISTRICT RET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45"/>
        <v>TEXAS COUNTY &amp; DISTRICT RET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45"/>
        <v>TEXAS COUNTY &amp; DISTRICT RET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45"/>
        <v>TEXAS COUNTY &amp; DISTRICT RET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45"/>
        <v>TEXAS COUNTY &amp; DISTRICT RET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ref="I2695:I2715" si="46">"TEXAS COUNTY &amp; DISTRICT RET"</f>
        <v>TEXAS COUNTY &amp; DISTRICT RET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46"/>
        <v>TEXAS COUNTY &amp; DISTRICT RET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46"/>
        <v>TEXAS COUNTY &amp; DISTRICT RET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46"/>
        <v>TEXAS COUNTY &amp; DISTRICT RET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46"/>
        <v>TEXAS COUNTY &amp; DISTRICT RET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46"/>
        <v>TEXAS COUNTY &amp; DISTRICT RET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46"/>
        <v>TEXAS COUNTY &amp; DISTRICT RET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46"/>
        <v>TEXAS COUNTY &amp; DISTRICT RET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46"/>
        <v>TEXAS COUNTY &amp; DISTRICT RET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46"/>
        <v>TEXAS COUNTY &amp; DISTRICT RET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46"/>
        <v>TEXAS COUNTY &amp; DISTRICT RET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46"/>
        <v>TEXAS COUNTY &amp; DISTRICT RET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46"/>
        <v>TEXAS COUNTY &amp; DISTRICT RET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46"/>
        <v>TEXAS COUNTY &amp; DISTRICT RET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46"/>
        <v>TEXAS COUNTY &amp; DISTRICT RET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46"/>
        <v>TEXAS COUNTY &amp; DISTRICT RET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46"/>
        <v>TEXAS COUNTY &amp; DISTRICT RET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46"/>
        <v>TEXAS COUNTY &amp; DISTRICT RET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46"/>
        <v>TEXAS COUNTY &amp; DISTRICT RET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46"/>
        <v>TEXAS COUNTY &amp; DISTRICT RET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46"/>
        <v>TEXAS COUNTY &amp; DISTRICT RET</v>
      </c>
    </row>
    <row r="2716" spans="1:9" x14ac:dyDescent="0.3">
      <c r="A2716" t="str">
        <f>""</f>
        <v/>
      </c>
      <c r="F2716" t="str">
        <f>"RET201705172284"</f>
        <v>RET201705172284</v>
      </c>
      <c r="G2716" t="str">
        <f>"TEXAS COUNTY  DISTRICT RET"</f>
        <v>TEXAS COUNTY  DISTRICT RET</v>
      </c>
      <c r="H2716" s="2">
        <v>5557.94</v>
      </c>
      <c r="I2716" t="str">
        <f>"TEXAS COUNTY  DISTRICT RET"</f>
        <v>TEXAS COUNTY  DISTRICT RET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>"TEXAS COUNTY  DISTRICT RET"</f>
        <v>TEXAS COUNTY  DISTRICT RET</v>
      </c>
    </row>
    <row r="2718" spans="1:9" x14ac:dyDescent="0.3">
      <c r="A2718" t="str">
        <f>""</f>
        <v/>
      </c>
      <c r="F2718" t="str">
        <f>"RET201705172285"</f>
        <v>RET201705172285</v>
      </c>
      <c r="G2718" t="str">
        <f>"TEXAS COUNTY &amp; DISTRICT RET"</f>
        <v>TEXAS COUNTY &amp; DISTRICT RET</v>
      </c>
      <c r="H2718" s="2">
        <v>7911.05</v>
      </c>
      <c r="I2718" t="str">
        <f>"TEXAS COUNTY &amp; DISTRICT RET"</f>
        <v>TEXAS COUNTY &amp; DISTRICT RET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>"TEXAS COUNTY &amp; DISTRICT RET"</f>
        <v>TEXAS COUNTY &amp; DISTRICT RET</v>
      </c>
    </row>
    <row r="2720" spans="1:9" x14ac:dyDescent="0.3">
      <c r="A2720" t="str">
        <f>"002457"</f>
        <v>002457</v>
      </c>
      <c r="B2720" t="s">
        <v>514</v>
      </c>
      <c r="C2720">
        <v>45610</v>
      </c>
      <c r="D2720" s="2">
        <v>1310</v>
      </c>
      <c r="E2720" s="1">
        <v>42881</v>
      </c>
      <c r="F2720" t="str">
        <f>"LEG201705021588"</f>
        <v>LEG201705021588</v>
      </c>
      <c r="G2720" t="str">
        <f>"TEXAS LEGAL PROTECTION PLAN"</f>
        <v>TEXAS LEGAL PROTECTION PLAN</v>
      </c>
      <c r="H2720" s="2">
        <v>10</v>
      </c>
      <c r="I2720" t="str">
        <f>"TEXAS LEGAL PROTECTION PLAN"</f>
        <v>TEXAS LEGAL PROTECTION PLAN</v>
      </c>
    </row>
    <row r="2721" spans="1:9" x14ac:dyDescent="0.3">
      <c r="A2721" t="str">
        <f>""</f>
        <v/>
      </c>
      <c r="F2721" t="str">
        <f>"LEG201705021643"</f>
        <v>LEG201705021643</v>
      </c>
      <c r="G2721" t="str">
        <f>"TEXAS LEGAL PROTECTION PLAN"</f>
        <v>TEXAS LEGAL PROTECTION PLAN</v>
      </c>
      <c r="H2721" s="2">
        <v>645</v>
      </c>
      <c r="I2721" t="str">
        <f>"TEXAS LEGAL PROTECTION PLAN"</f>
        <v>TEXAS LEGAL PROTECTION PLAN</v>
      </c>
    </row>
    <row r="2722" spans="1:9" x14ac:dyDescent="0.3">
      <c r="A2722" t="str">
        <f>""</f>
        <v/>
      </c>
      <c r="F2722" t="str">
        <f>"LEG201705172283"</f>
        <v>LEG201705172283</v>
      </c>
      <c r="G2722" t="str">
        <f>"TEXAS LEGAL PROTECTION PLAN"</f>
        <v>TEXAS LEGAL PROTECTION PLAN</v>
      </c>
      <c r="H2722" s="2">
        <v>645</v>
      </c>
      <c r="I2722" t="str">
        <f>"TEXAS LEGAL PROTECTION PLAN"</f>
        <v>TEXAS LEGAL PROTECTION PLAN</v>
      </c>
    </row>
    <row r="2723" spans="1:9" x14ac:dyDescent="0.3">
      <c r="A2723" t="str">
        <f>""</f>
        <v/>
      </c>
      <c r="F2723" t="str">
        <f>"LEG201705172284"</f>
        <v>LEG201705172284</v>
      </c>
      <c r="G2723" t="str">
        <f>"TEXAS LEGAL PROTECTION PLAN"</f>
        <v>TEXAS LEGAL PROTECTION PLAN</v>
      </c>
      <c r="H2723" s="2">
        <v>10</v>
      </c>
      <c r="I2723" t="str">
        <f>"TEXAS LEGAL PROTECTION PLAN"</f>
        <v>TEXAS LEGAL PROTECTION PLAN</v>
      </c>
    </row>
    <row r="2724" spans="1:9" x14ac:dyDescent="0.3">
      <c r="A2724" t="str">
        <f>"T14362"</f>
        <v>T14362</v>
      </c>
      <c r="B2724" t="s">
        <v>515</v>
      </c>
      <c r="C2724">
        <v>45564</v>
      </c>
      <c r="D2724" s="2">
        <v>186</v>
      </c>
      <c r="E2724" s="1">
        <v>42860</v>
      </c>
      <c r="F2724" t="str">
        <f>"SL6201705021643"</f>
        <v>SL6201705021643</v>
      </c>
      <c r="G2724" t="str">
        <f>"TG STUDENT LOAN - P CROUCH"</f>
        <v>TG STUDENT LOAN - P CROUCH</v>
      </c>
      <c r="H2724" s="2">
        <v>186</v>
      </c>
      <c r="I2724" t="str">
        <f>"TG STUDENT LOAN - P CROUCH"</f>
        <v>TG STUDENT LOAN - P CROUCH</v>
      </c>
    </row>
    <row r="2725" spans="1:9" x14ac:dyDescent="0.3">
      <c r="A2725" t="str">
        <f>"T14362"</f>
        <v>T14362</v>
      </c>
      <c r="B2725" t="s">
        <v>515</v>
      </c>
      <c r="C2725">
        <v>45609</v>
      </c>
      <c r="D2725" s="2">
        <v>186</v>
      </c>
      <c r="E2725" s="1">
        <v>42874</v>
      </c>
      <c r="F2725" t="str">
        <f>"SL6201705172283"</f>
        <v>SL6201705172283</v>
      </c>
      <c r="G2725" t="str">
        <f>"TG STUDENT LOAN - P CROUCH"</f>
        <v>TG STUDENT LOAN - P CROUCH</v>
      </c>
      <c r="H2725" s="2">
        <v>186</v>
      </c>
      <c r="I2725" t="str">
        <f>"TG STUDENT LOAN - P CROUCH"</f>
        <v>TG STUDENT LOAN - P CROUCH</v>
      </c>
    </row>
    <row r="2726" spans="1:9" x14ac:dyDescent="0.3">
      <c r="A2726" t="str">
        <f>"VERITY"</f>
        <v>VERITY</v>
      </c>
      <c r="B2726" t="s">
        <v>516</v>
      </c>
      <c r="C2726">
        <v>0</v>
      </c>
      <c r="D2726" s="2">
        <v>17630.28</v>
      </c>
      <c r="E2726" s="1">
        <v>42860</v>
      </c>
      <c r="F2726" t="str">
        <f>"FSA201705021588"</f>
        <v>FSA201705021588</v>
      </c>
      <c r="G2726" t="str">
        <f>"VERITY NAT 125 VENDOR"</f>
        <v>VERITY NAT 125 VENDOR</v>
      </c>
      <c r="H2726" s="2">
        <v>528.16999999999996</v>
      </c>
      <c r="I2726" t="str">
        <f>"VERITY NAT 125 VENDOR"</f>
        <v>VERITY NAT 125 VENDOR</v>
      </c>
    </row>
    <row r="2727" spans="1:9" x14ac:dyDescent="0.3">
      <c r="A2727" t="str">
        <f>""</f>
        <v/>
      </c>
      <c r="F2727" t="str">
        <f>"FSA201705021643"</f>
        <v>FSA201705021643</v>
      </c>
      <c r="G2727" t="str">
        <f>"VERITY NAT 125 VENDOR"</f>
        <v>VERITY NAT 125 VENDOR</v>
      </c>
      <c r="H2727" s="2">
        <v>8306.36</v>
      </c>
      <c r="I2727" t="str">
        <f>"VERITY NAT 125 VENDOR"</f>
        <v>VERITY NAT 125 VENDOR</v>
      </c>
    </row>
    <row r="2728" spans="1:9" x14ac:dyDescent="0.3">
      <c r="A2728" t="str">
        <f>""</f>
        <v/>
      </c>
      <c r="F2728" t="str">
        <f>"FSC201705021643"</f>
        <v>FSC201705021643</v>
      </c>
      <c r="G2728" t="str">
        <f>"VERITY NAT 125 DEP CARE"</f>
        <v>VERITY NAT 125 DEP CARE</v>
      </c>
      <c r="H2728" s="2">
        <v>416.66</v>
      </c>
      <c r="I2728" t="str">
        <f>"VERITY NAT 125 DEP CARE"</f>
        <v>VERITY NAT 125 DEP CARE</v>
      </c>
    </row>
    <row r="2729" spans="1:9" x14ac:dyDescent="0.3">
      <c r="A2729" t="str">
        <f>""</f>
        <v/>
      </c>
      <c r="F2729" t="str">
        <f>"FSF201705021588"</f>
        <v>FSF201705021588</v>
      </c>
      <c r="G2729" t="str">
        <f>"VERITY NAT 125 VENDOR"</f>
        <v>VERITY NAT 125 VENDOR</v>
      </c>
      <c r="H2729" s="2">
        <v>25.5</v>
      </c>
      <c r="I2729" t="str">
        <f t="shared" ref="I2729:I2768" si="47">"VERITY NAT 125 VENDOR"</f>
        <v>VERITY NAT 125 VENDOR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47"/>
        <v>VERITY NAT 125 VENDOR</v>
      </c>
    </row>
    <row r="2731" spans="1:9" x14ac:dyDescent="0.3">
      <c r="A2731" t="str">
        <f>""</f>
        <v/>
      </c>
      <c r="F2731" t="str">
        <f>"FSF201705021643"</f>
        <v>FSF201705021643</v>
      </c>
      <c r="G2731" t="str">
        <f>"VERITY NAT 125 VENDOR"</f>
        <v>VERITY NAT 125 VENDOR</v>
      </c>
      <c r="H2731" s="2">
        <v>633.25</v>
      </c>
      <c r="I2731" t="str">
        <f t="shared" si="47"/>
        <v>VERITY NAT 125 VENDOR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si="47"/>
        <v>VERITY NAT 125 VENDOR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47"/>
        <v>VERITY NAT 125 VENDOR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47"/>
        <v>VERITY NAT 125 VENDOR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47"/>
        <v>VERITY NAT 125 VENDOR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47"/>
        <v>VERITY NAT 125 VENDOR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47"/>
        <v>VERITY NAT 125 VENDOR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47"/>
        <v>VERITY NAT 125 VENDOR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47"/>
        <v>VERITY NAT 125 VENDOR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47"/>
        <v>VERITY NAT 125 VENDOR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47"/>
        <v>VERITY NAT 125 VENDOR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47"/>
        <v>VERITY NAT 125 VENDOR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47"/>
        <v>VERITY NAT 125 VENDOR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47"/>
        <v>VERITY NAT 125 VENDOR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47"/>
        <v>VERITY NAT 125 VENDOR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47"/>
        <v>VERITY NAT 125 VENDOR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47"/>
        <v>VERITY NAT 125 VENDOR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47"/>
        <v>VERITY NAT 125 VENDOR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47"/>
        <v>VERITY NAT 125 VENDOR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47"/>
        <v>VERITY NAT 125 VENDOR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47"/>
        <v>VERITY NAT 125 VENDOR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47"/>
        <v>VERITY NAT 125 VENDOR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47"/>
        <v>VERITY NAT 125 VENDOR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47"/>
        <v>VERITY NAT 125 VENDOR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47"/>
        <v>VERITY NAT 125 VENDOR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47"/>
        <v>VERITY NAT 125 VENDOR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47"/>
        <v>VERITY NAT 125 VENDOR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47"/>
        <v>VERITY NAT 125 VENDOR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47"/>
        <v>VERITY NAT 125 VENDOR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47"/>
        <v>VERITY NAT 125 VENDOR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47"/>
        <v>VERITY NAT 125 VENDOR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47"/>
        <v>VERITY NAT 125 VENDOR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47"/>
        <v>VERITY NAT 125 VENDOR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47"/>
        <v>VERITY NAT 125 VENDOR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47"/>
        <v>VERITY NAT 125 VENDOR</v>
      </c>
    </row>
    <row r="2766" spans="1:9" x14ac:dyDescent="0.3">
      <c r="A2766" t="str">
        <f>""</f>
        <v/>
      </c>
      <c r="F2766" t="str">
        <f>""</f>
        <v/>
      </c>
      <c r="G2766" t="str">
        <f>""</f>
        <v/>
      </c>
      <c r="I2766" t="str">
        <f t="shared" si="47"/>
        <v>VERITY NAT 125 VENDOR</v>
      </c>
    </row>
    <row r="2767" spans="1:9" x14ac:dyDescent="0.3">
      <c r="A2767" t="str">
        <f>""</f>
        <v/>
      </c>
      <c r="F2767" t="str">
        <f>""</f>
        <v/>
      </c>
      <c r="G2767" t="str">
        <f>""</f>
        <v/>
      </c>
      <c r="I2767" t="str">
        <f t="shared" si="47"/>
        <v>VERITY NAT 125 VENDOR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47"/>
        <v>VERITY NAT 125 VENDOR</v>
      </c>
    </row>
    <row r="2769" spans="1:9" x14ac:dyDescent="0.3">
      <c r="A2769" t="str">
        <f>""</f>
        <v/>
      </c>
      <c r="F2769" t="str">
        <f>"FSO201705021588"</f>
        <v>FSO201705021588</v>
      </c>
      <c r="G2769" t="str">
        <f>"VERITY FSA ONLY"</f>
        <v>VERITY FSA ONLY</v>
      </c>
      <c r="H2769" s="2">
        <v>3</v>
      </c>
      <c r="I2769" t="str">
        <f>"VERITY FSA ONLY"</f>
        <v>VERITY FSA ONLY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>"VERITY FSA ONLY"</f>
        <v>VERITY FSA ONLY</v>
      </c>
    </row>
    <row r="2771" spans="1:9" x14ac:dyDescent="0.3">
      <c r="A2771" t="str">
        <f>""</f>
        <v/>
      </c>
      <c r="F2771" t="str">
        <f>"FSO201705021643"</f>
        <v>FSO201705021643</v>
      </c>
      <c r="G2771" t="str">
        <f>"VERITY FSA ONLY FEE"</f>
        <v>VERITY FSA ONLY FEE</v>
      </c>
      <c r="H2771" s="2">
        <v>27</v>
      </c>
      <c r="I2771" t="str">
        <f t="shared" ref="I2771:I2781" si="48">"VERITY FSA ONLY FEE"</f>
        <v>VERITY FSA ONLY FEE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48"/>
        <v>VERITY FSA ONLY FEE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48"/>
        <v>VERITY FSA ONLY FEE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48"/>
        <v>VERITY FSA ONLY FEE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48"/>
        <v>VERITY FSA ONLY FEE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48"/>
        <v>VERITY FSA ONLY FEE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48"/>
        <v>VERITY FSA ONLY FEE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48"/>
        <v>VERITY FSA ONLY FEE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48"/>
        <v>VERITY FSA ONLY FEE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48"/>
        <v>VERITY FSA ONLY FEE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48"/>
        <v>VERITY FSA ONLY FEE</v>
      </c>
    </row>
    <row r="2782" spans="1:9" x14ac:dyDescent="0.3">
      <c r="A2782" t="str">
        <f>""</f>
        <v/>
      </c>
      <c r="F2782" t="str">
        <f>"HRA201705021588"</f>
        <v>HRA201705021588</v>
      </c>
      <c r="G2782" t="str">
        <f>"VERITY HRA FEES"</f>
        <v>VERITY HRA FEES</v>
      </c>
      <c r="H2782" s="2">
        <v>200</v>
      </c>
      <c r="I2782" t="str">
        <f t="shared" ref="I2782:I2829" si="49">"VERITY HRA FEES"</f>
        <v>VERITY HRA FEES</v>
      </c>
    </row>
    <row r="2783" spans="1:9" x14ac:dyDescent="0.3">
      <c r="A2783" t="str">
        <f>""</f>
        <v/>
      </c>
      <c r="F2783" t="str">
        <f>"HRA201705021643"</f>
        <v>HRA201705021643</v>
      </c>
      <c r="G2783" t="str">
        <f>"VERITY HRA FEES"</f>
        <v>VERITY HRA FEES</v>
      </c>
      <c r="H2783" s="2">
        <v>6701.34</v>
      </c>
      <c r="I2783" t="str">
        <f t="shared" si="49"/>
        <v>VERITY HRA FEES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49"/>
        <v>VERITY HRA FEES</v>
      </c>
    </row>
    <row r="2785" spans="1:9" x14ac:dyDescent="0.3">
      <c r="A2785" t="str">
        <f>""</f>
        <v/>
      </c>
      <c r="F2785" t="str">
        <f>""</f>
        <v/>
      </c>
      <c r="G2785" t="str">
        <f>""</f>
        <v/>
      </c>
      <c r="I2785" t="str">
        <f t="shared" si="49"/>
        <v>VERITY HRA FEES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49"/>
        <v>VERITY HRA FEES</v>
      </c>
    </row>
    <row r="2787" spans="1:9" x14ac:dyDescent="0.3">
      <c r="A2787" t="str">
        <f>""</f>
        <v/>
      </c>
      <c r="F2787" t="str">
        <f>""</f>
        <v/>
      </c>
      <c r="G2787" t="str">
        <f>""</f>
        <v/>
      </c>
      <c r="I2787" t="str">
        <f t="shared" si="49"/>
        <v>VERITY HRA FEES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49"/>
        <v>VERITY HRA FEES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49"/>
        <v>VERITY HRA FEES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49"/>
        <v>VERITY HRA FEES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49"/>
        <v>VERITY HRA FEES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49"/>
        <v>VERITY HRA FEES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49"/>
        <v>VERITY HRA FEES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49"/>
        <v>VERITY HRA FEES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49"/>
        <v>VERITY HRA FEES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si="49"/>
        <v>VERITY HRA FEES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49"/>
        <v>VERITY HRA FEES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49"/>
        <v>VERITY HRA FEES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49"/>
        <v>VERITY HRA FEES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49"/>
        <v>VERITY HRA FEES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49"/>
        <v>VERITY HRA FEES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49"/>
        <v>VERITY HRA FEES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49"/>
        <v>VERITY HRA FEES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49"/>
        <v>VERITY HRA FEES</v>
      </c>
    </row>
    <row r="2805" spans="1:9" x14ac:dyDescent="0.3">
      <c r="A2805" t="str">
        <f>""</f>
        <v/>
      </c>
      <c r="F2805" t="str">
        <f>""</f>
        <v/>
      </c>
      <c r="G2805" t="str">
        <f>""</f>
        <v/>
      </c>
      <c r="I2805" t="str">
        <f t="shared" si="49"/>
        <v>VERITY HRA FEES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49"/>
        <v>VERITY HRA FEES</v>
      </c>
    </row>
    <row r="2807" spans="1:9" x14ac:dyDescent="0.3">
      <c r="A2807" t="str">
        <f>""</f>
        <v/>
      </c>
      <c r="F2807" t="str">
        <f>""</f>
        <v/>
      </c>
      <c r="G2807" t="str">
        <f>""</f>
        <v/>
      </c>
      <c r="I2807" t="str">
        <f t="shared" si="49"/>
        <v>VERITY HRA FEES</v>
      </c>
    </row>
    <row r="2808" spans="1:9" x14ac:dyDescent="0.3">
      <c r="A2808" t="str">
        <f>""</f>
        <v/>
      </c>
      <c r="F2808" t="str">
        <f>""</f>
        <v/>
      </c>
      <c r="G2808" t="str">
        <f>""</f>
        <v/>
      </c>
      <c r="I2808" t="str">
        <f t="shared" si="49"/>
        <v>VERITY HRA FEES</v>
      </c>
    </row>
    <row r="2809" spans="1:9" x14ac:dyDescent="0.3">
      <c r="A2809" t="str">
        <f>""</f>
        <v/>
      </c>
      <c r="F2809" t="str">
        <f>""</f>
        <v/>
      </c>
      <c r="G2809" t="str">
        <f>""</f>
        <v/>
      </c>
      <c r="I2809" t="str">
        <f t="shared" si="49"/>
        <v>VERITY HRA FEES</v>
      </c>
    </row>
    <row r="2810" spans="1:9" x14ac:dyDescent="0.3">
      <c r="A2810" t="str">
        <f>""</f>
        <v/>
      </c>
      <c r="F2810" t="str">
        <f>""</f>
        <v/>
      </c>
      <c r="G2810" t="str">
        <f>""</f>
        <v/>
      </c>
      <c r="I2810" t="str">
        <f t="shared" si="49"/>
        <v>VERITY HRA FEES</v>
      </c>
    </row>
    <row r="2811" spans="1:9" x14ac:dyDescent="0.3">
      <c r="A2811" t="str">
        <f>""</f>
        <v/>
      </c>
      <c r="F2811" t="str">
        <f>""</f>
        <v/>
      </c>
      <c r="G2811" t="str">
        <f>""</f>
        <v/>
      </c>
      <c r="I2811" t="str">
        <f t="shared" si="49"/>
        <v>VERITY HRA FEES</v>
      </c>
    </row>
    <row r="2812" spans="1:9" x14ac:dyDescent="0.3">
      <c r="A2812" t="str">
        <f>""</f>
        <v/>
      </c>
      <c r="F2812" t="str">
        <f>""</f>
        <v/>
      </c>
      <c r="G2812" t="str">
        <f>""</f>
        <v/>
      </c>
      <c r="I2812" t="str">
        <f t="shared" si="49"/>
        <v>VERITY HRA FEES</v>
      </c>
    </row>
    <row r="2813" spans="1:9" x14ac:dyDescent="0.3">
      <c r="A2813" t="str">
        <f>""</f>
        <v/>
      </c>
      <c r="F2813" t="str">
        <f>""</f>
        <v/>
      </c>
      <c r="G2813" t="str">
        <f>""</f>
        <v/>
      </c>
      <c r="I2813" t="str">
        <f t="shared" si="49"/>
        <v>VERITY HRA FEES</v>
      </c>
    </row>
    <row r="2814" spans="1:9" x14ac:dyDescent="0.3">
      <c r="A2814" t="str">
        <f>""</f>
        <v/>
      </c>
      <c r="F2814" t="str">
        <f>""</f>
        <v/>
      </c>
      <c r="G2814" t="str">
        <f>""</f>
        <v/>
      </c>
      <c r="I2814" t="str">
        <f t="shared" si="49"/>
        <v>VERITY HRA FEES</v>
      </c>
    </row>
    <row r="2815" spans="1:9" x14ac:dyDescent="0.3">
      <c r="A2815" t="str">
        <f>""</f>
        <v/>
      </c>
      <c r="F2815" t="str">
        <f>""</f>
        <v/>
      </c>
      <c r="G2815" t="str">
        <f>""</f>
        <v/>
      </c>
      <c r="I2815" t="str">
        <f t="shared" si="49"/>
        <v>VERITY HRA FEES</v>
      </c>
    </row>
    <row r="2816" spans="1:9" x14ac:dyDescent="0.3">
      <c r="A2816" t="str">
        <f>""</f>
        <v/>
      </c>
      <c r="F2816" t="str">
        <f>""</f>
        <v/>
      </c>
      <c r="G2816" t="str">
        <f>""</f>
        <v/>
      </c>
      <c r="I2816" t="str">
        <f t="shared" si="49"/>
        <v>VERITY HRA FEES</v>
      </c>
    </row>
    <row r="2817" spans="1:9" x14ac:dyDescent="0.3">
      <c r="A2817" t="str">
        <f>""</f>
        <v/>
      </c>
      <c r="F2817" t="str">
        <f>""</f>
        <v/>
      </c>
      <c r="G2817" t="str">
        <f>""</f>
        <v/>
      </c>
      <c r="I2817" t="str">
        <f t="shared" si="49"/>
        <v>VERITY HRA FEES</v>
      </c>
    </row>
    <row r="2818" spans="1:9" x14ac:dyDescent="0.3">
      <c r="A2818" t="str">
        <f>""</f>
        <v/>
      </c>
      <c r="F2818" t="str">
        <f>""</f>
        <v/>
      </c>
      <c r="G2818" t="str">
        <f>""</f>
        <v/>
      </c>
      <c r="I2818" t="str">
        <f t="shared" si="49"/>
        <v>VERITY HRA FEES</v>
      </c>
    </row>
    <row r="2819" spans="1:9" x14ac:dyDescent="0.3">
      <c r="A2819" t="str">
        <f>""</f>
        <v/>
      </c>
      <c r="F2819" t="str">
        <f>""</f>
        <v/>
      </c>
      <c r="G2819" t="str">
        <f>""</f>
        <v/>
      </c>
      <c r="I2819" t="str">
        <f t="shared" si="49"/>
        <v>VERITY HRA FEES</v>
      </c>
    </row>
    <row r="2820" spans="1:9" x14ac:dyDescent="0.3">
      <c r="A2820" t="str">
        <f>""</f>
        <v/>
      </c>
      <c r="F2820" t="str">
        <f>""</f>
        <v/>
      </c>
      <c r="G2820" t="str">
        <f>""</f>
        <v/>
      </c>
      <c r="I2820" t="str">
        <f t="shared" si="49"/>
        <v>VERITY HRA FEES</v>
      </c>
    </row>
    <row r="2821" spans="1:9" x14ac:dyDescent="0.3">
      <c r="A2821" t="str">
        <f>""</f>
        <v/>
      </c>
      <c r="F2821" t="str">
        <f>""</f>
        <v/>
      </c>
      <c r="G2821" t="str">
        <f>""</f>
        <v/>
      </c>
      <c r="I2821" t="str">
        <f t="shared" si="49"/>
        <v>VERITY HRA FEES</v>
      </c>
    </row>
    <row r="2822" spans="1:9" x14ac:dyDescent="0.3">
      <c r="A2822" t="str">
        <f>""</f>
        <v/>
      </c>
      <c r="F2822" t="str">
        <f>""</f>
        <v/>
      </c>
      <c r="G2822" t="str">
        <f>""</f>
        <v/>
      </c>
      <c r="I2822" t="str">
        <f t="shared" si="49"/>
        <v>VERITY HRA FEES</v>
      </c>
    </row>
    <row r="2823" spans="1:9" x14ac:dyDescent="0.3">
      <c r="A2823" t="str">
        <f>""</f>
        <v/>
      </c>
      <c r="F2823" t="str">
        <f>""</f>
        <v/>
      </c>
      <c r="G2823" t="str">
        <f>""</f>
        <v/>
      </c>
      <c r="I2823" t="str">
        <f t="shared" si="49"/>
        <v>VERITY HRA FEES</v>
      </c>
    </row>
    <row r="2824" spans="1:9" x14ac:dyDescent="0.3">
      <c r="A2824" t="str">
        <f>""</f>
        <v/>
      </c>
      <c r="F2824" t="str">
        <f>""</f>
        <v/>
      </c>
      <c r="G2824" t="str">
        <f>""</f>
        <v/>
      </c>
      <c r="I2824" t="str">
        <f t="shared" si="49"/>
        <v>VERITY HRA FEES</v>
      </c>
    </row>
    <row r="2825" spans="1:9" x14ac:dyDescent="0.3">
      <c r="A2825" t="str">
        <f>""</f>
        <v/>
      </c>
      <c r="F2825" t="str">
        <f>""</f>
        <v/>
      </c>
      <c r="G2825" t="str">
        <f>""</f>
        <v/>
      </c>
      <c r="I2825" t="str">
        <f t="shared" si="49"/>
        <v>VERITY HRA FEES</v>
      </c>
    </row>
    <row r="2826" spans="1:9" x14ac:dyDescent="0.3">
      <c r="A2826" t="str">
        <f>""</f>
        <v/>
      </c>
      <c r="F2826" t="str">
        <f>""</f>
        <v/>
      </c>
      <c r="G2826" t="str">
        <f>""</f>
        <v/>
      </c>
      <c r="I2826" t="str">
        <f t="shared" si="49"/>
        <v>VERITY HRA FEES</v>
      </c>
    </row>
    <row r="2827" spans="1:9" x14ac:dyDescent="0.3">
      <c r="A2827" t="str">
        <f>""</f>
        <v/>
      </c>
      <c r="F2827" t="str">
        <f>""</f>
        <v/>
      </c>
      <c r="G2827" t="str">
        <f>""</f>
        <v/>
      </c>
      <c r="I2827" t="str">
        <f t="shared" si="49"/>
        <v>VERITY HRA FEES</v>
      </c>
    </row>
    <row r="2828" spans="1:9" x14ac:dyDescent="0.3">
      <c r="A2828" t="str">
        <f>""</f>
        <v/>
      </c>
      <c r="F2828" t="str">
        <f>""</f>
        <v/>
      </c>
      <c r="G2828" t="str">
        <f>""</f>
        <v/>
      </c>
      <c r="I2828" t="str">
        <f t="shared" si="49"/>
        <v>VERITY HRA FEES</v>
      </c>
    </row>
    <row r="2829" spans="1:9" x14ac:dyDescent="0.3">
      <c r="A2829" t="str">
        <f>""</f>
        <v/>
      </c>
      <c r="F2829" t="str">
        <f>""</f>
        <v/>
      </c>
      <c r="G2829" t="str">
        <f>""</f>
        <v/>
      </c>
      <c r="I2829" t="str">
        <f t="shared" si="49"/>
        <v>VERITY HRA FEES</v>
      </c>
    </row>
    <row r="2830" spans="1:9" x14ac:dyDescent="0.3">
      <c r="A2830" t="str">
        <f>""</f>
        <v/>
      </c>
      <c r="F2830" t="str">
        <f>"HRF201705021588"</f>
        <v>HRF201705021588</v>
      </c>
      <c r="G2830" t="str">
        <f>"VERITY HRA FEE"</f>
        <v>VERITY HRA FEE</v>
      </c>
      <c r="H2830" s="2">
        <v>30</v>
      </c>
      <c r="I2830" t="str">
        <f t="shared" ref="I2830:I2869" si="50">"VERITY HRA FEE"</f>
        <v>VERITY HRA FEE</v>
      </c>
    </row>
    <row r="2831" spans="1:9" x14ac:dyDescent="0.3">
      <c r="A2831" t="str">
        <f>""</f>
        <v/>
      </c>
      <c r="F2831" t="str">
        <f>"HRF201705021643"</f>
        <v>HRF201705021643</v>
      </c>
      <c r="G2831" t="str">
        <f>"VERITY HRA FEE"</f>
        <v>VERITY HRA FEE</v>
      </c>
      <c r="H2831" s="2">
        <v>759</v>
      </c>
      <c r="I2831" t="str">
        <f t="shared" si="50"/>
        <v>VERITY HRA FEE</v>
      </c>
    </row>
    <row r="2832" spans="1:9" x14ac:dyDescent="0.3">
      <c r="A2832" t="str">
        <f>""</f>
        <v/>
      </c>
      <c r="F2832" t="str">
        <f>""</f>
        <v/>
      </c>
      <c r="G2832" t="str">
        <f>""</f>
        <v/>
      </c>
      <c r="I2832" t="str">
        <f t="shared" si="50"/>
        <v>VERITY HRA FEE</v>
      </c>
    </row>
    <row r="2833" spans="1:9" x14ac:dyDescent="0.3">
      <c r="A2833" t="str">
        <f>""</f>
        <v/>
      </c>
      <c r="F2833" t="str">
        <f>""</f>
        <v/>
      </c>
      <c r="G2833" t="str">
        <f>""</f>
        <v/>
      </c>
      <c r="I2833" t="str">
        <f t="shared" si="50"/>
        <v>VERITY HRA FEE</v>
      </c>
    </row>
    <row r="2834" spans="1:9" x14ac:dyDescent="0.3">
      <c r="A2834" t="str">
        <f>""</f>
        <v/>
      </c>
      <c r="F2834" t="str">
        <f>""</f>
        <v/>
      </c>
      <c r="G2834" t="str">
        <f>""</f>
        <v/>
      </c>
      <c r="I2834" t="str">
        <f t="shared" si="50"/>
        <v>VERITY HRA FEE</v>
      </c>
    </row>
    <row r="2835" spans="1:9" x14ac:dyDescent="0.3">
      <c r="A2835" t="str">
        <f>""</f>
        <v/>
      </c>
      <c r="F2835" t="str">
        <f>""</f>
        <v/>
      </c>
      <c r="G2835" t="str">
        <f>""</f>
        <v/>
      </c>
      <c r="I2835" t="str">
        <f t="shared" si="50"/>
        <v>VERITY HRA FEE</v>
      </c>
    </row>
    <row r="2836" spans="1:9" x14ac:dyDescent="0.3">
      <c r="A2836" t="str">
        <f>""</f>
        <v/>
      </c>
      <c r="F2836" t="str">
        <f>""</f>
        <v/>
      </c>
      <c r="G2836" t="str">
        <f>""</f>
        <v/>
      </c>
      <c r="I2836" t="str">
        <f t="shared" si="50"/>
        <v>VERITY HRA FEE</v>
      </c>
    </row>
    <row r="2837" spans="1:9" x14ac:dyDescent="0.3">
      <c r="A2837" t="str">
        <f>""</f>
        <v/>
      </c>
      <c r="F2837" t="str">
        <f>""</f>
        <v/>
      </c>
      <c r="G2837" t="str">
        <f>""</f>
        <v/>
      </c>
      <c r="I2837" t="str">
        <f t="shared" si="50"/>
        <v>VERITY HRA FEE</v>
      </c>
    </row>
    <row r="2838" spans="1:9" x14ac:dyDescent="0.3">
      <c r="A2838" t="str">
        <f>""</f>
        <v/>
      </c>
      <c r="F2838" t="str">
        <f>""</f>
        <v/>
      </c>
      <c r="G2838" t="str">
        <f>""</f>
        <v/>
      </c>
      <c r="I2838" t="str">
        <f t="shared" si="50"/>
        <v>VERITY HRA FEE</v>
      </c>
    </row>
    <row r="2839" spans="1:9" x14ac:dyDescent="0.3">
      <c r="A2839" t="str">
        <f>""</f>
        <v/>
      </c>
      <c r="F2839" t="str">
        <f>""</f>
        <v/>
      </c>
      <c r="G2839" t="str">
        <f>""</f>
        <v/>
      </c>
      <c r="I2839" t="str">
        <f t="shared" si="50"/>
        <v>VERITY HRA FEE</v>
      </c>
    </row>
    <row r="2840" spans="1:9" x14ac:dyDescent="0.3">
      <c r="A2840" t="str">
        <f>""</f>
        <v/>
      </c>
      <c r="F2840" t="str">
        <f>""</f>
        <v/>
      </c>
      <c r="G2840" t="str">
        <f>""</f>
        <v/>
      </c>
      <c r="I2840" t="str">
        <f t="shared" si="50"/>
        <v>VERITY HRA FEE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50"/>
        <v>VERITY HRA FEE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50"/>
        <v>VERITY HRA FEE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50"/>
        <v>VERITY HRA FEE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50"/>
        <v>VERITY HRA FEE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50"/>
        <v>VERITY HRA FEE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50"/>
        <v>VERITY HRA FEE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50"/>
        <v>VERITY HRA FEE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50"/>
        <v>VERITY HRA FEE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50"/>
        <v>VERITY HRA FEE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50"/>
        <v>VERITY HRA FEE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50"/>
        <v>VERITY HRA FEE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50"/>
        <v>VERITY HRA FEE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50"/>
        <v>VERITY HRA FEE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50"/>
        <v>VERITY HRA FEE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50"/>
        <v>VERITY HRA FEE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50"/>
        <v>VERITY HRA FEE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50"/>
        <v>VERITY HRA FEE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50"/>
        <v>VERITY HRA FEE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50"/>
        <v>VERITY HRA FEE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50"/>
        <v>VERITY HRA FEE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50"/>
        <v>VERITY HRA FEE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50"/>
        <v>VERITY HRA FEE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50"/>
        <v>VERITY HRA FEE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50"/>
        <v>VERITY HRA FEE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50"/>
        <v>VERITY HRA FEE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50"/>
        <v>VERITY HRA FEE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50"/>
        <v>VERITY HRA FEE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50"/>
        <v>VERITY HRA FEE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50"/>
        <v>VERITY HRA FEE</v>
      </c>
    </row>
    <row r="2870" spans="1:9" x14ac:dyDescent="0.3">
      <c r="A2870" t="str">
        <f>"VERITY"</f>
        <v>VERITY</v>
      </c>
      <c r="B2870" t="s">
        <v>516</v>
      </c>
      <c r="C2870">
        <v>0</v>
      </c>
      <c r="D2870" s="2">
        <v>17669.62</v>
      </c>
      <c r="E2870" s="1">
        <v>42874</v>
      </c>
      <c r="F2870" t="str">
        <f>"FSA201705172283"</f>
        <v>FSA201705172283</v>
      </c>
      <c r="G2870" t="str">
        <f>"VERITY NAT 125 VENDOR"</f>
        <v>VERITY NAT 125 VENDOR</v>
      </c>
      <c r="H2870" s="2">
        <v>8306.36</v>
      </c>
      <c r="I2870" t="str">
        <f>"VERITY NAT 125 VENDOR"</f>
        <v>VERITY NAT 125 VENDOR</v>
      </c>
    </row>
    <row r="2871" spans="1:9" x14ac:dyDescent="0.3">
      <c r="A2871" t="str">
        <f>""</f>
        <v/>
      </c>
      <c r="F2871" t="str">
        <f>"FSA201705172284"</f>
        <v>FSA201705172284</v>
      </c>
      <c r="G2871" t="str">
        <f>"VERITY NAT 125 VENDOR"</f>
        <v>VERITY NAT 125 VENDOR</v>
      </c>
      <c r="H2871" s="2">
        <v>528.16999999999996</v>
      </c>
      <c r="I2871" t="str">
        <f>"VERITY NAT 125 VENDOR"</f>
        <v>VERITY NAT 125 VENDOR</v>
      </c>
    </row>
    <row r="2872" spans="1:9" x14ac:dyDescent="0.3">
      <c r="A2872" t="str">
        <f>""</f>
        <v/>
      </c>
      <c r="F2872" t="str">
        <f>"FSC201705172283"</f>
        <v>FSC201705172283</v>
      </c>
      <c r="G2872" t="str">
        <f>"VERITY NAT 125 DEP CARE"</f>
        <v>VERITY NAT 125 DEP CARE</v>
      </c>
      <c r="H2872" s="2">
        <v>416.66</v>
      </c>
      <c r="I2872" t="str">
        <f>"VERITY NAT 125 DEP CARE"</f>
        <v>VERITY NAT 125 DEP CARE</v>
      </c>
    </row>
    <row r="2873" spans="1:9" x14ac:dyDescent="0.3">
      <c r="A2873" t="str">
        <f>""</f>
        <v/>
      </c>
      <c r="F2873" t="str">
        <f>"FSF201705172283"</f>
        <v>FSF201705172283</v>
      </c>
      <c r="G2873" t="str">
        <f>"VERITY NAT 125 VENDOR"</f>
        <v>VERITY NAT 125 VENDOR</v>
      </c>
      <c r="H2873" s="2">
        <v>633.25</v>
      </c>
      <c r="I2873" t="str">
        <f t="shared" ref="I2873:I2913" si="51">"VERITY NAT 125 VENDOR"</f>
        <v>VERITY NAT 125 VENDOR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51"/>
        <v>VERITY NAT 125 VENDOR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51"/>
        <v>VERITY NAT 125 VENDOR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51"/>
        <v>VERITY NAT 125 VENDOR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 t="shared" si="51"/>
        <v>VERITY NAT 125 VENDOR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 t="shared" si="51"/>
        <v>VERITY NAT 125 VENDOR</v>
      </c>
    </row>
    <row r="2879" spans="1:9" x14ac:dyDescent="0.3">
      <c r="A2879" t="str">
        <f>""</f>
        <v/>
      </c>
      <c r="F2879" t="str">
        <f>""</f>
        <v/>
      </c>
      <c r="G2879" t="str">
        <f>""</f>
        <v/>
      </c>
      <c r="I2879" t="str">
        <f t="shared" si="51"/>
        <v>VERITY NAT 125 VENDOR</v>
      </c>
    </row>
    <row r="2880" spans="1:9" x14ac:dyDescent="0.3">
      <c r="A2880" t="str">
        <f>""</f>
        <v/>
      </c>
      <c r="F2880" t="str">
        <f>""</f>
        <v/>
      </c>
      <c r="G2880" t="str">
        <f>""</f>
        <v/>
      </c>
      <c r="I2880" t="str">
        <f t="shared" si="51"/>
        <v>VERITY NAT 125 VENDOR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51"/>
        <v>VERITY NAT 125 VENDOR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51"/>
        <v>VERITY NAT 125 VENDOR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51"/>
        <v>VERITY NAT 125 VENDOR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51"/>
        <v>VERITY NAT 125 VENDOR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51"/>
        <v>VERITY NAT 125 VENDOR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51"/>
        <v>VERITY NAT 125 VENDOR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51"/>
        <v>VERITY NAT 125 VENDOR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51"/>
        <v>VERITY NAT 125 VENDOR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51"/>
        <v>VERITY NAT 125 VENDOR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51"/>
        <v>VERITY NAT 125 VENDOR</v>
      </c>
    </row>
    <row r="2891" spans="1:9" x14ac:dyDescent="0.3">
      <c r="A2891" t="str">
        <f>""</f>
        <v/>
      </c>
      <c r="F2891" t="str">
        <f>""</f>
        <v/>
      </c>
      <c r="G2891" t="str">
        <f>""</f>
        <v/>
      </c>
      <c r="I2891" t="str">
        <f t="shared" si="51"/>
        <v>VERITY NAT 125 VENDOR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 t="shared" si="51"/>
        <v>VERITY NAT 125 VENDOR</v>
      </c>
    </row>
    <row r="2893" spans="1:9" x14ac:dyDescent="0.3">
      <c r="A2893" t="str">
        <f>""</f>
        <v/>
      </c>
      <c r="F2893" t="str">
        <f>""</f>
        <v/>
      </c>
      <c r="G2893" t="str">
        <f>""</f>
        <v/>
      </c>
      <c r="I2893" t="str">
        <f t="shared" si="51"/>
        <v>VERITY NAT 125 VENDOR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51"/>
        <v>VERITY NAT 125 VENDOR</v>
      </c>
    </row>
    <row r="2895" spans="1:9" x14ac:dyDescent="0.3">
      <c r="A2895" t="str">
        <f>""</f>
        <v/>
      </c>
      <c r="F2895" t="str">
        <f>""</f>
        <v/>
      </c>
      <c r="G2895" t="str">
        <f>""</f>
        <v/>
      </c>
      <c r="I2895" t="str">
        <f t="shared" si="51"/>
        <v>VERITY NAT 125 VENDOR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51"/>
        <v>VERITY NAT 125 VENDOR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51"/>
        <v>VERITY NAT 125 VENDOR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51"/>
        <v>VERITY NAT 125 VENDOR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51"/>
        <v>VERITY NAT 125 VENDOR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51"/>
        <v>VERITY NAT 125 VENDOR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51"/>
        <v>VERITY NAT 125 VENDOR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51"/>
        <v>VERITY NAT 125 VENDOR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51"/>
        <v>VERITY NAT 125 VENDOR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51"/>
        <v>VERITY NAT 125 VENDOR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51"/>
        <v>VERITY NAT 125 VENDOR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51"/>
        <v>VERITY NAT 125 VENDOR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51"/>
        <v>VERITY NAT 125 VENDOR</v>
      </c>
    </row>
    <row r="2908" spans="1:9" x14ac:dyDescent="0.3">
      <c r="A2908" t="str">
        <f>""</f>
        <v/>
      </c>
      <c r="F2908" t="str">
        <f>""</f>
        <v/>
      </c>
      <c r="G2908" t="str">
        <f>""</f>
        <v/>
      </c>
      <c r="I2908" t="str">
        <f t="shared" si="51"/>
        <v>VERITY NAT 125 VENDOR</v>
      </c>
    </row>
    <row r="2909" spans="1:9" x14ac:dyDescent="0.3">
      <c r="A2909" t="str">
        <f>""</f>
        <v/>
      </c>
      <c r="F2909" t="str">
        <f>""</f>
        <v/>
      </c>
      <c r="G2909" t="str">
        <f>""</f>
        <v/>
      </c>
      <c r="I2909" t="str">
        <f t="shared" si="51"/>
        <v>VERITY NAT 125 VENDOR</v>
      </c>
    </row>
    <row r="2910" spans="1:9" x14ac:dyDescent="0.3">
      <c r="A2910" t="str">
        <f>""</f>
        <v/>
      </c>
      <c r="F2910" t="str">
        <f>""</f>
        <v/>
      </c>
      <c r="G2910" t="str">
        <f>""</f>
        <v/>
      </c>
      <c r="I2910" t="str">
        <f t="shared" si="51"/>
        <v>VERITY NAT 125 VENDOR</v>
      </c>
    </row>
    <row r="2911" spans="1:9" x14ac:dyDescent="0.3">
      <c r="A2911" t="str">
        <f>""</f>
        <v/>
      </c>
      <c r="F2911" t="str">
        <f>""</f>
        <v/>
      </c>
      <c r="G2911" t="str">
        <f>""</f>
        <v/>
      </c>
      <c r="I2911" t="str">
        <f t="shared" si="51"/>
        <v>VERITY NAT 125 VENDOR</v>
      </c>
    </row>
    <row r="2912" spans="1:9" x14ac:dyDescent="0.3">
      <c r="A2912" t="str">
        <f>""</f>
        <v/>
      </c>
      <c r="F2912" t="str">
        <f>"FSF201705172284"</f>
        <v>FSF201705172284</v>
      </c>
      <c r="G2912" t="str">
        <f>"VERITY NAT 125 VENDOR"</f>
        <v>VERITY NAT 125 VENDOR</v>
      </c>
      <c r="H2912" s="2">
        <v>25.5</v>
      </c>
      <c r="I2912" t="str">
        <f t="shared" si="51"/>
        <v>VERITY NAT 125 VENDOR</v>
      </c>
    </row>
    <row r="2913" spans="1:9" x14ac:dyDescent="0.3">
      <c r="A2913" t="str">
        <f>""</f>
        <v/>
      </c>
      <c r="F2913" t="str">
        <f>""</f>
        <v/>
      </c>
      <c r="G2913" t="str">
        <f>""</f>
        <v/>
      </c>
      <c r="I2913" t="str">
        <f t="shared" si="51"/>
        <v>VERITY NAT 125 VENDOR</v>
      </c>
    </row>
    <row r="2914" spans="1:9" x14ac:dyDescent="0.3">
      <c r="A2914" t="str">
        <f>""</f>
        <v/>
      </c>
      <c r="F2914" t="str">
        <f>"FSO201705172283"</f>
        <v>FSO201705172283</v>
      </c>
      <c r="G2914" t="str">
        <f>"VERITY FSA ONLY FEE"</f>
        <v>VERITY FSA ONLY FEE</v>
      </c>
      <c r="H2914" s="2">
        <v>27</v>
      </c>
      <c r="I2914" t="str">
        <f t="shared" ref="I2914:I2924" si="52">"VERITY FSA ONLY FEE"</f>
        <v>VERITY FSA ONLY FEE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52"/>
        <v>VERITY FSA ONLY FEE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52"/>
        <v>VERITY FSA ONLY FEE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52"/>
        <v>VERITY FSA ONLY FEE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52"/>
        <v>VERITY FSA ONLY FEE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52"/>
        <v>VERITY FSA ONLY FEE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52"/>
        <v>VERITY FSA ONLY FEE</v>
      </c>
    </row>
    <row r="2921" spans="1:9" x14ac:dyDescent="0.3">
      <c r="A2921" t="str">
        <f>""</f>
        <v/>
      </c>
      <c r="F2921" t="str">
        <f>""</f>
        <v/>
      </c>
      <c r="G2921" t="str">
        <f>""</f>
        <v/>
      </c>
      <c r="I2921" t="str">
        <f t="shared" si="52"/>
        <v>VERITY FSA ONLY FEE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52"/>
        <v>VERITY FSA ONLY FEE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52"/>
        <v>VERITY FSA ONLY FEE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52"/>
        <v>VERITY FSA ONLY FEE</v>
      </c>
    </row>
    <row r="2925" spans="1:9" x14ac:dyDescent="0.3">
      <c r="A2925" t="str">
        <f>""</f>
        <v/>
      </c>
      <c r="F2925" t="str">
        <f>"FSO201705172284"</f>
        <v>FSO201705172284</v>
      </c>
      <c r="G2925" t="str">
        <f>"VERITY FSA ONLY"</f>
        <v>VERITY FSA ONLY</v>
      </c>
      <c r="H2925" s="2">
        <v>3</v>
      </c>
      <c r="I2925" t="str">
        <f>"VERITY FSA ONLY"</f>
        <v>VERITY FSA ONLY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>"VERITY FSA ONLY"</f>
        <v>VERITY FSA ONLY</v>
      </c>
    </row>
    <row r="2927" spans="1:9" x14ac:dyDescent="0.3">
      <c r="A2927" t="str">
        <f>""</f>
        <v/>
      </c>
      <c r="F2927" t="str">
        <f>"HRA201705172283"</f>
        <v>HRA201705172283</v>
      </c>
      <c r="G2927" t="str">
        <f>"VERITY HRA FEES"</f>
        <v>VERITY HRA FEES</v>
      </c>
      <c r="H2927" s="2">
        <v>6734.68</v>
      </c>
      <c r="I2927" t="str">
        <f t="shared" ref="I2927:I2974" si="53">"VERITY HRA FEES"</f>
        <v>VERITY HRA FEES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53"/>
        <v>VERITY HRA FEES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53"/>
        <v>VERITY HRA FEES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53"/>
        <v>VERITY HRA FEES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53"/>
        <v>VERITY HRA FEES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53"/>
        <v>VERITY HRA FEES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53"/>
        <v>VERITY HRA FEES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53"/>
        <v>VERITY HRA FEES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53"/>
        <v>VERITY HRA FEES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53"/>
        <v>VERITY HRA FEES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53"/>
        <v>VERITY HRA FEES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53"/>
        <v>VERITY HRA FEES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53"/>
        <v>VERITY HRA FEES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53"/>
        <v>VERITY HRA FEES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53"/>
        <v>VERITY HRA FEES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53"/>
        <v>VERITY HRA FEES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53"/>
        <v>VERITY HRA FEES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53"/>
        <v>VERITY HRA FEES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53"/>
        <v>VERITY HRA FEES</v>
      </c>
    </row>
    <row r="2946" spans="1:9" x14ac:dyDescent="0.3">
      <c r="A2946" t="str">
        <f>""</f>
        <v/>
      </c>
      <c r="F2946" t="str">
        <f>""</f>
        <v/>
      </c>
      <c r="G2946" t="str">
        <f>""</f>
        <v/>
      </c>
      <c r="I2946" t="str">
        <f t="shared" si="53"/>
        <v>VERITY HRA FEES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 t="shared" si="53"/>
        <v>VERITY HRA FEES</v>
      </c>
    </row>
    <row r="2948" spans="1:9" x14ac:dyDescent="0.3">
      <c r="A2948" t="str">
        <f>""</f>
        <v/>
      </c>
      <c r="F2948" t="str">
        <f>""</f>
        <v/>
      </c>
      <c r="G2948" t="str">
        <f>""</f>
        <v/>
      </c>
      <c r="I2948" t="str">
        <f t="shared" si="53"/>
        <v>VERITY HRA FEES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 t="shared" si="53"/>
        <v>VERITY HRA FEES</v>
      </c>
    </row>
    <row r="2950" spans="1:9" x14ac:dyDescent="0.3">
      <c r="A2950" t="str">
        <f>""</f>
        <v/>
      </c>
      <c r="F2950" t="str">
        <f>""</f>
        <v/>
      </c>
      <c r="G2950" t="str">
        <f>""</f>
        <v/>
      </c>
      <c r="I2950" t="str">
        <f t="shared" si="53"/>
        <v>VERITY HRA FEES</v>
      </c>
    </row>
    <row r="2951" spans="1:9" x14ac:dyDescent="0.3">
      <c r="A2951" t="str">
        <f>""</f>
        <v/>
      </c>
      <c r="F2951" t="str">
        <f>""</f>
        <v/>
      </c>
      <c r="G2951" t="str">
        <f>""</f>
        <v/>
      </c>
      <c r="I2951" t="str">
        <f t="shared" si="53"/>
        <v>VERITY HRA FEES</v>
      </c>
    </row>
    <row r="2952" spans="1:9" x14ac:dyDescent="0.3">
      <c r="A2952" t="str">
        <f>""</f>
        <v/>
      </c>
      <c r="F2952" t="str">
        <f>""</f>
        <v/>
      </c>
      <c r="G2952" t="str">
        <f>""</f>
        <v/>
      </c>
      <c r="I2952" t="str">
        <f t="shared" si="53"/>
        <v>VERITY HRA FEES</v>
      </c>
    </row>
    <row r="2953" spans="1:9" x14ac:dyDescent="0.3">
      <c r="A2953" t="str">
        <f>""</f>
        <v/>
      </c>
      <c r="F2953" t="str">
        <f>""</f>
        <v/>
      </c>
      <c r="G2953" t="str">
        <f>""</f>
        <v/>
      </c>
      <c r="I2953" t="str">
        <f t="shared" si="53"/>
        <v>VERITY HRA FEES</v>
      </c>
    </row>
    <row r="2954" spans="1:9" x14ac:dyDescent="0.3">
      <c r="A2954" t="str">
        <f>""</f>
        <v/>
      </c>
      <c r="F2954" t="str">
        <f>""</f>
        <v/>
      </c>
      <c r="G2954" t="str">
        <f>""</f>
        <v/>
      </c>
      <c r="I2954" t="str">
        <f t="shared" si="53"/>
        <v>VERITY HRA FEES</v>
      </c>
    </row>
    <row r="2955" spans="1:9" x14ac:dyDescent="0.3">
      <c r="A2955" t="str">
        <f>""</f>
        <v/>
      </c>
      <c r="F2955" t="str">
        <f>""</f>
        <v/>
      </c>
      <c r="G2955" t="str">
        <f>""</f>
        <v/>
      </c>
      <c r="I2955" t="str">
        <f t="shared" si="53"/>
        <v>VERITY HRA FEES</v>
      </c>
    </row>
    <row r="2956" spans="1:9" x14ac:dyDescent="0.3">
      <c r="A2956" t="str">
        <f>""</f>
        <v/>
      </c>
      <c r="F2956" t="str">
        <f>""</f>
        <v/>
      </c>
      <c r="G2956" t="str">
        <f>""</f>
        <v/>
      </c>
      <c r="I2956" t="str">
        <f t="shared" si="53"/>
        <v>VERITY HRA FEES</v>
      </c>
    </row>
    <row r="2957" spans="1:9" x14ac:dyDescent="0.3">
      <c r="A2957" t="str">
        <f>""</f>
        <v/>
      </c>
      <c r="F2957" t="str">
        <f>""</f>
        <v/>
      </c>
      <c r="G2957" t="str">
        <f>""</f>
        <v/>
      </c>
      <c r="I2957" t="str">
        <f t="shared" si="53"/>
        <v>VERITY HRA FEES</v>
      </c>
    </row>
    <row r="2958" spans="1:9" x14ac:dyDescent="0.3">
      <c r="A2958" t="str">
        <f>""</f>
        <v/>
      </c>
      <c r="F2958" t="str">
        <f>""</f>
        <v/>
      </c>
      <c r="G2958" t="str">
        <f>""</f>
        <v/>
      </c>
      <c r="I2958" t="str">
        <f t="shared" si="53"/>
        <v>VERITY HRA FEES</v>
      </c>
    </row>
    <row r="2959" spans="1:9" x14ac:dyDescent="0.3">
      <c r="A2959" t="str">
        <f>""</f>
        <v/>
      </c>
      <c r="F2959" t="str">
        <f>""</f>
        <v/>
      </c>
      <c r="G2959" t="str">
        <f>""</f>
        <v/>
      </c>
      <c r="I2959" t="str">
        <f t="shared" si="53"/>
        <v>VERITY HRA FEES</v>
      </c>
    </row>
    <row r="2960" spans="1:9" x14ac:dyDescent="0.3">
      <c r="A2960" t="str">
        <f>""</f>
        <v/>
      </c>
      <c r="F2960" t="str">
        <f>""</f>
        <v/>
      </c>
      <c r="G2960" t="str">
        <f>""</f>
        <v/>
      </c>
      <c r="I2960" t="str">
        <f t="shared" si="53"/>
        <v>VERITY HRA FEES</v>
      </c>
    </row>
    <row r="2961" spans="1:9" x14ac:dyDescent="0.3">
      <c r="A2961" t="str">
        <f>""</f>
        <v/>
      </c>
      <c r="F2961" t="str">
        <f>""</f>
        <v/>
      </c>
      <c r="G2961" t="str">
        <f>""</f>
        <v/>
      </c>
      <c r="I2961" t="str">
        <f t="shared" si="53"/>
        <v>VERITY HRA FEES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53"/>
        <v>VERITY HRA FEES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53"/>
        <v>VERITY HRA FEES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53"/>
        <v>VERITY HRA FEES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53"/>
        <v>VERITY HRA FEES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53"/>
        <v>VERITY HRA FEES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53"/>
        <v>VERITY HRA FEES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53"/>
        <v>VERITY HRA FEES</v>
      </c>
    </row>
    <row r="2969" spans="1:9" x14ac:dyDescent="0.3">
      <c r="A2969" t="str">
        <f>""</f>
        <v/>
      </c>
      <c r="F2969" t="str">
        <f>""</f>
        <v/>
      </c>
      <c r="G2969" t="str">
        <f>""</f>
        <v/>
      </c>
      <c r="I2969" t="str">
        <f t="shared" si="53"/>
        <v>VERITY HRA FEES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53"/>
        <v>VERITY HRA FEES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53"/>
        <v>VERITY HRA FEES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53"/>
        <v>VERITY HRA FEES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53"/>
        <v>VERITY HRA FEES</v>
      </c>
    </row>
    <row r="2974" spans="1:9" x14ac:dyDescent="0.3">
      <c r="A2974" t="str">
        <f>""</f>
        <v/>
      </c>
      <c r="F2974" t="str">
        <f>"HRA201705172284"</f>
        <v>HRA201705172284</v>
      </c>
      <c r="G2974" t="str">
        <f>"VERITY HRA FEES"</f>
        <v>VERITY HRA FEES</v>
      </c>
      <c r="H2974" s="2">
        <v>200</v>
      </c>
      <c r="I2974" t="str">
        <f t="shared" si="53"/>
        <v>VERITY HRA FEES</v>
      </c>
    </row>
    <row r="2975" spans="1:9" x14ac:dyDescent="0.3">
      <c r="A2975" t="str">
        <f>""</f>
        <v/>
      </c>
      <c r="F2975" t="str">
        <f>"HRF201705172283"</f>
        <v>HRF201705172283</v>
      </c>
      <c r="G2975" t="str">
        <f>"VERITY HRA FEE"</f>
        <v>VERITY HRA FEE</v>
      </c>
      <c r="H2975" s="2">
        <v>765</v>
      </c>
      <c r="I2975" t="str">
        <f t="shared" ref="I2975:I3014" si="54">"VERITY HRA FEE"</f>
        <v>VERITY HRA FEE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54"/>
        <v>VERITY HRA FEE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54"/>
        <v>VERITY HRA FEE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54"/>
        <v>VERITY HRA FEE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54"/>
        <v>VERITY HRA FEE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54"/>
        <v>VERITY HRA FEE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54"/>
        <v>VERITY HRA FEE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54"/>
        <v>VERITY HRA FEE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54"/>
        <v>VERITY HRA FEE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54"/>
        <v>VERITY HRA FEE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si="54"/>
        <v>VERITY HRA FEE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54"/>
        <v>VERITY HRA FEE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54"/>
        <v>VERITY HRA FEE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54"/>
        <v>VERITY HRA FEE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54"/>
        <v>VERITY HRA FEE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54"/>
        <v>VERITY HRA FEE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54"/>
        <v>VERITY HRA FEE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54"/>
        <v>VERITY HRA FEE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54"/>
        <v>VERITY HRA FEE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54"/>
        <v>VERITY HRA FEE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54"/>
        <v>VERITY HRA FEE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54"/>
        <v>VERITY HRA FEE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54"/>
        <v>VERITY HRA FEE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54"/>
        <v>VERITY HRA FEE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54"/>
        <v>VERITY HRA FEE</v>
      </c>
    </row>
    <row r="3000" spans="1:9" x14ac:dyDescent="0.3">
      <c r="A3000" t="str">
        <f>""</f>
        <v/>
      </c>
      <c r="F3000" t="str">
        <f>""</f>
        <v/>
      </c>
      <c r="G3000" t="str">
        <f>""</f>
        <v/>
      </c>
      <c r="I3000" t="str">
        <f t="shared" si="54"/>
        <v>VERITY HRA FEE</v>
      </c>
    </row>
    <row r="3001" spans="1:9" x14ac:dyDescent="0.3">
      <c r="A3001" t="str">
        <f>""</f>
        <v/>
      </c>
      <c r="F3001" t="str">
        <f>""</f>
        <v/>
      </c>
      <c r="G3001" t="str">
        <f>""</f>
        <v/>
      </c>
      <c r="I3001" t="str">
        <f t="shared" si="54"/>
        <v>VERITY HRA FEE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54"/>
        <v>VERITY HRA FEE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54"/>
        <v>VERITY HRA FEE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54"/>
        <v>VERITY HRA FEE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si="54"/>
        <v>VERITY HRA FEE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54"/>
        <v>VERITY HRA FEE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54"/>
        <v>VERITY HRA FEE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54"/>
        <v>VERITY HRA FEE</v>
      </c>
    </row>
    <row r="3009" spans="1:9" x14ac:dyDescent="0.3">
      <c r="A3009" t="str">
        <f>""</f>
        <v/>
      </c>
      <c r="F3009" t="str">
        <f>""</f>
        <v/>
      </c>
      <c r="G3009" t="str">
        <f>""</f>
        <v/>
      </c>
      <c r="I3009" t="str">
        <f t="shared" si="54"/>
        <v>VERITY HRA FEE</v>
      </c>
    </row>
    <row r="3010" spans="1:9" x14ac:dyDescent="0.3">
      <c r="A3010" t="str">
        <f>""</f>
        <v/>
      </c>
      <c r="F3010" t="str">
        <f>""</f>
        <v/>
      </c>
      <c r="G3010" t="str">
        <f>""</f>
        <v/>
      </c>
      <c r="I3010" t="str">
        <f t="shared" si="54"/>
        <v>VERITY HRA FEE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54"/>
        <v>VERITY HRA FEE</v>
      </c>
    </row>
    <row r="3012" spans="1:9" x14ac:dyDescent="0.3">
      <c r="A3012" t="str">
        <f>""</f>
        <v/>
      </c>
      <c r="F3012" t="str">
        <f>""</f>
        <v/>
      </c>
      <c r="G3012" t="str">
        <f>""</f>
        <v/>
      </c>
      <c r="I3012" t="str">
        <f t="shared" si="54"/>
        <v>VERITY HRA FEE</v>
      </c>
    </row>
    <row r="3013" spans="1:9" x14ac:dyDescent="0.3">
      <c r="A3013" t="str">
        <f>""</f>
        <v/>
      </c>
      <c r="F3013" t="str">
        <f>""</f>
        <v/>
      </c>
      <c r="G3013" t="str">
        <f>""</f>
        <v/>
      </c>
      <c r="I3013" t="str">
        <f t="shared" si="54"/>
        <v>VERITY HRA FEE</v>
      </c>
    </row>
    <row r="3014" spans="1:9" x14ac:dyDescent="0.3">
      <c r="A3014" t="str">
        <f>""</f>
        <v/>
      </c>
      <c r="F3014" t="str">
        <f>"HRF201705172284"</f>
        <v>HRF201705172284</v>
      </c>
      <c r="G3014" t="str">
        <f>"VERITY HRA FEE"</f>
        <v>VERITY HRA FEE</v>
      </c>
      <c r="H3014" s="2">
        <v>30</v>
      </c>
      <c r="I3014" t="str">
        <f t="shared" si="54"/>
        <v>VERITY HRA FEE</v>
      </c>
    </row>
    <row r="3015" spans="1:9" x14ac:dyDescent="0.3">
      <c r="A3015" t="str">
        <f t="shared" ref="A3015:A3046" si="55">"1"</f>
        <v>1</v>
      </c>
      <c r="B3015" t="s">
        <v>517</v>
      </c>
      <c r="C3015">
        <v>45453</v>
      </c>
      <c r="D3015" s="2">
        <v>100</v>
      </c>
      <c r="E3015" s="1">
        <v>42886</v>
      </c>
      <c r="F3015" t="str">
        <f>"201706062674"</f>
        <v>201706062674</v>
      </c>
      <c r="G3015" t="str">
        <f>"Miscellaneous"</f>
        <v>Miscellaneous</v>
      </c>
      <c r="H3015" s="2">
        <v>100</v>
      </c>
      <c r="I3015" t="str">
        <f>"A &amp; M ELECTRIC"</f>
        <v>A &amp; M ELECTRIC</v>
      </c>
    </row>
    <row r="3016" spans="1:9" x14ac:dyDescent="0.3">
      <c r="A3016" t="str">
        <f t="shared" si="55"/>
        <v>1</v>
      </c>
      <c r="B3016" t="s">
        <v>518</v>
      </c>
      <c r="C3016">
        <v>45454</v>
      </c>
      <c r="D3016" s="2">
        <v>1386</v>
      </c>
      <c r="E3016" s="1">
        <v>42886</v>
      </c>
      <c r="F3016" t="str">
        <f>"201706062675"</f>
        <v>201706062675</v>
      </c>
      <c r="G3016" t="str">
        <f>"Miscellaneo"</f>
        <v>Miscellaneo</v>
      </c>
      <c r="H3016" s="2">
        <v>1386</v>
      </c>
      <c r="I3016" t="str">
        <f>"A-1 GATE COMPANY"</f>
        <v>A-1 GATE COMPANY</v>
      </c>
    </row>
    <row r="3017" spans="1:9" x14ac:dyDescent="0.3">
      <c r="A3017" t="str">
        <f t="shared" si="55"/>
        <v>1</v>
      </c>
      <c r="B3017" t="s">
        <v>519</v>
      </c>
      <c r="C3017">
        <v>45455</v>
      </c>
      <c r="D3017" s="2">
        <v>50</v>
      </c>
      <c r="E3017" s="1">
        <v>42886</v>
      </c>
      <c r="F3017" t="str">
        <f>"201706062676"</f>
        <v>201706062676</v>
      </c>
      <c r="G3017" t="str">
        <f>"Mi"</f>
        <v>Mi</v>
      </c>
      <c r="H3017" s="2">
        <v>50</v>
      </c>
      <c r="I3017" t="str">
        <f>"ACCLAIM RESOURCE PARTNERS"</f>
        <v>ACCLAIM RESOURCE PARTNERS</v>
      </c>
    </row>
    <row r="3018" spans="1:9" x14ac:dyDescent="0.3">
      <c r="A3018" t="str">
        <f t="shared" si="55"/>
        <v>1</v>
      </c>
      <c r="B3018" t="s">
        <v>520</v>
      </c>
      <c r="C3018">
        <v>45456</v>
      </c>
      <c r="D3018" s="2">
        <v>1030</v>
      </c>
      <c r="E3018" s="1">
        <v>42886</v>
      </c>
      <c r="F3018" t="str">
        <f>"201706062677"</f>
        <v>201706062677</v>
      </c>
      <c r="G3018" t="str">
        <f>"Miscellaneous"</f>
        <v>Miscellaneous</v>
      </c>
      <c r="H3018" s="2">
        <v>1030</v>
      </c>
      <c r="I3018" t="str">
        <f>"ALVAN HANATH"</f>
        <v>ALVAN HANATH</v>
      </c>
    </row>
    <row r="3019" spans="1:9" x14ac:dyDescent="0.3">
      <c r="A3019" t="str">
        <f t="shared" si="55"/>
        <v>1</v>
      </c>
      <c r="B3019" t="s">
        <v>521</v>
      </c>
      <c r="C3019">
        <v>45457</v>
      </c>
      <c r="D3019" s="2">
        <v>174</v>
      </c>
      <c r="E3019" s="1">
        <v>42886</v>
      </c>
      <c r="F3019" t="str">
        <f>"201706062678"</f>
        <v>201706062678</v>
      </c>
      <c r="G3019" t="str">
        <f>"Miscellaneous"</f>
        <v>Miscellaneous</v>
      </c>
      <c r="H3019" s="2">
        <v>174</v>
      </c>
      <c r="I3019" t="str">
        <f>"AMY JASINSKI"</f>
        <v>AMY JASINSKI</v>
      </c>
    </row>
    <row r="3020" spans="1:9" x14ac:dyDescent="0.3">
      <c r="A3020" t="str">
        <f t="shared" si="55"/>
        <v>1</v>
      </c>
      <c r="B3020" t="s">
        <v>522</v>
      </c>
      <c r="C3020">
        <v>45458</v>
      </c>
      <c r="D3020" s="2">
        <v>147.88999999999999</v>
      </c>
      <c r="E3020" s="1">
        <v>42886</v>
      </c>
      <c r="F3020" t="str">
        <f>"201706062679"</f>
        <v>201706062679</v>
      </c>
      <c r="G3020" t="str">
        <f>"Miscellaneous"</f>
        <v>Miscellaneous</v>
      </c>
      <c r="H3020" s="2">
        <v>147.88999999999999</v>
      </c>
      <c r="I3020" t="str">
        <f>"APRIL BURKE"</f>
        <v>APRIL BURKE</v>
      </c>
    </row>
    <row r="3021" spans="1:9" x14ac:dyDescent="0.3">
      <c r="A3021" t="str">
        <f t="shared" si="55"/>
        <v>1</v>
      </c>
      <c r="B3021" t="s">
        <v>523</v>
      </c>
      <c r="C3021">
        <v>45459</v>
      </c>
      <c r="D3021" s="2">
        <v>20</v>
      </c>
      <c r="E3021" s="1">
        <v>42886</v>
      </c>
      <c r="F3021" t="str">
        <f>"201706062680"</f>
        <v>201706062680</v>
      </c>
      <c r="G3021" t="str">
        <f>"Mi"</f>
        <v>Mi</v>
      </c>
      <c r="H3021" s="2">
        <v>20</v>
      </c>
      <c r="I3021" t="str">
        <f>"ATTORNEY GENERAL OF TEXAS"</f>
        <v>ATTORNEY GENERAL OF TEXAS</v>
      </c>
    </row>
    <row r="3022" spans="1:9" x14ac:dyDescent="0.3">
      <c r="A3022" t="str">
        <f t="shared" si="55"/>
        <v>1</v>
      </c>
      <c r="B3022" t="s">
        <v>524</v>
      </c>
      <c r="C3022">
        <v>45460</v>
      </c>
      <c r="D3022" s="2">
        <v>80</v>
      </c>
      <c r="E3022" s="1">
        <v>42886</v>
      </c>
      <c r="F3022" t="str">
        <f>"201706062681"</f>
        <v>201706062681</v>
      </c>
      <c r="G3022" t="str">
        <f>"Miscellaneou"</f>
        <v>Miscellaneou</v>
      </c>
      <c r="H3022" s="2">
        <v>80</v>
      </c>
      <c r="I3022" t="str">
        <f>"BANK OF AMERICA"</f>
        <v>BANK OF AMERICA</v>
      </c>
    </row>
    <row r="3023" spans="1:9" x14ac:dyDescent="0.3">
      <c r="A3023" t="str">
        <f t="shared" si="55"/>
        <v>1</v>
      </c>
      <c r="B3023" t="s">
        <v>525</v>
      </c>
      <c r="C3023">
        <v>45461</v>
      </c>
      <c r="D3023" s="2">
        <v>230</v>
      </c>
      <c r="E3023" s="1">
        <v>42886</v>
      </c>
      <c r="F3023" t="str">
        <f>"201706062682"</f>
        <v>201706062682</v>
      </c>
      <c r="G3023" t="str">
        <f>""</f>
        <v/>
      </c>
      <c r="H3023" s="2">
        <v>230</v>
      </c>
      <c r="I3023" t="str">
        <f>"BRAZOS VALLEY SCHOOL CREDIT UN"</f>
        <v>BRAZOS VALLEY SCHOOL CREDIT UN</v>
      </c>
    </row>
    <row r="3024" spans="1:9" x14ac:dyDescent="0.3">
      <c r="A3024" t="str">
        <f t="shared" si="55"/>
        <v>1</v>
      </c>
      <c r="B3024" t="s">
        <v>526</v>
      </c>
      <c r="C3024">
        <v>45462</v>
      </c>
      <c r="D3024" s="2">
        <v>136.9</v>
      </c>
      <c r="E3024" s="1">
        <v>42886</v>
      </c>
      <c r="F3024" t="str">
        <f>"201706062683"</f>
        <v>201706062683</v>
      </c>
      <c r="G3024" t="str">
        <f>"Miscellaneo"</f>
        <v>Miscellaneo</v>
      </c>
      <c r="H3024" s="2">
        <v>136.9</v>
      </c>
    </row>
    <row r="3025" spans="1:9" x14ac:dyDescent="0.3">
      <c r="A3025" t="str">
        <f t="shared" si="55"/>
        <v>1</v>
      </c>
      <c r="B3025" t="s">
        <v>527</v>
      </c>
      <c r="C3025">
        <v>45463</v>
      </c>
      <c r="D3025" s="2">
        <v>1000</v>
      </c>
      <c r="E3025" s="1">
        <v>42886</v>
      </c>
      <c r="F3025" t="str">
        <f>"201706062684"</f>
        <v>201706062684</v>
      </c>
      <c r="G3025" t="str">
        <f>""</f>
        <v/>
      </c>
      <c r="H3025" s="2">
        <v>1000</v>
      </c>
      <c r="I3025" t="str">
        <f>"BRINKER INTERNATIONAL - CORPOR"</f>
        <v>BRINKER INTERNATIONAL - CORPOR</v>
      </c>
    </row>
    <row r="3026" spans="1:9" x14ac:dyDescent="0.3">
      <c r="A3026" t="str">
        <f t="shared" si="55"/>
        <v>1</v>
      </c>
      <c r="B3026" t="s">
        <v>528</v>
      </c>
      <c r="C3026">
        <v>45464</v>
      </c>
      <c r="D3026" s="2">
        <v>35</v>
      </c>
      <c r="E3026" s="1">
        <v>42886</v>
      </c>
      <c r="F3026" t="str">
        <f>"201706062685"</f>
        <v>201706062685</v>
      </c>
      <c r="G3026" t="str">
        <f>"Miscellaneous"</f>
        <v>Miscellaneous</v>
      </c>
      <c r="H3026" s="2">
        <v>35</v>
      </c>
      <c r="I3026" t="str">
        <f>"BRUCE R. FAUST"</f>
        <v>BRUCE R. FAUST</v>
      </c>
    </row>
    <row r="3027" spans="1:9" x14ac:dyDescent="0.3">
      <c r="A3027" t="str">
        <f t="shared" si="55"/>
        <v>1</v>
      </c>
      <c r="B3027" t="s">
        <v>529</v>
      </c>
      <c r="C3027">
        <v>45465</v>
      </c>
      <c r="D3027" s="2">
        <v>50</v>
      </c>
      <c r="E3027" s="1">
        <v>42886</v>
      </c>
      <c r="F3027" t="str">
        <f>"201706062686"</f>
        <v>201706062686</v>
      </c>
      <c r="G3027" t="str">
        <f>"Mi"</f>
        <v>Mi</v>
      </c>
      <c r="H3027" s="2">
        <v>50</v>
      </c>
      <c r="I3027" t="str">
        <f>"BURLESON COUNTY TREASURER"</f>
        <v>BURLESON COUNTY TREASURER</v>
      </c>
    </row>
    <row r="3028" spans="1:9" x14ac:dyDescent="0.3">
      <c r="A3028" t="str">
        <f t="shared" si="55"/>
        <v>1</v>
      </c>
      <c r="B3028" t="s">
        <v>530</v>
      </c>
      <c r="C3028">
        <v>45466</v>
      </c>
      <c r="D3028" s="2">
        <v>850</v>
      </c>
      <c r="E3028" s="1">
        <v>42886</v>
      </c>
      <c r="F3028" t="str">
        <f>"201706062687"</f>
        <v>201706062687</v>
      </c>
      <c r="G3028" t="str">
        <f>""</f>
        <v/>
      </c>
      <c r="H3028" s="2">
        <v>850</v>
      </c>
      <c r="I3028" t="str">
        <f>"CADE LAKES WATER SUPPLY CORPOR"</f>
        <v>CADE LAKES WATER SUPPLY CORPOR</v>
      </c>
    </row>
    <row r="3029" spans="1:9" x14ac:dyDescent="0.3">
      <c r="A3029" t="str">
        <f t="shared" si="55"/>
        <v>1</v>
      </c>
      <c r="B3029" t="s">
        <v>531</v>
      </c>
      <c r="C3029">
        <v>45467</v>
      </c>
      <c r="D3029" s="2">
        <v>400</v>
      </c>
      <c r="E3029" s="1">
        <v>42886</v>
      </c>
      <c r="F3029" t="str">
        <f>"201706062688"</f>
        <v>201706062688</v>
      </c>
      <c r="G3029" t="str">
        <f>"Mi"</f>
        <v>Mi</v>
      </c>
      <c r="H3029" s="2">
        <v>400</v>
      </c>
      <c r="I3029" t="str">
        <f>"CARMINE FEED &amp; FERTILIZER"</f>
        <v>CARMINE FEED &amp; FERTILIZER</v>
      </c>
    </row>
    <row r="3030" spans="1:9" x14ac:dyDescent="0.3">
      <c r="A3030" t="str">
        <f t="shared" si="55"/>
        <v>1</v>
      </c>
      <c r="B3030" t="s">
        <v>532</v>
      </c>
      <c r="C3030">
        <v>45468</v>
      </c>
      <c r="D3030" s="2">
        <v>20</v>
      </c>
      <c r="E3030" s="1">
        <v>42886</v>
      </c>
      <c r="F3030" t="str">
        <f>"201706062689"</f>
        <v>201706062689</v>
      </c>
      <c r="G3030" t="str">
        <f>"Miscellaneous"</f>
        <v>Miscellaneous</v>
      </c>
      <c r="H3030" s="2">
        <v>20</v>
      </c>
    </row>
    <row r="3031" spans="1:9" x14ac:dyDescent="0.3">
      <c r="A3031" t="str">
        <f t="shared" si="55"/>
        <v>1</v>
      </c>
      <c r="B3031" t="s">
        <v>533</v>
      </c>
      <c r="C3031">
        <v>45469</v>
      </c>
      <c r="D3031" s="2">
        <v>59.71</v>
      </c>
      <c r="E3031" s="1">
        <v>42886</v>
      </c>
      <c r="F3031" t="str">
        <f>"201706062690"</f>
        <v>201706062690</v>
      </c>
      <c r="G3031" t="str">
        <f>"Miscellane"</f>
        <v>Miscellane</v>
      </c>
      <c r="H3031" s="2">
        <v>59.71</v>
      </c>
      <c r="I3031" t="str">
        <f>"CASH AMERICA PAWN"</f>
        <v>CASH AMERICA PAWN</v>
      </c>
    </row>
    <row r="3032" spans="1:9" x14ac:dyDescent="0.3">
      <c r="A3032" t="str">
        <f t="shared" si="55"/>
        <v>1</v>
      </c>
      <c r="B3032" t="s">
        <v>534</v>
      </c>
      <c r="C3032">
        <v>45470</v>
      </c>
      <c r="D3032" s="2">
        <v>280</v>
      </c>
      <c r="E3032" s="1">
        <v>42886</v>
      </c>
      <c r="F3032" t="str">
        <f>"201706062691"</f>
        <v>201706062691</v>
      </c>
      <c r="G3032" t="str">
        <f>"Miscella"</f>
        <v>Miscella</v>
      </c>
      <c r="H3032" s="2">
        <v>280</v>
      </c>
      <c r="I3032" t="str">
        <f>"CENTER DRIVE IN III"</f>
        <v>CENTER DRIVE IN III</v>
      </c>
    </row>
    <row r="3033" spans="1:9" x14ac:dyDescent="0.3">
      <c r="A3033" t="str">
        <f t="shared" si="55"/>
        <v>1</v>
      </c>
      <c r="B3033" t="s">
        <v>535</v>
      </c>
      <c r="C3033">
        <v>45471</v>
      </c>
      <c r="D3033" s="2">
        <v>10</v>
      </c>
      <c r="E3033" s="1">
        <v>42886</v>
      </c>
      <c r="F3033" t="str">
        <f>"201706062692"</f>
        <v>201706062692</v>
      </c>
      <c r="G3033" t="str">
        <f>"Misc"</f>
        <v>Misc</v>
      </c>
      <c r="H3033" s="2">
        <v>10</v>
      </c>
      <c r="I3033" t="str">
        <f>"CHASTITY MARIE ROBINSON"</f>
        <v>CHASTITY MARIE ROBINSON</v>
      </c>
    </row>
    <row r="3034" spans="1:9" x14ac:dyDescent="0.3">
      <c r="A3034" t="str">
        <f t="shared" si="55"/>
        <v>1</v>
      </c>
      <c r="B3034" t="s">
        <v>536</v>
      </c>
      <c r="C3034">
        <v>45472</v>
      </c>
      <c r="D3034" s="2">
        <v>50</v>
      </c>
      <c r="E3034" s="1">
        <v>42886</v>
      </c>
      <c r="F3034" t="str">
        <f>"201706062693"</f>
        <v>201706062693</v>
      </c>
      <c r="G3034" t="str">
        <f>"Miscellaneous"</f>
        <v>Miscellaneous</v>
      </c>
      <c r="H3034" s="2">
        <v>50</v>
      </c>
      <c r="I3034" t="str">
        <f>"CHECK N GO"</f>
        <v>CHECK N GO</v>
      </c>
    </row>
    <row r="3035" spans="1:9" x14ac:dyDescent="0.3">
      <c r="A3035" t="str">
        <f t="shared" si="55"/>
        <v>1</v>
      </c>
      <c r="B3035" t="s">
        <v>537</v>
      </c>
      <c r="C3035">
        <v>45473</v>
      </c>
      <c r="D3035" s="2">
        <v>200</v>
      </c>
      <c r="E3035" s="1">
        <v>42886</v>
      </c>
      <c r="F3035" t="str">
        <f>"201706062694"</f>
        <v>201706062694</v>
      </c>
      <c r="G3035" t="str">
        <f>""</f>
        <v/>
      </c>
      <c r="H3035" s="2">
        <v>200</v>
      </c>
      <c r="I3035" t="str">
        <f>"CITI SECURITY AND INVESTIGATIV"</f>
        <v>CITI SECURITY AND INVESTIGATIV</v>
      </c>
    </row>
    <row r="3036" spans="1:9" x14ac:dyDescent="0.3">
      <c r="A3036" t="str">
        <f t="shared" si="55"/>
        <v>1</v>
      </c>
      <c r="B3036" t="s">
        <v>538</v>
      </c>
      <c r="C3036">
        <v>45474</v>
      </c>
      <c r="D3036" s="2">
        <v>200</v>
      </c>
      <c r="E3036" s="1">
        <v>42886</v>
      </c>
      <c r="F3036" t="str">
        <f>"201706062695"</f>
        <v>201706062695</v>
      </c>
      <c r="G3036" t="str">
        <f>"Miscellaneou"</f>
        <v>Miscellaneou</v>
      </c>
      <c r="H3036" s="2">
        <v>200</v>
      </c>
      <c r="I3036" t="str">
        <f>"CITY OF BRENHAM"</f>
        <v>CITY OF BRENHAM</v>
      </c>
    </row>
    <row r="3037" spans="1:9" x14ac:dyDescent="0.3">
      <c r="A3037" t="str">
        <f t="shared" si="55"/>
        <v>1</v>
      </c>
      <c r="B3037" t="s">
        <v>109</v>
      </c>
      <c r="C3037">
        <v>45475</v>
      </c>
      <c r="D3037" s="2">
        <v>65</v>
      </c>
      <c r="E3037" s="1">
        <v>42886</v>
      </c>
      <c r="F3037" t="str">
        <f>"201706062696"</f>
        <v>201706062696</v>
      </c>
      <c r="G3037" t="str">
        <f>"Miscellaneous"</f>
        <v>Miscellaneous</v>
      </c>
      <c r="H3037" s="2">
        <v>65</v>
      </c>
      <c r="I3037" t="str">
        <f>"CLAY WANECK"</f>
        <v>CLAY WANECK</v>
      </c>
    </row>
    <row r="3038" spans="1:9" x14ac:dyDescent="0.3">
      <c r="A3038" t="str">
        <f t="shared" si="55"/>
        <v>1</v>
      </c>
      <c r="B3038" t="s">
        <v>539</v>
      </c>
      <c r="C3038">
        <v>45476</v>
      </c>
      <c r="D3038" s="2">
        <v>1100</v>
      </c>
      <c r="E3038" s="1">
        <v>42886</v>
      </c>
      <c r="F3038" t="str">
        <f>"201706062697"</f>
        <v>201706062697</v>
      </c>
      <c r="G3038" t="str">
        <f>"Miscellaneous"</f>
        <v>Miscellaneous</v>
      </c>
      <c r="H3038" s="2">
        <v>1100</v>
      </c>
      <c r="I3038" t="str">
        <f>"COLLIER FARMS"</f>
        <v>COLLIER FARMS</v>
      </c>
    </row>
    <row r="3039" spans="1:9" x14ac:dyDescent="0.3">
      <c r="A3039" t="str">
        <f t="shared" si="55"/>
        <v>1</v>
      </c>
      <c r="B3039" t="s">
        <v>540</v>
      </c>
      <c r="C3039">
        <v>45477</v>
      </c>
      <c r="D3039" s="2">
        <v>40</v>
      </c>
      <c r="E3039" s="1">
        <v>42886</v>
      </c>
      <c r="F3039" t="str">
        <f>"201706062698"</f>
        <v>201706062698</v>
      </c>
      <c r="G3039" t="str">
        <f>"Miscell"</f>
        <v>Miscell</v>
      </c>
      <c r="H3039" s="2">
        <v>40</v>
      </c>
      <c r="I3039" t="str">
        <f>"CVC ATTORNEY GENERAL"</f>
        <v>CVC ATTORNEY GENERAL</v>
      </c>
    </row>
    <row r="3040" spans="1:9" x14ac:dyDescent="0.3">
      <c r="A3040" t="str">
        <f t="shared" si="55"/>
        <v>1</v>
      </c>
      <c r="B3040" t="s">
        <v>541</v>
      </c>
      <c r="C3040">
        <v>45478</v>
      </c>
      <c r="D3040" s="2">
        <v>25</v>
      </c>
      <c r="E3040" s="1">
        <v>42886</v>
      </c>
      <c r="F3040" t="str">
        <f>"201706062699"</f>
        <v>201706062699</v>
      </c>
      <c r="G3040" t="str">
        <f t="shared" ref="G3040:G3045" si="56">"Miscellaneous"</f>
        <v>Miscellaneous</v>
      </c>
      <c r="H3040" s="2">
        <v>25</v>
      </c>
      <c r="I3040" t="str">
        <f>"DANTE CRENSHAW"</f>
        <v>DANTE CRENSHAW</v>
      </c>
    </row>
    <row r="3041" spans="1:9" x14ac:dyDescent="0.3">
      <c r="A3041" t="str">
        <f t="shared" si="55"/>
        <v>1</v>
      </c>
      <c r="B3041" t="s">
        <v>542</v>
      </c>
      <c r="C3041">
        <v>45479</v>
      </c>
      <c r="D3041" s="2">
        <v>182</v>
      </c>
      <c r="E3041" s="1">
        <v>42886</v>
      </c>
      <c r="F3041" t="str">
        <f>"201706062700"</f>
        <v>201706062700</v>
      </c>
      <c r="G3041" t="str">
        <f t="shared" si="56"/>
        <v>Miscellaneous</v>
      </c>
      <c r="H3041" s="2">
        <v>182</v>
      </c>
      <c r="I3041" t="str">
        <f>"DAVID HAILE"</f>
        <v>DAVID HAILE</v>
      </c>
    </row>
    <row r="3042" spans="1:9" x14ac:dyDescent="0.3">
      <c r="A3042" t="str">
        <f t="shared" si="55"/>
        <v>1</v>
      </c>
      <c r="B3042" t="s">
        <v>543</v>
      </c>
      <c r="C3042">
        <v>45480</v>
      </c>
      <c r="D3042" s="2">
        <v>143</v>
      </c>
      <c r="E3042" s="1">
        <v>42886</v>
      </c>
      <c r="F3042" t="str">
        <f>"201706062701"</f>
        <v>201706062701</v>
      </c>
      <c r="G3042" t="str">
        <f t="shared" si="56"/>
        <v>Miscellaneous</v>
      </c>
      <c r="H3042" s="2">
        <v>143</v>
      </c>
      <c r="I3042" t="str">
        <f>"DAWN SHIMEALL"</f>
        <v>DAWN SHIMEALL</v>
      </c>
    </row>
    <row r="3043" spans="1:9" x14ac:dyDescent="0.3">
      <c r="A3043" t="str">
        <f t="shared" si="55"/>
        <v>1</v>
      </c>
      <c r="B3043" t="s">
        <v>544</v>
      </c>
      <c r="C3043">
        <v>45481</v>
      </c>
      <c r="D3043" s="2">
        <v>165</v>
      </c>
      <c r="E3043" s="1">
        <v>42886</v>
      </c>
      <c r="F3043" t="str">
        <f>"201706062702"</f>
        <v>201706062702</v>
      </c>
      <c r="G3043" t="str">
        <f t="shared" si="56"/>
        <v>Miscellaneous</v>
      </c>
      <c r="H3043" s="2">
        <v>165</v>
      </c>
      <c r="I3043" t="str">
        <f>"DEBORAH TATUM"</f>
        <v>DEBORAH TATUM</v>
      </c>
    </row>
    <row r="3044" spans="1:9" x14ac:dyDescent="0.3">
      <c r="A3044" t="str">
        <f t="shared" si="55"/>
        <v>1</v>
      </c>
      <c r="B3044" t="s">
        <v>545</v>
      </c>
      <c r="C3044">
        <v>45482</v>
      </c>
      <c r="D3044" s="2">
        <v>60</v>
      </c>
      <c r="E3044" s="1">
        <v>42886</v>
      </c>
      <c r="F3044" t="str">
        <f>"201706062703"</f>
        <v>201706062703</v>
      </c>
      <c r="G3044" t="str">
        <f t="shared" si="56"/>
        <v>Miscellaneous</v>
      </c>
      <c r="H3044" s="2">
        <v>60</v>
      </c>
      <c r="I3044" t="str">
        <f>"DQ RED RIBBON"</f>
        <v>DQ RED RIBBON</v>
      </c>
    </row>
    <row r="3045" spans="1:9" x14ac:dyDescent="0.3">
      <c r="A3045" t="str">
        <f t="shared" si="55"/>
        <v>1</v>
      </c>
      <c r="B3045" t="s">
        <v>546</v>
      </c>
      <c r="C3045">
        <v>45483</v>
      </c>
      <c r="D3045" s="2">
        <v>50</v>
      </c>
      <c r="E3045" s="1">
        <v>42886</v>
      </c>
      <c r="F3045" t="str">
        <f>"201706062704"</f>
        <v>201706062704</v>
      </c>
      <c r="G3045" t="str">
        <f t="shared" si="56"/>
        <v>Miscellaneous</v>
      </c>
      <c r="H3045" s="2">
        <v>50</v>
      </c>
      <c r="I3045" t="str">
        <f>"TUYET THI TRAN"</f>
        <v>TUYET THI TRAN</v>
      </c>
    </row>
    <row r="3046" spans="1:9" x14ac:dyDescent="0.3">
      <c r="A3046" t="str">
        <f t="shared" si="55"/>
        <v>1</v>
      </c>
      <c r="B3046" t="s">
        <v>547</v>
      </c>
      <c r="C3046">
        <v>45484</v>
      </c>
      <c r="D3046" s="2">
        <v>100</v>
      </c>
      <c r="E3046" s="1">
        <v>42886</v>
      </c>
      <c r="F3046" t="str">
        <f>"201706062705"</f>
        <v>201706062705</v>
      </c>
      <c r="G3046" t="str">
        <f>"Miscellaneou"</f>
        <v>Miscellaneou</v>
      </c>
      <c r="H3046" s="2">
        <v>100</v>
      </c>
      <c r="I3046" t="str">
        <f>"EARL L. JOHNSON"</f>
        <v>EARL L. JOHNSON</v>
      </c>
    </row>
    <row r="3047" spans="1:9" x14ac:dyDescent="0.3">
      <c r="A3047" t="str">
        <f t="shared" ref="A3047:A3078" si="57">"1"</f>
        <v>1</v>
      </c>
      <c r="B3047" t="s">
        <v>548</v>
      </c>
      <c r="C3047">
        <v>45485</v>
      </c>
      <c r="D3047" s="2">
        <v>300</v>
      </c>
      <c r="E3047" s="1">
        <v>42886</v>
      </c>
      <c r="F3047" t="str">
        <f>"201706062706"</f>
        <v>201706062706</v>
      </c>
      <c r="G3047" t="str">
        <f>"Miscellan"</f>
        <v>Miscellan</v>
      </c>
      <c r="H3047" s="2">
        <v>300</v>
      </c>
      <c r="I3047" t="str">
        <f>"ENERGY TRANSFER CO"</f>
        <v>ENERGY TRANSFER CO</v>
      </c>
    </row>
    <row r="3048" spans="1:9" x14ac:dyDescent="0.3">
      <c r="A3048" t="str">
        <f t="shared" si="57"/>
        <v>1</v>
      </c>
      <c r="B3048" t="s">
        <v>549</v>
      </c>
      <c r="C3048">
        <v>45486</v>
      </c>
      <c r="D3048" s="2">
        <v>292</v>
      </c>
      <c r="E3048" s="1">
        <v>42886</v>
      </c>
      <c r="F3048" t="str">
        <f>"201706062707"</f>
        <v>201706062707</v>
      </c>
      <c r="G3048" t="str">
        <f>""</f>
        <v/>
      </c>
      <c r="H3048" s="2">
        <v>292</v>
      </c>
      <c r="I3048" t="str">
        <f>"EZ PAWN/ LOSS PREVENTION DEPT"</f>
        <v>EZ PAWN/ LOSS PREVENTION DEPT</v>
      </c>
    </row>
    <row r="3049" spans="1:9" x14ac:dyDescent="0.3">
      <c r="A3049" t="str">
        <f t="shared" si="57"/>
        <v>1</v>
      </c>
      <c r="B3049" t="s">
        <v>550</v>
      </c>
      <c r="C3049">
        <v>45487</v>
      </c>
      <c r="D3049" s="2">
        <v>1112.76</v>
      </c>
      <c r="E3049" s="1">
        <v>42886</v>
      </c>
      <c r="F3049" t="str">
        <f>"201706062708"</f>
        <v>201706062708</v>
      </c>
      <c r="G3049" t="str">
        <f>"Miscellaneous"</f>
        <v>Miscellaneous</v>
      </c>
      <c r="H3049" s="2">
        <v>1112.76</v>
      </c>
    </row>
    <row r="3050" spans="1:9" x14ac:dyDescent="0.3">
      <c r="A3050" t="str">
        <f t="shared" si="57"/>
        <v>1</v>
      </c>
      <c r="B3050" t="s">
        <v>551</v>
      </c>
      <c r="C3050">
        <v>45488</v>
      </c>
      <c r="D3050" s="2">
        <v>200</v>
      </c>
      <c r="E3050" s="1">
        <v>42886</v>
      </c>
      <c r="F3050" t="str">
        <f>"201706062709"</f>
        <v>201706062709</v>
      </c>
      <c r="G3050" t="str">
        <f>""</f>
        <v/>
      </c>
      <c r="H3050" s="2">
        <v>200</v>
      </c>
      <c r="I3050" t="str">
        <f>"FARMERS MUTUAL AID ASSOCIATION"</f>
        <v>FARMERS MUTUAL AID ASSOCIATION</v>
      </c>
    </row>
    <row r="3051" spans="1:9" x14ac:dyDescent="0.3">
      <c r="A3051" t="str">
        <f t="shared" si="57"/>
        <v>1</v>
      </c>
      <c r="B3051" t="s">
        <v>552</v>
      </c>
      <c r="C3051">
        <v>45489</v>
      </c>
      <c r="D3051" s="2">
        <v>95</v>
      </c>
      <c r="E3051" s="1">
        <v>42886</v>
      </c>
      <c r="F3051" t="str">
        <f>"201706062710"</f>
        <v>201706062710</v>
      </c>
      <c r="G3051" t="str">
        <f>""</f>
        <v/>
      </c>
      <c r="H3051" s="2">
        <v>95</v>
      </c>
      <c r="I3051" t="str">
        <f>"FIRST NATIONAL BANK OF GIDDING"</f>
        <v>FIRST NATIONAL BANK OF GIDDING</v>
      </c>
    </row>
    <row r="3052" spans="1:9" x14ac:dyDescent="0.3">
      <c r="A3052" t="str">
        <f t="shared" si="57"/>
        <v>1</v>
      </c>
      <c r="B3052" t="s">
        <v>553</v>
      </c>
      <c r="C3052">
        <v>45490</v>
      </c>
      <c r="D3052" s="2">
        <v>40</v>
      </c>
      <c r="E3052" s="1">
        <v>42886</v>
      </c>
      <c r="F3052" t="str">
        <f>"201706062711"</f>
        <v>201706062711</v>
      </c>
      <c r="G3052" t="str">
        <f>"Miscellaneous"</f>
        <v>Miscellaneous</v>
      </c>
      <c r="H3052" s="2">
        <v>40</v>
      </c>
    </row>
    <row r="3053" spans="1:9" x14ac:dyDescent="0.3">
      <c r="A3053" t="str">
        <f t="shared" si="57"/>
        <v>1</v>
      </c>
      <c r="B3053" t="s">
        <v>554</v>
      </c>
      <c r="C3053">
        <v>45491</v>
      </c>
      <c r="D3053" s="2">
        <v>50</v>
      </c>
      <c r="E3053" s="1">
        <v>42886</v>
      </c>
      <c r="F3053" t="str">
        <f>"201706062712"</f>
        <v>201706062712</v>
      </c>
      <c r="G3053" t="str">
        <f>"Miscell"</f>
        <v>Miscell</v>
      </c>
      <c r="H3053" s="2">
        <v>50</v>
      </c>
      <c r="I3053" t="str">
        <f>"GOOD LIFE RANCH  LLC"</f>
        <v>GOOD LIFE RANCH  LLC</v>
      </c>
    </row>
    <row r="3054" spans="1:9" x14ac:dyDescent="0.3">
      <c r="A3054" t="str">
        <f t="shared" si="57"/>
        <v>1</v>
      </c>
      <c r="B3054" t="s">
        <v>555</v>
      </c>
      <c r="C3054">
        <v>45492</v>
      </c>
      <c r="D3054" s="2">
        <v>50</v>
      </c>
      <c r="E3054" s="1">
        <v>42886</v>
      </c>
      <c r="F3054" t="str">
        <f>"201706062713"</f>
        <v>201706062713</v>
      </c>
      <c r="G3054" t="str">
        <f>"CH"</f>
        <v>CH</v>
      </c>
      <c r="H3054" s="2">
        <v>50</v>
      </c>
      <c r="I3054" t="str">
        <f>"GREAT MIDWEST INS CO. ATTN: CH"</f>
        <v>GREAT MIDWEST INS CO. ATTN: CH</v>
      </c>
    </row>
    <row r="3055" spans="1:9" x14ac:dyDescent="0.3">
      <c r="A3055" t="str">
        <f t="shared" si="57"/>
        <v>1</v>
      </c>
      <c r="B3055" t="s">
        <v>556</v>
      </c>
      <c r="C3055">
        <v>45493</v>
      </c>
      <c r="D3055" s="2">
        <v>1550</v>
      </c>
      <c r="E3055" s="1">
        <v>42886</v>
      </c>
      <c r="F3055" t="str">
        <f>"201706062714"</f>
        <v>201706062714</v>
      </c>
      <c r="G3055" t="str">
        <f>"M"</f>
        <v>M</v>
      </c>
      <c r="H3055" s="2">
        <v>1550</v>
      </c>
      <c r="I3055" t="str">
        <f>"HHSC ARTS (MAIL CODE 1470)"</f>
        <v>HHSC ARTS (MAIL CODE 1470)</v>
      </c>
    </row>
    <row r="3056" spans="1:9" x14ac:dyDescent="0.3">
      <c r="A3056" t="str">
        <f t="shared" si="57"/>
        <v>1</v>
      </c>
      <c r="B3056" t="s">
        <v>557</v>
      </c>
      <c r="C3056">
        <v>45494</v>
      </c>
      <c r="D3056" s="2">
        <v>130</v>
      </c>
      <c r="E3056" s="1">
        <v>42886</v>
      </c>
      <c r="F3056" t="str">
        <f>"201706062715"</f>
        <v>201706062715</v>
      </c>
      <c r="G3056" t="str">
        <f>"Miscellaneous"</f>
        <v>Miscellaneous</v>
      </c>
      <c r="H3056" s="2">
        <v>130</v>
      </c>
    </row>
    <row r="3057" spans="1:9" x14ac:dyDescent="0.3">
      <c r="A3057" t="str">
        <f t="shared" si="57"/>
        <v>1</v>
      </c>
      <c r="B3057" t="s">
        <v>558</v>
      </c>
      <c r="C3057">
        <v>45495</v>
      </c>
      <c r="D3057" s="2">
        <v>60</v>
      </c>
      <c r="E3057" s="1">
        <v>42886</v>
      </c>
      <c r="F3057" t="str">
        <f>"201706062716"</f>
        <v>201706062716</v>
      </c>
      <c r="G3057" t="str">
        <f>"Miscellaneous"</f>
        <v>Miscellaneous</v>
      </c>
      <c r="H3057" s="2">
        <v>60</v>
      </c>
      <c r="I3057" t="str">
        <f>"HOTTOPIC.COM"</f>
        <v>HOTTOPIC.COM</v>
      </c>
    </row>
    <row r="3058" spans="1:9" x14ac:dyDescent="0.3">
      <c r="A3058" t="str">
        <f t="shared" si="57"/>
        <v>1</v>
      </c>
      <c r="B3058" t="s">
        <v>559</v>
      </c>
      <c r="C3058">
        <v>45496</v>
      </c>
      <c r="D3058" s="2">
        <v>87.3</v>
      </c>
      <c r="E3058" s="1">
        <v>42886</v>
      </c>
      <c r="F3058" t="str">
        <f>"201706062717"</f>
        <v>201706062717</v>
      </c>
      <c r="G3058" t="str">
        <f>"Misce"</f>
        <v>Misce</v>
      </c>
      <c r="H3058" s="2">
        <v>87.3</v>
      </c>
      <c r="I3058" t="str">
        <f>"HUNAN TIGER RESTAURANT"</f>
        <v>HUNAN TIGER RESTAURANT</v>
      </c>
    </row>
    <row r="3059" spans="1:9" x14ac:dyDescent="0.3">
      <c r="A3059" t="str">
        <f t="shared" si="57"/>
        <v>1</v>
      </c>
      <c r="B3059" t="s">
        <v>560</v>
      </c>
      <c r="C3059">
        <v>45497</v>
      </c>
      <c r="D3059" s="2">
        <v>50</v>
      </c>
      <c r="E3059" s="1">
        <v>42886</v>
      </c>
      <c r="F3059" t="str">
        <f>"201706062718"</f>
        <v>201706062718</v>
      </c>
      <c r="G3059" t="str">
        <f>"Miscella"</f>
        <v>Miscella</v>
      </c>
      <c r="H3059" s="2">
        <v>50</v>
      </c>
      <c r="I3059" t="str">
        <f>"INDEPENDENCE COFFEE"</f>
        <v>INDEPENDENCE COFFEE</v>
      </c>
    </row>
    <row r="3060" spans="1:9" x14ac:dyDescent="0.3">
      <c r="A3060" t="str">
        <f t="shared" si="57"/>
        <v>1</v>
      </c>
      <c r="B3060" t="s">
        <v>561</v>
      </c>
      <c r="C3060">
        <v>45498</v>
      </c>
      <c r="D3060" s="2">
        <v>200</v>
      </c>
      <c r="E3060" s="1">
        <v>42886</v>
      </c>
      <c r="F3060" t="str">
        <f>"201706062719"</f>
        <v>201706062719</v>
      </c>
      <c r="G3060" t="str">
        <f>"Miscellaneous"</f>
        <v>Miscellaneous</v>
      </c>
      <c r="H3060" s="2">
        <v>200</v>
      </c>
      <c r="I3060" t="str">
        <f>"ISIAH FRANKLIN"</f>
        <v>ISIAH FRANKLIN</v>
      </c>
    </row>
    <row r="3061" spans="1:9" x14ac:dyDescent="0.3">
      <c r="A3061" t="str">
        <f t="shared" si="57"/>
        <v>1</v>
      </c>
      <c r="B3061" t="s">
        <v>562</v>
      </c>
      <c r="C3061">
        <v>45499</v>
      </c>
      <c r="D3061" s="2">
        <v>400</v>
      </c>
      <c r="E3061" s="1">
        <v>42886</v>
      </c>
      <c r="F3061" t="str">
        <f>"201706062720"</f>
        <v>201706062720</v>
      </c>
      <c r="G3061" t="str">
        <f>"Miscellaneous"</f>
        <v>Miscellaneous</v>
      </c>
      <c r="H3061" s="2">
        <v>400</v>
      </c>
      <c r="I3061" t="str">
        <f>"JB HUNT"</f>
        <v>JB HUNT</v>
      </c>
    </row>
    <row r="3062" spans="1:9" x14ac:dyDescent="0.3">
      <c r="A3062" t="str">
        <f t="shared" si="57"/>
        <v>1</v>
      </c>
      <c r="B3062" t="s">
        <v>563</v>
      </c>
      <c r="C3062">
        <v>45500</v>
      </c>
      <c r="D3062" s="2">
        <v>250</v>
      </c>
      <c r="E3062" s="1">
        <v>42886</v>
      </c>
      <c r="F3062" t="str">
        <f>"201706062721"</f>
        <v>201706062721</v>
      </c>
      <c r="G3062" t="str">
        <f>"Miscellaneous"</f>
        <v>Miscellaneous</v>
      </c>
      <c r="H3062" s="2">
        <v>250</v>
      </c>
      <c r="I3062" t="str">
        <f>"JEFF SALZGEBER"</f>
        <v>JEFF SALZGEBER</v>
      </c>
    </row>
    <row r="3063" spans="1:9" x14ac:dyDescent="0.3">
      <c r="A3063" t="str">
        <f t="shared" si="57"/>
        <v>1</v>
      </c>
      <c r="B3063" t="s">
        <v>564</v>
      </c>
      <c r="C3063">
        <v>45501</v>
      </c>
      <c r="D3063" s="2">
        <v>190</v>
      </c>
      <c r="E3063" s="1">
        <v>42886</v>
      </c>
      <c r="F3063" t="str">
        <f>"201706062722"</f>
        <v>201706062722</v>
      </c>
      <c r="G3063" t="str">
        <f>"Miscellaneous"</f>
        <v>Miscellaneous</v>
      </c>
      <c r="H3063" s="2">
        <v>190</v>
      </c>
      <c r="I3063" t="str">
        <f>"JEFF TROUT"</f>
        <v>JEFF TROUT</v>
      </c>
    </row>
    <row r="3064" spans="1:9" x14ac:dyDescent="0.3">
      <c r="A3064" t="str">
        <f t="shared" si="57"/>
        <v>1</v>
      </c>
      <c r="B3064" t="s">
        <v>565</v>
      </c>
      <c r="C3064">
        <v>45502</v>
      </c>
      <c r="D3064" s="2">
        <v>300</v>
      </c>
      <c r="E3064" s="1">
        <v>42886</v>
      </c>
      <c r="F3064" t="str">
        <f>"201706062723"</f>
        <v>201706062723</v>
      </c>
      <c r="G3064" t="str">
        <f>""</f>
        <v/>
      </c>
      <c r="H3064" s="2">
        <v>300</v>
      </c>
      <c r="I3064" t="str">
        <f>"JERRY EDMOND FAMILY WORSHIP CE"</f>
        <v>JERRY EDMOND FAMILY WORSHIP CE</v>
      </c>
    </row>
    <row r="3065" spans="1:9" x14ac:dyDescent="0.3">
      <c r="A3065" t="str">
        <f t="shared" si="57"/>
        <v>1</v>
      </c>
      <c r="B3065" t="s">
        <v>566</v>
      </c>
      <c r="C3065">
        <v>45503</v>
      </c>
      <c r="D3065" s="2">
        <v>7181.5</v>
      </c>
      <c r="E3065" s="1">
        <v>42886</v>
      </c>
      <c r="F3065" t="str">
        <f>"201706062724"</f>
        <v>201706062724</v>
      </c>
      <c r="G3065" t="str">
        <f>"Miscellaneous"</f>
        <v>Miscellaneous</v>
      </c>
      <c r="H3065" s="2">
        <v>7181.5</v>
      </c>
      <c r="I3065" t="str">
        <f>"JOE GRADY TUCK"</f>
        <v>JOE GRADY TUCK</v>
      </c>
    </row>
    <row r="3066" spans="1:9" x14ac:dyDescent="0.3">
      <c r="A3066" t="str">
        <f t="shared" si="57"/>
        <v>1</v>
      </c>
      <c r="B3066" t="s">
        <v>567</v>
      </c>
      <c r="C3066">
        <v>45504</v>
      </c>
      <c r="D3066" s="2">
        <v>130</v>
      </c>
      <c r="E3066" s="1">
        <v>42886</v>
      </c>
      <c r="F3066" t="str">
        <f>"201706062725"</f>
        <v>201706062725</v>
      </c>
      <c r="G3066" t="str">
        <f>"Miscellaneo"</f>
        <v>Miscellaneo</v>
      </c>
      <c r="H3066" s="2">
        <v>130</v>
      </c>
      <c r="I3066" t="str">
        <f>"KENISTA HOLLOWAY"</f>
        <v>KENISTA HOLLOWAY</v>
      </c>
    </row>
    <row r="3067" spans="1:9" x14ac:dyDescent="0.3">
      <c r="A3067" t="str">
        <f t="shared" si="57"/>
        <v>1</v>
      </c>
      <c r="B3067" t="s">
        <v>568</v>
      </c>
      <c r="C3067">
        <v>45505</v>
      </c>
      <c r="D3067" s="2">
        <v>20</v>
      </c>
      <c r="E3067" s="1">
        <v>42886</v>
      </c>
      <c r="F3067" t="str">
        <f>"201706062726"</f>
        <v>201706062726</v>
      </c>
      <c r="G3067" t="str">
        <f>"Miscellaneous"</f>
        <v>Miscellaneous</v>
      </c>
      <c r="H3067" s="2">
        <v>20</v>
      </c>
    </row>
    <row r="3068" spans="1:9" x14ac:dyDescent="0.3">
      <c r="A3068" t="str">
        <f t="shared" si="57"/>
        <v>1</v>
      </c>
      <c r="B3068" t="s">
        <v>569</v>
      </c>
      <c r="C3068">
        <v>45506</v>
      </c>
      <c r="D3068" s="2">
        <v>110</v>
      </c>
      <c r="E3068" s="1">
        <v>42886</v>
      </c>
      <c r="F3068" t="str">
        <f>"201706062727"</f>
        <v>201706062727</v>
      </c>
      <c r="G3068" t="str">
        <f>"Miscellaneo"</f>
        <v>Miscellaneo</v>
      </c>
      <c r="H3068" s="2">
        <v>110</v>
      </c>
      <c r="I3068" t="str">
        <f>"KORMEX FOODS INC"</f>
        <v>KORMEX FOODS INC</v>
      </c>
    </row>
    <row r="3069" spans="1:9" x14ac:dyDescent="0.3">
      <c r="A3069" t="str">
        <f t="shared" si="57"/>
        <v>1</v>
      </c>
      <c r="B3069" t="s">
        <v>570</v>
      </c>
      <c r="C3069">
        <v>45507</v>
      </c>
      <c r="D3069" s="2">
        <v>50</v>
      </c>
      <c r="E3069" s="1">
        <v>42886</v>
      </c>
      <c r="F3069" t="str">
        <f>"201706062728"</f>
        <v>201706062728</v>
      </c>
      <c r="G3069" t="str">
        <f>"Miscellaneous"</f>
        <v>Miscellaneous</v>
      </c>
      <c r="H3069" s="2">
        <v>50</v>
      </c>
      <c r="I3069" t="str">
        <f>"KORTNEY BELL"</f>
        <v>KORTNEY BELL</v>
      </c>
    </row>
    <row r="3070" spans="1:9" x14ac:dyDescent="0.3">
      <c r="A3070" t="str">
        <f t="shared" si="57"/>
        <v>1</v>
      </c>
      <c r="B3070" t="s">
        <v>571</v>
      </c>
      <c r="C3070">
        <v>45508</v>
      </c>
      <c r="D3070" s="2">
        <v>38.36</v>
      </c>
      <c r="E3070" s="1">
        <v>42886</v>
      </c>
      <c r="F3070" t="str">
        <f>"201706062729"</f>
        <v>201706062729</v>
      </c>
      <c r="G3070" t="str">
        <f>""</f>
        <v/>
      </c>
      <c r="H3070" s="2">
        <v>38.36</v>
      </c>
      <c r="I3070" t="str">
        <f>"KARIMBHAI N. MANASIYA/KWIK PAY"</f>
        <v>KARIMBHAI N. MANASIYA/KWIK PAY</v>
      </c>
    </row>
    <row r="3071" spans="1:9" x14ac:dyDescent="0.3">
      <c r="A3071" t="str">
        <f t="shared" si="57"/>
        <v>1</v>
      </c>
      <c r="B3071" t="s">
        <v>572</v>
      </c>
      <c r="C3071">
        <v>45509</v>
      </c>
      <c r="D3071" s="2">
        <v>20</v>
      </c>
      <c r="E3071" s="1">
        <v>42886</v>
      </c>
      <c r="F3071" t="str">
        <f>"201706062730"</f>
        <v>201706062730</v>
      </c>
      <c r="G3071" t="str">
        <f>"Miscellaneous"</f>
        <v>Miscellaneous</v>
      </c>
      <c r="H3071" s="2">
        <v>20</v>
      </c>
      <c r="I3071" t="str">
        <f>"LARRY WILSON"</f>
        <v>LARRY WILSON</v>
      </c>
    </row>
    <row r="3072" spans="1:9" x14ac:dyDescent="0.3">
      <c r="A3072" t="str">
        <f t="shared" si="57"/>
        <v>1</v>
      </c>
      <c r="B3072" t="s">
        <v>573</v>
      </c>
      <c r="C3072">
        <v>45510</v>
      </c>
      <c r="D3072" s="2">
        <v>155.07</v>
      </c>
      <c r="E3072" s="1">
        <v>42886</v>
      </c>
      <c r="F3072" t="str">
        <f>"201706062731"</f>
        <v>201706062731</v>
      </c>
      <c r="G3072" t="str">
        <f>"Miscel"</f>
        <v>Miscel</v>
      </c>
      <c r="H3072" s="2">
        <v>155.07</v>
      </c>
      <c r="I3072" t="str">
        <f>"LOWE'S COMPANIES  INC"</f>
        <v>LOWE'S COMPANIES  INC</v>
      </c>
    </row>
    <row r="3073" spans="1:9" x14ac:dyDescent="0.3">
      <c r="A3073" t="str">
        <f t="shared" si="57"/>
        <v>1</v>
      </c>
      <c r="B3073" t="s">
        <v>574</v>
      </c>
      <c r="C3073">
        <v>45511</v>
      </c>
      <c r="D3073" s="2">
        <v>140</v>
      </c>
      <c r="E3073" s="1">
        <v>42886</v>
      </c>
      <c r="F3073" t="str">
        <f>"201706062732"</f>
        <v>201706062732</v>
      </c>
      <c r="G3073" t="str">
        <f>"Miscellaneous"</f>
        <v>Miscellaneous</v>
      </c>
      <c r="H3073" s="2">
        <v>140</v>
      </c>
      <c r="I3073" t="str">
        <f>"MIKE GUTHRIE"</f>
        <v>MIKE GUTHRIE</v>
      </c>
    </row>
    <row r="3074" spans="1:9" x14ac:dyDescent="0.3">
      <c r="A3074" t="str">
        <f t="shared" si="57"/>
        <v>1</v>
      </c>
      <c r="B3074" t="s">
        <v>575</v>
      </c>
      <c r="C3074">
        <v>45512</v>
      </c>
      <c r="D3074" s="2">
        <v>200</v>
      </c>
      <c r="E3074" s="1">
        <v>42886</v>
      </c>
      <c r="F3074" t="str">
        <f>"201706062733"</f>
        <v>201706062733</v>
      </c>
      <c r="G3074" t="str">
        <f>"Miscellaneous"</f>
        <v>Miscellaneous</v>
      </c>
      <c r="H3074" s="2">
        <v>200</v>
      </c>
      <c r="I3074" t="str">
        <f>"MIKE HORNE"</f>
        <v>MIKE HORNE</v>
      </c>
    </row>
    <row r="3075" spans="1:9" x14ac:dyDescent="0.3">
      <c r="A3075" t="str">
        <f t="shared" si="57"/>
        <v>1</v>
      </c>
      <c r="B3075" t="s">
        <v>576</v>
      </c>
      <c r="C3075">
        <v>45513</v>
      </c>
      <c r="D3075" s="2">
        <v>70</v>
      </c>
      <c r="E3075" s="1">
        <v>42886</v>
      </c>
      <c r="F3075" t="str">
        <f>"201706062734"</f>
        <v>201706062734</v>
      </c>
      <c r="G3075" t="str">
        <f>"Miscellaneous"</f>
        <v>Miscellaneous</v>
      </c>
      <c r="H3075" s="2">
        <v>70</v>
      </c>
      <c r="I3075" t="str">
        <f>"MURPHY USA"</f>
        <v>MURPHY USA</v>
      </c>
    </row>
    <row r="3076" spans="1:9" x14ac:dyDescent="0.3">
      <c r="A3076" t="str">
        <f t="shared" si="57"/>
        <v>1</v>
      </c>
      <c r="B3076" t="s">
        <v>577</v>
      </c>
      <c r="C3076">
        <v>45514</v>
      </c>
      <c r="D3076" s="2">
        <v>300</v>
      </c>
      <c r="E3076" s="1">
        <v>42886</v>
      </c>
      <c r="F3076" t="str">
        <f>"201706062735"</f>
        <v>201706062735</v>
      </c>
      <c r="G3076" t="str">
        <f>"Miscel"</f>
        <v>Miscel</v>
      </c>
      <c r="H3076" s="2">
        <v>300</v>
      </c>
      <c r="I3076" t="str">
        <f>"PETERSON FAMILY FOODS"</f>
        <v>PETERSON FAMILY FOODS</v>
      </c>
    </row>
    <row r="3077" spans="1:9" x14ac:dyDescent="0.3">
      <c r="A3077" t="str">
        <f t="shared" si="57"/>
        <v>1</v>
      </c>
      <c r="B3077" t="s">
        <v>578</v>
      </c>
      <c r="C3077">
        <v>45515</v>
      </c>
      <c r="D3077" s="2">
        <v>400.25</v>
      </c>
      <c r="E3077" s="1">
        <v>42886</v>
      </c>
      <c r="F3077" t="str">
        <f>"201706062736"</f>
        <v>201706062736</v>
      </c>
      <c r="G3077" t="str">
        <f>"Miscellaneous"</f>
        <v>Miscellaneous</v>
      </c>
      <c r="H3077" s="2">
        <v>400.25</v>
      </c>
      <c r="I3077" t="str">
        <f>"ROBERT FISHER"</f>
        <v>ROBERT FISHER</v>
      </c>
    </row>
    <row r="3078" spans="1:9" x14ac:dyDescent="0.3">
      <c r="A3078" t="str">
        <f t="shared" si="57"/>
        <v>1</v>
      </c>
      <c r="B3078" t="s">
        <v>579</v>
      </c>
      <c r="C3078">
        <v>45516</v>
      </c>
      <c r="D3078" s="2">
        <v>181.92</v>
      </c>
      <c r="E3078" s="1">
        <v>42886</v>
      </c>
      <c r="F3078" t="str">
        <f>"201706062737"</f>
        <v>201706062737</v>
      </c>
      <c r="G3078" t="str">
        <f>"Miscellaneo"</f>
        <v>Miscellaneo</v>
      </c>
      <c r="H3078" s="2">
        <v>181.92</v>
      </c>
      <c r="I3078" t="str">
        <f>"ROBERTSON DENTAL"</f>
        <v>ROBERTSON DENTAL</v>
      </c>
    </row>
    <row r="3079" spans="1:9" x14ac:dyDescent="0.3">
      <c r="A3079" t="str">
        <f t="shared" ref="A3079:A3110" si="58">"1"</f>
        <v>1</v>
      </c>
      <c r="B3079" t="s">
        <v>580</v>
      </c>
      <c r="C3079">
        <v>45517</v>
      </c>
      <c r="D3079" s="2">
        <v>50</v>
      </c>
      <c r="E3079" s="1">
        <v>42886</v>
      </c>
      <c r="F3079" t="str">
        <f>"201706062738"</f>
        <v>201706062738</v>
      </c>
      <c r="G3079" t="str">
        <f>"Miscellaneous"</f>
        <v>Miscellaneous</v>
      </c>
      <c r="H3079" s="2">
        <v>50</v>
      </c>
      <c r="I3079" t="str">
        <f>"ROBYN GOODSON"</f>
        <v>ROBYN GOODSON</v>
      </c>
    </row>
    <row r="3080" spans="1:9" x14ac:dyDescent="0.3">
      <c r="A3080" t="str">
        <f t="shared" si="58"/>
        <v>1</v>
      </c>
      <c r="B3080" t="s">
        <v>581</v>
      </c>
      <c r="C3080">
        <v>45518</v>
      </c>
      <c r="D3080" s="2">
        <v>10</v>
      </c>
      <c r="E3080" s="1">
        <v>42886</v>
      </c>
      <c r="F3080" t="str">
        <f>"201706062739"</f>
        <v>201706062739</v>
      </c>
      <c r="G3080" t="str">
        <f>"Miscellaneous"</f>
        <v>Miscellaneous</v>
      </c>
      <c r="H3080" s="2">
        <v>10</v>
      </c>
      <c r="I3080" t="str">
        <f>"SANDRA MILLER"</f>
        <v>SANDRA MILLER</v>
      </c>
    </row>
    <row r="3081" spans="1:9" x14ac:dyDescent="0.3">
      <c r="A3081" t="str">
        <f t="shared" si="58"/>
        <v>1</v>
      </c>
      <c r="B3081" t="s">
        <v>582</v>
      </c>
      <c r="C3081">
        <v>45519</v>
      </c>
      <c r="D3081" s="2">
        <v>770</v>
      </c>
      <c r="E3081" s="1">
        <v>42886</v>
      </c>
      <c r="F3081" t="str">
        <f>"201706062740"</f>
        <v>201706062740</v>
      </c>
      <c r="G3081" t="str">
        <f>"Miscellaneous"</f>
        <v>Miscellaneous</v>
      </c>
      <c r="H3081" s="2">
        <v>770</v>
      </c>
      <c r="I3081" t="str">
        <f>"SHARON KIEKE"</f>
        <v>SHARON KIEKE</v>
      </c>
    </row>
    <row r="3082" spans="1:9" x14ac:dyDescent="0.3">
      <c r="A3082" t="str">
        <f t="shared" si="58"/>
        <v>1</v>
      </c>
      <c r="B3082" t="s">
        <v>583</v>
      </c>
      <c r="C3082">
        <v>45520</v>
      </c>
      <c r="D3082" s="2">
        <v>171</v>
      </c>
      <c r="E3082" s="1">
        <v>42886</v>
      </c>
      <c r="F3082" t="str">
        <f>"201706062741"</f>
        <v>201706062741</v>
      </c>
      <c r="G3082" t="str">
        <f>"Miscellaneo"</f>
        <v>Miscellaneo</v>
      </c>
      <c r="H3082" s="2">
        <v>171</v>
      </c>
      <c r="I3082" t="str">
        <f>"SHERWIN SIEGMUND"</f>
        <v>SHERWIN SIEGMUND</v>
      </c>
    </row>
    <row r="3083" spans="1:9" x14ac:dyDescent="0.3">
      <c r="A3083" t="str">
        <f t="shared" si="58"/>
        <v>1</v>
      </c>
      <c r="B3083" t="s">
        <v>584</v>
      </c>
      <c r="C3083">
        <v>45521</v>
      </c>
      <c r="D3083" s="2">
        <v>670</v>
      </c>
      <c r="E3083" s="1">
        <v>42886</v>
      </c>
      <c r="F3083" t="str">
        <f>"201706062742"</f>
        <v>201706062742</v>
      </c>
      <c r="G3083" t="str">
        <f>""</f>
        <v/>
      </c>
      <c r="H3083" s="2">
        <v>670</v>
      </c>
      <c r="I3083" t="str">
        <f>"SMITHVILLE HOUSING AUTHORITY"</f>
        <v>SMITHVILLE HOUSING AUTHORITY</v>
      </c>
    </row>
    <row r="3084" spans="1:9" x14ac:dyDescent="0.3">
      <c r="A3084" t="str">
        <f t="shared" si="58"/>
        <v>1</v>
      </c>
      <c r="B3084" t="s">
        <v>585</v>
      </c>
      <c r="C3084">
        <v>45522</v>
      </c>
      <c r="D3084" s="2">
        <v>150</v>
      </c>
      <c r="E3084" s="1">
        <v>42886</v>
      </c>
      <c r="F3084" t="str">
        <f>"201706062743"</f>
        <v>201706062743</v>
      </c>
      <c r="G3084" t="str">
        <f>"Miscel"</f>
        <v>Miscel</v>
      </c>
      <c r="H3084" s="2">
        <v>150</v>
      </c>
      <c r="I3084" t="str">
        <f>"SPEEDY STOP CORPORATE"</f>
        <v>SPEEDY STOP CORPORATE</v>
      </c>
    </row>
    <row r="3085" spans="1:9" x14ac:dyDescent="0.3">
      <c r="A3085" t="str">
        <f t="shared" si="58"/>
        <v>1</v>
      </c>
      <c r="B3085" t="s">
        <v>586</v>
      </c>
      <c r="C3085">
        <v>45523</v>
      </c>
      <c r="D3085" s="2">
        <v>208</v>
      </c>
      <c r="E3085" s="1">
        <v>42886</v>
      </c>
      <c r="F3085" t="str">
        <f>"201706062744"</f>
        <v>201706062744</v>
      </c>
      <c r="G3085" t="str">
        <f>""</f>
        <v/>
      </c>
      <c r="H3085" s="2">
        <v>208</v>
      </c>
      <c r="I3085" t="str">
        <f>"ST. MARGRET'S CATHOLIC CHURCH"</f>
        <v>ST. MARGRET'S CATHOLIC CHURCH</v>
      </c>
    </row>
    <row r="3086" spans="1:9" x14ac:dyDescent="0.3">
      <c r="A3086" t="str">
        <f t="shared" si="58"/>
        <v>1</v>
      </c>
      <c r="B3086" t="s">
        <v>587</v>
      </c>
      <c r="C3086">
        <v>45524</v>
      </c>
      <c r="D3086" s="2">
        <v>620</v>
      </c>
      <c r="E3086" s="1">
        <v>42886</v>
      </c>
      <c r="F3086" t="str">
        <f>"201706062745"</f>
        <v>201706062745</v>
      </c>
      <c r="G3086" t="str">
        <f>"Miscellaneo"</f>
        <v>Miscellaneo</v>
      </c>
      <c r="H3086" s="2">
        <v>620</v>
      </c>
      <c r="I3086" t="str">
        <f>"STATE FARM LLOYD"</f>
        <v>STATE FARM LLOYD</v>
      </c>
    </row>
    <row r="3087" spans="1:9" x14ac:dyDescent="0.3">
      <c r="A3087" t="str">
        <f t="shared" si="58"/>
        <v>1</v>
      </c>
      <c r="B3087" t="s">
        <v>588</v>
      </c>
      <c r="C3087">
        <v>45525</v>
      </c>
      <c r="D3087" s="2">
        <v>100</v>
      </c>
      <c r="E3087" s="1">
        <v>42886</v>
      </c>
      <c r="F3087" t="str">
        <f>"201706062746"</f>
        <v>201706062746</v>
      </c>
      <c r="G3087" t="str">
        <f>"Miscellaneous"</f>
        <v>Miscellaneous</v>
      </c>
      <c r="H3087" s="2">
        <v>100</v>
      </c>
      <c r="I3087" t="str">
        <f>"STEVEN GOODALE"</f>
        <v>STEVEN GOODALE</v>
      </c>
    </row>
    <row r="3088" spans="1:9" x14ac:dyDescent="0.3">
      <c r="A3088" t="str">
        <f t="shared" si="58"/>
        <v>1</v>
      </c>
      <c r="B3088" t="s">
        <v>589</v>
      </c>
      <c r="C3088">
        <v>45526</v>
      </c>
      <c r="D3088" s="2">
        <v>60</v>
      </c>
      <c r="E3088" s="1">
        <v>42886</v>
      </c>
      <c r="F3088" t="str">
        <f>"201706062747"</f>
        <v>201706062747</v>
      </c>
      <c r="G3088" t="str">
        <f>"Miscella"</f>
        <v>Miscella</v>
      </c>
      <c r="H3088" s="2">
        <v>60</v>
      </c>
      <c r="I3088" t="str">
        <f>"STEVEN WAYNE MEDACK"</f>
        <v>STEVEN WAYNE MEDACK</v>
      </c>
    </row>
    <row r="3089" spans="1:9" x14ac:dyDescent="0.3">
      <c r="A3089" t="str">
        <f t="shared" si="58"/>
        <v>1</v>
      </c>
      <c r="B3089" t="s">
        <v>590</v>
      </c>
      <c r="C3089">
        <v>45527</v>
      </c>
      <c r="D3089" s="2">
        <v>100</v>
      </c>
      <c r="E3089" s="1">
        <v>42886</v>
      </c>
      <c r="F3089" t="str">
        <f>"201706062748"</f>
        <v>201706062748</v>
      </c>
      <c r="G3089" t="str">
        <f>"Miscellaneous"</f>
        <v>Miscellaneous</v>
      </c>
      <c r="H3089" s="2">
        <v>100</v>
      </c>
      <c r="I3089" t="str">
        <f>"SYLVIA DELEON"</f>
        <v>SYLVIA DELEON</v>
      </c>
    </row>
    <row r="3090" spans="1:9" x14ac:dyDescent="0.3">
      <c r="A3090" t="str">
        <f t="shared" si="58"/>
        <v>1</v>
      </c>
      <c r="B3090" t="s">
        <v>591</v>
      </c>
      <c r="C3090">
        <v>45528</v>
      </c>
      <c r="D3090" s="2">
        <v>53</v>
      </c>
      <c r="E3090" s="1">
        <v>42886</v>
      </c>
      <c r="F3090" t="str">
        <f>"201706062749"</f>
        <v>201706062749</v>
      </c>
      <c r="G3090" t="str">
        <f>""</f>
        <v/>
      </c>
      <c r="H3090" s="2">
        <v>53</v>
      </c>
      <c r="I3090" t="str">
        <f>"TEXAS DPS  RESTITUTION ACCOUNT"</f>
        <v>TEXAS DPS  RESTITUTION ACCOUNT</v>
      </c>
    </row>
    <row r="3091" spans="1:9" x14ac:dyDescent="0.3">
      <c r="A3091" t="str">
        <f t="shared" si="58"/>
        <v>1</v>
      </c>
      <c r="B3091" t="s">
        <v>435</v>
      </c>
      <c r="C3091">
        <v>45529</v>
      </c>
      <c r="D3091" s="2">
        <v>50</v>
      </c>
      <c r="E3091" s="1">
        <v>42886</v>
      </c>
      <c r="F3091" t="str">
        <f>"201706062750"</f>
        <v>201706062750</v>
      </c>
      <c r="G3091" t="str">
        <f>"Misce"</f>
        <v>Misce</v>
      </c>
      <c r="H3091" s="2">
        <v>50</v>
      </c>
      <c r="I3091" t="str">
        <f>"TEXAS MUNICIPAL LEAGUE"</f>
        <v>TEXAS MUNICIPAL LEAGUE</v>
      </c>
    </row>
    <row r="3092" spans="1:9" x14ac:dyDescent="0.3">
      <c r="A3092" t="str">
        <f t="shared" si="58"/>
        <v>1</v>
      </c>
      <c r="B3092" t="s">
        <v>592</v>
      </c>
      <c r="C3092">
        <v>45530</v>
      </c>
      <c r="D3092" s="2">
        <v>120</v>
      </c>
      <c r="E3092" s="1">
        <v>42886</v>
      </c>
      <c r="F3092" t="str">
        <f>"201706062751"</f>
        <v>201706062751</v>
      </c>
      <c r="G3092" t="str">
        <f>""</f>
        <v/>
      </c>
      <c r="H3092" s="2">
        <v>120</v>
      </c>
      <c r="I3092" t="str">
        <f>"TEXAS PARKS AND WILDLIFE C/O S"</f>
        <v>TEXAS PARKS AND WILDLIFE C/O S</v>
      </c>
    </row>
    <row r="3093" spans="1:9" x14ac:dyDescent="0.3">
      <c r="A3093" t="str">
        <f t="shared" si="58"/>
        <v>1</v>
      </c>
      <c r="B3093" t="s">
        <v>593</v>
      </c>
      <c r="C3093">
        <v>45531</v>
      </c>
      <c r="D3093" s="2">
        <v>70</v>
      </c>
      <c r="E3093" s="1">
        <v>42886</v>
      </c>
      <c r="F3093" t="str">
        <f>"201706062752"</f>
        <v>201706062752</v>
      </c>
      <c r="G3093" t="str">
        <f>"Miscellaneous"</f>
        <v>Miscellaneous</v>
      </c>
      <c r="H3093" s="2">
        <v>70</v>
      </c>
      <c r="I3093" t="str">
        <f>"TOOTSIE'S"</f>
        <v>TOOTSIE'S</v>
      </c>
    </row>
    <row r="3094" spans="1:9" x14ac:dyDescent="0.3">
      <c r="A3094" t="str">
        <f t="shared" si="58"/>
        <v>1</v>
      </c>
      <c r="B3094" t="s">
        <v>594</v>
      </c>
      <c r="C3094">
        <v>45532</v>
      </c>
      <c r="D3094" s="2">
        <v>60</v>
      </c>
      <c r="E3094" s="1">
        <v>42886</v>
      </c>
      <c r="F3094" t="str">
        <f>"201706062753"</f>
        <v>201706062753</v>
      </c>
      <c r="G3094" t="str">
        <f>"Miscellan"</f>
        <v>Miscellan</v>
      </c>
      <c r="H3094" s="2">
        <v>60</v>
      </c>
      <c r="I3094" t="str">
        <f>"TRACY JOSEPH ISELT"</f>
        <v>TRACY JOSEPH ISELT</v>
      </c>
    </row>
    <row r="3095" spans="1:9" x14ac:dyDescent="0.3">
      <c r="A3095" t="str">
        <f t="shared" si="58"/>
        <v>1</v>
      </c>
      <c r="B3095" t="s">
        <v>595</v>
      </c>
      <c r="C3095">
        <v>45533</v>
      </c>
      <c r="D3095" s="2">
        <v>300</v>
      </c>
      <c r="E3095" s="1">
        <v>42886</v>
      </c>
      <c r="F3095" t="str">
        <f>"201706062754"</f>
        <v>201706062754</v>
      </c>
      <c r="G3095" t="str">
        <f>""</f>
        <v/>
      </c>
      <c r="H3095" s="2">
        <v>300</v>
      </c>
      <c r="I3095" t="str">
        <f>"TX ASSOC OF COUNTIES RISK MANA"</f>
        <v>TX ASSOC OF COUNTIES RISK MANA</v>
      </c>
    </row>
    <row r="3096" spans="1:9" x14ac:dyDescent="0.3">
      <c r="A3096" t="str">
        <f t="shared" si="58"/>
        <v>1</v>
      </c>
      <c r="B3096" t="s">
        <v>596</v>
      </c>
      <c r="C3096">
        <v>45534</v>
      </c>
      <c r="D3096" s="2">
        <v>160</v>
      </c>
      <c r="E3096" s="1">
        <v>42886</v>
      </c>
      <c r="F3096" t="str">
        <f>"201706062755"</f>
        <v>201706062755</v>
      </c>
      <c r="G3096" t="str">
        <f>"Miscellaneous"</f>
        <v>Miscellaneous</v>
      </c>
      <c r="H3096" s="2">
        <v>160</v>
      </c>
      <c r="I3096" t="str">
        <f>"TXDOT"</f>
        <v>TXDOT</v>
      </c>
    </row>
    <row r="3097" spans="1:9" x14ac:dyDescent="0.3">
      <c r="A3097" t="str">
        <f t="shared" si="58"/>
        <v>1</v>
      </c>
      <c r="B3097" t="s">
        <v>597</v>
      </c>
      <c r="C3097">
        <v>45535</v>
      </c>
      <c r="D3097" s="2">
        <v>100</v>
      </c>
      <c r="E3097" s="1">
        <v>42886</v>
      </c>
      <c r="F3097" t="str">
        <f>"201706062756"</f>
        <v>201706062756</v>
      </c>
      <c r="G3097" t="str">
        <f>""</f>
        <v/>
      </c>
      <c r="H3097" s="2">
        <v>100</v>
      </c>
      <c r="I3097" t="str">
        <f>"USAA CORP SECURITY INVESTIGATI"</f>
        <v>USAA CORP SECURITY INVESTIGATI</v>
      </c>
    </row>
    <row r="3098" spans="1:9" x14ac:dyDescent="0.3">
      <c r="A3098" t="str">
        <f t="shared" si="58"/>
        <v>1</v>
      </c>
      <c r="B3098" t="s">
        <v>598</v>
      </c>
      <c r="C3098">
        <v>45536</v>
      </c>
      <c r="D3098" s="2">
        <v>120</v>
      </c>
      <c r="E3098" s="1">
        <v>42886</v>
      </c>
      <c r="F3098" t="str">
        <f>"201706062757"</f>
        <v>201706062757</v>
      </c>
      <c r="G3098" t="str">
        <f>""</f>
        <v/>
      </c>
      <c r="H3098" s="2">
        <v>120</v>
      </c>
      <c r="I3098" t="str">
        <f>"USAA GENERAL INDEMNITY COMPANY"</f>
        <v>USAA GENERAL INDEMNITY COMPANY</v>
      </c>
    </row>
    <row r="3099" spans="1:9" x14ac:dyDescent="0.3">
      <c r="A3099" t="str">
        <f t="shared" si="58"/>
        <v>1</v>
      </c>
      <c r="B3099" t="s">
        <v>599</v>
      </c>
      <c r="C3099">
        <v>45537</v>
      </c>
      <c r="D3099" s="2">
        <v>635</v>
      </c>
      <c r="E3099" s="1">
        <v>42886</v>
      </c>
      <c r="F3099" t="str">
        <f>"201706062758"</f>
        <v>201706062758</v>
      </c>
      <c r="G3099" t="str">
        <f>""</f>
        <v/>
      </c>
      <c r="H3099" s="2">
        <v>635</v>
      </c>
      <c r="I3099" t="str">
        <f>"WAL-MART RESTITUTION RECOVERY"</f>
        <v>WAL-MART RESTITUTION RECOVERY</v>
      </c>
    </row>
    <row r="3100" spans="1:9" x14ac:dyDescent="0.3">
      <c r="A3100" t="str">
        <f t="shared" si="58"/>
        <v>1</v>
      </c>
      <c r="B3100" t="s">
        <v>600</v>
      </c>
      <c r="C3100">
        <v>45538</v>
      </c>
      <c r="D3100" s="2">
        <v>120</v>
      </c>
      <c r="E3100" s="1">
        <v>42886</v>
      </c>
      <c r="F3100" t="str">
        <f>"201706062759"</f>
        <v>201706062759</v>
      </c>
      <c r="G3100" t="str">
        <f>"Miscellan"</f>
        <v>Miscellan</v>
      </c>
      <c r="H3100" s="2">
        <v>120</v>
      </c>
      <c r="I3100" t="str">
        <f>"WILLETTA RODRIGUEZ"</f>
        <v>WILLETTA RODRIGUEZ</v>
      </c>
    </row>
    <row r="3101" spans="1:9" x14ac:dyDescent="0.3">
      <c r="A3101" t="str">
        <f t="shared" si="58"/>
        <v>1</v>
      </c>
      <c r="B3101" t="s">
        <v>601</v>
      </c>
      <c r="C3101">
        <v>45539</v>
      </c>
      <c r="D3101" s="2">
        <v>135</v>
      </c>
      <c r="E3101" s="1">
        <v>42886</v>
      </c>
      <c r="F3101" t="str">
        <f>"201706062760"</f>
        <v>201706062760</v>
      </c>
      <c r="G3101" t="str">
        <f>"Miscellaneous"</f>
        <v>Miscellaneous</v>
      </c>
      <c r="H3101" s="2">
        <v>135</v>
      </c>
      <c r="I3101" t="str">
        <f>"WILLIAM HOLLE"</f>
        <v>WILLIAM HOLLE</v>
      </c>
    </row>
    <row r="3102" spans="1:9" x14ac:dyDescent="0.3">
      <c r="A3102" t="str">
        <f t="shared" si="58"/>
        <v>1</v>
      </c>
      <c r="B3102" t="s">
        <v>602</v>
      </c>
      <c r="C3102">
        <v>45540</v>
      </c>
      <c r="D3102" s="2">
        <v>10</v>
      </c>
      <c r="E3102" s="1">
        <v>42886</v>
      </c>
      <c r="F3102" t="str">
        <f>"201706062761"</f>
        <v>201706062761</v>
      </c>
      <c r="G3102" t="str">
        <f>"Miscellaneous"</f>
        <v>Miscellaneous</v>
      </c>
      <c r="H3102" s="2">
        <v>10</v>
      </c>
    </row>
    <row r="3103" spans="1:9" x14ac:dyDescent="0.3">
      <c r="A3103" t="str">
        <f t="shared" si="58"/>
        <v>1</v>
      </c>
      <c r="B3103" t="s">
        <v>603</v>
      </c>
      <c r="C3103">
        <v>45541</v>
      </c>
      <c r="D3103" s="2">
        <v>30</v>
      </c>
      <c r="E3103" s="1">
        <v>42886</v>
      </c>
      <c r="F3103" t="str">
        <f>"201706062762"</f>
        <v>201706062762</v>
      </c>
      <c r="G3103" t="str">
        <f>"CAROL"</f>
        <v>CAROL</v>
      </c>
      <c r="H3103" s="2">
        <v>30</v>
      </c>
      <c r="I3103" t="str">
        <f>"MADD - EAST TEXAS  ATTN: CAROL"</f>
        <v>MADD - EAST TEXAS  ATTN: CAROL</v>
      </c>
    </row>
    <row r="3104" spans="1:9" x14ac:dyDescent="0.3">
      <c r="A3104" t="str">
        <f t="shared" si="58"/>
        <v>1</v>
      </c>
      <c r="B3104" t="s">
        <v>604</v>
      </c>
      <c r="C3104">
        <v>45542</v>
      </c>
      <c r="D3104" s="2">
        <v>130</v>
      </c>
      <c r="E3104" s="1">
        <v>42886</v>
      </c>
      <c r="F3104" t="str">
        <f>"201706062763"</f>
        <v>201706062763</v>
      </c>
      <c r="G3104" t="str">
        <f>"Mis"</f>
        <v>Mis</v>
      </c>
      <c r="H3104" s="2">
        <v>130</v>
      </c>
      <c r="I3104" t="str">
        <f>"BASTROP COUNTY TREASURER"</f>
        <v>BASTROP COUNTY TREASURER</v>
      </c>
    </row>
    <row r="3105" spans="1:9" x14ac:dyDescent="0.3">
      <c r="A3105" t="str">
        <f t="shared" si="58"/>
        <v>1</v>
      </c>
      <c r="B3105" t="s">
        <v>605</v>
      </c>
      <c r="C3105">
        <v>45543</v>
      </c>
      <c r="D3105" s="2">
        <v>5676</v>
      </c>
      <c r="E3105" s="1">
        <v>42886</v>
      </c>
      <c r="F3105" t="str">
        <f>"201706062764"</f>
        <v>201706062764</v>
      </c>
      <c r="G3105" t="str">
        <f>""</f>
        <v/>
      </c>
      <c r="H3105" s="2">
        <v>5676</v>
      </c>
      <c r="I3105" t="str">
        <f>"BURLESON COUNTY DISTRICT CLERK"</f>
        <v>BURLESON COUNTY DISTRICT CLERK</v>
      </c>
    </row>
    <row r="3106" spans="1:9" x14ac:dyDescent="0.3">
      <c r="A3106" t="str">
        <f t="shared" si="58"/>
        <v>1</v>
      </c>
      <c r="B3106" t="s">
        <v>606</v>
      </c>
      <c r="C3106">
        <v>45544</v>
      </c>
      <c r="D3106" s="2">
        <v>8061.07</v>
      </c>
      <c r="E3106" s="1">
        <v>42886</v>
      </c>
      <c r="F3106" t="str">
        <f>"201706062765"</f>
        <v>201706062765</v>
      </c>
      <c r="G3106" t="str">
        <f>""</f>
        <v/>
      </c>
      <c r="H3106" s="2">
        <v>8061.07</v>
      </c>
      <c r="I3106" t="str">
        <f>"WASHINGTON COUNTY DISTRICT CLE"</f>
        <v>WASHINGTON COUNTY DISTRICT CLE</v>
      </c>
    </row>
    <row r="3107" spans="1:9" x14ac:dyDescent="0.3">
      <c r="A3107" t="str">
        <f t="shared" si="58"/>
        <v>1</v>
      </c>
      <c r="B3107" t="s">
        <v>607</v>
      </c>
      <c r="C3107">
        <v>45545</v>
      </c>
      <c r="D3107" s="2">
        <v>550</v>
      </c>
      <c r="E3107" s="1">
        <v>42886</v>
      </c>
      <c r="F3107" t="str">
        <f>"201706062766"</f>
        <v>201706062766</v>
      </c>
      <c r="G3107" t="str">
        <f>""</f>
        <v/>
      </c>
      <c r="H3107" s="2">
        <v>550</v>
      </c>
      <c r="I3107" t="str">
        <f>"WASHINGTON CO CRIMESTOPPERS"</f>
        <v>WASHINGTON CO CRIMESTOPPERS</v>
      </c>
    </row>
    <row r="3108" spans="1:9" x14ac:dyDescent="0.3">
      <c r="A3108" t="str">
        <f t="shared" si="58"/>
        <v>1</v>
      </c>
      <c r="B3108" t="s">
        <v>608</v>
      </c>
      <c r="C3108">
        <v>45546</v>
      </c>
      <c r="D3108" s="2">
        <v>525</v>
      </c>
      <c r="E3108" s="1">
        <v>42886</v>
      </c>
      <c r="F3108" t="str">
        <f>"201706062767"</f>
        <v>201706062767</v>
      </c>
      <c r="G3108" t="str">
        <f>""</f>
        <v/>
      </c>
      <c r="H3108" s="2">
        <v>525</v>
      </c>
      <c r="I3108" t="str">
        <f>"BLUEBONNET AREA CRIMESTOPPERS"</f>
        <v>BLUEBONNET AREA CRIMESTOPPERS</v>
      </c>
    </row>
    <row r="3109" spans="1:9" x14ac:dyDescent="0.3">
      <c r="A3109" t="str">
        <f t="shared" si="58"/>
        <v>1</v>
      </c>
      <c r="B3109" t="s">
        <v>591</v>
      </c>
      <c r="C3109">
        <v>45547</v>
      </c>
      <c r="D3109" s="2">
        <v>972</v>
      </c>
      <c r="E3109" s="1">
        <v>42886</v>
      </c>
      <c r="F3109" t="str">
        <f>"201706062768"</f>
        <v>201706062768</v>
      </c>
      <c r="G3109" t="str">
        <f>""</f>
        <v/>
      </c>
      <c r="H3109" s="2">
        <v>972</v>
      </c>
      <c r="I3109" t="str">
        <f>"TEXAS DPS  RESTITUTION ACCOUNT"</f>
        <v>TEXAS DPS  RESTITUTION ACCOUNT</v>
      </c>
    </row>
    <row r="3110" spans="1:9" x14ac:dyDescent="0.3">
      <c r="A3110" t="str">
        <f t="shared" si="58"/>
        <v>1</v>
      </c>
      <c r="B3110" t="s">
        <v>609</v>
      </c>
      <c r="C3110">
        <v>45548</v>
      </c>
      <c r="D3110" s="2">
        <v>15</v>
      </c>
      <c r="E3110" s="1">
        <v>42886</v>
      </c>
      <c r="F3110" t="str">
        <f>"201706062769"</f>
        <v>201706062769</v>
      </c>
      <c r="G3110" t="str">
        <f>""</f>
        <v/>
      </c>
      <c r="H3110" s="2">
        <v>15</v>
      </c>
      <c r="I3110" t="str">
        <f>"WASHINGTON COUNTY TREASURER"</f>
        <v>WASHINGTON COUNTY TREASURER</v>
      </c>
    </row>
    <row r="3111" spans="1:9" x14ac:dyDescent="0.3">
      <c r="A3111" t="str">
        <f t="shared" ref="A3111:A3116" si="59">"1"</f>
        <v>1</v>
      </c>
      <c r="B3111" t="s">
        <v>610</v>
      </c>
      <c r="C3111">
        <v>45549</v>
      </c>
      <c r="D3111" s="2">
        <v>200</v>
      </c>
      <c r="E3111" s="1">
        <v>42886</v>
      </c>
      <c r="F3111" t="str">
        <f>"201706062770"</f>
        <v>201706062770</v>
      </c>
      <c r="G3111" t="str">
        <f>"Miscellane"</f>
        <v>Miscellane</v>
      </c>
      <c r="H3111" s="2">
        <v>200</v>
      </c>
      <c r="I3111" t="str">
        <f>"FOCUSING FAMILIES"</f>
        <v>FOCUSING FAMILIES</v>
      </c>
    </row>
    <row r="3112" spans="1:9" x14ac:dyDescent="0.3">
      <c r="A3112" t="str">
        <f t="shared" si="59"/>
        <v>1</v>
      </c>
      <c r="B3112" t="s">
        <v>606</v>
      </c>
      <c r="C3112">
        <v>45550</v>
      </c>
      <c r="D3112" s="2">
        <v>96</v>
      </c>
      <c r="E3112" s="1">
        <v>42886</v>
      </c>
      <c r="F3112" t="str">
        <f>"201706062771"</f>
        <v>201706062771</v>
      </c>
      <c r="G3112" t="str">
        <f>""</f>
        <v/>
      </c>
      <c r="H3112" s="2">
        <v>96</v>
      </c>
      <c r="I3112" t="str">
        <f>"WASHINGTON COUNTY DISTRICT CLE"</f>
        <v>WASHINGTON COUNTY DISTRICT CLE</v>
      </c>
    </row>
    <row r="3113" spans="1:9" x14ac:dyDescent="0.3">
      <c r="A3113" t="str">
        <f t="shared" si="59"/>
        <v>1</v>
      </c>
      <c r="B3113" t="s">
        <v>529</v>
      </c>
      <c r="C3113">
        <v>45551</v>
      </c>
      <c r="D3113" s="2">
        <v>20</v>
      </c>
      <c r="E3113" s="1">
        <v>42886</v>
      </c>
      <c r="F3113" t="str">
        <f>"201706062772"</f>
        <v>201706062772</v>
      </c>
      <c r="G3113" t="str">
        <f>"Mi"</f>
        <v>Mi</v>
      </c>
      <c r="H3113" s="2">
        <v>20</v>
      </c>
      <c r="I3113" t="str">
        <f>"BURLESON COUNTY TREASURER"</f>
        <v>BURLESON COUNTY TREASURER</v>
      </c>
    </row>
    <row r="3114" spans="1:9" x14ac:dyDescent="0.3">
      <c r="A3114" t="str">
        <f t="shared" si="59"/>
        <v>1</v>
      </c>
      <c r="B3114" t="s">
        <v>611</v>
      </c>
      <c r="C3114">
        <v>45552</v>
      </c>
      <c r="D3114" s="2">
        <v>36</v>
      </c>
      <c r="E3114" s="1">
        <v>42886</v>
      </c>
      <c r="F3114" t="str">
        <f>"201706062773"</f>
        <v>201706062773</v>
      </c>
      <c r="G3114" t="str">
        <f>"Miscel"</f>
        <v>Miscel</v>
      </c>
      <c r="H3114" s="2">
        <v>36</v>
      </c>
      <c r="I3114" t="str">
        <f>"ERICA MICHELLE WATSON"</f>
        <v>ERICA MICHELLE WATSON</v>
      </c>
    </row>
    <row r="3115" spans="1:9" x14ac:dyDescent="0.3">
      <c r="A3115" t="str">
        <f t="shared" si="59"/>
        <v>1</v>
      </c>
      <c r="B3115" t="s">
        <v>612</v>
      </c>
      <c r="C3115">
        <v>45553</v>
      </c>
      <c r="D3115" s="2">
        <v>105</v>
      </c>
      <c r="E3115" s="1">
        <v>42886</v>
      </c>
      <c r="F3115" t="str">
        <f>"201706062774"</f>
        <v>201706062774</v>
      </c>
      <c r="G3115" t="str">
        <f>"Miscellane"</f>
        <v>Miscellane</v>
      </c>
      <c r="H3115" s="2">
        <v>105</v>
      </c>
      <c r="I3115" t="str">
        <f>"JASON WAYNE STACY"</f>
        <v>JASON WAYNE STACY</v>
      </c>
    </row>
    <row r="3116" spans="1:9" x14ac:dyDescent="0.3">
      <c r="A3116" t="str">
        <f t="shared" si="59"/>
        <v>1</v>
      </c>
      <c r="B3116" t="s">
        <v>613</v>
      </c>
      <c r="C3116">
        <v>45554</v>
      </c>
      <c r="D3116" s="2">
        <v>42</v>
      </c>
      <c r="E3116" s="1">
        <v>42886</v>
      </c>
      <c r="F3116" t="str">
        <f>"201706062775"</f>
        <v>201706062775</v>
      </c>
      <c r="G3116" t="str">
        <f>""</f>
        <v/>
      </c>
      <c r="H3116" s="2">
        <v>42</v>
      </c>
      <c r="I3116" t="str">
        <f>"TEXAS STATE COMPTROLLER  UNCLA"</f>
        <v>TEXAS STATE COMPTROLLER  UNCLA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2018-05-01T19:26:36Z</dcterms:created>
  <dcterms:modified xsi:type="dcterms:W3CDTF">2018-05-01T19:26:39Z</dcterms:modified>
</cp:coreProperties>
</file>