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501" sheetId="1" r:id="rId1"/>
  </sheets>
  <calcPr calcId="145621"/>
</workbook>
</file>

<file path=xl/calcChain.xml><?xml version="1.0" encoding="utf-8"?>
<calcChain xmlns="http://schemas.openxmlformats.org/spreadsheetml/2006/main">
  <c r="D2969" i="1" l="1"/>
  <c r="A2" i="1" l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A28" i="1"/>
  <c r="F28" i="1"/>
  <c r="G28" i="1"/>
  <c r="A29" i="1"/>
  <c r="F29" i="1"/>
  <c r="G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F54" i="1"/>
  <c r="G54" i="1"/>
  <c r="I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A69" i="1"/>
  <c r="F69" i="1"/>
  <c r="G69" i="1"/>
  <c r="A70" i="1"/>
  <c r="F70" i="1"/>
  <c r="G70" i="1"/>
  <c r="I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F87" i="1"/>
  <c r="G87" i="1"/>
  <c r="I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H257" i="1"/>
  <c r="I257" i="1"/>
  <c r="A258" i="1"/>
  <c r="F258" i="1"/>
  <c r="G258" i="1"/>
  <c r="I258" i="1"/>
  <c r="A259" i="1"/>
  <c r="H259" i="1"/>
  <c r="I259" i="1"/>
  <c r="A260" i="1"/>
  <c r="H260" i="1"/>
  <c r="I260" i="1"/>
  <c r="A261" i="1"/>
  <c r="H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H269" i="1"/>
  <c r="I269" i="1"/>
  <c r="A270" i="1"/>
  <c r="H270" i="1"/>
  <c r="I270" i="1"/>
  <c r="A271" i="1"/>
  <c r="H271" i="1"/>
  <c r="I271" i="1"/>
  <c r="A272" i="1"/>
  <c r="H272" i="1"/>
  <c r="I272" i="1"/>
  <c r="A273" i="1"/>
  <c r="H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A294" i="1"/>
  <c r="F294" i="1"/>
  <c r="G294" i="1"/>
  <c r="I294" i="1"/>
  <c r="A295" i="1"/>
  <c r="F295" i="1"/>
  <c r="G295" i="1"/>
  <c r="I295" i="1"/>
  <c r="A296" i="1"/>
  <c r="H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I302" i="1"/>
  <c r="A303" i="1"/>
  <c r="F303" i="1"/>
  <c r="G303" i="1"/>
  <c r="I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A314" i="1"/>
  <c r="H314" i="1"/>
  <c r="A315" i="1"/>
  <c r="F315" i="1"/>
  <c r="G315" i="1"/>
  <c r="A316" i="1"/>
  <c r="H316" i="1"/>
  <c r="I316" i="1"/>
  <c r="A317" i="1"/>
  <c r="H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H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H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H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F575" i="1"/>
  <c r="G575" i="1"/>
  <c r="I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F587" i="1"/>
  <c r="G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H604" i="1"/>
  <c r="I604" i="1"/>
  <c r="A605" i="1"/>
  <c r="H605" i="1"/>
  <c r="I605" i="1"/>
  <c r="A606" i="1"/>
  <c r="F606" i="1"/>
  <c r="G606" i="1"/>
  <c r="I606" i="1"/>
  <c r="A607" i="1"/>
  <c r="F607" i="1"/>
  <c r="G607" i="1"/>
  <c r="I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F632" i="1"/>
  <c r="G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H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F680" i="1"/>
  <c r="G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F689" i="1"/>
  <c r="G689" i="1"/>
  <c r="I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F718" i="1"/>
  <c r="G718" i="1"/>
  <c r="I718" i="1"/>
  <c r="A719" i="1"/>
  <c r="F719" i="1"/>
  <c r="G719" i="1"/>
  <c r="I719" i="1"/>
  <c r="A720" i="1"/>
  <c r="F720" i="1"/>
  <c r="G720" i="1"/>
  <c r="I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H728" i="1"/>
  <c r="I728" i="1"/>
  <c r="A729" i="1"/>
  <c r="H729" i="1"/>
  <c r="I729" i="1"/>
  <c r="A730" i="1"/>
  <c r="H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H739" i="1"/>
  <c r="I739" i="1"/>
  <c r="A740" i="1"/>
  <c r="H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H744" i="1"/>
  <c r="I744" i="1"/>
  <c r="A745" i="1"/>
  <c r="F745" i="1"/>
  <c r="G745" i="1"/>
  <c r="I745" i="1"/>
  <c r="A746" i="1"/>
  <c r="H746" i="1"/>
  <c r="I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H757" i="1"/>
  <c r="I757" i="1"/>
  <c r="A758" i="1"/>
  <c r="H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F800" i="1"/>
  <c r="G800" i="1"/>
  <c r="I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F807" i="1"/>
  <c r="G807" i="1"/>
  <c r="I807" i="1"/>
  <c r="A808" i="1"/>
  <c r="F808" i="1"/>
  <c r="G808" i="1"/>
  <c r="I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F824" i="1"/>
  <c r="G824" i="1"/>
  <c r="I824" i="1"/>
  <c r="A825" i="1"/>
  <c r="F825" i="1"/>
  <c r="G825" i="1"/>
  <c r="I825" i="1"/>
  <c r="A826" i="1"/>
  <c r="F826" i="1"/>
  <c r="G826" i="1"/>
  <c r="I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F843" i="1"/>
  <c r="G843" i="1"/>
  <c r="I843" i="1"/>
  <c r="A844" i="1"/>
  <c r="F844" i="1"/>
  <c r="G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F850" i="1"/>
  <c r="G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H872" i="1"/>
  <c r="I872" i="1"/>
  <c r="A873" i="1"/>
  <c r="H873" i="1"/>
  <c r="I873" i="1"/>
  <c r="A874" i="1"/>
  <c r="H874" i="1"/>
  <c r="I874" i="1"/>
  <c r="A875" i="1"/>
  <c r="F875" i="1"/>
  <c r="G875" i="1"/>
  <c r="I875" i="1"/>
  <c r="A876" i="1"/>
  <c r="H876" i="1"/>
  <c r="I876" i="1"/>
  <c r="A877" i="1"/>
  <c r="H877" i="1"/>
  <c r="I877" i="1"/>
  <c r="A878" i="1"/>
  <c r="H878" i="1"/>
  <c r="I878" i="1"/>
  <c r="A879" i="1"/>
  <c r="H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H886" i="1"/>
  <c r="I886" i="1"/>
  <c r="A887" i="1"/>
  <c r="H887" i="1"/>
  <c r="I887" i="1"/>
  <c r="A888" i="1"/>
  <c r="H888" i="1"/>
  <c r="I888" i="1"/>
  <c r="A889" i="1"/>
  <c r="H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H894" i="1"/>
  <c r="I894" i="1"/>
  <c r="A895" i="1"/>
  <c r="F895" i="1"/>
  <c r="G895" i="1"/>
  <c r="I895" i="1"/>
  <c r="A896" i="1"/>
  <c r="F896" i="1"/>
  <c r="G896" i="1"/>
  <c r="I896" i="1"/>
  <c r="A897" i="1"/>
  <c r="H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A902" i="1"/>
  <c r="F902" i="1"/>
  <c r="G902" i="1"/>
  <c r="A903" i="1"/>
  <c r="F903" i="1"/>
  <c r="G903" i="1"/>
  <c r="A904" i="1"/>
  <c r="F904" i="1"/>
  <c r="G904" i="1"/>
  <c r="A905" i="1"/>
  <c r="F905" i="1"/>
  <c r="G905" i="1"/>
  <c r="A906" i="1"/>
  <c r="F906" i="1"/>
  <c r="G906" i="1"/>
  <c r="A907" i="1"/>
  <c r="F907" i="1"/>
  <c r="G907" i="1"/>
  <c r="A908" i="1"/>
  <c r="F908" i="1"/>
  <c r="G908" i="1"/>
  <c r="A909" i="1"/>
  <c r="F909" i="1"/>
  <c r="G909" i="1"/>
  <c r="A910" i="1"/>
  <c r="F910" i="1"/>
  <c r="G910" i="1"/>
  <c r="A911" i="1"/>
  <c r="F911" i="1"/>
  <c r="G911" i="1"/>
  <c r="A912" i="1"/>
  <c r="F912" i="1"/>
  <c r="G912" i="1"/>
  <c r="A913" i="1"/>
  <c r="F913" i="1"/>
  <c r="G913" i="1"/>
  <c r="A914" i="1"/>
  <c r="F914" i="1"/>
  <c r="G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H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H947" i="1"/>
  <c r="I947" i="1"/>
  <c r="A948" i="1"/>
  <c r="F948" i="1"/>
  <c r="G948" i="1"/>
  <c r="I948" i="1"/>
  <c r="A949" i="1"/>
  <c r="F949" i="1"/>
  <c r="G949" i="1"/>
  <c r="I949" i="1"/>
  <c r="A950" i="1"/>
  <c r="F950" i="1"/>
  <c r="G950" i="1"/>
  <c r="I950" i="1"/>
  <c r="A951" i="1"/>
  <c r="F951" i="1"/>
  <c r="G951" i="1"/>
  <c r="A952" i="1"/>
  <c r="F952" i="1"/>
  <c r="G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F980" i="1"/>
  <c r="G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I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F1002" i="1"/>
  <c r="G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A1024" i="1"/>
  <c r="F1024" i="1"/>
  <c r="G1024" i="1"/>
  <c r="I1024" i="1"/>
  <c r="A1025" i="1"/>
  <c r="F1025" i="1"/>
  <c r="G1025" i="1"/>
  <c r="I1025" i="1"/>
  <c r="A1026" i="1"/>
  <c r="F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I1147" i="1"/>
  <c r="A1148" i="1"/>
  <c r="F1148" i="1"/>
  <c r="G1148" i="1"/>
  <c r="I1148" i="1"/>
  <c r="A1149" i="1"/>
  <c r="F1149" i="1"/>
  <c r="G1149" i="1"/>
  <c r="I1149" i="1"/>
  <c r="A1150" i="1"/>
  <c r="F1150" i="1"/>
  <c r="G1150" i="1"/>
  <c r="I1150" i="1"/>
  <c r="A1151" i="1"/>
  <c r="F1151" i="1"/>
  <c r="G1151" i="1"/>
  <c r="I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F1200" i="1"/>
  <c r="G1200" i="1"/>
  <c r="I1200" i="1"/>
  <c r="A1201" i="1"/>
  <c r="H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H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A1229" i="1"/>
  <c r="F1229" i="1"/>
  <c r="G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H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F1305" i="1"/>
  <c r="G1305" i="1"/>
  <c r="I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F1340" i="1"/>
  <c r="G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H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H1402" i="1"/>
  <c r="I1402" i="1"/>
  <c r="A1403" i="1"/>
  <c r="H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H1407" i="1"/>
  <c r="I1407" i="1"/>
  <c r="A1408" i="1"/>
  <c r="H1408" i="1"/>
  <c r="I1408" i="1"/>
  <c r="A1409" i="1"/>
  <c r="H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H1502" i="1"/>
  <c r="I1502" i="1"/>
  <c r="A1503" i="1"/>
  <c r="F1503" i="1"/>
  <c r="G1503" i="1"/>
  <c r="I1503" i="1"/>
  <c r="A1504" i="1"/>
  <c r="F1504" i="1"/>
  <c r="G1504" i="1"/>
  <c r="I1504" i="1"/>
  <c r="A1505" i="1"/>
  <c r="H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I1583" i="1"/>
  <c r="A1584" i="1"/>
  <c r="F1584" i="1"/>
  <c r="G1584" i="1"/>
  <c r="I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G1606" i="1"/>
  <c r="I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F1653" i="1"/>
  <c r="G1653" i="1"/>
  <c r="I1653" i="1"/>
  <c r="A1654" i="1"/>
  <c r="F1654" i="1"/>
  <c r="G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I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I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  <c r="A2886" i="1"/>
  <c r="F2886" i="1"/>
  <c r="G2886" i="1"/>
  <c r="I2886" i="1"/>
  <c r="A2887" i="1"/>
  <c r="F2887" i="1"/>
  <c r="G2887" i="1"/>
  <c r="I2887" i="1"/>
  <c r="A2888" i="1"/>
  <c r="F2888" i="1"/>
  <c r="G2888" i="1"/>
  <c r="I2888" i="1"/>
  <c r="A2889" i="1"/>
  <c r="F2889" i="1"/>
  <c r="G2889" i="1"/>
  <c r="I2889" i="1"/>
  <c r="A2890" i="1"/>
  <c r="F2890" i="1"/>
  <c r="G2890" i="1"/>
  <c r="I2890" i="1"/>
  <c r="A2891" i="1"/>
  <c r="F2891" i="1"/>
  <c r="G2891" i="1"/>
  <c r="I2891" i="1"/>
  <c r="A2892" i="1"/>
  <c r="F2892" i="1"/>
  <c r="G2892" i="1"/>
  <c r="I2892" i="1"/>
  <c r="A2893" i="1"/>
  <c r="F2893" i="1"/>
  <c r="G2893" i="1"/>
  <c r="I2893" i="1"/>
  <c r="A2894" i="1"/>
  <c r="F2894" i="1"/>
  <c r="G2894" i="1"/>
  <c r="I2894" i="1"/>
  <c r="A2895" i="1"/>
  <c r="F2895" i="1"/>
  <c r="G2895" i="1"/>
  <c r="I2895" i="1"/>
  <c r="A2896" i="1"/>
  <c r="F2896" i="1"/>
  <c r="G2896" i="1"/>
  <c r="I2896" i="1"/>
  <c r="A2897" i="1"/>
  <c r="F2897" i="1"/>
  <c r="G2897" i="1"/>
  <c r="I2897" i="1"/>
  <c r="A2898" i="1"/>
  <c r="F2898" i="1"/>
  <c r="G2898" i="1"/>
  <c r="I2898" i="1"/>
  <c r="A2899" i="1"/>
  <c r="F2899" i="1"/>
  <c r="G2899" i="1"/>
  <c r="I2899" i="1"/>
  <c r="A2900" i="1"/>
  <c r="F2900" i="1"/>
  <c r="G2900" i="1"/>
  <c r="I2900" i="1"/>
  <c r="A2901" i="1"/>
  <c r="F2901" i="1"/>
  <c r="G2901" i="1"/>
  <c r="I2901" i="1"/>
  <c r="A2902" i="1"/>
  <c r="F2902" i="1"/>
  <c r="G2902" i="1"/>
  <c r="I2902" i="1"/>
  <c r="A2903" i="1"/>
  <c r="F2903" i="1"/>
  <c r="G2903" i="1"/>
  <c r="I2903" i="1"/>
  <c r="A2904" i="1"/>
  <c r="F2904" i="1"/>
  <c r="G2904" i="1"/>
  <c r="I2904" i="1"/>
  <c r="A2905" i="1"/>
  <c r="F2905" i="1"/>
  <c r="G2905" i="1"/>
  <c r="I2905" i="1"/>
  <c r="A2906" i="1"/>
  <c r="F2906" i="1"/>
  <c r="G2906" i="1"/>
  <c r="I2906" i="1"/>
  <c r="A2907" i="1"/>
  <c r="F2907" i="1"/>
  <c r="G2907" i="1"/>
  <c r="I2907" i="1"/>
  <c r="A2908" i="1"/>
  <c r="F2908" i="1"/>
  <c r="G2908" i="1"/>
  <c r="I2908" i="1"/>
  <c r="A2909" i="1"/>
  <c r="F2909" i="1"/>
  <c r="G2909" i="1"/>
  <c r="I2909" i="1"/>
  <c r="A2910" i="1"/>
  <c r="F2910" i="1"/>
  <c r="G2910" i="1"/>
  <c r="I2910" i="1"/>
  <c r="A2911" i="1"/>
  <c r="F2911" i="1"/>
  <c r="G2911" i="1"/>
  <c r="I2911" i="1"/>
  <c r="A2912" i="1"/>
  <c r="F2912" i="1"/>
  <c r="G2912" i="1"/>
  <c r="I2912" i="1"/>
  <c r="A2913" i="1"/>
  <c r="F2913" i="1"/>
  <c r="G2913" i="1"/>
  <c r="I2913" i="1"/>
  <c r="A2914" i="1"/>
  <c r="F2914" i="1"/>
  <c r="G2914" i="1"/>
  <c r="I2914" i="1"/>
  <c r="A2915" i="1"/>
  <c r="F2915" i="1"/>
  <c r="G2915" i="1"/>
  <c r="I2915" i="1"/>
  <c r="A2916" i="1"/>
  <c r="F2916" i="1"/>
  <c r="G2916" i="1"/>
  <c r="I2916" i="1"/>
  <c r="A2917" i="1"/>
  <c r="F2917" i="1"/>
  <c r="G2917" i="1"/>
  <c r="I2917" i="1"/>
  <c r="A2918" i="1"/>
  <c r="F2918" i="1"/>
  <c r="G2918" i="1"/>
  <c r="I2918" i="1"/>
  <c r="A2919" i="1"/>
  <c r="F2919" i="1"/>
  <c r="G2919" i="1"/>
  <c r="I2919" i="1"/>
  <c r="A2920" i="1"/>
  <c r="F2920" i="1"/>
  <c r="G2920" i="1"/>
  <c r="I2920" i="1"/>
  <c r="A2921" i="1"/>
  <c r="F2921" i="1"/>
  <c r="G2921" i="1"/>
  <c r="I2921" i="1"/>
  <c r="A2922" i="1"/>
  <c r="F2922" i="1"/>
  <c r="G2922" i="1"/>
  <c r="I2922" i="1"/>
  <c r="A2923" i="1"/>
  <c r="F2923" i="1"/>
  <c r="G2923" i="1"/>
  <c r="I2923" i="1"/>
  <c r="A2924" i="1"/>
  <c r="F2924" i="1"/>
  <c r="G2924" i="1"/>
  <c r="I2924" i="1"/>
  <c r="A2925" i="1"/>
  <c r="F2925" i="1"/>
  <c r="G2925" i="1"/>
  <c r="I2925" i="1"/>
  <c r="A2926" i="1"/>
  <c r="F2926" i="1"/>
  <c r="G2926" i="1"/>
  <c r="I2926" i="1"/>
  <c r="A2927" i="1"/>
  <c r="F2927" i="1"/>
  <c r="G2927" i="1"/>
  <c r="I2927" i="1"/>
  <c r="A2928" i="1"/>
  <c r="F2928" i="1"/>
  <c r="G2928" i="1"/>
  <c r="I2928" i="1"/>
  <c r="A2929" i="1"/>
  <c r="F2929" i="1"/>
  <c r="G2929" i="1"/>
  <c r="I2929" i="1"/>
  <c r="A2930" i="1"/>
  <c r="F2930" i="1"/>
  <c r="G2930" i="1"/>
  <c r="I2930" i="1"/>
  <c r="A2931" i="1"/>
  <c r="F2931" i="1"/>
  <c r="G2931" i="1"/>
  <c r="I2931" i="1"/>
  <c r="A2932" i="1"/>
  <c r="F2932" i="1"/>
  <c r="G2932" i="1"/>
  <c r="I2932" i="1"/>
  <c r="A2933" i="1"/>
  <c r="F2933" i="1"/>
  <c r="G2933" i="1"/>
  <c r="I2933" i="1"/>
  <c r="A2934" i="1"/>
  <c r="F2934" i="1"/>
  <c r="G2934" i="1"/>
  <c r="I2934" i="1"/>
  <c r="A2935" i="1"/>
  <c r="F2935" i="1"/>
  <c r="G2935" i="1"/>
  <c r="I2935" i="1"/>
  <c r="A2936" i="1"/>
  <c r="F2936" i="1"/>
  <c r="G2936" i="1"/>
  <c r="I2936" i="1"/>
  <c r="A2937" i="1"/>
  <c r="F2937" i="1"/>
  <c r="G2937" i="1"/>
  <c r="I2937" i="1"/>
  <c r="A2938" i="1"/>
  <c r="F2938" i="1"/>
  <c r="G2938" i="1"/>
  <c r="I2938" i="1"/>
  <c r="A2939" i="1"/>
  <c r="F2939" i="1"/>
  <c r="G2939" i="1"/>
  <c r="I2939" i="1"/>
  <c r="A2940" i="1"/>
  <c r="F2940" i="1"/>
  <c r="G2940" i="1"/>
  <c r="I2940" i="1"/>
  <c r="A2941" i="1"/>
  <c r="F2941" i="1"/>
  <c r="G2941" i="1"/>
  <c r="I2941" i="1"/>
  <c r="A2942" i="1"/>
  <c r="F2942" i="1"/>
  <c r="G2942" i="1"/>
  <c r="I2942" i="1"/>
  <c r="A2943" i="1"/>
  <c r="F2943" i="1"/>
  <c r="G2943" i="1"/>
  <c r="I2943" i="1"/>
  <c r="A2944" i="1"/>
  <c r="F2944" i="1"/>
  <c r="G2944" i="1"/>
  <c r="I2944" i="1"/>
  <c r="A2945" i="1"/>
  <c r="F2945" i="1"/>
  <c r="G2945" i="1"/>
  <c r="I2945" i="1"/>
  <c r="A2946" i="1"/>
  <c r="F2946" i="1"/>
  <c r="G2946" i="1"/>
  <c r="I2946" i="1"/>
  <c r="A2947" i="1"/>
  <c r="F2947" i="1"/>
  <c r="G2947" i="1"/>
  <c r="I2947" i="1"/>
  <c r="A2948" i="1"/>
  <c r="F2948" i="1"/>
  <c r="G2948" i="1"/>
  <c r="I2948" i="1"/>
  <c r="A2949" i="1"/>
  <c r="F2949" i="1"/>
  <c r="G2949" i="1"/>
  <c r="I2949" i="1"/>
  <c r="A2950" i="1"/>
  <c r="F2950" i="1"/>
  <c r="G2950" i="1"/>
  <c r="I2950" i="1"/>
  <c r="A2951" i="1"/>
  <c r="F2951" i="1"/>
  <c r="G2951" i="1"/>
  <c r="I2951" i="1"/>
  <c r="A2952" i="1"/>
  <c r="F2952" i="1"/>
  <c r="G2952" i="1"/>
  <c r="I2952" i="1"/>
  <c r="A2953" i="1"/>
  <c r="F2953" i="1"/>
  <c r="G2953" i="1"/>
  <c r="I2953" i="1"/>
  <c r="A2954" i="1"/>
  <c r="F2954" i="1"/>
  <c r="G2954" i="1"/>
  <c r="I2954" i="1"/>
  <c r="A2955" i="1"/>
  <c r="F2955" i="1"/>
  <c r="G2955" i="1"/>
  <c r="I2955" i="1"/>
  <c r="A2956" i="1"/>
  <c r="F2956" i="1"/>
  <c r="G2956" i="1"/>
  <c r="I2956" i="1"/>
  <c r="A2957" i="1"/>
  <c r="F2957" i="1"/>
  <c r="G2957" i="1"/>
  <c r="I2957" i="1"/>
  <c r="A2958" i="1"/>
  <c r="F2958" i="1"/>
  <c r="G2958" i="1"/>
  <c r="I2958" i="1"/>
  <c r="A2959" i="1"/>
  <c r="F2959" i="1"/>
  <c r="G2959" i="1"/>
  <c r="I2959" i="1"/>
  <c r="A2960" i="1"/>
  <c r="F2960" i="1"/>
  <c r="G2960" i="1"/>
  <c r="I2960" i="1"/>
  <c r="A2961" i="1"/>
  <c r="F2961" i="1"/>
  <c r="G2961" i="1"/>
  <c r="I2961" i="1"/>
  <c r="A2962" i="1"/>
  <c r="F2962" i="1"/>
  <c r="G2962" i="1"/>
  <c r="I2962" i="1"/>
  <c r="A2963" i="1"/>
  <c r="F2963" i="1"/>
  <c r="G2963" i="1"/>
  <c r="I2963" i="1"/>
  <c r="A2964" i="1"/>
  <c r="F2964" i="1"/>
  <c r="G2964" i="1"/>
  <c r="I2964" i="1"/>
  <c r="A2965" i="1"/>
  <c r="F2965" i="1"/>
  <c r="G2965" i="1"/>
  <c r="I2965" i="1"/>
  <c r="A2966" i="1"/>
  <c r="F2966" i="1"/>
  <c r="G2966" i="1"/>
  <c r="I2966" i="1"/>
  <c r="A2967" i="1"/>
  <c r="F2967" i="1"/>
  <c r="G2967" i="1"/>
  <c r="I2967" i="1"/>
  <c r="A2968" i="1"/>
  <c r="F2968" i="1"/>
  <c r="G2968" i="1"/>
  <c r="I2968" i="1"/>
  <c r="A2969" i="1"/>
  <c r="F2969" i="1"/>
  <c r="G2969" i="1"/>
  <c r="I2969" i="1"/>
</calcChain>
</file>

<file path=xl/sharedStrings.xml><?xml version="1.0" encoding="utf-8"?>
<sst xmlns="http://schemas.openxmlformats.org/spreadsheetml/2006/main" count="740" uniqueCount="502">
  <si>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</si>
  <si>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</si>
  <si>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</si>
  <si>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</si>
  <si>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</si>
  <si>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</si>
  <si>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</si>
  <si>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</si>
  <si>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</si>
  <si>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AIRPLEXUS INC</t>
  </si>
  <si>
    <t>APPEL FORD MERCURY INC</t>
  </si>
  <si>
    <t>BASTROP COPIER</t>
  </si>
  <si>
    <t>BASTROP COUNTY GENERAL FUND</t>
  </si>
  <si>
    <t>BASTROP TIRE AND AUTOMOTIVE</t>
  </si>
  <si>
    <t>BLUEBONNET PETROLEUM INC</t>
  </si>
  <si>
    <t>QWEST COMMUNICATIONS COMPANY  LLC</t>
  </si>
  <si>
    <t>CEQUEL COMMUNICATIONS HOLDINGS  LLC</t>
  </si>
  <si>
    <t>CITIBANK NA</t>
  </si>
  <si>
    <t>CORRECTIONS SOFTWARE SOLUTIONS LP</t>
  </si>
  <si>
    <t>DA AMUNDSON INC</t>
  </si>
  <si>
    <t>DONNA DAMON</t>
  </si>
  <si>
    <t>GOODSON LUMBER CO INC</t>
  </si>
  <si>
    <t>GRETCHEN VOGLER</t>
  </si>
  <si>
    <t>GUTH LABORATORIES INC</t>
  </si>
  <si>
    <t>HOME DEPOT USA  INC</t>
  </si>
  <si>
    <t>JASON WALKER</t>
  </si>
  <si>
    <t>GEOFFREY HARLAN JOHNSON</t>
  </si>
  <si>
    <t>LaROCHE CHEVROLET CADILLAC INC</t>
  </si>
  <si>
    <t>LEE COUNTY IRRIGATION INC</t>
  </si>
  <si>
    <t>LEXISNEXIS RISK DATA MANAGEMENT INC</t>
  </si>
  <si>
    <t>MARY HARMON</t>
  </si>
  <si>
    <t>OFFICE DEPOT  INC</t>
  </si>
  <si>
    <t>ONE SOURCE TOXICOLOGY</t>
  </si>
  <si>
    <t>REDWOOD BIOTECH</t>
  </si>
  <si>
    <t>GE CAPITAL INFORMATION TECCHNOLOGY SOLUTIONS  INC</t>
  </si>
  <si>
    <t>ROBART M &amp; DAN B ALFORD LLC</t>
  </si>
  <si>
    <t>SAM HOUSTON STATE UNIVERSITY</t>
  </si>
  <si>
    <t>SOUTHCENTRAL TOWER CO LLC</t>
  </si>
  <si>
    <t>SOUTHWESTERN BELL TELEPHONE COMPANY</t>
  </si>
  <si>
    <t>AT &amp; T</t>
  </si>
  <si>
    <t>TEXAS ASSOCIATION OF COUNTIES</t>
  </si>
  <si>
    <t>TIB-THE INDEPENDENT BANKERSBANK</t>
  </si>
  <si>
    <t>TWE-ADVANCE NEWHOUSE PARTNERSHIP</t>
  </si>
  <si>
    <t>UBEO OF EAST TEXAS  INC.</t>
  </si>
  <si>
    <t>VGP LLC</t>
  </si>
  <si>
    <t>WALMART STORES TEXAS  LLC</t>
  </si>
  <si>
    <t>WESTERN SURETY COMPANY</t>
  </si>
  <si>
    <t>WILDE INC</t>
  </si>
  <si>
    <t>973 MATERIALS  LLC</t>
  </si>
  <si>
    <t>ALLSHRED INC</t>
  </si>
  <si>
    <t>ARNOLD OIL COMPANY OF AUSTIN LP</t>
  </si>
  <si>
    <t>TIMOTHY HALL</t>
  </si>
  <si>
    <t>ADAM ROWINS</t>
  </si>
  <si>
    <t>ADENA LEWIS</t>
  </si>
  <si>
    <t>ADVANCED GRAPHIX INC</t>
  </si>
  <si>
    <t>AIRGAS INC</t>
  </si>
  <si>
    <t>ALBERT NEAL PFEIFFER</t>
  </si>
  <si>
    <t>ALLIED SALES CO.</t>
  </si>
  <si>
    <t>S &amp; D PLUMBING-GIDDINGS LLC</t>
  </si>
  <si>
    <t>AMERICAN FASTENERS INC</t>
  </si>
  <si>
    <t>AMERICAN HEALTH SERVICE SALES CORP</t>
  </si>
  <si>
    <t>AMERICAN TIRE DISTRIBUTORS INC</t>
  </si>
  <si>
    <t>AMERISOURCEBERGEN</t>
  </si>
  <si>
    <t>AMG PRINTING &amp; MAILING</t>
  </si>
  <si>
    <t>ANDERSON &amp; ANDERSON LAW FIRM PC</t>
  </si>
  <si>
    <t>ANTHONY RAMIREZ</t>
  </si>
  <si>
    <t>C APPLEMAN ENT INC</t>
  </si>
  <si>
    <t>APPRAISAL &amp; COLLECTION TECHNOLOGIES LLC</t>
  </si>
  <si>
    <t>APRIL KUCK</t>
  </si>
  <si>
    <t>AQUA BEVERAGE COMPANY/OZARKA</t>
  </si>
  <si>
    <t>AQUA WATER SUPPLY</t>
  </si>
  <si>
    <t>ARA IMAGING / ST.DAVIDS IMAGING LP</t>
  </si>
  <si>
    <t>EXACTBYTE INC</t>
  </si>
  <si>
    <t>ARSENAL ADVERTISING LLC</t>
  </si>
  <si>
    <t>AT&amp;T</t>
  </si>
  <si>
    <t>AT&amp;T MOBILITY</t>
  </si>
  <si>
    <t>AT&amp;T MOBILITY-W&amp;M</t>
  </si>
  <si>
    <t>GRAND JUNCTION NEWSPAPERS  INC</t>
  </si>
  <si>
    <t>GRAND JUNCTION NEWSPAPERS INC</t>
  </si>
  <si>
    <t>BUTLER &amp; BURNS EAR NOSE &amp; THROAT ASSO</t>
  </si>
  <si>
    <t>AUSTIN GASTROENTERLOGY</t>
  </si>
  <si>
    <t>AUSTIN LLOYD</t>
  </si>
  <si>
    <t>AUSTIN RADIOLOGICAL ASSOC</t>
  </si>
  <si>
    <t>AUSTIN REBUILDERS INC</t>
  </si>
  <si>
    <t>AUSTIN SOUTHWEST ORTHOPAEDIC GROUP</t>
  </si>
  <si>
    <t>JIM ATTRA INC</t>
  </si>
  <si>
    <t>MICHAEL OLDHAM TIRE INC</t>
  </si>
  <si>
    <t>EDUARDO BARRIENTOS</t>
  </si>
  <si>
    <t>BASTROP ADVERTISER</t>
  </si>
  <si>
    <t>BASTROP CENTRAL APPRAISAL DIST.</t>
  </si>
  <si>
    <t>BASTROP CHAMBER OF COMMERCE</t>
  </si>
  <si>
    <t>BASTROP CNTY CHILD WELFARE BOARD</t>
  </si>
  <si>
    <t>BASTROP CNTY SHERIFF'S DEPT</t>
  </si>
  <si>
    <t>="11</t>
  </si>
  <si>
    <t>866"</t>
  </si>
  <si>
    <t>="12</t>
  </si>
  <si>
    <t>286"</t>
  </si>
  <si>
    <t>447"</t>
  </si>
  <si>
    <t>459"</t>
  </si>
  <si>
    <t>042"</t>
  </si>
  <si>
    <t>805"</t>
  </si>
  <si>
    <t>938"</t>
  </si>
  <si>
    <t>006"</t>
  </si>
  <si>
    <t>729"</t>
  </si>
  <si>
    <t>DANIEL L HEPKER</t>
  </si>
  <si>
    <t>BASTROP INDEPENDENT SCHOOL DISTRICT</t>
  </si>
  <si>
    <t>BASTROP MEDICAL CLINIC</t>
  </si>
  <si>
    <t>BASTROP OUTDOOR</t>
  </si>
  <si>
    <t>BASTROP PROVIDENCE FUNERAL HOME</t>
  </si>
  <si>
    <t>BASTROP SIGNS &amp; BANNERS</t>
  </si>
  <si>
    <t>BASTROP TIRE &amp; AUTOMOTIVE LLC</t>
  </si>
  <si>
    <t>BASTROP TREE SERVICE  INC</t>
  </si>
  <si>
    <t>BASTROP VET. HOSPITAL  INC.</t>
  </si>
  <si>
    <t>="EXAM/CONSULT "DAKOTA"/BCAS"</t>
  </si>
  <si>
    <t>DAVID H OUTON</t>
  </si>
  <si>
    <t>BELL COUNTY SHERIFF</t>
  </si>
  <si>
    <t>BEN E KEITH CO.</t>
  </si>
  <si>
    <t>BENJAMIN FOODS  LLC</t>
  </si>
  <si>
    <t>MULTI SERVICE CORP</t>
  </si>
  <si>
    <t>BETTY LOU GAINES</t>
  </si>
  <si>
    <t>BEXAR COUNTY SHERIFF</t>
  </si>
  <si>
    <t>BICKERSTAFF HEATH DELGADO ACOSTA LL</t>
  </si>
  <si>
    <t>BIG WRENCH ROAD SERVICE INC</t>
  </si>
  <si>
    <t>BIMBO FOODS INC</t>
  </si>
  <si>
    <t>BLAS J COY JR</t>
  </si>
  <si>
    <t>BLUEBONNET AREA CRIME STOPPERS PROGRAM</t>
  </si>
  <si>
    <t>BLUEBONNET ELECTRIC</t>
  </si>
  <si>
    <t>="15</t>
  </si>
  <si>
    <t>915  8/11/2017"</t>
  </si>
  <si>
    <t>BLUEBONNET ELECTRIC COOP</t>
  </si>
  <si>
    <t>BLUEBONNET TRAILS MHMR</t>
  </si>
  <si>
    <t>BOBBY BROWN</t>
  </si>
  <si>
    <t>BRAUNTEX MATERIALS INC</t>
  </si>
  <si>
    <t>BRIAN GARVEL</t>
  </si>
  <si>
    <t>BROOKSHIRE BROTHERS</t>
  </si>
  <si>
    <t>="10</t>
  </si>
  <si>
    <t>442  8/2/17"</t>
  </si>
  <si>
    <t>LAW OFFICE OF BRYAN W. MCDANIEL  P.C.</t>
  </si>
  <si>
    <t>BUREAU OF VITAL STATISTICS</t>
  </si>
  <si>
    <t>CAD SUPPLIES SPECIALTY</t>
  </si>
  <si>
    <t>CALDWELL COUNTY SHERIFF</t>
  </si>
  <si>
    <t>CAMPBELL PET COMPANY</t>
  </si>
  <si>
    <t>CAPITOL BEARING OF AUSTIN</t>
  </si>
  <si>
    <t>TIB-THE INDEPENDENT BANKERS BANK</t>
  </si>
  <si>
    <t>CDW GOVERNMENT INC</t>
  </si>
  <si>
    <t>CENTERPOINT ENERGY</t>
  </si>
  <si>
    <t>CENTEX MATERIALS LLC</t>
  </si>
  <si>
    <t>CENTRAL TEXAS AUTOPSY</t>
  </si>
  <si>
    <t>CHARLES W CARVER</t>
  </si>
  <si>
    <t>ROBERT J SALDIVAR</t>
  </si>
  <si>
    <t>CHRIS MATT DILLON</t>
  </si>
  <si>
    <t>CHRISTINA BLUE</t>
  </si>
  <si>
    <t>CHRISTOPHER D  DUGGAN</t>
  </si>
  <si>
    <t>CINDYE WOLFORD</t>
  </si>
  <si>
    <t>CINTAS</t>
  </si>
  <si>
    <t>CINTAS CORPORATION</t>
  </si>
  <si>
    <t>CINTAS CORPORATION #86</t>
  </si>
  <si>
    <t>CITY OF BASTROP</t>
  </si>
  <si>
    <t>CITY OF ELGIN</t>
  </si>
  <si>
    <t>CITY OF SMITHVILLE</t>
  </si>
  <si>
    <t>CLIFFORD POWER SYSTEMS INC</t>
  </si>
  <si>
    <t>CLINICAL PATHOLOGY LABORATORIES INC</t>
  </si>
  <si>
    <t>COLORADO MATERIALS CO.</t>
  </si>
  <si>
    <t>COMMUNITY COFFEE COMPANY LLC</t>
  </si>
  <si>
    <t>JAMES A LITTLE</t>
  </si>
  <si>
    <t>CONSOLIDATED ELECTRIC DIST</t>
  </si>
  <si>
    <t>CONTECH ENGINEERED SOLUTIONS INC</t>
  </si>
  <si>
    <t>CONVERGENCE CABLING INC</t>
  </si>
  <si>
    <t>OSCAR MENDEZ ARTEAGA</t>
  </si>
  <si>
    <t>COOPER EQUIPMENT CO.</t>
  </si>
  <si>
    <t>COTHRON SECURITY SOLUTIONS LLC</t>
  </si>
  <si>
    <t>COUFAL-PRATER EQUIPMENT LTD</t>
  </si>
  <si>
    <t>COVERT CHEVROLET-OLDS</t>
  </si>
  <si>
    <t>COVERTTRACK GROUP INC</t>
  </si>
  <si>
    <t>CRESSIDA EVELYN KWOLEK  PH. D.</t>
  </si>
  <si>
    <t>TROY MICHALIK</t>
  </si>
  <si>
    <t>CROSSROADS ANIMAL HOSPITAL</t>
  </si>
  <si>
    <t>CRYSTAL DEAR</t>
  </si>
  <si>
    <t>MUNICIPAL SERVICES BUREAU</t>
  </si>
  <si>
    <t>CUSTOM PRODUCTS CORPORATION</t>
  </si>
  <si>
    <t>DAHILL</t>
  </si>
  <si>
    <t>DAHILL INDUSTRIES  INC</t>
  </si>
  <si>
    <t>DALLAS COUNTY CONSTABLE PCT 1</t>
  </si>
  <si>
    <t>DALTON STEVEN DAWSON</t>
  </si>
  <si>
    <t>DAVID B BROOKS</t>
  </si>
  <si>
    <t>DAVID M COLLINS</t>
  </si>
  <si>
    <t>DELL</t>
  </si>
  <si>
    <t>DENTRUST DENTAL TX PC</t>
  </si>
  <si>
    <t>DICKENS LOCKSMITH INC</t>
  </si>
  <si>
    <t>DISCOUNT FEEDS</t>
  </si>
  <si>
    <t>THE REINALT-THOMAS CORP</t>
  </si>
  <si>
    <t>DOVIE WOLF</t>
  </si>
  <si>
    <t>DUNNE &amp; JUAREZ L.L.C.</t>
  </si>
  <si>
    <t>ECOLAB INC</t>
  </si>
  <si>
    <t>ELECTION SYSTEMS &amp; SOFTWARE INC</t>
  </si>
  <si>
    <t>BLACKLANDS PUBLICATIONS INC</t>
  </si>
  <si>
    <t>CITY OF ELGIN UTILITIES</t>
  </si>
  <si>
    <t>ELLIOTT ELECTRIC SUPPLY INC</t>
  </si>
  <si>
    <t>EMANCIPET  INC.</t>
  </si>
  <si>
    <t>EMERGENCY PHYSICIANS OF CENTRAL TX PA</t>
  </si>
  <si>
    <t>ENRIQUE PORTUGAL</t>
  </si>
  <si>
    <t>ERGON ASPHALT &amp; EMULSIONS INC</t>
  </si>
  <si>
    <t>EWALD KUBOTA  INC.</t>
  </si>
  <si>
    <t>EZTASK.COM INC.</t>
  </si>
  <si>
    <t>BASTROP COUNTY WOMEN'S SHELTER</t>
  </si>
  <si>
    <t>FAMILY HEALTH CENTER OF BASTROP PLLC</t>
  </si>
  <si>
    <t>FAYETTE COUNTY SHERIFF</t>
  </si>
  <si>
    <t>FAYETTE MEDICAL SUPPLY</t>
  </si>
  <si>
    <t>FERGUSON ENTERPRISES INC</t>
  </si>
  <si>
    <t>FIRST NATIONAL BANK BASTROP</t>
  </si>
  <si>
    <t>659  8/29/17"</t>
  </si>
  <si>
    <t>="13</t>
  </si>
  <si>
    <t>507  8/2/17"</t>
  </si>
  <si>
    <t>FLEET COR TECHNOLOGIES INC</t>
  </si>
  <si>
    <t>FLEETPRIDE</t>
  </si>
  <si>
    <t>FORREST L. SANDERSON</t>
  </si>
  <si>
    <t>FPC FINANCIAL f.s.b.</t>
  </si>
  <si>
    <t>AUSTIN TRUCK &amp; EQUIP LTD</t>
  </si>
  <si>
    <t>FRERICH ENTERPRISES INC</t>
  </si>
  <si>
    <t>FTS FOREST TECHNOLOGY SYSTEMS LTD</t>
  </si>
  <si>
    <t>EUGENE W BRIGGS JR</t>
  </si>
  <si>
    <t>G &amp; K SERVICES</t>
  </si>
  <si>
    <t>GARLAND T MURLEY</t>
  </si>
  <si>
    <t>GARMENTS TO GO  INC</t>
  </si>
  <si>
    <t>GRAINGER INC</t>
  </si>
  <si>
    <t>GT DISTRIBUTORS  INC.</t>
  </si>
  <si>
    <t>GULF COAST PAPER CO. INC.</t>
  </si>
  <si>
    <t>HANNAH McMAHAN</t>
  </si>
  <si>
    <t>HARRIS COUNTY CONSTABLE PCT 1</t>
  </si>
  <si>
    <t>HEARTLAND QUARRIES  LLC</t>
  </si>
  <si>
    <t>ITR AMERICA LLC</t>
  </si>
  <si>
    <t>HERITAGE FOOD SERVICES GROUP</t>
  </si>
  <si>
    <t>HERSHCAP BACKHOE &amp; DITCHING INC</t>
  </si>
  <si>
    <t>658  8/10/17"</t>
  </si>
  <si>
    <t>HILLARY LONG</t>
  </si>
  <si>
    <t>BASCOM L HODGES JR</t>
  </si>
  <si>
    <t>HODGSON G ECKEL</t>
  </si>
  <si>
    <t>BD HOLT CO</t>
  </si>
  <si>
    <t>CITIBANK (SOUTH DAKOTA)N.A./THE HOME DEPOT</t>
  </si>
  <si>
    <t>HSAULIN BRUNO-ESTRADA</t>
  </si>
  <si>
    <t>HUDSON ENERGY CORP</t>
  </si>
  <si>
    <t>HYDRAULIC HOUSE INC</t>
  </si>
  <si>
    <t>INDIGENT HEALTHCARE SOLUTIONS</t>
  </si>
  <si>
    <t>IRON MOUNTAIN RECORDS MGMT INC</t>
  </si>
  <si>
    <t>TRIPLE J JACKPOT</t>
  </si>
  <si>
    <t>JACKSON COUNTY CONSTABLE PCT 2</t>
  </si>
  <si>
    <t>JAMES D.SQUIER</t>
  </si>
  <si>
    <t>JAMES M COLQUITT</t>
  </si>
  <si>
    <t>JAMES M. BURRIS</t>
  </si>
  <si>
    <t>JEFF E HAGEN MD</t>
  </si>
  <si>
    <t>JENKINS &amp; JENKINS LLP</t>
  </si>
  <si>
    <t>309"</t>
  </si>
  <si>
    <t>JERRY HOFROCK</t>
  </si>
  <si>
    <t>="14</t>
  </si>
  <si>
    <t>505  8/17/17"</t>
  </si>
  <si>
    <t>JOHN C KUHN</t>
  </si>
  <si>
    <t>JOSEPHINE MORALES</t>
  </si>
  <si>
    <t>204  8/23/17"</t>
  </si>
  <si>
    <t>BILLY JOSH GILL</t>
  </si>
  <si>
    <t>JUSTIN MATTHEW FOHN</t>
  </si>
  <si>
    <t>KAREN STARKS</t>
  </si>
  <si>
    <t>="8</t>
  </si>
  <si>
    <t>898  8/29/17"</t>
  </si>
  <si>
    <t>KATHY REEVES</t>
  </si>
  <si>
    <t>393  8/21/17"</t>
  </si>
  <si>
    <t>KENNETH EUGENE LIMUEL JR</t>
  </si>
  <si>
    <t>KENT BROUSSARD TOWER RENTAL INC</t>
  </si>
  <si>
    <t>KLEIBER FORD TRACTOR  INC.</t>
  </si>
  <si>
    <t>LABATT INSTITUTIONAL SUPPLY CO</t>
  </si>
  <si>
    <t>J. MARQUE MOORE</t>
  </si>
  <si>
    <t>LUCIO LEAL</t>
  </si>
  <si>
    <t>LEE COUNTY WATER SUPPLY CORP</t>
  </si>
  <si>
    <t>GREEN &amp; HANSEN LLC</t>
  </si>
  <si>
    <t>LENNOX INDUSTRIES INC</t>
  </si>
  <si>
    <t>LEXISNEXIS RISK DATA MGMT INC</t>
  </si>
  <si>
    <t>LIBERTY FIRE PROTECTION INC</t>
  </si>
  <si>
    <t>LIBERTY TIRE RECYCLING</t>
  </si>
  <si>
    <t>LIN MARIE GARSEE</t>
  </si>
  <si>
    <t>LINDA HARMON-TAX ASSESSOR</t>
  </si>
  <si>
    <t>LINDSAY SILVEIRA</t>
  </si>
  <si>
    <t>LISA M. MIMS</t>
  </si>
  <si>
    <t>LONE STAR CIRCLE OF CARE</t>
  </si>
  <si>
    <t>UNITED KWB COLLABORATIONS LLC</t>
  </si>
  <si>
    <t>LONGHORN EMERGENCY MEDICAL ASSOC PA</t>
  </si>
  <si>
    <t>LONGHORN INTERNATIONAL TRUCKS LTD</t>
  </si>
  <si>
    <t>SCOTT BRYANT</t>
  </si>
  <si>
    <t>LOWE'S</t>
  </si>
  <si>
    <t>MAGIC TOUCH CLEANING SYSTEMS LLC</t>
  </si>
  <si>
    <t>MARIA CELESTE COSTLEY</t>
  </si>
  <si>
    <t>MARK MEUTH</t>
  </si>
  <si>
    <t>MARK T MALONE M.D. P.A</t>
  </si>
  <si>
    <t>MARK WHITE</t>
  </si>
  <si>
    <t>JOHN W GASPARINI INC</t>
  </si>
  <si>
    <t>MARY BETH SCOTT</t>
  </si>
  <si>
    <t>MATHESON TRI-GAS INC</t>
  </si>
  <si>
    <t>MAURICE C. COOK</t>
  </si>
  <si>
    <t>MAURICE GRABER</t>
  </si>
  <si>
    <t>McCOY'S BUILDING SUPPLY CENTER</t>
  </si>
  <si>
    <t>McCREARY  VESELKA  BRAGG &amp; ALLEN P</t>
  </si>
  <si>
    <t>753 6/14/17"</t>
  </si>
  <si>
    <t>862"</t>
  </si>
  <si>
    <t>360 7/25/17"</t>
  </si>
  <si>
    <t>593 7/28/17"</t>
  </si>
  <si>
    <t>732"</t>
  </si>
  <si>
    <t xml:space="preserve"> 042  7/31/17"</t>
  </si>
  <si>
    <t>McCULLOCH COUNTY SHERIFF</t>
  </si>
  <si>
    <t>MEDIMPACT HEALTHCARE SYSTEMS INC</t>
  </si>
  <si>
    <t>MELISSA A MEADOR</t>
  </si>
  <si>
    <t>MICHELE FRITSCHE C.S.R.</t>
  </si>
  <si>
    <t>MIDTEX MATERIALS</t>
  </si>
  <si>
    <t>MILAM COUNTY SHERIFF</t>
  </si>
  <si>
    <t>MILLER UNIFORMS &amp; EMBLEMS</t>
  </si>
  <si>
    <t>STEPHANIE REBER GOERTZ</t>
  </si>
  <si>
    <t>JOSHUA DEAN NIXON</t>
  </si>
  <si>
    <t>SOLEDAD SIERRA</t>
  </si>
  <si>
    <t>LORENE HELEN JOHNSON</t>
  </si>
  <si>
    <t>POLLYE ANITA HOFSTEDT</t>
  </si>
  <si>
    <t>RANDY DALE GELTMEIER</t>
  </si>
  <si>
    <t>JEFFREY DONALD HARRIS</t>
  </si>
  <si>
    <t>HAROLD DEE FLOYD</t>
  </si>
  <si>
    <t>CHARLES WALTER FERS</t>
  </si>
  <si>
    <t>JOHN THOMAS ZINKER</t>
  </si>
  <si>
    <t>MONTGOMERY CNTY CONSTABLE PCT 5</t>
  </si>
  <si>
    <t>MONTGOMERY COUNTY CONSTABLE  PCT 1</t>
  </si>
  <si>
    <t>MOORE MEDICAL LLC</t>
  </si>
  <si>
    <t>MOTOROLA SOLUTIONS INC</t>
  </si>
  <si>
    <t>NALCO COMPANY LLC</t>
  </si>
  <si>
    <t>NASH ELECTRONICS INC</t>
  </si>
  <si>
    <t>NATIONAL FOOD GROUP INC</t>
  </si>
  <si>
    <t>NOTEPAGE INC</t>
  </si>
  <si>
    <t>O'REILLY AUTOMOTIVE  INC.</t>
  </si>
  <si>
    <t>SOUTHERN FOODS GROUP LP</t>
  </si>
  <si>
    <t>OFFICE DEPOT</t>
  </si>
  <si>
    <t>OLDCASTLE MATERIALS TEXAS INC</t>
  </si>
  <si>
    <t>OMNI CORPUS CHRISTI HOTEL</t>
  </si>
  <si>
    <t>P.O.U. PARTNERS LLC</t>
  </si>
  <si>
    <t>ROGER C OSBORN</t>
  </si>
  <si>
    <t>OSBURN ASSOCIATES INC.</t>
  </si>
  <si>
    <t>DURASERV CORP</t>
  </si>
  <si>
    <t>PAIGE TRACTORS INC</t>
  </si>
  <si>
    <t>="18" SAW/PCT#2"</t>
  </si>
  <si>
    <t>SL PARKER PARTNERSHIP LLC</t>
  </si>
  <si>
    <t>PATHMARK TRAFFIC PRODUCTS</t>
  </si>
  <si>
    <t>PATRICK ELECTRIC SERVICE</t>
  </si>
  <si>
    <t>JACOB  COX</t>
  </si>
  <si>
    <t>PATTERSON  VETERINARY SUPPLY INC</t>
  </si>
  <si>
    <t>PAUL GRANADO</t>
  </si>
  <si>
    <t>PETHEALTH SERVICES(USA) INC.</t>
  </si>
  <si>
    <t>PHILIP R DUCLOUX</t>
  </si>
  <si>
    <t>PITNEY BOWES GLOBAL FINANCIAL SERVICES</t>
  </si>
  <si>
    <t>PM WILSON &amp; ASSOCIATES PLLC</t>
  </si>
  <si>
    <t>POSTMASTER</t>
  </si>
  <si>
    <t>PRAXAIR DISTRIBUTION  INC.</t>
  </si>
  <si>
    <t>PRODUCTION SPECIALTY INCORPORATED</t>
  </si>
  <si>
    <t>PRODUCTIVITY CENTER INC</t>
  </si>
  <si>
    <t>ELGIN PROVIDENCE LLC</t>
  </si>
  <si>
    <t>AEGEAN LLC</t>
  </si>
  <si>
    <t>PAUL EDWARD WILKENS</t>
  </si>
  <si>
    <t>QUEST DIAGNOSTICS</t>
  </si>
  <si>
    <t>QUILL CORPORATION</t>
  </si>
  <si>
    <t>RAY'S CRANE SERVICE INC</t>
  </si>
  <si>
    <t>RDO TRUST # 80-5800</t>
  </si>
  <si>
    <t>NESTLE WATERS N AMERICA INC</t>
  </si>
  <si>
    <t>RED ROCK GROCERY</t>
  </si>
  <si>
    <t>REPUBLIC SERVICES INC BFI WASTE SERVICE</t>
  </si>
  <si>
    <t>RESERVE ACCOUNT</t>
  </si>
  <si>
    <t>REYNOLDS &amp; KEINARTH</t>
  </si>
  <si>
    <t>RIATA FORD</t>
  </si>
  <si>
    <t>RICOH</t>
  </si>
  <si>
    <t>RICOH USA INC</t>
  </si>
  <si>
    <t>RICOH AMERICAS CORP</t>
  </si>
  <si>
    <t>JOEL RIVERA -PEDRAZA</t>
  </si>
  <si>
    <t>RUNKLE ENTERPRISES</t>
  </si>
  <si>
    <t>ROADRUNNER RADIOLOGY EQUIP LLC</t>
  </si>
  <si>
    <t>ROBERTSON COUNTY SHERIFF</t>
  </si>
  <si>
    <t>ROGERS CUSTOM AUTOMOTIVE</t>
  </si>
  <si>
    <t>ROSE PIETSCH COUNTY CLERK</t>
  </si>
  <si>
    <t>RUBY C. TAYLOR</t>
  </si>
  <si>
    <t>360"</t>
  </si>
  <si>
    <t>RUSSELL ABEL</t>
  </si>
  <si>
    <t>SAMMY LERMA III MD</t>
  </si>
  <si>
    <t>SAN PATRICIO COUNTY SHERIFF</t>
  </si>
  <si>
    <t>SCOTT MERRIMAN INC</t>
  </si>
  <si>
    <t>SETON MEDICAL CENTER</t>
  </si>
  <si>
    <t>SETON FAMILY OF HOSPITALS</t>
  </si>
  <si>
    <t>SHARON HANCOCK</t>
  </si>
  <si>
    <t>962  8/15/17"</t>
  </si>
  <si>
    <t>FERRELLGAS  LP</t>
  </si>
  <si>
    <t>SHI GOVERNMENT SOLUTIONS INC.</t>
  </si>
  <si>
    <t>SHOPPA'S FARM SUPPLY</t>
  </si>
  <si>
    <t>SIGNATURE SMILES</t>
  </si>
  <si>
    <t>SKYLINE EQUIPMENT INC.</t>
  </si>
  <si>
    <t>ROBERT M SMITH JR</t>
  </si>
  <si>
    <t>SMITHVILLE AUTO PARTS  INC</t>
  </si>
  <si>
    <t>SOLARWINDS</t>
  </si>
  <si>
    <t>SOUTHERN TIRE MART LLC</t>
  </si>
  <si>
    <t>SPECIALTY VETERINARY PHARMACY INC</t>
  </si>
  <si>
    <t>SPOK INC</t>
  </si>
  <si>
    <t>ST.DAVID'S HEALTHCARE PARTNERSHIP</t>
  </si>
  <si>
    <t>STAPLES ADVANTAGE</t>
  </si>
  <si>
    <t>STATE OF TEXAS</t>
  </si>
  <si>
    <t>STERICYCLE  INC.</t>
  </si>
  <si>
    <t>STEVE GRANADO</t>
  </si>
  <si>
    <t>MATTHEW LEE SULLINS</t>
  </si>
  <si>
    <t>SXSW LLC</t>
  </si>
  <si>
    <t>TX ASSN OF CONVENTION &amp; VISITORS BUREAU</t>
  </si>
  <si>
    <t>TAMARA BATOT</t>
  </si>
  <si>
    <t>TARRANT COUNTY CONSTABLE PCT 7</t>
  </si>
  <si>
    <t>TAVCO SERVICES INC</t>
  </si>
  <si>
    <t>TX COMM ON LAW ENFORCEMENT</t>
  </si>
  <si>
    <t>TEJAS ELEVATOR COMPANY</t>
  </si>
  <si>
    <t>TERENCE W MEADOWS</t>
  </si>
  <si>
    <t>TERRA EXCAVATION &amp; CONSTRUCTION LLC</t>
  </si>
  <si>
    <t>AIR RELIEF TECHNOLOGIES INC</t>
  </si>
  <si>
    <t>JOHN J FIETSAM INC</t>
  </si>
  <si>
    <t>TEX-CON OIL CO</t>
  </si>
  <si>
    <t>TEXAN EYE  P.A.</t>
  </si>
  <si>
    <t>TEXAS A&amp;M AGRILIFE EXTENSION</t>
  </si>
  <si>
    <t>TEXAS A&amp;M AGRILIFE EXTENSION SERVICE</t>
  </si>
  <si>
    <t>TEXAS AGGREGATES  LLC</t>
  </si>
  <si>
    <t>TEXAS AMERICAN TITLE COMPANY - INDEPENDENCE TITLE</t>
  </si>
  <si>
    <t>TEXAS ASSOCIATES INSURORS AGENCY</t>
  </si>
  <si>
    <t>TEXAS BLACKLAND HARDWARE</t>
  </si>
  <si>
    <t>TEXAS CONFERENCE OF URBAN COUNTIES</t>
  </si>
  <si>
    <t>TEXAS CRUSHED STONE CO.</t>
  </si>
  <si>
    <t>TEXAS DEPT OF PUBLIC SAFETY</t>
  </si>
  <si>
    <t>TEXAS DISTRICT COURT ALLIANCE</t>
  </si>
  <si>
    <t>TEXAS PARKS &amp; WILDLIFE FUNDS</t>
  </si>
  <si>
    <t>JAMES ANDREW CASEY</t>
  </si>
  <si>
    <t>RICHARD NELSON MOORE</t>
  </si>
  <si>
    <t>THE PORTER COMPANY</t>
  </si>
  <si>
    <t>THE SUMMERILL GROUP LLC</t>
  </si>
  <si>
    <t>THOMAS ALLEN THARP</t>
  </si>
  <si>
    <t>481  8/31/17"</t>
  </si>
  <si>
    <t>TIM SPARKMAN</t>
  </si>
  <si>
    <t>TWE-ADVANCE/NEWHOUSE PARTNERSHIP</t>
  </si>
  <si>
    <t>TRAVEL MART CONV.BASTROP</t>
  </si>
  <si>
    <t>TRAVIS CO CONSTABLE  PCT 5</t>
  </si>
  <si>
    <t>TRAVIS COUNTY CLERK</t>
  </si>
  <si>
    <t>TRAVIS COUNTY TREASURER</t>
  </si>
  <si>
    <t>TREADMAXX TIRE DISTRIBUTORS  INC.</t>
  </si>
  <si>
    <t>TRI-COUNTY PRACTICE ASSOCIATION</t>
  </si>
  <si>
    <t>TRIPLE S FUELS</t>
  </si>
  <si>
    <t>TRACTOR SUPPLY CREDIT PLAN</t>
  </si>
  <si>
    <t>TULL FARLEY</t>
  </si>
  <si>
    <t>TEXAS DEPARTMENT OF TRANSPORTATION</t>
  </si>
  <si>
    <t>TYLER TECHNOLOGIES INC</t>
  </si>
  <si>
    <t>TYLER TECHNOLOGIES LGD</t>
  </si>
  <si>
    <t>ULINE</t>
  </si>
  <si>
    <t>HUGO RODRIGUEZ</t>
  </si>
  <si>
    <t>DEPARTMENT OF STATE HEALTH SERVICES</t>
  </si>
  <si>
    <t>VITALOGY PA</t>
  </si>
  <si>
    <t>VULCAN  INC.</t>
  </si>
  <si>
    <t>WAGEWORKS INC  FSA/HSA</t>
  </si>
  <si>
    <t>WALLER COUNTY ASPHALT INC</t>
  </si>
  <si>
    <t>WALMART COMMUNITY BRC</t>
  </si>
  <si>
    <t>WASTE MANAGEMENT OF TEXAS INC</t>
  </si>
  <si>
    <t>PROGRESSIVE WASTE SOLUTIONS OF TX. INC.</t>
  </si>
  <si>
    <t>COBRA EQUIPMENT RENTALS</t>
  </si>
  <si>
    <t>WEBB SUPPLY COMPANY  INC.</t>
  </si>
  <si>
    <t>WEI-ANN LIN  MD PA</t>
  </si>
  <si>
    <t>MAO PHARMACY INC</t>
  </si>
  <si>
    <t>WHARTON COUNTY SHERIFF</t>
  </si>
  <si>
    <t>WILLIAMSON CNTY CONSTABLE # 2</t>
  </si>
  <si>
    <t>WILLIAMSON CNTY CONSTABLE 4</t>
  </si>
  <si>
    <t>WILLIAMSON COUNTY CONSTABLE 3</t>
  </si>
  <si>
    <t>WILSON CULVERTS  INC.</t>
  </si>
  <si>
    <t>XEROX CORPORATION</t>
  </si>
  <si>
    <t>YOUNG &amp; PRATT  INC.</t>
  </si>
  <si>
    <t>YRC</t>
  </si>
  <si>
    <t>ASHLEY DOBOS</t>
  </si>
  <si>
    <t>BBTC LLC</t>
  </si>
  <si>
    <t>BASTROP COUNTY PROBATION DEPT</t>
  </si>
  <si>
    <t>BROADDUS &amp; ASSOCIATES</t>
  </si>
  <si>
    <t>CAPITOL AREA COUNCIL INC. BOY SCOUTS OF AMERICA</t>
  </si>
  <si>
    <t>KIRKSEY ARCHITECTS  INC.</t>
  </si>
  <si>
    <t>LANGFORD COMMUNITY MGMT INC</t>
  </si>
  <si>
    <t>MUSTANG MACHINERY COMPANY LTD</t>
  </si>
  <si>
    <t>PAC-VAN. INC.</t>
  </si>
  <si>
    <t>="40" Container Down Paymen"</t>
  </si>
  <si>
    <t>SPEED FAB-CRETE CORPORATION</t>
  </si>
  <si>
    <t>WJC CONSTRUCTION LLC</t>
  </si>
  <si>
    <t>ALLSTATE-AMERICAN HERITAGE LIFE INS CO</t>
  </si>
  <si>
    <t>BASTROP ASSN OF SHERIFFS EMPLOYEES</t>
  </si>
  <si>
    <t>BASTROP CNTY ADULT PROBATION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</si>
  <si>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</si>
  <si>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</si>
  <si>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</si>
  <si>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</si>
  <si>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</si>
  <si>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</si>
  <si>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</si>
  <si>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</si>
  <si>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</si>
  <si>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</si>
  <si>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</si>
  <si>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</si>
  <si>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</si>
  <si>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</si>
  <si>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</si>
  <si>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VERITY NATIONAL GROUP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</si>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</sst>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2"/>
  <sheetViews>
    <sheetView tabSelected="1" workbookViewId="0">
      <selection activeCell="D2" sqref="D2"/>
    </sheetView>
  </sheetViews>
  <sheetFormatPr defaultRowHeight="14.4" x14ac:dyDescent="0.3"/>
  <cols>
    <col min="1" max="1" width="8.77734375" bestFit="1" customWidth="1"/>
    <col min="2" max="2" width="51.109375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20.5546875" bestFit="1" customWidth="1"/>
    <col min="7" max="7" width="35.21875" bestFit="1" customWidth="1"/>
    <col min="8" max="8" width="31" style="2" bestFit="1" customWidth="1"/>
    <col min="9" max="9" width="35.21875" bestFit="1" customWidth="1"/>
    <col min="10" max="10" width="6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</row>
    <row r="2" spans="1:9" x14ac:dyDescent="0.3">
      <c r="A2" t="str">
        <f>"000001"</f>
        <v>000001</v>
      </c>
      <c r="B2" t="s">
        <v>9</v>
      </c>
      <c r="C2">
        <v>2070</v>
      </c>
      <c r="D2" s="2">
        <v>190.25</v>
      </c>
      <c r="E2" s="1">
        <v>42989</v>
      </c>
      <c r="F2" t="str">
        <f>"40485"</f>
        <v>40485</v>
      </c>
      <c r="G2" t="str">
        <f>"INTERNET ACCESS"</f>
        <v>INTERNET ACCESS</v>
      </c>
      <c r="H2" s="2">
        <v>145.5</v>
      </c>
      <c r="I2" t="str">
        <f>"INTERNET ACCESS"</f>
        <v>INTERNET ACCESS</v>
      </c>
    </row>
    <row r="3" spans="1:9" x14ac:dyDescent="0.3">
      <c r="A3" t="str">
        <f>""</f>
        <v/>
      </c>
      <c r="F3" t="str">
        <f>"40486"</f>
        <v>40486</v>
      </c>
      <c r="G3" t="str">
        <f>"INTERNET ACCESS"</f>
        <v>INTERNET ACCESS</v>
      </c>
      <c r="H3" s="2">
        <v>44.75</v>
      </c>
      <c r="I3" t="str">
        <f>"INTERNET ACCESS"</f>
        <v>INTERNET ACCESS</v>
      </c>
    </row>
    <row r="4" spans="1:9" x14ac:dyDescent="0.3">
      <c r="A4" t="str">
        <f>"000001"</f>
        <v>000001</v>
      </c>
      <c r="B4" t="s">
        <v>9</v>
      </c>
      <c r="C4">
        <v>2092</v>
      </c>
      <c r="D4" s="2">
        <v>1296.6199999999999</v>
      </c>
      <c r="E4" s="1">
        <v>43003</v>
      </c>
      <c r="F4" t="str">
        <f>"40477"</f>
        <v>40477</v>
      </c>
      <c r="G4" t="str">
        <f>"EQUIPMENT-TAIP"</f>
        <v>EQUIPMENT-TAIP</v>
      </c>
      <c r="H4" s="2">
        <v>1296.6199999999999</v>
      </c>
      <c r="I4" t="str">
        <f>"EQUIPMENT-TAIP"</f>
        <v>EQUIPMENT-TAIP</v>
      </c>
    </row>
    <row r="5" spans="1:9" x14ac:dyDescent="0.3">
      <c r="A5" t="str">
        <f>"000004"</f>
        <v>000004</v>
      </c>
      <c r="B5" t="s">
        <v>10</v>
      </c>
      <c r="C5">
        <v>2071</v>
      </c>
      <c r="D5" s="2">
        <v>714.53</v>
      </c>
      <c r="E5" s="1">
        <v>42989</v>
      </c>
      <c r="F5" t="str">
        <f>"201709064658"</f>
        <v>201709064658</v>
      </c>
      <c r="G5" t="str">
        <f>"ACCT#21ST75/VEHICLE MAINT"</f>
        <v>ACCT#21ST75/VEHICLE MAINT</v>
      </c>
      <c r="H5" s="2">
        <v>714.53</v>
      </c>
      <c r="I5" t="str">
        <f>"ACCT#21ST75/VEHICLE MAINT"</f>
        <v>ACCT#21ST75/VEHICLE MAINT</v>
      </c>
    </row>
    <row r="6" spans="1:9" x14ac:dyDescent="0.3">
      <c r="A6" t="str">
        <f>"000032"</f>
        <v>000032</v>
      </c>
      <c r="B6" t="s">
        <v>11</v>
      </c>
      <c r="C6">
        <v>2072</v>
      </c>
      <c r="D6" s="2">
        <v>179</v>
      </c>
      <c r="E6" s="1">
        <v>42989</v>
      </c>
      <c r="F6" t="str">
        <f>"201709064659"</f>
        <v>201709064659</v>
      </c>
      <c r="G6" t="str">
        <f>"OFFICE SUPPLIES"</f>
        <v>OFFICE SUPPLIES</v>
      </c>
      <c r="H6" s="2">
        <v>179</v>
      </c>
      <c r="I6" t="str">
        <f>"OFFICE SUPPLIES"</f>
        <v>OFFICE SUPPLIES</v>
      </c>
    </row>
    <row r="7" spans="1:9" x14ac:dyDescent="0.3">
      <c r="A7" t="str">
        <f>"000146"</f>
        <v>000146</v>
      </c>
      <c r="B7" t="s">
        <v>12</v>
      </c>
      <c r="C7">
        <v>999999</v>
      </c>
      <c r="D7" s="2">
        <v>6043</v>
      </c>
      <c r="E7" s="1">
        <v>43004</v>
      </c>
      <c r="F7" t="str">
        <f>"201709205017"</f>
        <v>201709205017</v>
      </c>
      <c r="G7" t="str">
        <f>"FY 2017 FISCAL SERVICE FEES"</f>
        <v>FY 2017 FISCAL SERVICE FEES</v>
      </c>
      <c r="H7" s="2">
        <v>6043</v>
      </c>
      <c r="I7" t="str">
        <f t="shared" ref="I7:I12" si="0">"FY 2017 FISCAL SERVICE FEES"</f>
        <v>FY 2017 FISCAL SERVICE FEES</v>
      </c>
    </row>
    <row r="8" spans="1:9" x14ac:dyDescent="0.3">
      <c r="A8" t="str">
        <f>""</f>
        <v/>
      </c>
      <c r="F8" t="str">
        <f>""</f>
        <v/>
      </c>
      <c r="G8" t="str">
        <f>""</f>
        <v/>
      </c>
      <c r="I8" t="str">
        <f t="shared" si="0"/>
        <v>FY 2017 FISCAL SERVICE FEES</v>
      </c>
    </row>
    <row r="9" spans="1:9" x14ac:dyDescent="0.3">
      <c r="A9" t="str">
        <f>""</f>
        <v/>
      </c>
      <c r="F9" t="str">
        <f>""</f>
        <v/>
      </c>
      <c r="G9" t="str">
        <f>""</f>
        <v/>
      </c>
      <c r="I9" t="str">
        <f t="shared" si="0"/>
        <v>FY 2017 FISCAL SERVICE FEES</v>
      </c>
    </row>
    <row r="10" spans="1:9" x14ac:dyDescent="0.3">
      <c r="A10" t="str">
        <f>""</f>
        <v/>
      </c>
      <c r="F10" t="str">
        <f>""</f>
        <v/>
      </c>
      <c r="G10" t="str">
        <f>""</f>
        <v/>
      </c>
      <c r="I10" t="str">
        <f t="shared" si="0"/>
        <v>FY 2017 FISCAL SERVICE FEES</v>
      </c>
    </row>
    <row r="11" spans="1:9" x14ac:dyDescent="0.3">
      <c r="A11" t="str">
        <f>""</f>
        <v/>
      </c>
      <c r="F11" t="str">
        <f>""</f>
        <v/>
      </c>
      <c r="G11" t="str">
        <f>""</f>
        <v/>
      </c>
      <c r="I11" t="str">
        <f t="shared" si="0"/>
        <v>FY 2017 FISCAL SERVICE FEES</v>
      </c>
    </row>
    <row r="12" spans="1:9" x14ac:dyDescent="0.3">
      <c r="A12" t="str">
        <f>""</f>
        <v/>
      </c>
      <c r="F12" t="str">
        <f>""</f>
        <v/>
      </c>
      <c r="G12" t="str">
        <f>""</f>
        <v/>
      </c>
      <c r="I12" t="str">
        <f t="shared" si="0"/>
        <v>FY 2017 FISCAL SERVICE FEES</v>
      </c>
    </row>
    <row r="13" spans="1:9" x14ac:dyDescent="0.3">
      <c r="A13" t="str">
        <f>"000096"</f>
        <v>000096</v>
      </c>
      <c r="B13" t="s">
        <v>13</v>
      </c>
      <c r="C13">
        <v>2073</v>
      </c>
      <c r="D13" s="2">
        <v>49.31</v>
      </c>
      <c r="E13" s="1">
        <v>42989</v>
      </c>
      <c r="F13" t="str">
        <f>"201709064660"</f>
        <v>201709064660</v>
      </c>
      <c r="G13" t="str">
        <f>"ACCT#1-26730/VEHICLE MAINT"</f>
        <v>ACCT#1-26730/VEHICLE MAINT</v>
      </c>
      <c r="H13" s="2">
        <v>49.31</v>
      </c>
      <c r="I13" t="str">
        <f>"ACCT#1-26730/VEHICLE MAINT"</f>
        <v>ACCT#1-26730/VEHICLE MAINT</v>
      </c>
    </row>
    <row r="14" spans="1:9" x14ac:dyDescent="0.3">
      <c r="A14" t="str">
        <f>"000009"</f>
        <v>000009</v>
      </c>
      <c r="B14" t="s">
        <v>14</v>
      </c>
      <c r="C14">
        <v>2093</v>
      </c>
      <c r="D14" s="2">
        <v>72.34</v>
      </c>
      <c r="E14" s="1">
        <v>43003</v>
      </c>
      <c r="F14" t="str">
        <f>"201709205008"</f>
        <v>201709205008</v>
      </c>
      <c r="G14" t="str">
        <f>"VEHICLE FUEL"</f>
        <v>VEHICLE FUEL</v>
      </c>
      <c r="H14" s="2">
        <v>72.34</v>
      </c>
      <c r="I14" t="str">
        <f>"VEHICLE FUEL"</f>
        <v>VEHICLE FUEL</v>
      </c>
    </row>
    <row r="15" spans="1:9" x14ac:dyDescent="0.3">
      <c r="A15" t="str">
        <f>""</f>
        <v/>
      </c>
      <c r="F15" t="str">
        <f>""</f>
        <v/>
      </c>
      <c r="G15" t="str">
        <f>""</f>
        <v/>
      </c>
      <c r="I15" t="str">
        <f>"VEHICLE FUEL"</f>
        <v>VEHICLE FUEL</v>
      </c>
    </row>
    <row r="16" spans="1:9" x14ac:dyDescent="0.3">
      <c r="A16" t="str">
        <f>"000071"</f>
        <v>000071</v>
      </c>
      <c r="B16" t="s">
        <v>15</v>
      </c>
      <c r="C16">
        <v>2102</v>
      </c>
      <c r="D16" s="2">
        <v>121.4</v>
      </c>
      <c r="E16" s="1">
        <v>43003</v>
      </c>
      <c r="F16" t="str">
        <f>"1418924072"</f>
        <v>1418924072</v>
      </c>
      <c r="G16" t="str">
        <f>"L/D PHONE SVC/BILL CYC 390-102"</f>
        <v>L/D PHONE SVC/BILL CYC 390-102</v>
      </c>
      <c r="H16" s="2">
        <v>121.4</v>
      </c>
      <c r="I16" t="str">
        <f>"L/D PHONE SVC/BILL CYC 390-102"</f>
        <v>L/D PHONE SVC/BILL CYC 390-102</v>
      </c>
    </row>
    <row r="17" spans="1:9" x14ac:dyDescent="0.3">
      <c r="A17" t="str">
        <f>"000074"</f>
        <v>000074</v>
      </c>
      <c r="B17" t="s">
        <v>16</v>
      </c>
      <c r="C17">
        <v>2074</v>
      </c>
      <c r="D17" s="2">
        <v>221.49</v>
      </c>
      <c r="E17" s="1">
        <v>42989</v>
      </c>
      <c r="F17" t="str">
        <f>"201709064661"</f>
        <v>201709064661</v>
      </c>
      <c r="G17" t="str">
        <f>"ACCT#100001-8659-708279001"</f>
        <v>ACCT#100001-8659-708279001</v>
      </c>
      <c r="H17" s="2">
        <v>221.49</v>
      </c>
      <c r="I17" t="str">
        <f>"ACCT#100001-8659-708279001"</f>
        <v>ACCT#100001-8659-708279001</v>
      </c>
    </row>
    <row r="18" spans="1:9" x14ac:dyDescent="0.3">
      <c r="A18" t="str">
        <f>"000048"</f>
        <v>000048</v>
      </c>
      <c r="B18" t="s">
        <v>17</v>
      </c>
      <c r="C18">
        <v>2094</v>
      </c>
      <c r="D18" s="2">
        <v>127.16</v>
      </c>
      <c r="E18" s="1">
        <v>43003</v>
      </c>
      <c r="F18" t="str">
        <f>"000000065155376709"</f>
        <v>000000065155376709</v>
      </c>
      <c r="G18" t="str">
        <f>"ACCT#065 155 376/VEH FUEL"</f>
        <v>ACCT#065 155 376/VEH FUEL</v>
      </c>
      <c r="H18" s="2">
        <v>127.16</v>
      </c>
      <c r="I18" t="str">
        <f>"ACCT#065 155 376/VEH FUEL"</f>
        <v>ACCT#065 155 376/VEH FUEL</v>
      </c>
    </row>
    <row r="19" spans="1:9" x14ac:dyDescent="0.3">
      <c r="A19" t="str">
        <f>""</f>
        <v/>
      </c>
      <c r="F19" t="str">
        <f>""</f>
        <v/>
      </c>
      <c r="G19" t="str">
        <f>""</f>
        <v/>
      </c>
      <c r="I19" t="str">
        <f>"ACCT#065 155 376/VEH FUEL"</f>
        <v>ACCT#065 155 376/VEH FUEL</v>
      </c>
    </row>
    <row r="20" spans="1:9" x14ac:dyDescent="0.3">
      <c r="A20" t="str">
        <f>""</f>
        <v/>
      </c>
      <c r="F20" t="str">
        <f>""</f>
        <v/>
      </c>
      <c r="G20" t="str">
        <f>""</f>
        <v/>
      </c>
      <c r="I20" t="str">
        <f>"ACCT#065 155 376/VEH FUEL"</f>
        <v>ACCT#065 155 376/VEH FUEL</v>
      </c>
    </row>
    <row r="21" spans="1:9" x14ac:dyDescent="0.3">
      <c r="A21" t="str">
        <f>""</f>
        <v/>
      </c>
      <c r="F21" t="str">
        <f>""</f>
        <v/>
      </c>
      <c r="G21" t="str">
        <f>""</f>
        <v/>
      </c>
      <c r="I21" t="str">
        <f>"ACCT#065 155 376/VEH FUEL"</f>
        <v>ACCT#065 155 376/VEH FUEL</v>
      </c>
    </row>
    <row r="22" spans="1:9" x14ac:dyDescent="0.3">
      <c r="A22" t="str">
        <f>"000018"</f>
        <v>000018</v>
      </c>
      <c r="B22" t="s">
        <v>18</v>
      </c>
      <c r="C22">
        <v>2075</v>
      </c>
      <c r="D22" s="2">
        <v>7960</v>
      </c>
      <c r="E22" s="1">
        <v>42989</v>
      </c>
      <c r="F22" t="str">
        <f>"201709064663"</f>
        <v>201709064663</v>
      </c>
      <c r="G22" t="str">
        <f>"PROFESSIONAL SVCS-OCTOBER 2017"</f>
        <v>PROFESSIONAL SVCS-OCTOBER 2017</v>
      </c>
      <c r="H22" s="2">
        <v>3980</v>
      </c>
      <c r="I22" t="str">
        <f>"PROFESSIONAL SVCS-OCTOBER 2017"</f>
        <v>PROFESSIONAL SVCS-OCTOBER 2017</v>
      </c>
    </row>
    <row r="23" spans="1:9" x14ac:dyDescent="0.3">
      <c r="A23" t="str">
        <f>""</f>
        <v/>
      </c>
      <c r="F23" t="str">
        <f>"32585"</f>
        <v>32585</v>
      </c>
      <c r="G23" t="str">
        <f>"PROFESSIONAL SVCS-SEPT 2017"</f>
        <v>PROFESSIONAL SVCS-SEPT 2017</v>
      </c>
      <c r="H23" s="2">
        <v>3980</v>
      </c>
      <c r="I23" t="str">
        <f>"PROFESSIONAL SVCS-SEPT 2017"</f>
        <v>PROFESSIONAL SVCS-SEPT 2017</v>
      </c>
    </row>
    <row r="24" spans="1:9" x14ac:dyDescent="0.3">
      <c r="A24" t="str">
        <f>"000003"</f>
        <v>000003</v>
      </c>
      <c r="B24" t="s">
        <v>19</v>
      </c>
      <c r="C24">
        <v>2107</v>
      </c>
      <c r="D24" s="2">
        <v>140</v>
      </c>
      <c r="E24" s="1">
        <v>43007</v>
      </c>
      <c r="F24" t="str">
        <f>"09-2017"</f>
        <v>09-2017</v>
      </c>
      <c r="G24" t="str">
        <f>"SERVICES 09/14/17"</f>
        <v>SERVICES 09/14/17</v>
      </c>
      <c r="H24" s="2">
        <v>140</v>
      </c>
      <c r="I24" t="str">
        <f>"DA AMUNDSON INC"</f>
        <v>DA AMUNDSON INC</v>
      </c>
    </row>
    <row r="25" spans="1:9" x14ac:dyDescent="0.3">
      <c r="A25" t="str">
        <f>""</f>
        <v/>
      </c>
      <c r="F25" t="str">
        <f>""</f>
        <v/>
      </c>
      <c r="G25" t="str">
        <f>""</f>
        <v/>
      </c>
      <c r="I25" t="str">
        <f>"DA AMUNDSON INC"</f>
        <v>DA AMUNDSON INC</v>
      </c>
    </row>
    <row r="26" spans="1:9" x14ac:dyDescent="0.3">
      <c r="A26" t="str">
        <f>"000081"</f>
        <v>000081</v>
      </c>
      <c r="B26" t="s">
        <v>20</v>
      </c>
      <c r="C26">
        <v>2076</v>
      </c>
      <c r="D26" s="2">
        <v>278.68</v>
      </c>
      <c r="E26" s="1">
        <v>42989</v>
      </c>
      <c r="F26" t="str">
        <f>"201709064664"</f>
        <v>201709064664</v>
      </c>
      <c r="G26" t="str">
        <f>"PER DIEM"</f>
        <v>PER DIEM</v>
      </c>
      <c r="H26" s="2">
        <v>278.68</v>
      </c>
      <c r="I26" t="str">
        <f>"PER DIEM"</f>
        <v>PER DIEM</v>
      </c>
    </row>
    <row r="27" spans="1:9" x14ac:dyDescent="0.3">
      <c r="A27" t="str">
        <f>"000081"</f>
        <v>000081</v>
      </c>
      <c r="B27" t="s">
        <v>20</v>
      </c>
      <c r="C27">
        <v>2095</v>
      </c>
      <c r="D27" s="2">
        <v>616.54999999999995</v>
      </c>
      <c r="E27" s="1">
        <v>43003</v>
      </c>
      <c r="F27" t="str">
        <f>"09-2017"</f>
        <v>09-2017</v>
      </c>
      <c r="G27" t="str">
        <f>"ASSESSMENTS &amp; TRAVEL"</f>
        <v>ASSESSMENTS &amp; TRAVEL</v>
      </c>
      <c r="H27" s="2">
        <v>140</v>
      </c>
    </row>
    <row r="28" spans="1:9" x14ac:dyDescent="0.3">
      <c r="A28" t="str">
        <f>""</f>
        <v/>
      </c>
      <c r="F28" t="str">
        <f>"201709205011"</f>
        <v>201709205011</v>
      </c>
      <c r="G28" t="str">
        <f>"PER DIEM-BASIC"</f>
        <v>PER DIEM-BASIC</v>
      </c>
      <c r="H28" s="2">
        <v>476.55</v>
      </c>
    </row>
    <row r="29" spans="1:9" x14ac:dyDescent="0.3">
      <c r="A29" t="str">
        <f>"000081"</f>
        <v>000081</v>
      </c>
      <c r="B29" t="s">
        <v>20</v>
      </c>
      <c r="C29">
        <v>2095</v>
      </c>
      <c r="D29" s="2">
        <v>616.54999999999995</v>
      </c>
      <c r="E29" s="1">
        <v>43003</v>
      </c>
      <c r="F29" t="str">
        <f>"CHECK"</f>
        <v>CHECK</v>
      </c>
      <c r="G29" t="str">
        <f>""</f>
        <v/>
      </c>
      <c r="H29" s="2">
        <v>616.54999999999995</v>
      </c>
    </row>
    <row r="30" spans="1:9" x14ac:dyDescent="0.3">
      <c r="A30" t="str">
        <f>"000081"</f>
        <v>000081</v>
      </c>
      <c r="B30" t="s">
        <v>20</v>
      </c>
      <c r="C30">
        <v>2108</v>
      </c>
      <c r="D30" s="2">
        <v>476.55</v>
      </c>
      <c r="E30" s="1">
        <v>43007</v>
      </c>
      <c r="F30" t="str">
        <f>"201709285181"</f>
        <v>201709285181</v>
      </c>
      <c r="G30" t="str">
        <f>"HOTEL &amp; PER DIEM - GALVESTON"</f>
        <v>HOTEL &amp; PER DIEM - GALVESTON</v>
      </c>
      <c r="H30" s="2">
        <v>476.55</v>
      </c>
      <c r="I30" t="str">
        <f>"HOTEL &amp; PER DIEM - GALVESTON"</f>
        <v>HOTEL &amp; PER DIEM - GALVESTON</v>
      </c>
    </row>
    <row r="31" spans="1:9" x14ac:dyDescent="0.3">
      <c r="A31" t="str">
        <f>"000069"</f>
        <v>000069</v>
      </c>
      <c r="B31" t="s">
        <v>21</v>
      </c>
      <c r="C31">
        <v>2078</v>
      </c>
      <c r="D31" s="2">
        <v>248.43</v>
      </c>
      <c r="E31" s="1">
        <v>42989</v>
      </c>
      <c r="F31" t="str">
        <f>"10306281"</f>
        <v>10306281</v>
      </c>
      <c r="G31" t="str">
        <f>"CUST#0004862/CSR EQUIPMENT"</f>
        <v>CUST#0004862/CSR EQUIPMENT</v>
      </c>
      <c r="H31" s="2">
        <v>248.43</v>
      </c>
      <c r="I31" t="str">
        <f>"CUST#0004862/CSR EQUIPMENT"</f>
        <v>CUST#0004862/CSR EQUIPMENT</v>
      </c>
    </row>
    <row r="32" spans="1:9" x14ac:dyDescent="0.3">
      <c r="A32" t="str">
        <f>"000106"</f>
        <v>000106</v>
      </c>
      <c r="B32" t="s">
        <v>22</v>
      </c>
      <c r="C32">
        <v>2079</v>
      </c>
      <c r="D32" s="2">
        <v>179.97</v>
      </c>
      <c r="E32" s="1">
        <v>42989</v>
      </c>
      <c r="F32" t="str">
        <f>"201709064665"</f>
        <v>201709064665</v>
      </c>
      <c r="G32" t="str">
        <f>"MILEAGE"</f>
        <v>MILEAGE</v>
      </c>
      <c r="H32" s="2">
        <v>179.97</v>
      </c>
      <c r="I32" t="str">
        <f>"MILEAGE"</f>
        <v>MILEAGE</v>
      </c>
    </row>
    <row r="33" spans="1:9" x14ac:dyDescent="0.3">
      <c r="A33" t="str">
        <f>"000062"</f>
        <v>000062</v>
      </c>
      <c r="B33" t="s">
        <v>23</v>
      </c>
      <c r="C33">
        <v>2096</v>
      </c>
      <c r="D33" s="2">
        <v>44.39</v>
      </c>
      <c r="E33" s="1">
        <v>43003</v>
      </c>
      <c r="F33" t="str">
        <f>"1658327-IN"</f>
        <v>1658327-IN</v>
      </c>
      <c r="G33" t="str">
        <f>"U/A SUPPLIES"</f>
        <v>U/A SUPPLIES</v>
      </c>
      <c r="H33" s="2">
        <v>44.39</v>
      </c>
      <c r="I33" t="str">
        <f>"U/A SUPPLIES"</f>
        <v>U/A SUPPLIES</v>
      </c>
    </row>
    <row r="34" spans="1:9" x14ac:dyDescent="0.3">
      <c r="A34" t="str">
        <f>"000115"</f>
        <v>000115</v>
      </c>
      <c r="B34" t="s">
        <v>24</v>
      </c>
      <c r="C34">
        <v>2080</v>
      </c>
      <c r="D34" s="2">
        <v>141.05000000000001</v>
      </c>
      <c r="E34" s="1">
        <v>42989</v>
      </c>
      <c r="F34" t="str">
        <f>"201709064666"</f>
        <v>201709064666</v>
      </c>
      <c r="G34" t="str">
        <f>" CSR SUPPLIES/STATEMENT"</f>
        <v xml:space="preserve"> CSR SUPPLIES/STATEMENT</v>
      </c>
      <c r="H34" s="2">
        <v>141.05000000000001</v>
      </c>
      <c r="I34" t="str">
        <f>" CSR SUPPLIES/STATEMENT"</f>
        <v xml:space="preserve"> CSR SUPPLIES/STATEMENT</v>
      </c>
    </row>
    <row r="35" spans="1:9" x14ac:dyDescent="0.3">
      <c r="A35" t="str">
        <f>"000107"</f>
        <v>000107</v>
      </c>
      <c r="B35" t="s">
        <v>25</v>
      </c>
      <c r="C35">
        <v>2097</v>
      </c>
      <c r="D35" s="2">
        <v>28.35</v>
      </c>
      <c r="E35" s="1">
        <v>43003</v>
      </c>
      <c r="F35" t="str">
        <f>"201709205012"</f>
        <v>201709205012</v>
      </c>
      <c r="G35" t="str">
        <f>"8/23 TO 8/31 MILEAGE"</f>
        <v>8/23 TO 8/31 MILEAGE</v>
      </c>
      <c r="H35" s="2">
        <v>28.35</v>
      </c>
      <c r="I35" t="str">
        <f>"8/23 TO 8/31 MILEAGE"</f>
        <v>8/23 TO 8/31 MILEAGE</v>
      </c>
    </row>
    <row r="36" spans="1:9" x14ac:dyDescent="0.3">
      <c r="A36" t="str">
        <f>"000175"</f>
        <v>000175</v>
      </c>
      <c r="B36" t="s">
        <v>26</v>
      </c>
      <c r="C36">
        <v>2081</v>
      </c>
      <c r="D36" s="2">
        <v>110</v>
      </c>
      <c r="E36" s="1">
        <v>42989</v>
      </c>
      <c r="F36" t="str">
        <f>"201709064667"</f>
        <v>201709064667</v>
      </c>
      <c r="G36" t="str">
        <f>"VEHICLE MAINT"</f>
        <v>VEHICLE MAINT</v>
      </c>
      <c r="H36" s="2">
        <v>110</v>
      </c>
      <c r="I36" t="str">
        <f>"VEHICLE MAINT"</f>
        <v>VEHICLE MAINT</v>
      </c>
    </row>
    <row r="37" spans="1:9" x14ac:dyDescent="0.3">
      <c r="A37" t="str">
        <f>"000174"</f>
        <v>000174</v>
      </c>
      <c r="B37" t="s">
        <v>27</v>
      </c>
      <c r="C37">
        <v>2082</v>
      </c>
      <c r="D37" s="2">
        <v>37863.5</v>
      </c>
      <c r="E37" s="1">
        <v>42989</v>
      </c>
      <c r="F37" t="str">
        <f>"201709064668"</f>
        <v>201709064668</v>
      </c>
      <c r="G37" t="str">
        <f>"ORD#VNMGSV/2018 CHEV MALIBU"</f>
        <v>ORD#VNMGSV/2018 CHEV MALIBU</v>
      </c>
      <c r="H37" s="2">
        <v>18931.75</v>
      </c>
      <c r="I37" t="str">
        <f>"2018 CHEV MALIBU"</f>
        <v>2018 CHEV MALIBU</v>
      </c>
    </row>
    <row r="38" spans="1:9" x14ac:dyDescent="0.3">
      <c r="A38" t="str">
        <f>""</f>
        <v/>
      </c>
      <c r="F38" t="str">
        <f>"201709064669"</f>
        <v>201709064669</v>
      </c>
      <c r="G38" t="str">
        <f>"ORD#VNMGSW/2018 CHEV MALIBU"</f>
        <v>ORD#VNMGSW/2018 CHEV MALIBU</v>
      </c>
      <c r="H38" s="2">
        <v>18931.75</v>
      </c>
      <c r="I38" t="str">
        <f>"ORD#VNMGSW/2018 CHEV MALIBU"</f>
        <v>ORD#VNMGSW/2018 CHEV MALIBU</v>
      </c>
    </row>
    <row r="39" spans="1:9" x14ac:dyDescent="0.3">
      <c r="A39" t="str">
        <f>"000022"</f>
        <v>000022</v>
      </c>
      <c r="B39" t="s">
        <v>28</v>
      </c>
      <c r="C39">
        <v>2083</v>
      </c>
      <c r="D39" s="2">
        <v>379.98</v>
      </c>
      <c r="E39" s="1">
        <v>42989</v>
      </c>
      <c r="F39" t="str">
        <f>"257575"</f>
        <v>257575</v>
      </c>
      <c r="G39" t="str">
        <f>"ACCT#1236/CSR EQUIPMENT"</f>
        <v>ACCT#1236/CSR EQUIPMENT</v>
      </c>
      <c r="H39" s="2">
        <v>379.98</v>
      </c>
      <c r="I39" t="str">
        <f>"ACCT#1236/CSR EQUIPMENT"</f>
        <v>ACCT#1236/CSR EQUIPMENT</v>
      </c>
    </row>
    <row r="40" spans="1:9" x14ac:dyDescent="0.3">
      <c r="A40" t="str">
        <f>"000037"</f>
        <v>000037</v>
      </c>
      <c r="B40" t="s">
        <v>29</v>
      </c>
      <c r="C40">
        <v>2098</v>
      </c>
      <c r="D40" s="2">
        <v>50</v>
      </c>
      <c r="E40" s="1">
        <v>43003</v>
      </c>
      <c r="F40" t="str">
        <f>"1223984-20170831"</f>
        <v>1223984-20170831</v>
      </c>
      <c r="G40" t="str">
        <f>"BILLING ID#1223984"</f>
        <v>BILLING ID#1223984</v>
      </c>
      <c r="H40" s="2">
        <v>50</v>
      </c>
      <c r="I40" t="str">
        <f>"BILLING ID#1223984"</f>
        <v>BILLING ID#1223984</v>
      </c>
    </row>
    <row r="41" spans="1:9" x14ac:dyDescent="0.3">
      <c r="A41" t="str">
        <f>"000086"</f>
        <v>000086</v>
      </c>
      <c r="B41" t="s">
        <v>30</v>
      </c>
      <c r="C41">
        <v>2099</v>
      </c>
      <c r="D41" s="2">
        <v>149</v>
      </c>
      <c r="E41" s="1">
        <v>43003</v>
      </c>
      <c r="F41" t="str">
        <f>"201709205013"</f>
        <v>201709205013</v>
      </c>
      <c r="G41" t="str">
        <f>"LMI RENEWAL"</f>
        <v>LMI RENEWAL</v>
      </c>
      <c r="H41" s="2">
        <v>149</v>
      </c>
      <c r="I41" t="str">
        <f>"LMI RENEWAL"</f>
        <v>LMI RENEWAL</v>
      </c>
    </row>
    <row r="42" spans="1:9" x14ac:dyDescent="0.3">
      <c r="A42" t="str">
        <f>"000114"</f>
        <v>000114</v>
      </c>
      <c r="B42" t="s">
        <v>31</v>
      </c>
      <c r="C42">
        <v>2084</v>
      </c>
      <c r="D42" s="2">
        <v>176.29</v>
      </c>
      <c r="E42" s="1">
        <v>42989</v>
      </c>
      <c r="F42" t="str">
        <f>"957294073001"</f>
        <v>957294073001</v>
      </c>
      <c r="G42" t="str">
        <f>"OFFICE SUPPLIES"</f>
        <v>OFFICE SUPPLIES</v>
      </c>
      <c r="H42" s="2">
        <v>16.78</v>
      </c>
      <c r="I42" t="str">
        <f>"OFFICE SUPPLIES"</f>
        <v>OFFICE SUPPLIES</v>
      </c>
    </row>
    <row r="43" spans="1:9" x14ac:dyDescent="0.3">
      <c r="A43" t="str">
        <f>""</f>
        <v/>
      </c>
      <c r="F43" t="str">
        <f>"957294785001"</f>
        <v>957294785001</v>
      </c>
      <c r="G43" t="str">
        <f>"OFFICE SUPPLIES"</f>
        <v>OFFICE SUPPLIES</v>
      </c>
      <c r="H43" s="2">
        <v>159.51</v>
      </c>
      <c r="I43" t="str">
        <f>"OFFICE SUPPLIES"</f>
        <v>OFFICE SUPPLIES</v>
      </c>
    </row>
    <row r="44" spans="1:9" x14ac:dyDescent="0.3">
      <c r="A44" t="str">
        <f>"000114"</f>
        <v>000114</v>
      </c>
      <c r="B44" t="s">
        <v>31</v>
      </c>
      <c r="C44">
        <v>2100</v>
      </c>
      <c r="D44" s="2">
        <v>396.42</v>
      </c>
      <c r="E44" s="1">
        <v>43003</v>
      </c>
      <c r="F44" t="str">
        <f>"961953607001"</f>
        <v>961953607001</v>
      </c>
      <c r="G44" t="str">
        <f>"ACCT#60805099/BILLING ID375503"</f>
        <v>ACCT#60805099/BILLING ID375503</v>
      </c>
      <c r="H44" s="2">
        <v>103.99</v>
      </c>
      <c r="I44" t="str">
        <f>"ACCT#60805099/BILLING ID375503"</f>
        <v>ACCT#60805099/BILLING ID375503</v>
      </c>
    </row>
    <row r="45" spans="1:9" x14ac:dyDescent="0.3">
      <c r="A45" t="str">
        <f>""</f>
        <v/>
      </c>
      <c r="F45" t="str">
        <f>"961954458001"</f>
        <v>961954458001</v>
      </c>
      <c r="G45" t="str">
        <f>"ACCT#60805099/BILLING #3755073"</f>
        <v>ACCT#60805099/BILLING #3755073</v>
      </c>
      <c r="H45" s="2">
        <v>119.96</v>
      </c>
      <c r="I45" t="str">
        <f>"ACCT#60805099/BILLING #3755073"</f>
        <v>ACCT#60805099/BILLING #3755073</v>
      </c>
    </row>
    <row r="46" spans="1:9" x14ac:dyDescent="0.3">
      <c r="A46" t="str">
        <f>""</f>
        <v/>
      </c>
      <c r="F46" t="str">
        <f>"962158219001"</f>
        <v>962158219001</v>
      </c>
      <c r="G46" t="str">
        <f>"ACCT#60805099/BILLING #3755073"</f>
        <v>ACCT#60805099/BILLING #3755073</v>
      </c>
      <c r="H46" s="2">
        <v>91.32</v>
      </c>
      <c r="I46" t="str">
        <f>"ACCT#60805099/BILLING #3755073"</f>
        <v>ACCT#60805099/BILLING #3755073</v>
      </c>
    </row>
    <row r="47" spans="1:9" x14ac:dyDescent="0.3">
      <c r="A47" t="str">
        <f>""</f>
        <v/>
      </c>
      <c r="F47" t="str">
        <f>"962158925001"</f>
        <v>962158925001</v>
      </c>
      <c r="G47" t="str">
        <f>"ACCT#60805099/BILLING#3755073"</f>
        <v>ACCT#60805099/BILLING#3755073</v>
      </c>
      <c r="H47" s="2">
        <v>81.150000000000006</v>
      </c>
      <c r="I47" t="str">
        <f>"ACCT#60805099/BILLING#3755073"</f>
        <v>ACCT#60805099/BILLING#3755073</v>
      </c>
    </row>
    <row r="48" spans="1:9" x14ac:dyDescent="0.3">
      <c r="A48" t="str">
        <f>"000126"</f>
        <v>000126</v>
      </c>
      <c r="B48" t="s">
        <v>32</v>
      </c>
      <c r="C48">
        <v>2101</v>
      </c>
      <c r="D48" s="2">
        <v>47</v>
      </c>
      <c r="E48" s="1">
        <v>43003</v>
      </c>
      <c r="F48" t="str">
        <f>"81398"</f>
        <v>81398</v>
      </c>
      <c r="G48" t="str">
        <f>"U/A CONFIRMATION"</f>
        <v>U/A CONFIRMATION</v>
      </c>
      <c r="H48" s="2">
        <v>47</v>
      </c>
      <c r="I48" t="str">
        <f>"U/A CONFIRMATION"</f>
        <v>U/A CONFIRMATION</v>
      </c>
    </row>
    <row r="49" spans="1:9" x14ac:dyDescent="0.3">
      <c r="A49" t="str">
        <f>"000073"</f>
        <v>000073</v>
      </c>
      <c r="B49" t="s">
        <v>33</v>
      </c>
      <c r="C49">
        <v>2103</v>
      </c>
      <c r="D49" s="2">
        <v>260</v>
      </c>
      <c r="E49" s="1">
        <v>43003</v>
      </c>
      <c r="F49" t="str">
        <f>"616736"</f>
        <v>616736</v>
      </c>
      <c r="G49" t="str">
        <f>"CUST#112892/ UA SUPPLIES"</f>
        <v>CUST#112892/ UA SUPPLIES</v>
      </c>
      <c r="H49" s="2">
        <v>260</v>
      </c>
      <c r="I49" t="str">
        <f>"CUST#112892/ UA SUPPLIES"</f>
        <v>CUST#112892/ UA SUPPLIES</v>
      </c>
    </row>
    <row r="50" spans="1:9" x14ac:dyDescent="0.3">
      <c r="A50" t="str">
        <f>"000112"</f>
        <v>000112</v>
      </c>
      <c r="B50" t="s">
        <v>34</v>
      </c>
      <c r="C50">
        <v>2077</v>
      </c>
      <c r="D50" s="2">
        <v>346</v>
      </c>
      <c r="E50" s="1">
        <v>42989</v>
      </c>
      <c r="F50" t="str">
        <f>"99313800"</f>
        <v>99313800</v>
      </c>
      <c r="G50" t="str">
        <f>"LEASED EQUIPMENT"</f>
        <v>LEASED EQUIPMENT</v>
      </c>
      <c r="H50" s="2">
        <v>178</v>
      </c>
      <c r="I50" t="str">
        <f>"LEASED EQUIPMENT"</f>
        <v>LEASED EQUIPMENT</v>
      </c>
    </row>
    <row r="51" spans="1:9" x14ac:dyDescent="0.3">
      <c r="A51" t="str">
        <f>""</f>
        <v/>
      </c>
      <c r="F51" t="str">
        <f>"99314731"</f>
        <v>99314731</v>
      </c>
      <c r="G51" t="str">
        <f>"LEASED EQUIPMENT"</f>
        <v>LEASED EQUIPMENT</v>
      </c>
      <c r="H51" s="2">
        <v>168</v>
      </c>
      <c r="I51" t="str">
        <f>"LEASED EQUIPMENT"</f>
        <v>LEASED EQUIPMENT</v>
      </c>
    </row>
    <row r="52" spans="1:9" x14ac:dyDescent="0.3">
      <c r="A52" t="str">
        <f>"000065"</f>
        <v>000065</v>
      </c>
      <c r="B52" t="s">
        <v>35</v>
      </c>
      <c r="C52">
        <v>2085</v>
      </c>
      <c r="D52" s="2">
        <v>38.520000000000003</v>
      </c>
      <c r="E52" s="1">
        <v>42989</v>
      </c>
      <c r="F52" t="str">
        <f>"156584"</f>
        <v>156584</v>
      </c>
      <c r="G52" t="str">
        <f>"ACCT#PROBAT/VEHICLE FUEL"</f>
        <v>ACCT#PROBAT/VEHICLE FUEL</v>
      </c>
      <c r="H52" s="2">
        <v>38.520000000000003</v>
      </c>
      <c r="I52" t="str">
        <f>"ACCT#PROBAT/VEHICLE FUEL"</f>
        <v>ACCT#PROBAT/VEHICLE FUEL</v>
      </c>
    </row>
    <row r="53" spans="1:9" x14ac:dyDescent="0.3">
      <c r="A53" t="str">
        <f>"000029"</f>
        <v>000029</v>
      </c>
      <c r="B53" t="s">
        <v>36</v>
      </c>
      <c r="C53">
        <v>2086</v>
      </c>
      <c r="D53" s="2">
        <v>175</v>
      </c>
      <c r="E53" s="1">
        <v>42989</v>
      </c>
      <c r="F53" t="str">
        <f>"201709064662"</f>
        <v>201709064662</v>
      </c>
      <c r="G53" t="str">
        <f>"45TH ANNUAL CHIEF PROB OFF CON"</f>
        <v>45TH ANNUAL CHIEF PROB OFF CON</v>
      </c>
      <c r="H53" s="2">
        <v>175</v>
      </c>
      <c r="I53" t="str">
        <f>"45TH ANNUAL CHIEF PROB OFF CON"</f>
        <v>45TH ANNUAL CHIEF PROB OFF CON</v>
      </c>
    </row>
    <row r="54" spans="1:9" x14ac:dyDescent="0.3">
      <c r="A54" t="str">
        <f>"000029"</f>
        <v>000029</v>
      </c>
      <c r="B54" t="s">
        <v>36</v>
      </c>
      <c r="C54">
        <v>2104</v>
      </c>
      <c r="D54" s="2">
        <v>225</v>
      </c>
      <c r="E54" s="1">
        <v>43003</v>
      </c>
      <c r="F54" t="str">
        <f>"201709205014"</f>
        <v>201709205014</v>
      </c>
      <c r="G54" t="str">
        <f>"REG FEES-M. CLARK"</f>
        <v>REG FEES-M. CLARK</v>
      </c>
      <c r="H54" s="2">
        <v>225</v>
      </c>
      <c r="I54" t="str">
        <f>"REG FEES-M. CLARK"</f>
        <v>REG FEES-M. CLARK</v>
      </c>
    </row>
    <row r="55" spans="1:9" x14ac:dyDescent="0.3">
      <c r="A55" t="str">
        <f>"000173"</f>
        <v>000173</v>
      </c>
      <c r="B55" t="s">
        <v>37</v>
      </c>
      <c r="C55">
        <v>999999</v>
      </c>
      <c r="D55" s="2">
        <v>89.95</v>
      </c>
      <c r="E55" s="1">
        <v>43004</v>
      </c>
      <c r="F55" t="str">
        <f>"50719"</f>
        <v>50719</v>
      </c>
      <c r="G55" t="str">
        <f>"CONTRACT#9021204"</f>
        <v>CONTRACT#9021204</v>
      </c>
      <c r="H55" s="2">
        <v>89.95</v>
      </c>
      <c r="I55" t="str">
        <f>"CONTRACT#9021204"</f>
        <v>CONTRACT#9021204</v>
      </c>
    </row>
    <row r="56" spans="1:9" x14ac:dyDescent="0.3">
      <c r="A56" t="str">
        <f>"000036"</f>
        <v>000036</v>
      </c>
      <c r="B56" t="s">
        <v>38</v>
      </c>
      <c r="C56">
        <v>2087</v>
      </c>
      <c r="D56" s="2">
        <v>56.34</v>
      </c>
      <c r="E56" s="1">
        <v>42989</v>
      </c>
      <c r="F56" t="str">
        <f>"201709074671"</f>
        <v>201709074671</v>
      </c>
      <c r="G56" t="str">
        <f>"ACCT#512 321-1511 548 4"</f>
        <v>ACCT#512 321-1511 548 4</v>
      </c>
      <c r="H56" s="2">
        <v>56.34</v>
      </c>
      <c r="I56" t="str">
        <f>"ACCT#512 321-1511 548 4"</f>
        <v>ACCT#512 321-1511 548 4</v>
      </c>
    </row>
    <row r="57" spans="1:9" x14ac:dyDescent="0.3">
      <c r="A57" t="str">
        <f>"000049"</f>
        <v>000049</v>
      </c>
      <c r="B57" t="s">
        <v>40</v>
      </c>
      <c r="C57">
        <v>2088</v>
      </c>
      <c r="D57" s="2">
        <v>2085</v>
      </c>
      <c r="E57" s="1">
        <v>42989</v>
      </c>
      <c r="F57" t="str">
        <f>"19148"</f>
        <v>19148</v>
      </c>
      <c r="G57" t="str">
        <f>"NRCN-19148-AL  NRCN-19148-AP"</f>
        <v>NRCN-19148-AL  NRCN-19148-AP</v>
      </c>
      <c r="H57" s="2">
        <v>2085</v>
      </c>
      <c r="I57" t="str">
        <f>"NRCN-19148-AL  NRCN-19148-AP"</f>
        <v>NRCN-19148-AL  NRCN-19148-AP</v>
      </c>
    </row>
    <row r="58" spans="1:9" x14ac:dyDescent="0.3">
      <c r="A58" t="str">
        <f>""</f>
        <v/>
      </c>
      <c r="F58" t="str">
        <f>""</f>
        <v/>
      </c>
      <c r="G58" t="str">
        <f>""</f>
        <v/>
      </c>
      <c r="I58" t="str">
        <f>"NRCN-19148-AL  NRCN-19148-AP"</f>
        <v>NRCN-19148-AL  NRCN-19148-AP</v>
      </c>
    </row>
    <row r="59" spans="1:9" x14ac:dyDescent="0.3">
      <c r="A59" t="str">
        <f>"000095"</f>
        <v>000095</v>
      </c>
      <c r="B59" t="s">
        <v>41</v>
      </c>
      <c r="C59">
        <v>0</v>
      </c>
      <c r="D59" s="2">
        <v>1505.48</v>
      </c>
      <c r="E59" s="1">
        <v>43003</v>
      </c>
      <c r="F59" t="str">
        <f>"201709205018"</f>
        <v>201709205018</v>
      </c>
      <c r="G59" t="str">
        <f>"ACCT#0132/9-3-17 STATEMENT"</f>
        <v>ACCT#0132/9-3-17 STATEMENT</v>
      </c>
      <c r="H59" s="2">
        <v>1505.48</v>
      </c>
      <c r="I59" t="str">
        <f>"ACCT#0132/9-3-17 STATEMENT"</f>
        <v>ACCT#0132/9-3-17 STATEMENT</v>
      </c>
    </row>
    <row r="60" spans="1:9" x14ac:dyDescent="0.3">
      <c r="A60" t="str">
        <f>""</f>
        <v/>
      </c>
      <c r="F60" t="str">
        <f>""</f>
        <v/>
      </c>
      <c r="G60" t="str">
        <f>""</f>
        <v/>
      </c>
      <c r="I60" t="str">
        <f>"ACCT#0132/9-3-17 STATEMENT"</f>
        <v>ACCT#0132/9-3-17 STATEMENT</v>
      </c>
    </row>
    <row r="61" spans="1:9" x14ac:dyDescent="0.3">
      <c r="A61" t="str">
        <f>""</f>
        <v/>
      </c>
      <c r="F61" t="str">
        <f>""</f>
        <v/>
      </c>
      <c r="G61" t="str">
        <f>""</f>
        <v/>
      </c>
      <c r="I61" t="str">
        <f>"ACCT#0132/9-3-17 STATEMENT"</f>
        <v>ACCT#0132/9-3-17 STATEMENT</v>
      </c>
    </row>
    <row r="62" spans="1:9" x14ac:dyDescent="0.3">
      <c r="A62" t="str">
        <f>""</f>
        <v/>
      </c>
      <c r="F62" t="str">
        <f>""</f>
        <v/>
      </c>
      <c r="G62" t="str">
        <f>""</f>
        <v/>
      </c>
      <c r="I62" t="str">
        <f>"ACCT#0132/9-3-17 STATEMENT"</f>
        <v>ACCT#0132/9-3-17 STATEMENT</v>
      </c>
    </row>
    <row r="63" spans="1:9" x14ac:dyDescent="0.3">
      <c r="A63" t="str">
        <f>"000050"</f>
        <v>000050</v>
      </c>
      <c r="B63" t="s">
        <v>42</v>
      </c>
      <c r="C63">
        <v>2089</v>
      </c>
      <c r="D63" s="2">
        <v>407.13</v>
      </c>
      <c r="E63" s="1">
        <v>42989</v>
      </c>
      <c r="F63" t="str">
        <f>"0047972081917"</f>
        <v>0047972081917</v>
      </c>
      <c r="G63" t="str">
        <f>"ACCT#8260161110047972/INT ACC"</f>
        <v>ACCT#8260161110047972/INT ACC</v>
      </c>
      <c r="H63" s="2">
        <v>407.13</v>
      </c>
      <c r="I63" t="str">
        <f>"ACCT#8260161110047972/INT ACC"</f>
        <v>ACCT#8260161110047972/INT ACC</v>
      </c>
    </row>
    <row r="64" spans="1:9" x14ac:dyDescent="0.3">
      <c r="A64" t="str">
        <f>"000169"</f>
        <v>000169</v>
      </c>
      <c r="B64" t="s">
        <v>43</v>
      </c>
      <c r="C64">
        <v>2090</v>
      </c>
      <c r="D64" s="2">
        <v>195</v>
      </c>
      <c r="E64" s="1">
        <v>42989</v>
      </c>
      <c r="F64" t="str">
        <f>"21212210"</f>
        <v>21212210</v>
      </c>
      <c r="G64" t="str">
        <f>"LEASED EQUIPMENT"</f>
        <v>LEASED EQUIPMENT</v>
      </c>
      <c r="H64" s="2">
        <v>195</v>
      </c>
      <c r="I64" t="str">
        <f>"LEASED EQUIPMENT"</f>
        <v>LEASED EQUIPMENT</v>
      </c>
    </row>
    <row r="65" spans="1:9" x14ac:dyDescent="0.3">
      <c r="A65" t="str">
        <f>"000158"</f>
        <v>000158</v>
      </c>
      <c r="B65" t="s">
        <v>44</v>
      </c>
      <c r="C65">
        <v>2109</v>
      </c>
      <c r="D65" s="2">
        <v>31</v>
      </c>
      <c r="E65" s="1">
        <v>43007</v>
      </c>
      <c r="F65" t="str">
        <f>"167492"</f>
        <v>167492</v>
      </c>
      <c r="G65" t="str">
        <f>"OFFICE SUPPLIES"</f>
        <v>OFFICE SUPPLIES</v>
      </c>
      <c r="H65" s="2">
        <v>31</v>
      </c>
      <c r="I65" t="str">
        <f>"OFFICE SUPPLIES"</f>
        <v>OFFICE SUPPLIES</v>
      </c>
    </row>
    <row r="66" spans="1:9" x14ac:dyDescent="0.3">
      <c r="A66" t="str">
        <f>"000076"</f>
        <v>000076</v>
      </c>
      <c r="B66" t="s">
        <v>45</v>
      </c>
      <c r="C66">
        <v>2105</v>
      </c>
      <c r="D66" s="2">
        <v>226.95</v>
      </c>
      <c r="E66" s="1">
        <v>43003</v>
      </c>
      <c r="F66" t="str">
        <f>"201709205015"</f>
        <v>201709205015</v>
      </c>
      <c r="G66" t="str">
        <f>"ACCT#6032202005314019"</f>
        <v>ACCT#6032202005314019</v>
      </c>
      <c r="H66" s="2">
        <v>226.95</v>
      </c>
      <c r="I66" t="str">
        <f>"ACCT#6032202005314019"</f>
        <v>ACCT#6032202005314019</v>
      </c>
    </row>
    <row r="67" spans="1:9" x14ac:dyDescent="0.3">
      <c r="A67" t="str">
        <f>"000045"</f>
        <v>000045</v>
      </c>
      <c r="B67" t="s">
        <v>46</v>
      </c>
      <c r="C67">
        <v>2106</v>
      </c>
      <c r="D67" s="2">
        <v>50</v>
      </c>
      <c r="E67" s="1">
        <v>43003</v>
      </c>
      <c r="F67" t="str">
        <f>"201709205016"</f>
        <v>201709205016</v>
      </c>
      <c r="G67" t="str">
        <f>"BOND#69243859"</f>
        <v>BOND#69243859</v>
      </c>
      <c r="H67" s="2">
        <v>50</v>
      </c>
      <c r="I67" t="str">
        <f>"BOND#69243859"</f>
        <v>BOND#69243859</v>
      </c>
    </row>
    <row r="68" spans="1:9" x14ac:dyDescent="0.3">
      <c r="A68" t="str">
        <f>"000159"</f>
        <v>000159</v>
      </c>
      <c r="B68" t="s">
        <v>47</v>
      </c>
      <c r="C68">
        <v>2091</v>
      </c>
      <c r="D68" s="2">
        <v>31</v>
      </c>
      <c r="E68" s="1">
        <v>42989</v>
      </c>
      <c r="F68" t="str">
        <f>"167492"</f>
        <v>167492</v>
      </c>
      <c r="G68" t="str">
        <f>"OFFICE SUPPLIES"</f>
        <v>OFFICE SUPPLIES</v>
      </c>
      <c r="H68" s="2">
        <v>31</v>
      </c>
    </row>
    <row r="69" spans="1:9" x14ac:dyDescent="0.3">
      <c r="A69" t="str">
        <f>"000159"</f>
        <v>000159</v>
      </c>
      <c r="B69" t="s">
        <v>47</v>
      </c>
      <c r="C69">
        <v>2091</v>
      </c>
      <c r="D69" s="2">
        <v>31</v>
      </c>
      <c r="E69" s="1">
        <v>43007</v>
      </c>
      <c r="F69" t="str">
        <f>"CHECK"</f>
        <v>CHECK</v>
      </c>
      <c r="G69" t="str">
        <f>""</f>
        <v/>
      </c>
      <c r="H69" s="2">
        <v>31</v>
      </c>
    </row>
    <row r="70" spans="1:9" x14ac:dyDescent="0.3">
      <c r="A70" t="str">
        <f>"000598"</f>
        <v>000598</v>
      </c>
      <c r="B70" t="s">
        <v>48</v>
      </c>
      <c r="C70">
        <v>72428</v>
      </c>
      <c r="D70" s="2">
        <v>201.16</v>
      </c>
      <c r="E70" s="1">
        <v>42989</v>
      </c>
      <c r="F70" t="str">
        <f>"9725-001-94713"</f>
        <v>9725-001-94713</v>
      </c>
      <c r="G70" t="str">
        <f>"ACCT#9725-001/REC BASE/PCT#2"</f>
        <v>ACCT#9725-001/REC BASE/PCT#2</v>
      </c>
      <c r="H70" s="2">
        <v>201.16</v>
      </c>
      <c r="I70" t="str">
        <f>"ACCT#9725-001/REC BASE/PCT#2"</f>
        <v>ACCT#9725-001/REC BASE/PCT#2</v>
      </c>
    </row>
    <row r="71" spans="1:9" x14ac:dyDescent="0.3">
      <c r="A71" t="str">
        <f>"000598"</f>
        <v>000598</v>
      </c>
      <c r="B71" t="s">
        <v>48</v>
      </c>
      <c r="C71">
        <v>72654</v>
      </c>
      <c r="D71" s="2">
        <v>8230.65</v>
      </c>
      <c r="E71" s="1">
        <v>43003</v>
      </c>
      <c r="F71" t="str">
        <f>"9725-001-94802"</f>
        <v>9725-001-94802</v>
      </c>
      <c r="G71" t="str">
        <f>"ACCT#9725-001/REC BASE/PCT#2"</f>
        <v>ACCT#9725-001/REC BASE/PCT#2</v>
      </c>
      <c r="H71" s="2">
        <v>206.06</v>
      </c>
      <c r="I71" t="str">
        <f>"ACCT#9725-001/REC BASE/PCT#2"</f>
        <v>ACCT#9725-001/REC BASE/PCT#2</v>
      </c>
    </row>
    <row r="72" spans="1:9" x14ac:dyDescent="0.3">
      <c r="A72" t="str">
        <f>""</f>
        <v/>
      </c>
      <c r="F72" t="str">
        <f>"9725-012-94826"</f>
        <v>9725-012-94826</v>
      </c>
      <c r="G72" t="str">
        <f>"ACCT#9725-012/REC BASE/PCT#2"</f>
        <v>ACCT#9725-012/REC BASE/PCT#2</v>
      </c>
      <c r="H72" s="2">
        <v>1292.6500000000001</v>
      </c>
      <c r="I72" t="str">
        <f>"ACCT#9725-012/REC BASE/PCT#2"</f>
        <v>ACCT#9725-012/REC BASE/PCT#2</v>
      </c>
    </row>
    <row r="73" spans="1:9" x14ac:dyDescent="0.3">
      <c r="A73" t="str">
        <f>""</f>
        <v/>
      </c>
      <c r="F73" t="str">
        <f>"9725-012-94859"</f>
        <v>9725-012-94859</v>
      </c>
      <c r="G73" t="str">
        <f>"ACCT#9725-012-94859"</f>
        <v>ACCT#9725-012-94859</v>
      </c>
      <c r="H73" s="2">
        <v>6731.94</v>
      </c>
      <c r="I73" t="str">
        <f>"ACCT#9725-012-94859"</f>
        <v>ACCT#9725-012-94859</v>
      </c>
    </row>
    <row r="74" spans="1:9" x14ac:dyDescent="0.3">
      <c r="A74" t="str">
        <f>"004643"</f>
        <v>004643</v>
      </c>
      <c r="B74" t="s">
        <v>49</v>
      </c>
      <c r="C74">
        <v>72429</v>
      </c>
      <c r="D74" s="2">
        <v>364</v>
      </c>
      <c r="E74" s="1">
        <v>42989</v>
      </c>
      <c r="F74" t="str">
        <f>"201708314482"</f>
        <v>201708314482</v>
      </c>
      <c r="G74" t="str">
        <f>"SHREDDING SVCS/PCT#1"</f>
        <v>SHREDDING SVCS/PCT#1</v>
      </c>
      <c r="H74" s="2">
        <v>11.14</v>
      </c>
      <c r="I74" t="str">
        <f>"SHREDDING SVCS/PCT#1"</f>
        <v>SHREDDING SVCS/PCT#1</v>
      </c>
    </row>
    <row r="75" spans="1:9" x14ac:dyDescent="0.3">
      <c r="A75" t="str">
        <f>""</f>
        <v/>
      </c>
      <c r="F75" t="str">
        <f>"717558"</f>
        <v>717558</v>
      </c>
      <c r="G75" t="str">
        <f>"SHREDDING SVCS"</f>
        <v>SHREDDING SVCS</v>
      </c>
      <c r="H75" s="2">
        <v>91.86</v>
      </c>
      <c r="I75" t="str">
        <f t="shared" ref="I75:I81" si="1">"SHREDDING SVCS"</f>
        <v>SHREDDING SVCS</v>
      </c>
    </row>
    <row r="76" spans="1:9" x14ac:dyDescent="0.3">
      <c r="A76" t="str">
        <f>""</f>
        <v/>
      </c>
      <c r="F76" t="str">
        <f>""</f>
        <v/>
      </c>
      <c r="G76" t="str">
        <f>""</f>
        <v/>
      </c>
      <c r="I76" t="str">
        <f t="shared" si="1"/>
        <v>SHREDDING SVCS</v>
      </c>
    </row>
    <row r="77" spans="1:9" x14ac:dyDescent="0.3">
      <c r="A77" t="str">
        <f>""</f>
        <v/>
      </c>
      <c r="F77" t="str">
        <f>""</f>
        <v/>
      </c>
      <c r="G77" t="str">
        <f>""</f>
        <v/>
      </c>
      <c r="I77" t="str">
        <f t="shared" si="1"/>
        <v>SHREDDING SVCS</v>
      </c>
    </row>
    <row r="78" spans="1:9" x14ac:dyDescent="0.3">
      <c r="A78" t="str">
        <f>""</f>
        <v/>
      </c>
      <c r="F78" t="str">
        <f>""</f>
        <v/>
      </c>
      <c r="G78" t="str">
        <f>""</f>
        <v/>
      </c>
      <c r="I78" t="str">
        <f t="shared" si="1"/>
        <v>SHREDDING SVCS</v>
      </c>
    </row>
    <row r="79" spans="1:9" x14ac:dyDescent="0.3">
      <c r="A79" t="str">
        <f>""</f>
        <v/>
      </c>
      <c r="F79" t="str">
        <f>""</f>
        <v/>
      </c>
      <c r="G79" t="str">
        <f>""</f>
        <v/>
      </c>
      <c r="I79" t="str">
        <f t="shared" si="1"/>
        <v>SHREDDING SVCS</v>
      </c>
    </row>
    <row r="80" spans="1:9" x14ac:dyDescent="0.3">
      <c r="A80" t="str">
        <f>""</f>
        <v/>
      </c>
      <c r="F80" t="str">
        <f>""</f>
        <v/>
      </c>
      <c r="G80" t="str">
        <f>""</f>
        <v/>
      </c>
      <c r="I80" t="str">
        <f t="shared" si="1"/>
        <v>SHREDDING SVCS</v>
      </c>
    </row>
    <row r="81" spans="1:9" x14ac:dyDescent="0.3">
      <c r="A81" t="str">
        <f>""</f>
        <v/>
      </c>
      <c r="F81" t="str">
        <f>""</f>
        <v/>
      </c>
      <c r="G81" t="str">
        <f>""</f>
        <v/>
      </c>
      <c r="I81" t="str">
        <f t="shared" si="1"/>
        <v>SHREDDING SVCS</v>
      </c>
    </row>
    <row r="82" spans="1:9" x14ac:dyDescent="0.3">
      <c r="A82" t="str">
        <f>""</f>
        <v/>
      </c>
      <c r="F82" t="str">
        <f>"717566"</f>
        <v>717566</v>
      </c>
      <c r="G82" t="str">
        <f>"INV 717566"</f>
        <v>INV 717566</v>
      </c>
      <c r="H82" s="2">
        <v>103</v>
      </c>
      <c r="I82" t="str">
        <f>"INV 717566"</f>
        <v>INV 717566</v>
      </c>
    </row>
    <row r="83" spans="1:9" x14ac:dyDescent="0.3">
      <c r="A83" t="str">
        <f>""</f>
        <v/>
      </c>
      <c r="F83" t="str">
        <f>"717568"</f>
        <v>717568</v>
      </c>
      <c r="G83" t="str">
        <f>"SHREDDING SVCS/TAX OFFICE"</f>
        <v>SHREDDING SVCS/TAX OFFICE</v>
      </c>
      <c r="H83" s="2">
        <v>51.5</v>
      </c>
      <c r="I83" t="str">
        <f>"SHREDDING SVCS/TAX OFFICE"</f>
        <v>SHREDDING SVCS/TAX OFFICE</v>
      </c>
    </row>
    <row r="84" spans="1:9" x14ac:dyDescent="0.3">
      <c r="A84" t="str">
        <f>""</f>
        <v/>
      </c>
      <c r="F84" t="str">
        <f>"717577"</f>
        <v>717577</v>
      </c>
      <c r="G84" t="str">
        <f>"SHREDDING SVCS/JP#4"</f>
        <v>SHREDDING SVCS/JP#4</v>
      </c>
      <c r="H84" s="2">
        <v>51.5</v>
      </c>
      <c r="I84" t="str">
        <f>"SHREDDING SVCS/JP#4"</f>
        <v>SHREDDING SVCS/JP#4</v>
      </c>
    </row>
    <row r="85" spans="1:9" x14ac:dyDescent="0.3">
      <c r="A85" t="str">
        <f>""</f>
        <v/>
      </c>
      <c r="F85" t="str">
        <f>"721838"</f>
        <v>721838</v>
      </c>
      <c r="G85" t="str">
        <f>"SHREDDING SVCS/OEM"</f>
        <v>SHREDDING SVCS/OEM</v>
      </c>
      <c r="H85" s="2">
        <v>55</v>
      </c>
      <c r="I85" t="str">
        <f>"SHREDDING SVCS/OEM"</f>
        <v>SHREDDING SVCS/OEM</v>
      </c>
    </row>
    <row r="86" spans="1:9" x14ac:dyDescent="0.3">
      <c r="A86" t="str">
        <f>"004643"</f>
        <v>004643</v>
      </c>
      <c r="B86" t="s">
        <v>49</v>
      </c>
      <c r="C86">
        <v>999999</v>
      </c>
      <c r="D86" s="2">
        <v>173.5</v>
      </c>
      <c r="E86" s="1">
        <v>43004</v>
      </c>
      <c r="F86" t="str">
        <f>"723450"</f>
        <v>723450</v>
      </c>
      <c r="G86" t="str">
        <f>"INV 723450"</f>
        <v>INV 723450</v>
      </c>
      <c r="H86" s="2">
        <v>122</v>
      </c>
      <c r="I86" t="str">
        <f>"INV 723450"</f>
        <v>INV 723450</v>
      </c>
    </row>
    <row r="87" spans="1:9" x14ac:dyDescent="0.3">
      <c r="A87" t="str">
        <f>""</f>
        <v/>
      </c>
      <c r="F87" t="str">
        <f>"723451"</f>
        <v>723451</v>
      </c>
      <c r="G87" t="str">
        <f>"SHREDDING SVCS/TAX OFFICE"</f>
        <v>SHREDDING SVCS/TAX OFFICE</v>
      </c>
      <c r="H87" s="2">
        <v>51.5</v>
      </c>
      <c r="I87" t="str">
        <f>"SHREDDING SVCS/TAX OFFICE"</f>
        <v>SHREDDING SVCS/TAX OFFICE</v>
      </c>
    </row>
    <row r="88" spans="1:9" x14ac:dyDescent="0.3">
      <c r="A88" t="str">
        <f>"ALINE"</f>
        <v>ALINE</v>
      </c>
      <c r="B88" t="s">
        <v>50</v>
      </c>
      <c r="C88">
        <v>72430</v>
      </c>
      <c r="D88" s="2">
        <v>112.25</v>
      </c>
      <c r="E88" s="1">
        <v>42989</v>
      </c>
      <c r="F88" t="str">
        <f>"274804"</f>
        <v>274804</v>
      </c>
      <c r="G88" t="str">
        <f>"CUST#16500/PCT#4"</f>
        <v>CUST#16500/PCT#4</v>
      </c>
      <c r="H88" s="2">
        <v>112.25</v>
      </c>
      <c r="I88" t="str">
        <f>"CUST#16500/PCT#4"</f>
        <v>CUST#16500/PCT#4</v>
      </c>
    </row>
    <row r="89" spans="1:9" x14ac:dyDescent="0.3">
      <c r="A89" t="str">
        <f>"002048"</f>
        <v>002048</v>
      </c>
      <c r="B89" t="s">
        <v>51</v>
      </c>
      <c r="C89">
        <v>72431</v>
      </c>
      <c r="D89" s="2">
        <v>2017.85</v>
      </c>
      <c r="E89" s="1">
        <v>42989</v>
      </c>
      <c r="F89" t="str">
        <f>"201709064539"</f>
        <v>201709064539</v>
      </c>
      <c r="G89" t="str">
        <f>"8/22/17 TO 8/31/17 PCT#1"</f>
        <v>8/22/17 TO 8/31/17 PCT#1</v>
      </c>
      <c r="H89" s="2">
        <v>2017.85</v>
      </c>
      <c r="I89" t="str">
        <f>"8/22/17 TO 8/31/17 PCT#1"</f>
        <v>8/22/17 TO 8/31/17 PCT#1</v>
      </c>
    </row>
    <row r="90" spans="1:9" x14ac:dyDescent="0.3">
      <c r="A90" t="str">
        <f>"002048"</f>
        <v>002048</v>
      </c>
      <c r="B90" t="s">
        <v>51</v>
      </c>
      <c r="C90">
        <v>999999</v>
      </c>
      <c r="D90" s="2">
        <v>4292.41</v>
      </c>
      <c r="E90" s="1">
        <v>43004</v>
      </c>
      <c r="F90" t="str">
        <f>"201709184944"</f>
        <v>201709184944</v>
      </c>
      <c r="G90" t="str">
        <f>"9/7/17-9/15/17 HAULING EXP/P#1"</f>
        <v>9/7/17-9/15/17 HAULING EXP/P#1</v>
      </c>
      <c r="H90" s="2">
        <v>3563.87</v>
      </c>
      <c r="I90" t="str">
        <f>"9/7/17-9/15/17 HAULING EXP/P#1"</f>
        <v>9/7/17-9/15/17 HAULING EXP/P#1</v>
      </c>
    </row>
    <row r="91" spans="1:9" x14ac:dyDescent="0.3">
      <c r="A91" t="str">
        <f>""</f>
        <v/>
      </c>
      <c r="F91" t="str">
        <f>"201709194969"</f>
        <v>201709194969</v>
      </c>
      <c r="G91" t="str">
        <f>"9/7/17-9/15/17/PCT#4"</f>
        <v>9/7/17-9/15/17/PCT#4</v>
      </c>
      <c r="H91" s="2">
        <v>728.54</v>
      </c>
      <c r="I91" t="str">
        <f>"9/7/17-9/15/17/PCT#4"</f>
        <v>9/7/17-9/15/17/PCT#4</v>
      </c>
    </row>
    <row r="92" spans="1:9" x14ac:dyDescent="0.3">
      <c r="A92" t="str">
        <f>"000954"</f>
        <v>000954</v>
      </c>
      <c r="B92" t="s">
        <v>52</v>
      </c>
      <c r="C92">
        <v>72432</v>
      </c>
      <c r="D92" s="2">
        <v>752.5</v>
      </c>
      <c r="E92" s="1">
        <v>42989</v>
      </c>
      <c r="F92" t="str">
        <f>"201709064625"</f>
        <v>201709064625</v>
      </c>
      <c r="G92" t="str">
        <f>"16-17713"</f>
        <v>16-17713</v>
      </c>
      <c r="H92" s="2">
        <v>152.5</v>
      </c>
      <c r="I92" t="str">
        <f>"16-17713"</f>
        <v>16-17713</v>
      </c>
    </row>
    <row r="93" spans="1:9" x14ac:dyDescent="0.3">
      <c r="A93" t="str">
        <f>""</f>
        <v/>
      </c>
      <c r="F93" t="str">
        <f>"201709064628"</f>
        <v>201709064628</v>
      </c>
      <c r="G93" t="str">
        <f>"16-17785"</f>
        <v>16-17785</v>
      </c>
      <c r="H93" s="2">
        <v>145</v>
      </c>
      <c r="I93" t="str">
        <f>"16-17785"</f>
        <v>16-17785</v>
      </c>
    </row>
    <row r="94" spans="1:9" x14ac:dyDescent="0.3">
      <c r="A94" t="str">
        <f>""</f>
        <v/>
      </c>
      <c r="F94" t="str">
        <f>"201709064631"</f>
        <v>201709064631</v>
      </c>
      <c r="G94" t="str">
        <f>"14-16404"</f>
        <v>14-16404</v>
      </c>
      <c r="H94" s="2">
        <v>137.5</v>
      </c>
      <c r="I94" t="str">
        <f>"14-16404"</f>
        <v>14-16404</v>
      </c>
    </row>
    <row r="95" spans="1:9" x14ac:dyDescent="0.3">
      <c r="A95" t="str">
        <f>""</f>
        <v/>
      </c>
      <c r="F95" t="str">
        <f>"201709064632"</f>
        <v>201709064632</v>
      </c>
      <c r="G95" t="str">
        <f>"16-17913"</f>
        <v>16-17913</v>
      </c>
      <c r="H95" s="2">
        <v>115</v>
      </c>
      <c r="I95" t="str">
        <f>"16-17913"</f>
        <v>16-17913</v>
      </c>
    </row>
    <row r="96" spans="1:9" x14ac:dyDescent="0.3">
      <c r="A96" t="str">
        <f>""</f>
        <v/>
      </c>
      <c r="F96" t="str">
        <f>"201709064633"</f>
        <v>201709064633</v>
      </c>
      <c r="G96" t="str">
        <f>"16-17760"</f>
        <v>16-17760</v>
      </c>
      <c r="H96" s="2">
        <v>120</v>
      </c>
      <c r="I96" t="str">
        <f>"16-17760"</f>
        <v>16-17760</v>
      </c>
    </row>
    <row r="97" spans="1:9" x14ac:dyDescent="0.3">
      <c r="A97" t="str">
        <f>""</f>
        <v/>
      </c>
      <c r="F97" t="str">
        <f>"201709064634"</f>
        <v>201709064634</v>
      </c>
      <c r="G97" t="str">
        <f>"16-17709"</f>
        <v>16-17709</v>
      </c>
      <c r="H97" s="2">
        <v>82.5</v>
      </c>
      <c r="I97" t="str">
        <f>"16-17709"</f>
        <v>16-17709</v>
      </c>
    </row>
    <row r="98" spans="1:9" x14ac:dyDescent="0.3">
      <c r="A98" t="str">
        <f>"003117"</f>
        <v>003117</v>
      </c>
      <c r="B98" t="s">
        <v>53</v>
      </c>
      <c r="C98">
        <v>72655</v>
      </c>
      <c r="D98" s="2">
        <v>245</v>
      </c>
      <c r="E98" s="1">
        <v>43003</v>
      </c>
      <c r="F98" t="str">
        <f>"201709195001"</f>
        <v>201709195001</v>
      </c>
      <c r="G98" t="str">
        <f>"PER DIEM ADVANCE REQUEST"</f>
        <v>PER DIEM ADVANCE REQUEST</v>
      </c>
      <c r="H98" s="2">
        <v>65</v>
      </c>
      <c r="I98" t="str">
        <f>"PER DIEM ADVANCE REQUEST"</f>
        <v>PER DIEM ADVANCE REQUEST</v>
      </c>
    </row>
    <row r="99" spans="1:9" x14ac:dyDescent="0.3">
      <c r="A99" t="str">
        <f>""</f>
        <v/>
      </c>
      <c r="F99" t="str">
        <f>"201709195002"</f>
        <v>201709195002</v>
      </c>
      <c r="G99" t="str">
        <f>"PER DIEM ADVANCE REQUEST"</f>
        <v>PER DIEM ADVANCE REQUEST</v>
      </c>
      <c r="H99" s="2">
        <v>180</v>
      </c>
      <c r="I99" t="str">
        <f>"PER DIEM ADVANCE REQUEST"</f>
        <v>PER DIEM ADVANCE REQUEST</v>
      </c>
    </row>
    <row r="100" spans="1:9" x14ac:dyDescent="0.3">
      <c r="A100" t="str">
        <f>"T6115"</f>
        <v>T6115</v>
      </c>
      <c r="B100" t="s">
        <v>54</v>
      </c>
      <c r="C100">
        <v>72656</v>
      </c>
      <c r="D100" s="2">
        <v>488</v>
      </c>
      <c r="E100" s="1">
        <v>43003</v>
      </c>
      <c r="F100" t="str">
        <f>"197841"</f>
        <v>197841</v>
      </c>
      <c r="G100" t="str">
        <f>"INV 197841"</f>
        <v>INV 197841</v>
      </c>
      <c r="H100" s="2">
        <v>218</v>
      </c>
      <c r="I100" t="str">
        <f>"INV 197841"</f>
        <v>INV 197841</v>
      </c>
    </row>
    <row r="101" spans="1:9" x14ac:dyDescent="0.3">
      <c r="A101" t="str">
        <f>""</f>
        <v/>
      </c>
      <c r="F101" t="str">
        <f>"197910"</f>
        <v>197910</v>
      </c>
      <c r="G101" t="str">
        <f>"INV 197910"</f>
        <v>INV 197910</v>
      </c>
      <c r="H101" s="2">
        <v>270</v>
      </c>
      <c r="I101" t="str">
        <f>"INV 197910"</f>
        <v>INV 197910</v>
      </c>
    </row>
    <row r="102" spans="1:9" x14ac:dyDescent="0.3">
      <c r="A102" t="str">
        <f>"KWS"</f>
        <v>KWS</v>
      </c>
      <c r="B102" t="s">
        <v>55</v>
      </c>
      <c r="C102">
        <v>72657</v>
      </c>
      <c r="D102" s="2">
        <v>2519.9699999999998</v>
      </c>
      <c r="E102" s="1">
        <v>43003</v>
      </c>
      <c r="F102" t="str">
        <f>"2006505762"</f>
        <v>2006505762</v>
      </c>
      <c r="G102" t="str">
        <f>"AIRGAS INC"</f>
        <v>AIRGAS INC</v>
      </c>
      <c r="H102" s="2">
        <v>2443.0100000000002</v>
      </c>
      <c r="I102" t="str">
        <f>"WELDER"</f>
        <v>WELDER</v>
      </c>
    </row>
    <row r="103" spans="1:9" x14ac:dyDescent="0.3">
      <c r="A103" t="str">
        <f>""</f>
        <v/>
      </c>
      <c r="F103" t="str">
        <f>"9067631583"</f>
        <v>9067631583</v>
      </c>
      <c r="G103" t="str">
        <f>"PAYER#2278443/ORD#1061952905"</f>
        <v>PAYER#2278443/ORD#1061952905</v>
      </c>
      <c r="H103" s="2">
        <v>76.959999999999994</v>
      </c>
      <c r="I103" t="str">
        <f>"PAYER#2278443/ORD#1061952905"</f>
        <v>PAYER#2278443/ORD#1061952905</v>
      </c>
    </row>
    <row r="104" spans="1:9" x14ac:dyDescent="0.3">
      <c r="A104" t="str">
        <f>"NPP"</f>
        <v>NPP</v>
      </c>
      <c r="B104" t="s">
        <v>56</v>
      </c>
      <c r="C104">
        <v>999999</v>
      </c>
      <c r="D104" s="2">
        <v>850</v>
      </c>
      <c r="E104" s="1">
        <v>43004</v>
      </c>
      <c r="F104" t="str">
        <f>"201709205023"</f>
        <v>201709205023</v>
      </c>
      <c r="G104" t="str">
        <f>"15799"</f>
        <v>15799</v>
      </c>
      <c r="H104" s="2">
        <v>150</v>
      </c>
      <c r="I104" t="str">
        <f>"15799"</f>
        <v>15799</v>
      </c>
    </row>
    <row r="105" spans="1:9" x14ac:dyDescent="0.3">
      <c r="A105" t="str">
        <f>""</f>
        <v/>
      </c>
      <c r="F105" t="str">
        <f>"201709205024"</f>
        <v>201709205024</v>
      </c>
      <c r="G105" t="str">
        <f>"15733"</f>
        <v>15733</v>
      </c>
      <c r="H105" s="2">
        <v>100</v>
      </c>
      <c r="I105" t="str">
        <f>"15733"</f>
        <v>15733</v>
      </c>
    </row>
    <row r="106" spans="1:9" x14ac:dyDescent="0.3">
      <c r="A106" t="str">
        <f>""</f>
        <v/>
      </c>
      <c r="F106" t="str">
        <f>"201709205025"</f>
        <v>201709205025</v>
      </c>
      <c r="G106" t="str">
        <f>"423-5231"</f>
        <v>423-5231</v>
      </c>
      <c r="H106" s="2">
        <v>100</v>
      </c>
      <c r="I106" t="str">
        <f>"423-5231"</f>
        <v>423-5231</v>
      </c>
    </row>
    <row r="107" spans="1:9" x14ac:dyDescent="0.3">
      <c r="A107" t="str">
        <f>""</f>
        <v/>
      </c>
      <c r="F107" t="str">
        <f>"201709205026"</f>
        <v>201709205026</v>
      </c>
      <c r="G107" t="str">
        <f>"CH20166103A  CH20166103E"</f>
        <v>CH20166103A  CH20166103E</v>
      </c>
      <c r="H107" s="2">
        <v>150</v>
      </c>
      <c r="I107" t="str">
        <f>"CH20166103A  CH20166103E"</f>
        <v>CH20166103A  CH20166103E</v>
      </c>
    </row>
    <row r="108" spans="1:9" x14ac:dyDescent="0.3">
      <c r="A108" t="str">
        <f>""</f>
        <v/>
      </c>
      <c r="F108" t="str">
        <f>"201709205027"</f>
        <v>201709205027</v>
      </c>
      <c r="G108" t="str">
        <f>"CH-20170224A  CH-20170224B"</f>
        <v>CH-20170224A  CH-20170224B</v>
      </c>
      <c r="H108" s="2">
        <v>150</v>
      </c>
      <c r="I108" t="str">
        <f>"CH-20170224A  CH-20170224B"</f>
        <v>CH-20170224A  CH-20170224B</v>
      </c>
    </row>
    <row r="109" spans="1:9" x14ac:dyDescent="0.3">
      <c r="A109" t="str">
        <f>""</f>
        <v/>
      </c>
      <c r="F109" t="str">
        <f>"201709205028"</f>
        <v>201709205028</v>
      </c>
      <c r="G109" t="str">
        <f>"423-5252  423-5251"</f>
        <v>423-5252  423-5251</v>
      </c>
      <c r="H109" s="2">
        <v>200</v>
      </c>
      <c r="I109" t="str">
        <f>"423-5252  423-5251"</f>
        <v>423-5252  423-5251</v>
      </c>
    </row>
    <row r="110" spans="1:9" x14ac:dyDescent="0.3">
      <c r="A110" t="str">
        <f>"ALLIED"</f>
        <v>ALLIED</v>
      </c>
      <c r="B110" t="s">
        <v>57</v>
      </c>
      <c r="C110">
        <v>999999</v>
      </c>
      <c r="D110" s="2">
        <v>1863.4</v>
      </c>
      <c r="E110" s="1">
        <v>43004</v>
      </c>
      <c r="F110" t="str">
        <f>"31471485"</f>
        <v>31471485</v>
      </c>
      <c r="G110" t="str">
        <f>"CUST#27615/PCT#2"</f>
        <v>CUST#27615/PCT#2</v>
      </c>
      <c r="H110" s="2">
        <v>1863.4</v>
      </c>
      <c r="I110" t="str">
        <f>"CUST#27615/PCT#2"</f>
        <v>CUST#27615/PCT#2</v>
      </c>
    </row>
    <row r="111" spans="1:9" x14ac:dyDescent="0.3">
      <c r="A111" t="str">
        <f>"004642"</f>
        <v>004642</v>
      </c>
      <c r="B111" t="s">
        <v>58</v>
      </c>
      <c r="C111">
        <v>72433</v>
      </c>
      <c r="D111" s="2">
        <v>340</v>
      </c>
      <c r="E111" s="1">
        <v>42989</v>
      </c>
      <c r="F111" t="str">
        <f>"26058"</f>
        <v>26058</v>
      </c>
      <c r="G111" t="str">
        <f>"RENTAL/COOL WATER"</f>
        <v>RENTAL/COOL WATER</v>
      </c>
      <c r="H111" s="2">
        <v>340</v>
      </c>
      <c r="I111" t="str">
        <f>"RENTAL/COOL WATER"</f>
        <v>RENTAL/COOL WATER</v>
      </c>
    </row>
    <row r="112" spans="1:9" x14ac:dyDescent="0.3">
      <c r="A112" t="str">
        <f>"AMERIC"</f>
        <v>AMERIC</v>
      </c>
      <c r="B112" t="s">
        <v>59</v>
      </c>
      <c r="C112">
        <v>72658</v>
      </c>
      <c r="D112" s="2">
        <v>71.17</v>
      </c>
      <c r="E112" s="1">
        <v>43003</v>
      </c>
      <c r="F112" t="str">
        <f>"5293081"</f>
        <v>5293081</v>
      </c>
      <c r="G112" t="str">
        <f>"ORD#1372862/PCT#3"</f>
        <v>ORD#1372862/PCT#3</v>
      </c>
      <c r="H112" s="2">
        <v>71.17</v>
      </c>
      <c r="I112" t="str">
        <f>"ORD#1372862/PCT#3"</f>
        <v>ORD#1372862/PCT#3</v>
      </c>
    </row>
    <row r="113" spans="1:9" x14ac:dyDescent="0.3">
      <c r="A113" t="str">
        <f>"003253"</f>
        <v>003253</v>
      </c>
      <c r="B113" t="s">
        <v>60</v>
      </c>
      <c r="C113">
        <v>72659</v>
      </c>
      <c r="D113" s="2">
        <v>105.4</v>
      </c>
      <c r="E113" s="1">
        <v>43003</v>
      </c>
      <c r="F113" t="str">
        <f>"910358-1-1"</f>
        <v>910358-1-1</v>
      </c>
      <c r="G113" t="str">
        <f>"CUST#235716/MED SUPPLIES-BCAS"</f>
        <v>CUST#235716/MED SUPPLIES-BCAS</v>
      </c>
      <c r="H113" s="2">
        <v>105.4</v>
      </c>
      <c r="I113" t="str">
        <f>"CUST#235716/MED SUPPLIES-BCAS"</f>
        <v>CUST#235716/MED SUPPLIES-BCAS</v>
      </c>
    </row>
    <row r="114" spans="1:9" x14ac:dyDescent="0.3">
      <c r="A114" t="str">
        <f>"003296"</f>
        <v>003296</v>
      </c>
      <c r="B114" t="s">
        <v>61</v>
      </c>
      <c r="C114">
        <v>72660</v>
      </c>
      <c r="D114" s="2">
        <v>4654.75</v>
      </c>
      <c r="E114" s="1">
        <v>43003</v>
      </c>
      <c r="F114" t="str">
        <f>"201709144891"</f>
        <v>201709144891</v>
      </c>
      <c r="G114" t="str">
        <f>"ACCT#379865/PCT#2"</f>
        <v>ACCT#379865/PCT#2</v>
      </c>
      <c r="H114" s="2">
        <v>4654.75</v>
      </c>
      <c r="I114" t="str">
        <f>"ACCT#379865/PCT#2"</f>
        <v>ACCT#379865/PCT#2</v>
      </c>
    </row>
    <row r="115" spans="1:9" x14ac:dyDescent="0.3">
      <c r="A115" t="str">
        <f>"002148"</f>
        <v>002148</v>
      </c>
      <c r="B115" t="s">
        <v>62</v>
      </c>
      <c r="C115">
        <v>72434</v>
      </c>
      <c r="D115" s="2">
        <v>107.34</v>
      </c>
      <c r="E115" s="1">
        <v>42989</v>
      </c>
      <c r="F115" t="str">
        <f>"924856720"</f>
        <v>924856720</v>
      </c>
      <c r="G115" t="str">
        <f>"INV 924856720"</f>
        <v>INV 924856720</v>
      </c>
      <c r="H115" s="2">
        <v>107.34</v>
      </c>
      <c r="I115" t="str">
        <f>"INV 924856720"</f>
        <v>INV 924856720</v>
      </c>
    </row>
    <row r="116" spans="1:9" x14ac:dyDescent="0.3">
      <c r="A116" t="str">
        <f>"002148"</f>
        <v>002148</v>
      </c>
      <c r="B116" t="s">
        <v>62</v>
      </c>
      <c r="C116">
        <v>72661</v>
      </c>
      <c r="D116" s="2">
        <v>150.19</v>
      </c>
      <c r="E116" s="1">
        <v>43003</v>
      </c>
      <c r="F116" t="str">
        <f>"924998665"</f>
        <v>924998665</v>
      </c>
      <c r="G116" t="str">
        <f>"INV 924998665"</f>
        <v>INV 924998665</v>
      </c>
      <c r="H116" s="2">
        <v>89.13</v>
      </c>
      <c r="I116" t="str">
        <f>"INV 924998665"</f>
        <v>INV 924998665</v>
      </c>
    </row>
    <row r="117" spans="1:9" x14ac:dyDescent="0.3">
      <c r="A117" t="str">
        <f>""</f>
        <v/>
      </c>
      <c r="F117" t="str">
        <f>"925437315"</f>
        <v>925437315</v>
      </c>
      <c r="G117" t="str">
        <f>"INV 925437315"</f>
        <v>INV 925437315</v>
      </c>
      <c r="H117" s="2">
        <v>61.06</v>
      </c>
      <c r="I117" t="str">
        <f>"INV 925437315"</f>
        <v>INV 925437315</v>
      </c>
    </row>
    <row r="118" spans="1:9" x14ac:dyDescent="0.3">
      <c r="A118" t="str">
        <f>"T14545"</f>
        <v>T14545</v>
      </c>
      <c r="B118" t="s">
        <v>63</v>
      </c>
      <c r="C118">
        <v>72662</v>
      </c>
      <c r="D118" s="2">
        <v>3300.42</v>
      </c>
      <c r="E118" s="1">
        <v>43003</v>
      </c>
      <c r="F118" t="str">
        <f>"107254"</f>
        <v>107254</v>
      </c>
      <c r="G118" t="str">
        <f>"4UP CARDS/ELECTIONS DEPT"</f>
        <v>4UP CARDS/ELECTIONS DEPT</v>
      </c>
      <c r="H118" s="2">
        <v>399.17</v>
      </c>
      <c r="I118" t="str">
        <f>"4UP CARDS/ELECTIONS DEPT"</f>
        <v>4UP CARDS/ELECTIONS DEPT</v>
      </c>
    </row>
    <row r="119" spans="1:9" x14ac:dyDescent="0.3">
      <c r="A119" t="str">
        <f>""</f>
        <v/>
      </c>
      <c r="F119" t="str">
        <f>"107366"</f>
        <v>107366</v>
      </c>
      <c r="G119" t="str">
        <f>"ENVELOPES/TAX SEASON/TAX OFFIC"</f>
        <v>ENVELOPES/TAX SEASON/TAX OFFIC</v>
      </c>
      <c r="H119" s="2">
        <v>2901.25</v>
      </c>
      <c r="I119" t="str">
        <f>"ENVELOPES/TAX SEASON/TAX OFFIC"</f>
        <v>ENVELOPES/TAX SEASON/TAX OFFIC</v>
      </c>
    </row>
    <row r="120" spans="1:9" x14ac:dyDescent="0.3">
      <c r="A120" t="str">
        <f>"T7520"</f>
        <v>T7520</v>
      </c>
      <c r="B120" t="s">
        <v>64</v>
      </c>
      <c r="C120">
        <v>72435</v>
      </c>
      <c r="D120" s="2">
        <v>2550</v>
      </c>
      <c r="E120" s="1">
        <v>42989</v>
      </c>
      <c r="F120" t="str">
        <f>"201709014488"</f>
        <v>201709014488</v>
      </c>
      <c r="G120" t="str">
        <f>"12 874"</f>
        <v>12 874</v>
      </c>
      <c r="H120" s="2">
        <v>400</v>
      </c>
      <c r="I120" t="str">
        <f>"12 874"</f>
        <v>12 874</v>
      </c>
    </row>
    <row r="121" spans="1:9" x14ac:dyDescent="0.3">
      <c r="A121" t="str">
        <f>""</f>
        <v/>
      </c>
      <c r="F121" t="str">
        <f>"201709014489"</f>
        <v>201709014489</v>
      </c>
      <c r="G121" t="str">
        <f>"403036-9  403036-10"</f>
        <v>403036-9  403036-10</v>
      </c>
      <c r="H121" s="2">
        <v>600</v>
      </c>
      <c r="I121" t="str">
        <f>"403036-9  403036-10"</f>
        <v>403036-9  403036-10</v>
      </c>
    </row>
    <row r="122" spans="1:9" x14ac:dyDescent="0.3">
      <c r="A122" t="str">
        <f>""</f>
        <v/>
      </c>
      <c r="F122" t="str">
        <f>"201709014490"</f>
        <v>201709014490</v>
      </c>
      <c r="G122" t="str">
        <f>"406175-2M"</f>
        <v>406175-2M</v>
      </c>
      <c r="H122" s="2">
        <v>400</v>
      </c>
      <c r="I122" t="str">
        <f>"406175-2M"</f>
        <v>406175-2M</v>
      </c>
    </row>
    <row r="123" spans="1:9" x14ac:dyDescent="0.3">
      <c r="A123" t="str">
        <f>""</f>
        <v/>
      </c>
      <c r="F123" t="str">
        <f>"201709014491"</f>
        <v>201709014491</v>
      </c>
      <c r="G123" t="str">
        <f>"CH-20130219C"</f>
        <v>CH-20130219C</v>
      </c>
      <c r="H123" s="2">
        <v>400</v>
      </c>
      <c r="I123" t="str">
        <f>"CH-20130219C"</f>
        <v>CH-20130219C</v>
      </c>
    </row>
    <row r="124" spans="1:9" x14ac:dyDescent="0.3">
      <c r="A124" t="str">
        <f>""</f>
        <v/>
      </c>
      <c r="F124" t="str">
        <f>"201709014509"</f>
        <v>201709014509</v>
      </c>
      <c r="G124" t="str">
        <f>"16 038"</f>
        <v>16 038</v>
      </c>
      <c r="H124" s="2">
        <v>400</v>
      </c>
      <c r="I124" t="str">
        <f>"16 038"</f>
        <v>16 038</v>
      </c>
    </row>
    <row r="125" spans="1:9" x14ac:dyDescent="0.3">
      <c r="A125" t="str">
        <f>""</f>
        <v/>
      </c>
      <c r="F125" t="str">
        <f>"201709064576"</f>
        <v>201709064576</v>
      </c>
      <c r="G125" t="str">
        <f>"DETENTION HEARING 8/31/17"</f>
        <v>DETENTION HEARING 8/31/17</v>
      </c>
      <c r="H125" s="2">
        <v>100</v>
      </c>
      <c r="I125" t="str">
        <f>"DETENTION HEARING 8/31/17"</f>
        <v>DETENTION HEARING 8/31/17</v>
      </c>
    </row>
    <row r="126" spans="1:9" x14ac:dyDescent="0.3">
      <c r="A126" t="str">
        <f>""</f>
        <v/>
      </c>
      <c r="F126" t="str">
        <f>"201709064577"</f>
        <v>201709064577</v>
      </c>
      <c r="G126" t="str">
        <f>"53 436"</f>
        <v>53 436</v>
      </c>
      <c r="H126" s="2">
        <v>250</v>
      </c>
      <c r="I126" t="str">
        <f>"53 436"</f>
        <v>53 436</v>
      </c>
    </row>
    <row r="127" spans="1:9" x14ac:dyDescent="0.3">
      <c r="A127" t="str">
        <f>"T7520"</f>
        <v>T7520</v>
      </c>
      <c r="B127" t="s">
        <v>64</v>
      </c>
      <c r="C127">
        <v>72663</v>
      </c>
      <c r="D127" s="2">
        <v>12087.5</v>
      </c>
      <c r="E127" s="1">
        <v>43003</v>
      </c>
      <c r="F127" t="str">
        <f>"201709134866"</f>
        <v>201709134866</v>
      </c>
      <c r="G127" t="str">
        <f>"423-5185"</f>
        <v>423-5185</v>
      </c>
      <c r="H127" s="2">
        <v>100</v>
      </c>
      <c r="I127" t="str">
        <f>"423-5185"</f>
        <v>423-5185</v>
      </c>
    </row>
    <row r="128" spans="1:9" x14ac:dyDescent="0.3">
      <c r="A128" t="str">
        <f>""</f>
        <v/>
      </c>
      <c r="F128" t="str">
        <f>"201709134867"</f>
        <v>201709134867</v>
      </c>
      <c r="G128" t="str">
        <f>"16 285"</f>
        <v>16 285</v>
      </c>
      <c r="H128" s="2">
        <v>400</v>
      </c>
      <c r="I128" t="str">
        <f>"16 285"</f>
        <v>16 285</v>
      </c>
    </row>
    <row r="129" spans="1:9" x14ac:dyDescent="0.3">
      <c r="A129" t="str">
        <f>""</f>
        <v/>
      </c>
      <c r="F129" t="str">
        <f>"201709134868"</f>
        <v>201709134868</v>
      </c>
      <c r="G129" t="str">
        <f>"411265-1"</f>
        <v>411265-1</v>
      </c>
      <c r="H129" s="2">
        <v>200</v>
      </c>
      <c r="I129" t="str">
        <f>"411265-1"</f>
        <v>411265-1</v>
      </c>
    </row>
    <row r="130" spans="1:9" x14ac:dyDescent="0.3">
      <c r="A130" t="str">
        <f>""</f>
        <v/>
      </c>
      <c r="F130" t="str">
        <f>"201709134869"</f>
        <v>201709134869</v>
      </c>
      <c r="G130" t="str">
        <f>"423-5186"</f>
        <v>423-5186</v>
      </c>
      <c r="H130" s="2">
        <v>100</v>
      </c>
      <c r="I130" t="str">
        <f>"423-5186"</f>
        <v>423-5186</v>
      </c>
    </row>
    <row r="131" spans="1:9" x14ac:dyDescent="0.3">
      <c r="A131" t="str">
        <f>""</f>
        <v/>
      </c>
      <c r="F131" t="str">
        <f>"201709154930"</f>
        <v>201709154930</v>
      </c>
      <c r="G131" t="str">
        <f>"16 035"</f>
        <v>16 035</v>
      </c>
      <c r="H131" s="2">
        <v>9187.5</v>
      </c>
      <c r="I131" t="str">
        <f>"16 035"</f>
        <v>16 035</v>
      </c>
    </row>
    <row r="132" spans="1:9" x14ac:dyDescent="0.3">
      <c r="A132" t="str">
        <f>""</f>
        <v/>
      </c>
      <c r="F132" t="str">
        <f>"201709154931"</f>
        <v>201709154931</v>
      </c>
      <c r="G132" t="str">
        <f>"16 218"</f>
        <v>16 218</v>
      </c>
      <c r="H132" s="2">
        <v>400</v>
      </c>
      <c r="I132" t="str">
        <f>"16 218"</f>
        <v>16 218</v>
      </c>
    </row>
    <row r="133" spans="1:9" x14ac:dyDescent="0.3">
      <c r="A133" t="str">
        <f>""</f>
        <v/>
      </c>
      <c r="F133" t="str">
        <f>"201709154932"</f>
        <v>201709154932</v>
      </c>
      <c r="G133" t="str">
        <f>"423-5241 423-5242 423-5243"</f>
        <v>423-5241 423-5242 423-5243</v>
      </c>
      <c r="H133" s="2">
        <v>500</v>
      </c>
      <c r="I133" t="str">
        <f>"423-5241 423-5242 423-5243"</f>
        <v>423-5241 423-5242 423-5243</v>
      </c>
    </row>
    <row r="134" spans="1:9" x14ac:dyDescent="0.3">
      <c r="A134" t="str">
        <f>""</f>
        <v/>
      </c>
      <c r="F134" t="str">
        <f>"201709194965"</f>
        <v>201709194965</v>
      </c>
      <c r="G134" t="str">
        <f>"53 436"</f>
        <v>53 436</v>
      </c>
      <c r="H134" s="2">
        <v>250</v>
      </c>
      <c r="I134" t="str">
        <f>"53 436"</f>
        <v>53 436</v>
      </c>
    </row>
    <row r="135" spans="1:9" x14ac:dyDescent="0.3">
      <c r="A135" t="str">
        <f>""</f>
        <v/>
      </c>
      <c r="F135" t="str">
        <f>"201709205082"</f>
        <v>201709205082</v>
      </c>
      <c r="G135" t="str">
        <f>"55 077"</f>
        <v>55 077</v>
      </c>
      <c r="H135" s="2">
        <v>250</v>
      </c>
      <c r="I135" t="str">
        <f>"55 077"</f>
        <v>55 077</v>
      </c>
    </row>
    <row r="136" spans="1:9" x14ac:dyDescent="0.3">
      <c r="A136" t="str">
        <f>""</f>
        <v/>
      </c>
      <c r="F136" t="str">
        <f>"201709205083"</f>
        <v>201709205083</v>
      </c>
      <c r="G136" t="str">
        <f>"54 028"</f>
        <v>54 028</v>
      </c>
      <c r="H136" s="2">
        <v>250</v>
      </c>
      <c r="I136" t="str">
        <f>"54 028"</f>
        <v>54 028</v>
      </c>
    </row>
    <row r="137" spans="1:9" x14ac:dyDescent="0.3">
      <c r="A137" t="str">
        <f>""</f>
        <v/>
      </c>
      <c r="F137" t="str">
        <f>"201709205084"</f>
        <v>201709205084</v>
      </c>
      <c r="G137" t="str">
        <f>"54 853"</f>
        <v>54 853</v>
      </c>
      <c r="H137" s="2">
        <v>250</v>
      </c>
      <c r="I137" t="str">
        <f>"54 853"</f>
        <v>54 853</v>
      </c>
    </row>
    <row r="138" spans="1:9" x14ac:dyDescent="0.3">
      <c r="A138" t="str">
        <f>""</f>
        <v/>
      </c>
      <c r="F138" t="str">
        <f>"201709205091"</f>
        <v>201709205091</v>
      </c>
      <c r="G138" t="str">
        <f>"17-18596 17-18597"</f>
        <v>17-18596 17-18597</v>
      </c>
      <c r="H138" s="2">
        <v>200</v>
      </c>
      <c r="I138" t="str">
        <f>"17-18596 17-18597"</f>
        <v>17-18596 17-18597</v>
      </c>
    </row>
    <row r="139" spans="1:9" x14ac:dyDescent="0.3">
      <c r="A139" t="str">
        <f>"004089"</f>
        <v>004089</v>
      </c>
      <c r="B139" t="s">
        <v>65</v>
      </c>
      <c r="C139">
        <v>72664</v>
      </c>
      <c r="D139" s="2">
        <v>160</v>
      </c>
      <c r="E139" s="1">
        <v>43003</v>
      </c>
      <c r="F139" t="str">
        <f>"MEALS-A RAMIREZ"</f>
        <v>MEALS-A RAMIREZ</v>
      </c>
      <c r="G139" t="str">
        <f>"PER DIEM"</f>
        <v>PER DIEM</v>
      </c>
      <c r="H139" s="2">
        <v>160</v>
      </c>
      <c r="I139" t="str">
        <f>"PER DIEM"</f>
        <v>PER DIEM</v>
      </c>
    </row>
    <row r="140" spans="1:9" x14ac:dyDescent="0.3">
      <c r="A140" t="str">
        <f>"002661"</f>
        <v>002661</v>
      </c>
      <c r="B140" t="s">
        <v>66</v>
      </c>
      <c r="C140">
        <v>72436</v>
      </c>
      <c r="D140" s="2">
        <v>273.86</v>
      </c>
      <c r="E140" s="1">
        <v>42989</v>
      </c>
      <c r="F140" t="str">
        <f>"1707-214166"</f>
        <v>1707-214166</v>
      </c>
      <c r="G140" t="str">
        <f>"ACCT#3-3053/IT#CORNERS24/PCT2"</f>
        <v>ACCT#3-3053/IT#CORNERS24/PCT2</v>
      </c>
      <c r="H140" s="2">
        <v>131.56</v>
      </c>
      <c r="I140" t="str">
        <f>"ACCT#3-3053/IT#CORNERS24/PCT2"</f>
        <v>ACCT#3-3053/IT#CORNERS24/PCT2</v>
      </c>
    </row>
    <row r="141" spans="1:9" x14ac:dyDescent="0.3">
      <c r="A141" t="str">
        <f>""</f>
        <v/>
      </c>
      <c r="F141" t="str">
        <f>"1707-215331"</f>
        <v>1707-215331</v>
      </c>
      <c r="G141" t="str">
        <f>"ACCT#3-3053/IT#2301273/PCT#2"</f>
        <v>ACCT#3-3053/IT#2301273/PCT#2</v>
      </c>
      <c r="H141" s="2">
        <v>16.989999999999998</v>
      </c>
      <c r="I141" t="str">
        <f>"ACCT#3-3053/IT#2301273/PCT#2"</f>
        <v>ACCT#3-3053/IT#2301273/PCT#2</v>
      </c>
    </row>
    <row r="142" spans="1:9" x14ac:dyDescent="0.3">
      <c r="A142" t="str">
        <f>""</f>
        <v/>
      </c>
      <c r="F142" t="str">
        <f>"1708-230540"</f>
        <v>1708-230540</v>
      </c>
      <c r="G142" t="str">
        <f>"ACCT#3-3053/BATTERIES/PCT#2"</f>
        <v>ACCT#3-3053/BATTERIES/PCT#2</v>
      </c>
      <c r="H142" s="2">
        <v>89.92</v>
      </c>
      <c r="I142" t="str">
        <f>"ACCT#3-3053/BATTERIES/PCT#2"</f>
        <v>ACCT#3-3053/BATTERIES/PCT#2</v>
      </c>
    </row>
    <row r="143" spans="1:9" x14ac:dyDescent="0.3">
      <c r="A143" t="str">
        <f>""</f>
        <v/>
      </c>
      <c r="F143" t="str">
        <f>"1708-230693"</f>
        <v>1708-230693</v>
      </c>
      <c r="G143" t="str">
        <f>"ACCT#3-3053/ITEM#690466/PCT#2"</f>
        <v>ACCT#3-3053/ITEM#690466/PCT#2</v>
      </c>
      <c r="H143" s="2">
        <v>11.59</v>
      </c>
      <c r="I143" t="str">
        <f>"ACCT#3-3053/ITEM#690466/PCT#2"</f>
        <v>ACCT#3-3053/ITEM#690466/PCT#2</v>
      </c>
    </row>
    <row r="144" spans="1:9" x14ac:dyDescent="0.3">
      <c r="A144" t="str">
        <f>""</f>
        <v/>
      </c>
      <c r="F144" t="str">
        <f>"1708-231230"</f>
        <v>1708-231230</v>
      </c>
      <c r="G144" t="str">
        <f>"A#3-3053/IT#ST11216486610/PCT2"</f>
        <v>A#3-3053/IT#ST11216486610/PCT2</v>
      </c>
      <c r="H144" s="2">
        <v>11.85</v>
      </c>
      <c r="I144" t="str">
        <f>"A#3-3053/IT#ST11216486610/PCT2"</f>
        <v>A#3-3053/IT#ST11216486610/PCT2</v>
      </c>
    </row>
    <row r="145" spans="1:9" x14ac:dyDescent="0.3">
      <c r="A145" t="str">
        <f>""</f>
        <v/>
      </c>
      <c r="F145" t="str">
        <f>"1708-234961"</f>
        <v>1708-234961</v>
      </c>
      <c r="G145" t="str">
        <f>"A#3-3053/IT#ST70108710211/PCT2"</f>
        <v>A#3-3053/IT#ST70108710211/PCT2</v>
      </c>
      <c r="H145" s="2">
        <v>11.95</v>
      </c>
      <c r="I145" t="str">
        <f>"A#3-3053/IT#ST70108710211/PCT2"</f>
        <v>A#3-3053/IT#ST70108710211/PCT2</v>
      </c>
    </row>
    <row r="146" spans="1:9" x14ac:dyDescent="0.3">
      <c r="A146" t="str">
        <f>"004630"</f>
        <v>004630</v>
      </c>
      <c r="B146" t="s">
        <v>67</v>
      </c>
      <c r="C146">
        <v>72437</v>
      </c>
      <c r="D146" s="2">
        <v>298</v>
      </c>
      <c r="E146" s="1">
        <v>42989</v>
      </c>
      <c r="F146" t="str">
        <f>"2017-80"</f>
        <v>2017-80</v>
      </c>
      <c r="G146" t="str">
        <f>"TRUTH IN TAXATION SOFTWARE"</f>
        <v>TRUTH IN TAXATION SOFTWARE</v>
      </c>
      <c r="H146" s="2">
        <v>298</v>
      </c>
      <c r="I146" t="str">
        <f>"APPRAISAL &amp; COLLECTION TECHNOL"</f>
        <v>APPRAISAL &amp; COLLECTION TECHNOL</v>
      </c>
    </row>
    <row r="147" spans="1:9" x14ac:dyDescent="0.3">
      <c r="A147" t="str">
        <f>"004902"</f>
        <v>004902</v>
      </c>
      <c r="B147" t="s">
        <v>68</v>
      </c>
      <c r="C147">
        <v>999999</v>
      </c>
      <c r="D147" s="2">
        <v>554.26</v>
      </c>
      <c r="E147" s="1">
        <v>42992</v>
      </c>
      <c r="F147" t="str">
        <f>"201709134856"</f>
        <v>201709134856</v>
      </c>
      <c r="G147" t="str">
        <f>"MILEAGE REIMBURSEMENT"</f>
        <v>MILEAGE REIMBURSEMENT</v>
      </c>
      <c r="H147" s="2">
        <v>554.26</v>
      </c>
      <c r="I147" t="str">
        <f>"MILEAGE REIMBURSEMENT"</f>
        <v>MILEAGE REIMBURSEMENT</v>
      </c>
    </row>
    <row r="148" spans="1:9" x14ac:dyDescent="0.3">
      <c r="A148" t="str">
        <f>"004902"</f>
        <v>004902</v>
      </c>
      <c r="B148" t="s">
        <v>68</v>
      </c>
      <c r="C148">
        <v>999999</v>
      </c>
      <c r="D148" s="2">
        <v>163.78</v>
      </c>
      <c r="E148" s="1">
        <v>43004</v>
      </c>
      <c r="F148" t="str">
        <f>"201709194972"</f>
        <v>201709194972</v>
      </c>
      <c r="G148" t="str">
        <f>"REIMBURSEMENT-MEALS/CONFERENCE"</f>
        <v>REIMBURSEMENT-MEALS/CONFERENCE</v>
      </c>
      <c r="H148" s="2">
        <v>163.78</v>
      </c>
      <c r="I148" t="str">
        <f>"REIMBURSEMENT-MEALS/CONFERENCE"</f>
        <v>REIMBURSEMENT-MEALS/CONFERENCE</v>
      </c>
    </row>
    <row r="149" spans="1:9" x14ac:dyDescent="0.3">
      <c r="A149" t="str">
        <f>"AQUAB"</f>
        <v>AQUAB</v>
      </c>
      <c r="B149" t="s">
        <v>69</v>
      </c>
      <c r="C149">
        <v>72438</v>
      </c>
      <c r="D149" s="2">
        <v>666.45</v>
      </c>
      <c r="E149" s="1">
        <v>42989</v>
      </c>
      <c r="F149" t="str">
        <f>"201709064541"</f>
        <v>201709064541</v>
      </c>
      <c r="G149" t="str">
        <f>"ACCT#010238/GEN SERVICES"</f>
        <v>ACCT#010238/GEN SERVICES</v>
      </c>
      <c r="H149" s="2">
        <v>93.75</v>
      </c>
      <c r="I149" t="str">
        <f>"ACCT#010238/GEN SERVICES"</f>
        <v>ACCT#010238/GEN SERVICES</v>
      </c>
    </row>
    <row r="150" spans="1:9" x14ac:dyDescent="0.3">
      <c r="A150" t="str">
        <f>""</f>
        <v/>
      </c>
      <c r="F150" t="str">
        <f>"201709064542"</f>
        <v>201709064542</v>
      </c>
      <c r="G150" t="str">
        <f>"ACCT#014877/OEM"</f>
        <v>ACCT#014877/OEM</v>
      </c>
      <c r="H150" s="2">
        <v>34.340000000000003</v>
      </c>
      <c r="I150" t="str">
        <f>"ACCT#014877/OEM"</f>
        <v>ACCT#014877/OEM</v>
      </c>
    </row>
    <row r="151" spans="1:9" x14ac:dyDescent="0.3">
      <c r="A151" t="str">
        <f>""</f>
        <v/>
      </c>
      <c r="F151" t="str">
        <f>"201709064544"</f>
        <v>201709064544</v>
      </c>
      <c r="G151" t="str">
        <f>"ACCT#010602/COMMISSIONER OFF"</f>
        <v>ACCT#010602/COMMISSIONER OFF</v>
      </c>
      <c r="H151" s="2">
        <v>63</v>
      </c>
      <c r="I151" t="str">
        <f>"ACCT#010602/COMMISSIONER OFF"</f>
        <v>ACCT#010602/COMMISSIONER OFF</v>
      </c>
    </row>
    <row r="152" spans="1:9" x14ac:dyDescent="0.3">
      <c r="A152" t="str">
        <f>""</f>
        <v/>
      </c>
      <c r="F152" t="str">
        <f>"201709064545"</f>
        <v>201709064545</v>
      </c>
      <c r="G152" t="str">
        <f>"ACCT#012259/DIST CLERKS OFFICE"</f>
        <v>ACCT#012259/DIST CLERKS OFFICE</v>
      </c>
      <c r="H152" s="2">
        <v>55.5</v>
      </c>
      <c r="I152" t="str">
        <f>"ACCT#012259/DIST CLERKS OFFICE"</f>
        <v>ACCT#012259/DIST CLERKS OFFICE</v>
      </c>
    </row>
    <row r="153" spans="1:9" x14ac:dyDescent="0.3">
      <c r="A153" t="str">
        <f>""</f>
        <v/>
      </c>
      <c r="F153" t="str">
        <f>"201709064546"</f>
        <v>201709064546</v>
      </c>
      <c r="G153" t="str">
        <f>"ACCT#013789/BASTROP COUNTY"</f>
        <v>ACCT#013789/BASTROP COUNTY</v>
      </c>
      <c r="H153" s="2">
        <v>34.340000000000003</v>
      </c>
      <c r="I153" t="str">
        <f>"ACCT#013789/BASTROP COUNTY"</f>
        <v>ACCT#013789/BASTROP COUNTY</v>
      </c>
    </row>
    <row r="154" spans="1:9" x14ac:dyDescent="0.3">
      <c r="A154" t="str">
        <f>""</f>
        <v/>
      </c>
      <c r="F154" t="str">
        <f>"201709064547"</f>
        <v>201709064547</v>
      </c>
      <c r="G154" t="str">
        <f>"ACCT#014737/ANIMAL SVCS"</f>
        <v>ACCT#014737/ANIMAL SVCS</v>
      </c>
      <c r="H154" s="2">
        <v>142.68</v>
      </c>
      <c r="I154" t="str">
        <f>"ACCT#014737/ANIMAL SVCS"</f>
        <v>ACCT#014737/ANIMAL SVCS</v>
      </c>
    </row>
    <row r="155" spans="1:9" x14ac:dyDescent="0.3">
      <c r="A155" t="str">
        <f>""</f>
        <v/>
      </c>
      <c r="F155" t="str">
        <f>"202294 204064"</f>
        <v>202294 204064</v>
      </c>
      <c r="G155" t="str">
        <f>"ACCT#011280/COUNTY CLERK"</f>
        <v>ACCT#011280/COUNTY CLERK</v>
      </c>
      <c r="H155" s="2">
        <v>54</v>
      </c>
      <c r="I155" t="str">
        <f>"ACCT#011280/COUNTY CLERK"</f>
        <v>ACCT#011280/COUNTY CLERK</v>
      </c>
    </row>
    <row r="156" spans="1:9" x14ac:dyDescent="0.3">
      <c r="A156" t="str">
        <f>""</f>
        <v/>
      </c>
      <c r="F156" t="str">
        <f>"202299 203900"</f>
        <v>202299 203900</v>
      </c>
      <c r="G156" t="str">
        <f>"ACCT#010057/AUDITOR"</f>
        <v>ACCT#010057/AUDITOR</v>
      </c>
      <c r="H156" s="2">
        <v>39</v>
      </c>
      <c r="I156" t="str">
        <f>"ACCT#010057/AUDITOR"</f>
        <v>ACCT#010057/AUDITOR</v>
      </c>
    </row>
    <row r="157" spans="1:9" x14ac:dyDescent="0.3">
      <c r="A157" t="str">
        <f>""</f>
        <v/>
      </c>
      <c r="F157" t="str">
        <f>"202302 204348"</f>
        <v>202302 204348</v>
      </c>
      <c r="G157" t="str">
        <f>"ACCT#013393/HR"</f>
        <v>ACCT#013393/HR</v>
      </c>
      <c r="H157" s="2">
        <v>25</v>
      </c>
      <c r="I157" t="str">
        <f>"ACCT#013393/HR"</f>
        <v>ACCT#013393/HR</v>
      </c>
    </row>
    <row r="158" spans="1:9" x14ac:dyDescent="0.3">
      <c r="A158" t="str">
        <f>""</f>
        <v/>
      </c>
      <c r="F158" t="str">
        <f>"202305 204292"</f>
        <v>202305 204292</v>
      </c>
      <c r="G158" t="str">
        <f>"ACCT#012803/COUNTY JUDGE"</f>
        <v>ACCT#012803/COUNTY JUDGE</v>
      </c>
      <c r="H158" s="2">
        <v>16.5</v>
      </c>
      <c r="I158" t="str">
        <f>"ACCT#012803/COUNTY JUDGE"</f>
        <v>ACCT#012803/COUNTY JUDGE</v>
      </c>
    </row>
    <row r="159" spans="1:9" x14ac:dyDescent="0.3">
      <c r="A159" t="str">
        <f>""</f>
        <v/>
      </c>
      <c r="F159" t="str">
        <f>"202306"</f>
        <v>202306</v>
      </c>
      <c r="G159" t="str">
        <f>"ACCT#012260/D.A. OFFICE"</f>
        <v>ACCT#012260/D.A. OFFICE</v>
      </c>
      <c r="H159" s="2">
        <v>52.5</v>
      </c>
      <c r="I159" t="str">
        <f>"ACCT#012260/D.A. OFFICE"</f>
        <v>ACCT#012260/D.A. OFFICE</v>
      </c>
    </row>
    <row r="160" spans="1:9" x14ac:dyDescent="0.3">
      <c r="A160" t="str">
        <f>""</f>
        <v/>
      </c>
      <c r="F160" t="str">
        <f>"202319 203916"</f>
        <v>202319 203916</v>
      </c>
      <c r="G160" t="str">
        <f>"ACCT#010149/AGRI LIFE EXT"</f>
        <v>ACCT#010149/AGRI LIFE EXT</v>
      </c>
      <c r="H160" s="2">
        <v>33.840000000000003</v>
      </c>
      <c r="I160" t="str">
        <f>"ACCT#010149/AGRI LIFE EXT"</f>
        <v>ACCT#010149/AGRI LIFE EXT</v>
      </c>
    </row>
    <row r="161" spans="1:9" x14ac:dyDescent="0.3">
      <c r="A161" t="str">
        <f>""</f>
        <v/>
      </c>
      <c r="F161" t="str">
        <f>"203909"</f>
        <v>203909</v>
      </c>
      <c r="G161" t="str">
        <f>"ACCT#010111/CCAL BASTROP"</f>
        <v>ACCT#010111/CCAL BASTROP</v>
      </c>
      <c r="H161" s="2">
        <v>13</v>
      </c>
      <c r="I161" t="str">
        <f>"ACCT#010111/CCAL BASTROP"</f>
        <v>ACCT#010111/CCAL BASTROP</v>
      </c>
    </row>
    <row r="162" spans="1:9" x14ac:dyDescent="0.3">
      <c r="A162" t="str">
        <f>""</f>
        <v/>
      </c>
      <c r="F162" t="str">
        <f>"204085"</f>
        <v>204085</v>
      </c>
      <c r="G162" t="str">
        <f>"ACCT#011474/ELECTIONS"</f>
        <v>ACCT#011474/ELECTIONS</v>
      </c>
      <c r="H162" s="2">
        <v>9</v>
      </c>
      <c r="I162" t="str">
        <f>"ACCT#011474/ELECTIONS"</f>
        <v>ACCT#011474/ELECTIONS</v>
      </c>
    </row>
    <row r="163" spans="1:9" x14ac:dyDescent="0.3">
      <c r="A163" t="str">
        <f>"AQUAB"</f>
        <v>AQUAB</v>
      </c>
      <c r="B163" t="s">
        <v>69</v>
      </c>
      <c r="C163">
        <v>72665</v>
      </c>
      <c r="D163" s="2">
        <v>579.84</v>
      </c>
      <c r="E163" s="1">
        <v>43003</v>
      </c>
      <c r="F163" t="str">
        <f>"201709144882"</f>
        <v>201709144882</v>
      </c>
      <c r="G163" t="str">
        <f>"ACCT#015199/JP#1"</f>
        <v>ACCT#015199/JP#1</v>
      </c>
      <c r="H163" s="2">
        <v>5.84</v>
      </c>
      <c r="I163" t="str">
        <f>"ACCT#015199/JP#1"</f>
        <v>ACCT#015199/JP#1</v>
      </c>
    </row>
    <row r="164" spans="1:9" x14ac:dyDescent="0.3">
      <c r="A164" t="str">
        <f>""</f>
        <v/>
      </c>
      <c r="F164" t="str">
        <f>"201709144883"</f>
        <v>201709144883</v>
      </c>
      <c r="G164" t="str">
        <f>"ACCT#012231/DIST JUDGE"</f>
        <v>ACCT#012231/DIST JUDGE</v>
      </c>
      <c r="H164" s="2">
        <v>10</v>
      </c>
      <c r="I164" t="str">
        <f>"ACCT#012231/DIST JUDGE"</f>
        <v>ACCT#012231/DIST JUDGE</v>
      </c>
    </row>
    <row r="165" spans="1:9" x14ac:dyDescent="0.3">
      <c r="A165" t="str">
        <f>""</f>
        <v/>
      </c>
      <c r="F165" t="str">
        <f>"201709144884"</f>
        <v>201709144884</v>
      </c>
      <c r="G165" t="str">
        <f>"ACCT#011955/DIST JUDGE OFFICE"</f>
        <v>ACCT#011955/DIST JUDGE OFFICE</v>
      </c>
      <c r="H165" s="2">
        <v>64.5</v>
      </c>
      <c r="I165" t="str">
        <f>"ACCT#011955/DIST JUDGE OFFICE"</f>
        <v>ACCT#011955/DIST JUDGE OFFICE</v>
      </c>
    </row>
    <row r="166" spans="1:9" x14ac:dyDescent="0.3">
      <c r="A166" t="str">
        <f>""</f>
        <v/>
      </c>
      <c r="F166" t="str">
        <f>"201709144889"</f>
        <v>201709144889</v>
      </c>
      <c r="G166" t="str">
        <f>"CUST#015510/PCT#1"</f>
        <v>CUST#015510/PCT#1</v>
      </c>
      <c r="H166" s="2">
        <v>468</v>
      </c>
      <c r="I166" t="str">
        <f>"CUST#015510/PCT#1"</f>
        <v>CUST#015510/PCT#1</v>
      </c>
    </row>
    <row r="167" spans="1:9" x14ac:dyDescent="0.3">
      <c r="A167" t="str">
        <f>""</f>
        <v/>
      </c>
      <c r="F167" t="str">
        <f>"201709154940"</f>
        <v>201709154940</v>
      </c>
      <c r="G167" t="str">
        <f>"ACCT#012571/TREASURER"</f>
        <v>ACCT#012571/TREASURER</v>
      </c>
      <c r="H167" s="2">
        <v>31.5</v>
      </c>
      <c r="I167" t="str">
        <f>"ACCT#012571/TREASURER"</f>
        <v>ACCT#012571/TREASURER</v>
      </c>
    </row>
    <row r="168" spans="1:9" x14ac:dyDescent="0.3">
      <c r="A168" t="str">
        <f>"AWS"</f>
        <v>AWS</v>
      </c>
      <c r="B168" t="s">
        <v>70</v>
      </c>
      <c r="C168">
        <v>72407</v>
      </c>
      <c r="D168" s="2">
        <v>2141.06</v>
      </c>
      <c r="E168" s="1">
        <v>42985</v>
      </c>
      <c r="F168" t="str">
        <f>"201709074674"</f>
        <v>201709074674</v>
      </c>
      <c r="G168" t="str">
        <f>"ACCT#0401408501/ANIMAL SHELTER"</f>
        <v>ACCT#0401408501/ANIMAL SHELTER</v>
      </c>
      <c r="H168" s="2">
        <v>1073.5</v>
      </c>
      <c r="I168" t="str">
        <f>"AQUA WATER SUPPLY"</f>
        <v>AQUA WATER SUPPLY</v>
      </c>
    </row>
    <row r="169" spans="1:9" x14ac:dyDescent="0.3">
      <c r="A169" t="str">
        <f>""</f>
        <v/>
      </c>
      <c r="F169" t="str">
        <f>"201709074675"</f>
        <v>201709074675</v>
      </c>
      <c r="G169" t="str">
        <f>"ACCT#0400785803/BASTROP COUNTY"</f>
        <v>ACCT#0400785803/BASTROP COUNTY</v>
      </c>
      <c r="H169" s="2">
        <v>195.16</v>
      </c>
      <c r="I169" t="str">
        <f>"AQUA WATER SUPPLY"</f>
        <v>AQUA WATER SUPPLY</v>
      </c>
    </row>
    <row r="170" spans="1:9" x14ac:dyDescent="0.3">
      <c r="A170" t="str">
        <f>""</f>
        <v/>
      </c>
      <c r="F170" t="str">
        <f>"201709074676"</f>
        <v>201709074676</v>
      </c>
      <c r="G170" t="str">
        <f>"ACCT#0201891401/CC PARK ASSOC"</f>
        <v>ACCT#0201891401/CC PARK ASSOC</v>
      </c>
      <c r="H170" s="2">
        <v>57.39</v>
      </c>
      <c r="I170" t="str">
        <f>"AQUA WATER SUPPLY"</f>
        <v>AQUA WATER SUPPLY</v>
      </c>
    </row>
    <row r="171" spans="1:9" x14ac:dyDescent="0.3">
      <c r="A171" t="str">
        <f>""</f>
        <v/>
      </c>
      <c r="F171" t="str">
        <f>"201709074677"</f>
        <v>201709074677</v>
      </c>
      <c r="G171" t="str">
        <f>"ACCT#0201855301/CC ANNEX"</f>
        <v>ACCT#0201855301/CC ANNEX</v>
      </c>
      <c r="H171" s="2">
        <v>31.86</v>
      </c>
      <c r="I171" t="str">
        <f>"ACCT#0201855301/CC ANNEX"</f>
        <v>ACCT#0201855301/CC ANNEX</v>
      </c>
    </row>
    <row r="172" spans="1:9" x14ac:dyDescent="0.3">
      <c r="A172" t="str">
        <f>""</f>
        <v/>
      </c>
      <c r="F172" t="str">
        <f>"201709074678"</f>
        <v>201709074678</v>
      </c>
      <c r="G172" t="str">
        <f>"ACCT#0102120801/PCT #2"</f>
        <v>ACCT#0102120801/PCT #2</v>
      </c>
      <c r="H172" s="2">
        <v>742.78</v>
      </c>
      <c r="I172" t="str">
        <f>"AQUA WATER SUPPLY"</f>
        <v>AQUA WATER SUPPLY</v>
      </c>
    </row>
    <row r="173" spans="1:9" x14ac:dyDescent="0.3">
      <c r="A173" t="str">
        <f>""</f>
        <v/>
      </c>
      <c r="F173" t="str">
        <f>"201709074679"</f>
        <v>201709074679</v>
      </c>
      <c r="G173" t="str">
        <f>"ACCT#0800042801/PCT#3"</f>
        <v>ACCT#0800042801/PCT#3</v>
      </c>
      <c r="H173" s="2">
        <v>40.369999999999997</v>
      </c>
      <c r="I173" t="str">
        <f>"AQUA WATER SUPPLY"</f>
        <v>AQUA WATER SUPPLY</v>
      </c>
    </row>
    <row r="174" spans="1:9" x14ac:dyDescent="0.3">
      <c r="A174" t="str">
        <f>"AWS"</f>
        <v>AWS</v>
      </c>
      <c r="B174" t="s">
        <v>70</v>
      </c>
      <c r="C174">
        <v>72666</v>
      </c>
      <c r="D174" s="2">
        <v>5248</v>
      </c>
      <c r="E174" s="1">
        <v>43003</v>
      </c>
      <c r="F174" t="str">
        <f>"201709144888"</f>
        <v>201709144888</v>
      </c>
      <c r="G174" t="str">
        <f>"ACCT#7700010024/25 LOADS/PCT#1"</f>
        <v>ACCT#7700010024/25 LOADS/PCT#1</v>
      </c>
      <c r="H174" s="2">
        <v>256.25</v>
      </c>
      <c r="I174" t="str">
        <f>"ACCT#7700010024/25 LOADS/PCT#1"</f>
        <v>ACCT#7700010024/25 LOADS/PCT#1</v>
      </c>
    </row>
    <row r="175" spans="1:9" x14ac:dyDescent="0.3">
      <c r="A175" t="str">
        <f>""</f>
        <v/>
      </c>
      <c r="F175" t="str">
        <f>"201709144894"</f>
        <v>201709144894</v>
      </c>
      <c r="G175" t="str">
        <f>"ACCT#7700010025/172 LOADS/PCT2"</f>
        <v>ACCT#7700010025/172 LOADS/PCT2</v>
      </c>
      <c r="H175" s="2">
        <v>1763</v>
      </c>
      <c r="I175" t="str">
        <f>"ACCT#7700010025/172 LOADS/PCT2"</f>
        <v>ACCT#7700010025/172 LOADS/PCT2</v>
      </c>
    </row>
    <row r="176" spans="1:9" x14ac:dyDescent="0.3">
      <c r="A176" t="str">
        <f>""</f>
        <v/>
      </c>
      <c r="F176" t="str">
        <f>"201709144898"</f>
        <v>201709144898</v>
      </c>
      <c r="G176" t="str">
        <f>"ACCT#7700010026/185 LOADS/PCT3"</f>
        <v>ACCT#7700010026/185 LOADS/PCT3</v>
      </c>
      <c r="H176" s="2">
        <v>1896.25</v>
      </c>
      <c r="I176" t="str">
        <f>"ACCT#7700010026/185 LOADS/PCT3"</f>
        <v>ACCT#7700010026/185 LOADS/PCT3</v>
      </c>
    </row>
    <row r="177" spans="1:9" x14ac:dyDescent="0.3">
      <c r="A177" t="str">
        <f>""</f>
        <v/>
      </c>
      <c r="F177" t="str">
        <f>"201709144908"</f>
        <v>201709144908</v>
      </c>
      <c r="G177" t="str">
        <f>"ACCT#7700010027/PCT#4"</f>
        <v>ACCT#7700010027/PCT#4</v>
      </c>
      <c r="H177" s="2">
        <v>1332.5</v>
      </c>
      <c r="I177" t="str">
        <f>"ACCT#7700010027/PCT#4"</f>
        <v>ACCT#7700010027/PCT#4</v>
      </c>
    </row>
    <row r="178" spans="1:9" x14ac:dyDescent="0.3">
      <c r="A178" t="str">
        <f>"000987"</f>
        <v>000987</v>
      </c>
      <c r="B178" t="s">
        <v>71</v>
      </c>
      <c r="C178">
        <v>72667</v>
      </c>
      <c r="D178" s="2">
        <v>375.03</v>
      </c>
      <c r="E178" s="1">
        <v>43003</v>
      </c>
      <c r="F178" t="str">
        <f>"201709194978"</f>
        <v>201709194978</v>
      </c>
      <c r="G178" t="str">
        <f>"INDIGENT HEALTH"</f>
        <v>INDIGENT HEALTH</v>
      </c>
      <c r="H178" s="2">
        <v>375.03</v>
      </c>
      <c r="I178" t="str">
        <f>"INDIGENT HEALTH"</f>
        <v>INDIGENT HEALTH</v>
      </c>
    </row>
    <row r="179" spans="1:9" x14ac:dyDescent="0.3">
      <c r="A179" t="str">
        <f>"004241"</f>
        <v>004241</v>
      </c>
      <c r="B179" t="s">
        <v>72</v>
      </c>
      <c r="C179">
        <v>72668</v>
      </c>
      <c r="D179" s="2">
        <v>2388</v>
      </c>
      <c r="E179" s="1">
        <v>43003</v>
      </c>
      <c r="F179" t="str">
        <f>"3649"</f>
        <v>3649</v>
      </c>
      <c r="G179" t="str">
        <f>"ARCHIVE SOCIAL"</f>
        <v>ARCHIVE SOCIAL</v>
      </c>
      <c r="H179" s="2">
        <v>2388</v>
      </c>
      <c r="I179" t="str">
        <f>"ARCHIVE SOCIAL"</f>
        <v>ARCHIVE SOCIAL</v>
      </c>
    </row>
    <row r="180" spans="1:9" x14ac:dyDescent="0.3">
      <c r="A180" t="str">
        <f>"003672"</f>
        <v>003672</v>
      </c>
      <c r="B180" t="s">
        <v>73</v>
      </c>
      <c r="C180">
        <v>72669</v>
      </c>
      <c r="D180" s="2">
        <v>12960</v>
      </c>
      <c r="E180" s="1">
        <v>43003</v>
      </c>
      <c r="F180" t="str">
        <f>"14556"</f>
        <v>14556</v>
      </c>
      <c r="G180" t="str">
        <f>"ARSENAL TIME/SOCIAL MEDIA"</f>
        <v>ARSENAL TIME/SOCIAL MEDIA</v>
      </c>
      <c r="H180" s="2">
        <v>750</v>
      </c>
      <c r="I180" t="str">
        <f>"ARSENAL TIME/SOCIAL MEDIA"</f>
        <v>ARSENAL TIME/SOCIAL MEDIA</v>
      </c>
    </row>
    <row r="181" spans="1:9" x14ac:dyDescent="0.3">
      <c r="A181" t="str">
        <f>""</f>
        <v/>
      </c>
      <c r="F181" t="str">
        <f>"14557"</f>
        <v>14557</v>
      </c>
      <c r="G181" t="str">
        <f>"SOCIAL MEDIA MGMT FOR AUGUST"</f>
        <v>SOCIAL MEDIA MGMT FOR AUGUST</v>
      </c>
      <c r="H181" s="2">
        <v>12210</v>
      </c>
      <c r="I181" t="str">
        <f>"SOCIAL MEDIA MGMT FOR AUGUST"</f>
        <v>SOCIAL MEDIA MGMT FOR AUGUST</v>
      </c>
    </row>
    <row r="182" spans="1:9" x14ac:dyDescent="0.3">
      <c r="A182" t="str">
        <f>"003673"</f>
        <v>003673</v>
      </c>
      <c r="B182" t="s">
        <v>39</v>
      </c>
      <c r="C182">
        <v>72408</v>
      </c>
      <c r="D182" s="2">
        <v>4658.74</v>
      </c>
      <c r="E182" s="1">
        <v>42985</v>
      </c>
      <c r="F182" t="str">
        <f>"201709074673"</f>
        <v>201709074673</v>
      </c>
      <c r="G182" t="str">
        <f>"ACCT #512 A49-0048 193 3"</f>
        <v>ACCT #512 A49-0048 193 3</v>
      </c>
      <c r="H182" s="2">
        <v>4658.74</v>
      </c>
      <c r="I182" t="str">
        <f>"ACCT #512 A49-0048 193 3"</f>
        <v>ACCT #512 A49-0048 193 3</v>
      </c>
    </row>
    <row r="183" spans="1:9" x14ac:dyDescent="0.3">
      <c r="A183" t="str">
        <f>""</f>
        <v/>
      </c>
      <c r="F183" t="str">
        <f>""</f>
        <v/>
      </c>
      <c r="G183" t="str">
        <f>""</f>
        <v/>
      </c>
      <c r="I183" t="str">
        <f>"ACCT #512 A49-0048 193 3"</f>
        <v>ACCT #512 A49-0048 193 3</v>
      </c>
    </row>
    <row r="184" spans="1:9" x14ac:dyDescent="0.3">
      <c r="A184" t="str">
        <f>""</f>
        <v/>
      </c>
      <c r="F184" t="str">
        <f>""</f>
        <v/>
      </c>
      <c r="G184" t="str">
        <f>""</f>
        <v/>
      </c>
      <c r="I184" t="str">
        <f>"ACCT #512 A49-0048 193 3"</f>
        <v>ACCT #512 A49-0048 193 3</v>
      </c>
    </row>
    <row r="185" spans="1:9" x14ac:dyDescent="0.3">
      <c r="A185" t="str">
        <f>""</f>
        <v/>
      </c>
      <c r="F185" t="str">
        <f>""</f>
        <v/>
      </c>
      <c r="G185" t="str">
        <f>""</f>
        <v/>
      </c>
      <c r="I185" t="str">
        <f>"ACCT #512 A49-0048 193 3"</f>
        <v>ACCT #512 A49-0048 193 3</v>
      </c>
    </row>
    <row r="186" spans="1:9" x14ac:dyDescent="0.3">
      <c r="A186" t="str">
        <f>""</f>
        <v/>
      </c>
      <c r="F186" t="str">
        <f>""</f>
        <v/>
      </c>
      <c r="G186" t="str">
        <f>""</f>
        <v/>
      </c>
      <c r="I186" t="str">
        <f>"ACCT #512 A49-0048 193 3"</f>
        <v>ACCT #512 A49-0048 193 3</v>
      </c>
    </row>
    <row r="187" spans="1:9" x14ac:dyDescent="0.3">
      <c r="A187" t="str">
        <f>"AT&amp;TLO"</f>
        <v>AT&amp;TLO</v>
      </c>
      <c r="B187" t="s">
        <v>74</v>
      </c>
      <c r="C187">
        <v>72637</v>
      </c>
      <c r="D187" s="2">
        <v>3916.91</v>
      </c>
      <c r="E187" s="1">
        <v>42993</v>
      </c>
      <c r="F187" t="str">
        <f>"2524878301"</f>
        <v>2524878301</v>
      </c>
      <c r="G187" t="str">
        <f>"ACCT#831-000-6982 602/CC ANNEX"</f>
        <v>ACCT#831-000-6982 602/CC ANNEX</v>
      </c>
      <c r="H187" s="2">
        <v>1020.47</v>
      </c>
      <c r="I187" t="str">
        <f>"AT&amp;T"</f>
        <v>AT&amp;T</v>
      </c>
    </row>
    <row r="188" spans="1:9" x14ac:dyDescent="0.3">
      <c r="A188" t="str">
        <f>""</f>
        <v/>
      </c>
      <c r="F188" t="str">
        <f>"2553628305"</f>
        <v>2553628305</v>
      </c>
      <c r="G188" t="str">
        <f>"ACCT#831-000-6084 095/CT HOUSE"</f>
        <v>ACCT#831-000-6084 095/CT HOUSE</v>
      </c>
      <c r="H188" s="2">
        <v>1905.79</v>
      </c>
      <c r="I188" t="str">
        <f>"ACCT#831-000-6084 095/CT HOUSE"</f>
        <v>ACCT#831-000-6084 095/CT HOUSE</v>
      </c>
    </row>
    <row r="189" spans="1:9" x14ac:dyDescent="0.3">
      <c r="A189" t="str">
        <f>""</f>
        <v/>
      </c>
      <c r="F189" t="str">
        <f>"4117578306"</f>
        <v>4117578306</v>
      </c>
      <c r="G189" t="str">
        <f>"ACCT#831-000-7218 923/CC ANNEX"</f>
        <v>ACCT#831-000-7218 923/CC ANNEX</v>
      </c>
      <c r="H189" s="2">
        <v>990.65</v>
      </c>
      <c r="I189" t="str">
        <f>"AT&amp;T"</f>
        <v>AT&amp;T</v>
      </c>
    </row>
    <row r="190" spans="1:9" x14ac:dyDescent="0.3">
      <c r="A190" t="str">
        <f>"T7386"</f>
        <v>T7386</v>
      </c>
      <c r="B190" t="s">
        <v>74</v>
      </c>
      <c r="C190">
        <v>72670</v>
      </c>
      <c r="D190" s="2">
        <v>1792.11</v>
      </c>
      <c r="E190" s="1">
        <v>43003</v>
      </c>
      <c r="F190" t="str">
        <f>"201709195003"</f>
        <v>201709195003</v>
      </c>
      <c r="G190" t="str">
        <f>"ACCT#512 303-1080 238 5"</f>
        <v>ACCT#512 303-1080 238 5</v>
      </c>
      <c r="H190" s="2">
        <v>1792.11</v>
      </c>
      <c r="I190" t="str">
        <f>"ACCT#512 303-1080 238 5"</f>
        <v>ACCT#512 303-1080 238 5</v>
      </c>
    </row>
    <row r="191" spans="1:9" x14ac:dyDescent="0.3">
      <c r="A191" t="str">
        <f>"AT&amp;TMO"</f>
        <v>AT&amp;TMO</v>
      </c>
      <c r="B191" t="s">
        <v>75</v>
      </c>
      <c r="C191">
        <v>72671</v>
      </c>
      <c r="D191" s="2">
        <v>1809.46</v>
      </c>
      <c r="E191" s="1">
        <v>43003</v>
      </c>
      <c r="F191" t="str">
        <f>"201709184943"</f>
        <v>201709184943</v>
      </c>
      <c r="G191" t="str">
        <f>"ACCT#287263291654"</f>
        <v>ACCT#287263291654</v>
      </c>
      <c r="H191" s="2">
        <v>1659.5</v>
      </c>
      <c r="I191" t="str">
        <f t="shared" ref="I191:I205" si="2">"ACCT#287263291654"</f>
        <v>ACCT#287263291654</v>
      </c>
    </row>
    <row r="192" spans="1:9" x14ac:dyDescent="0.3">
      <c r="A192" t="str">
        <f>""</f>
        <v/>
      </c>
      <c r="F192" t="str">
        <f>""</f>
        <v/>
      </c>
      <c r="G192" t="str">
        <f>""</f>
        <v/>
      </c>
      <c r="I192" t="str">
        <f t="shared" si="2"/>
        <v>ACCT#287263291654</v>
      </c>
    </row>
    <row r="193" spans="1:9" x14ac:dyDescent="0.3">
      <c r="A193" t="str">
        <f>""</f>
        <v/>
      </c>
      <c r="F193" t="str">
        <f>""</f>
        <v/>
      </c>
      <c r="G193" t="str">
        <f>""</f>
        <v/>
      </c>
      <c r="I193" t="str">
        <f t="shared" si="2"/>
        <v>ACCT#287263291654</v>
      </c>
    </row>
    <row r="194" spans="1:9" x14ac:dyDescent="0.3">
      <c r="A194" t="str">
        <f>""</f>
        <v/>
      </c>
      <c r="F194" t="str">
        <f>""</f>
        <v/>
      </c>
      <c r="G194" t="str">
        <f>""</f>
        <v/>
      </c>
      <c r="I194" t="str">
        <f t="shared" si="2"/>
        <v>ACCT#287263291654</v>
      </c>
    </row>
    <row r="195" spans="1:9" x14ac:dyDescent="0.3">
      <c r="A195" t="str">
        <f>""</f>
        <v/>
      </c>
      <c r="F195" t="str">
        <f>""</f>
        <v/>
      </c>
      <c r="G195" t="str">
        <f>""</f>
        <v/>
      </c>
      <c r="I195" t="str">
        <f t="shared" si="2"/>
        <v>ACCT#287263291654</v>
      </c>
    </row>
    <row r="196" spans="1:9" x14ac:dyDescent="0.3">
      <c r="A196" t="str">
        <f>""</f>
        <v/>
      </c>
      <c r="F196" t="str">
        <f>""</f>
        <v/>
      </c>
      <c r="G196" t="str">
        <f>""</f>
        <v/>
      </c>
      <c r="I196" t="str">
        <f t="shared" si="2"/>
        <v>ACCT#287263291654</v>
      </c>
    </row>
    <row r="197" spans="1:9" x14ac:dyDescent="0.3">
      <c r="A197" t="str">
        <f>""</f>
        <v/>
      </c>
      <c r="F197" t="str">
        <f>""</f>
        <v/>
      </c>
      <c r="G197" t="str">
        <f>""</f>
        <v/>
      </c>
      <c r="I197" t="str">
        <f t="shared" si="2"/>
        <v>ACCT#287263291654</v>
      </c>
    </row>
    <row r="198" spans="1:9" x14ac:dyDescent="0.3">
      <c r="A198" t="str">
        <f>""</f>
        <v/>
      </c>
      <c r="F198" t="str">
        <f>""</f>
        <v/>
      </c>
      <c r="G198" t="str">
        <f>""</f>
        <v/>
      </c>
      <c r="I198" t="str">
        <f t="shared" si="2"/>
        <v>ACCT#287263291654</v>
      </c>
    </row>
    <row r="199" spans="1:9" x14ac:dyDescent="0.3">
      <c r="A199" t="str">
        <f>""</f>
        <v/>
      </c>
      <c r="F199" t="str">
        <f>""</f>
        <v/>
      </c>
      <c r="G199" t="str">
        <f>""</f>
        <v/>
      </c>
      <c r="I199" t="str">
        <f t="shared" si="2"/>
        <v>ACCT#287263291654</v>
      </c>
    </row>
    <row r="200" spans="1:9" x14ac:dyDescent="0.3">
      <c r="A200" t="str">
        <f>""</f>
        <v/>
      </c>
      <c r="F200" t="str">
        <f>""</f>
        <v/>
      </c>
      <c r="G200" t="str">
        <f>""</f>
        <v/>
      </c>
      <c r="I200" t="str">
        <f t="shared" si="2"/>
        <v>ACCT#287263291654</v>
      </c>
    </row>
    <row r="201" spans="1:9" x14ac:dyDescent="0.3">
      <c r="A201" t="str">
        <f>""</f>
        <v/>
      </c>
      <c r="F201" t="str">
        <f>""</f>
        <v/>
      </c>
      <c r="G201" t="str">
        <f>""</f>
        <v/>
      </c>
      <c r="I201" t="str">
        <f t="shared" si="2"/>
        <v>ACCT#287263291654</v>
      </c>
    </row>
    <row r="202" spans="1:9" x14ac:dyDescent="0.3">
      <c r="A202" t="str">
        <f>""</f>
        <v/>
      </c>
      <c r="F202" t="str">
        <f>""</f>
        <v/>
      </c>
      <c r="G202" t="str">
        <f>""</f>
        <v/>
      </c>
      <c r="I202" t="str">
        <f t="shared" si="2"/>
        <v>ACCT#287263291654</v>
      </c>
    </row>
    <row r="203" spans="1:9" x14ac:dyDescent="0.3">
      <c r="A203" t="str">
        <f>""</f>
        <v/>
      </c>
      <c r="F203" t="str">
        <f>""</f>
        <v/>
      </c>
      <c r="G203" t="str">
        <f>""</f>
        <v/>
      </c>
      <c r="I203" t="str">
        <f t="shared" si="2"/>
        <v>ACCT#287263291654</v>
      </c>
    </row>
    <row r="204" spans="1:9" x14ac:dyDescent="0.3">
      <c r="A204" t="str">
        <f>""</f>
        <v/>
      </c>
      <c r="F204" t="str">
        <f>""</f>
        <v/>
      </c>
      <c r="G204" t="str">
        <f>""</f>
        <v/>
      </c>
      <c r="I204" t="str">
        <f t="shared" si="2"/>
        <v>ACCT#287263291654</v>
      </c>
    </row>
    <row r="205" spans="1:9" x14ac:dyDescent="0.3">
      <c r="A205" t="str">
        <f>""</f>
        <v/>
      </c>
      <c r="F205" t="str">
        <f>""</f>
        <v/>
      </c>
      <c r="G205" t="str">
        <f>""</f>
        <v/>
      </c>
      <c r="I205" t="str">
        <f t="shared" si="2"/>
        <v>ACCT#287263291654</v>
      </c>
    </row>
    <row r="206" spans="1:9" x14ac:dyDescent="0.3">
      <c r="A206" t="str">
        <f>""</f>
        <v/>
      </c>
      <c r="F206" t="str">
        <f>"201709184947"</f>
        <v>201709184947</v>
      </c>
      <c r="G206" t="str">
        <f>"ACCT#287263291654/PCT#2"</f>
        <v>ACCT#287263291654/PCT#2</v>
      </c>
      <c r="H206" s="2">
        <v>75.98</v>
      </c>
      <c r="I206" t="str">
        <f>"ACCT#287263291654/PCT#2"</f>
        <v>ACCT#287263291654/PCT#2</v>
      </c>
    </row>
    <row r="207" spans="1:9" x14ac:dyDescent="0.3">
      <c r="A207" t="str">
        <f>""</f>
        <v/>
      </c>
      <c r="F207" t="str">
        <f>"201709184948"</f>
        <v>201709184948</v>
      </c>
      <c r="G207" t="str">
        <f>"ACCT#287263291654/PCT#4"</f>
        <v>ACCT#287263291654/PCT#4</v>
      </c>
      <c r="H207" s="2">
        <v>35.99</v>
      </c>
      <c r="I207" t="str">
        <f>"ACCT#287263291654/PCT#4"</f>
        <v>ACCT#287263291654/PCT#4</v>
      </c>
    </row>
    <row r="208" spans="1:9" x14ac:dyDescent="0.3">
      <c r="A208" t="str">
        <f>""</f>
        <v/>
      </c>
      <c r="F208" t="str">
        <f>"201709184949"</f>
        <v>201709184949</v>
      </c>
      <c r="G208" t="str">
        <f>"ACCT#287263291654"</f>
        <v>ACCT#287263291654</v>
      </c>
      <c r="H208" s="2">
        <v>37.99</v>
      </c>
      <c r="I208" t="str">
        <f>"ACCT#287263291654"</f>
        <v>ACCT#287263291654</v>
      </c>
    </row>
    <row r="209" spans="1:9" x14ac:dyDescent="0.3">
      <c r="A209" t="str">
        <f>"AT&amp;T13"</f>
        <v>AT&amp;T13</v>
      </c>
      <c r="B209" t="s">
        <v>76</v>
      </c>
      <c r="C209">
        <v>72439</v>
      </c>
      <c r="D209" s="2">
        <v>224.6</v>
      </c>
      <c r="E209" s="1">
        <v>42989</v>
      </c>
      <c r="F209" t="str">
        <f>"201708314481"</f>
        <v>201708314481</v>
      </c>
      <c r="G209" t="str">
        <f>"ACCT#826392401/DPS"</f>
        <v>ACCT#826392401/DPS</v>
      </c>
      <c r="H209" s="2">
        <v>224.6</v>
      </c>
      <c r="I209" t="str">
        <f>"ACCT#826392401/DPS"</f>
        <v>ACCT#826392401/DPS</v>
      </c>
    </row>
    <row r="210" spans="1:9" x14ac:dyDescent="0.3">
      <c r="A210" t="str">
        <f>"AA-S"</f>
        <v>AA-S</v>
      </c>
      <c r="B210" t="s">
        <v>77</v>
      </c>
      <c r="C210">
        <v>72440</v>
      </c>
      <c r="D210" s="2">
        <v>2567.8200000000002</v>
      </c>
      <c r="E210" s="1">
        <v>42989</v>
      </c>
      <c r="F210" t="str">
        <f>"0000194436"</f>
        <v>0000194436</v>
      </c>
      <c r="G210" t="str">
        <f>"Ad #194436"</f>
        <v>Ad #194436</v>
      </c>
      <c r="H210" s="2">
        <v>371.52</v>
      </c>
      <c r="I210" t="str">
        <f>"Ad #194436"</f>
        <v>Ad #194436</v>
      </c>
    </row>
    <row r="211" spans="1:9" x14ac:dyDescent="0.3">
      <c r="A211" t="str">
        <f>""</f>
        <v/>
      </c>
      <c r="F211" t="str">
        <f>"201709064560"</f>
        <v>201709064560</v>
      </c>
      <c r="G211" t="str">
        <f>"ACCT#5373859/NEWSPAPER SUBS"</f>
        <v>ACCT#5373859/NEWSPAPER SUBS</v>
      </c>
      <c r="H211" s="2">
        <v>121.49</v>
      </c>
      <c r="I211" t="str">
        <f>"ACCT#5373859/NEWSPAPER SUBS"</f>
        <v>ACCT#5373859/NEWSPAPER SUBS</v>
      </c>
    </row>
    <row r="212" spans="1:9" x14ac:dyDescent="0.3">
      <c r="A212" t="str">
        <f>""</f>
        <v/>
      </c>
      <c r="F212" t="str">
        <f>"IOO200287-08192017"</f>
        <v>IOO200287-08192017</v>
      </c>
      <c r="G212" t="str">
        <f>"Ad# 0000200287"</f>
        <v>Ad# 0000200287</v>
      </c>
      <c r="H212" s="2">
        <v>778.08</v>
      </c>
      <c r="I212" t="str">
        <f>"Ad# 0000200287"</f>
        <v>Ad# 0000200287</v>
      </c>
    </row>
    <row r="213" spans="1:9" x14ac:dyDescent="0.3">
      <c r="A213" t="str">
        <f>""</f>
        <v/>
      </c>
      <c r="F213" t="str">
        <f>"IOO201867-08242017"</f>
        <v>IOO201867-08242017</v>
      </c>
      <c r="G213" t="str">
        <f>"Pblc Notice - Solid Waste"</f>
        <v>Pblc Notice - Solid Waste</v>
      </c>
      <c r="H213" s="2">
        <v>354.24</v>
      </c>
      <c r="I213" t="str">
        <f>"Pblc Notice - Solid Waste"</f>
        <v>Pblc Notice - Solid Waste</v>
      </c>
    </row>
    <row r="214" spans="1:9" x14ac:dyDescent="0.3">
      <c r="A214" t="str">
        <f>""</f>
        <v/>
      </c>
      <c r="F214" t="str">
        <f>"IOO202055-08242017"</f>
        <v>IOO202055-08242017</v>
      </c>
      <c r="G214" t="str">
        <f>"Ad# 0000202055"</f>
        <v>Ad# 0000202055</v>
      </c>
      <c r="H214" s="2">
        <v>190.08</v>
      </c>
      <c r="I214" t="str">
        <f>"Ad# 0000202055"</f>
        <v>Ad# 0000202055</v>
      </c>
    </row>
    <row r="215" spans="1:9" x14ac:dyDescent="0.3">
      <c r="A215" t="str">
        <f>""</f>
        <v/>
      </c>
      <c r="F215" t="str">
        <f>"IOO202056-08242017"</f>
        <v>IOO202056-08242017</v>
      </c>
      <c r="G215" t="str">
        <f>"Ad# 0000202056"</f>
        <v>Ad# 0000202056</v>
      </c>
      <c r="H215" s="2">
        <v>185.76</v>
      </c>
      <c r="I215" t="str">
        <f>"Ad# 0000202056"</f>
        <v>Ad# 0000202056</v>
      </c>
    </row>
    <row r="216" spans="1:9" x14ac:dyDescent="0.3">
      <c r="A216" t="str">
        <f>""</f>
        <v/>
      </c>
      <c r="F216" t="str">
        <f>"IOO204134-08262017"</f>
        <v>IOO204134-08262017</v>
      </c>
      <c r="G216" t="str">
        <f>"Ad# 00204134"</f>
        <v>Ad# 00204134</v>
      </c>
      <c r="H216" s="2">
        <v>510.62</v>
      </c>
      <c r="I216" t="str">
        <f>"Ad# 00204134"</f>
        <v>Ad# 00204134</v>
      </c>
    </row>
    <row r="217" spans="1:9" x14ac:dyDescent="0.3">
      <c r="A217" t="str">
        <f>""</f>
        <v/>
      </c>
      <c r="F217" t="str">
        <f>"IOO205147-08262017"</f>
        <v>IOO205147-08262017</v>
      </c>
      <c r="G217" t="str">
        <f>"Ad# 205147-08262017"</f>
        <v>Ad# 205147-08262017</v>
      </c>
      <c r="H217" s="2">
        <v>56.03</v>
      </c>
      <c r="I217" t="str">
        <f>"Ad# 205147-08262017"</f>
        <v>Ad# 205147-08262017</v>
      </c>
    </row>
    <row r="218" spans="1:9" x14ac:dyDescent="0.3">
      <c r="A218" t="str">
        <f>"003291"</f>
        <v>003291</v>
      </c>
      <c r="B218" t="s">
        <v>78</v>
      </c>
      <c r="C218">
        <v>999999</v>
      </c>
      <c r="D218" s="2">
        <v>1414.21</v>
      </c>
      <c r="E218" s="1">
        <v>43004</v>
      </c>
      <c r="F218" t="str">
        <f>"0000211193"</f>
        <v>0000211193</v>
      </c>
      <c r="G218" t="str">
        <f>"AD# 177223"</f>
        <v>AD# 177223</v>
      </c>
      <c r="H218" s="2">
        <v>185.76</v>
      </c>
      <c r="I218" t="str">
        <f>"Fee"</f>
        <v>Fee</v>
      </c>
    </row>
    <row r="219" spans="1:9" x14ac:dyDescent="0.3">
      <c r="A219" t="str">
        <f>""</f>
        <v/>
      </c>
      <c r="F219" t="str">
        <f>"17-18104"</f>
        <v>17-18104</v>
      </c>
      <c r="G219" t="str">
        <f>"Ad# 211193"</f>
        <v>Ad# 211193</v>
      </c>
      <c r="H219" s="2">
        <v>460.32</v>
      </c>
      <c r="I219" t="str">
        <f>"Ad# 211193"</f>
        <v>Ad# 211193</v>
      </c>
    </row>
    <row r="220" spans="1:9" x14ac:dyDescent="0.3">
      <c r="A220" t="str">
        <f>""</f>
        <v/>
      </c>
      <c r="F220" t="str">
        <f>"197103"</f>
        <v>197103</v>
      </c>
      <c r="G220" t="str">
        <f>"Ad# 197103"</f>
        <v>Ad# 197103</v>
      </c>
      <c r="H220" s="2">
        <v>285.12</v>
      </c>
      <c r="I220" t="str">
        <f>"Ad# 197103"</f>
        <v>Ad# 197103</v>
      </c>
    </row>
    <row r="221" spans="1:9" x14ac:dyDescent="0.3">
      <c r="A221" t="str">
        <f>""</f>
        <v/>
      </c>
      <c r="F221" t="str">
        <f>"205672"</f>
        <v>205672</v>
      </c>
      <c r="G221" t="str">
        <f>"Ad# 205672"</f>
        <v>Ad# 205672</v>
      </c>
      <c r="H221" s="2">
        <v>56.16</v>
      </c>
      <c r="I221" t="str">
        <f>"Ad# 205672"</f>
        <v>Ad# 205672</v>
      </c>
    </row>
    <row r="222" spans="1:9" x14ac:dyDescent="0.3">
      <c r="A222" t="str">
        <f>""</f>
        <v/>
      </c>
      <c r="F222" t="str">
        <f>"210472"</f>
        <v>210472</v>
      </c>
      <c r="G222" t="str">
        <f>"Ad# 210472"</f>
        <v>Ad# 210472</v>
      </c>
      <c r="H222" s="2">
        <v>219.81</v>
      </c>
      <c r="I222" t="str">
        <f>"Ad# 210472"</f>
        <v>Ad# 210472</v>
      </c>
    </row>
    <row r="223" spans="1:9" x14ac:dyDescent="0.3">
      <c r="A223" t="str">
        <f>""</f>
        <v/>
      </c>
      <c r="F223" t="str">
        <f>"210807"</f>
        <v>210807</v>
      </c>
      <c r="G223" t="str">
        <f>"Ad# 210807"</f>
        <v>Ad# 210807</v>
      </c>
      <c r="H223" s="2">
        <v>69.12</v>
      </c>
      <c r="I223" t="str">
        <f>"Ad# 210807"</f>
        <v>Ad# 210807</v>
      </c>
    </row>
    <row r="224" spans="1:9" x14ac:dyDescent="0.3">
      <c r="A224" t="str">
        <f>""</f>
        <v/>
      </c>
      <c r="F224" t="str">
        <f>"211863"</f>
        <v>211863</v>
      </c>
      <c r="G224" t="str">
        <f>"Ad# 211863"</f>
        <v>Ad# 211863</v>
      </c>
      <c r="H224" s="2">
        <v>77.58</v>
      </c>
      <c r="I224" t="str">
        <f>"Ad# 211863"</f>
        <v>Ad# 211863</v>
      </c>
    </row>
    <row r="225" spans="1:9" x14ac:dyDescent="0.3">
      <c r="A225" t="str">
        <f>""</f>
        <v/>
      </c>
      <c r="F225" t="str">
        <f>"IOO216276-09162017"</f>
        <v>IOO216276-09162017</v>
      </c>
      <c r="G225" t="str">
        <f>"AD# 216276"</f>
        <v>AD# 216276</v>
      </c>
      <c r="H225" s="2">
        <v>60.34</v>
      </c>
      <c r="I225" t="str">
        <f>"AD# 216276"</f>
        <v>AD# 216276</v>
      </c>
    </row>
    <row r="226" spans="1:9" x14ac:dyDescent="0.3">
      <c r="A226" t="str">
        <f>"T6178"</f>
        <v>T6178</v>
      </c>
      <c r="B226" t="s">
        <v>79</v>
      </c>
      <c r="C226">
        <v>72441</v>
      </c>
      <c r="D226" s="2">
        <v>121.75</v>
      </c>
      <c r="E226" s="1">
        <v>42989</v>
      </c>
      <c r="F226" t="str">
        <f>"201709064606"</f>
        <v>201709064606</v>
      </c>
      <c r="G226" t="str">
        <f>"INDIGENT HEALTH"</f>
        <v>INDIGENT HEALTH</v>
      </c>
      <c r="H226" s="2">
        <v>121.75</v>
      </c>
      <c r="I226" t="str">
        <f>"INDIGENT HEALTH"</f>
        <v>INDIGENT HEALTH</v>
      </c>
    </row>
    <row r="227" spans="1:9" x14ac:dyDescent="0.3">
      <c r="A227" t="str">
        <f>""</f>
        <v/>
      </c>
      <c r="F227" t="str">
        <f>""</f>
        <v/>
      </c>
      <c r="G227" t="str">
        <f>""</f>
        <v/>
      </c>
      <c r="I227" t="str">
        <f>"INDIGENT HEALTH"</f>
        <v>INDIGENT HEALTH</v>
      </c>
    </row>
    <row r="228" spans="1:9" x14ac:dyDescent="0.3">
      <c r="A228" t="str">
        <f>"T6757"</f>
        <v>T6757</v>
      </c>
      <c r="B228" t="s">
        <v>80</v>
      </c>
      <c r="C228">
        <v>72672</v>
      </c>
      <c r="D228" s="2">
        <v>54.41</v>
      </c>
      <c r="E228" s="1">
        <v>43003</v>
      </c>
      <c r="F228" t="str">
        <f>"201709194979"</f>
        <v>201709194979</v>
      </c>
      <c r="G228" t="str">
        <f>"INDIGENT HEALTH"</f>
        <v>INDIGENT HEALTH</v>
      </c>
      <c r="H228" s="2">
        <v>54.41</v>
      </c>
      <c r="I228" t="str">
        <f>"INDIGENT HEALTH"</f>
        <v>INDIGENT HEALTH</v>
      </c>
    </row>
    <row r="229" spans="1:9" x14ac:dyDescent="0.3">
      <c r="A229" t="str">
        <f>"005206"</f>
        <v>005206</v>
      </c>
      <c r="B229" t="s">
        <v>81</v>
      </c>
      <c r="C229">
        <v>72442</v>
      </c>
      <c r="D229" s="2">
        <v>300</v>
      </c>
      <c r="E229" s="1">
        <v>42989</v>
      </c>
      <c r="F229" t="str">
        <f>"201709064538"</f>
        <v>201709064538</v>
      </c>
      <c r="G229" t="str">
        <f>"MONITOR PUMPING OPERATION/PCT2"</f>
        <v>MONITOR PUMPING OPERATION/PCT2</v>
      </c>
      <c r="H229" s="2">
        <v>300</v>
      </c>
      <c r="I229" t="str">
        <f>"MONITOR PUMPING OPERATION/PCT2"</f>
        <v>MONITOR PUMPING OPERATION/PCT2</v>
      </c>
    </row>
    <row r="230" spans="1:9" x14ac:dyDescent="0.3">
      <c r="A230" t="str">
        <f>"T1251"</f>
        <v>T1251</v>
      </c>
      <c r="B230" t="s">
        <v>82</v>
      </c>
      <c r="C230">
        <v>72443</v>
      </c>
      <c r="D230" s="2">
        <v>302.32</v>
      </c>
      <c r="E230" s="1">
        <v>42989</v>
      </c>
      <c r="F230" t="str">
        <f>"201709064608"</f>
        <v>201709064608</v>
      </c>
      <c r="G230" t="str">
        <f>"INDIGENT HEALTH"</f>
        <v>INDIGENT HEALTH</v>
      </c>
      <c r="H230" s="2">
        <v>302.32</v>
      </c>
      <c r="I230" t="str">
        <f>"INDIGENT HEALTH"</f>
        <v>INDIGENT HEALTH</v>
      </c>
    </row>
    <row r="231" spans="1:9" x14ac:dyDescent="0.3">
      <c r="A231" t="str">
        <f>""</f>
        <v/>
      </c>
      <c r="F231" t="str">
        <f>""</f>
        <v/>
      </c>
      <c r="G231" t="str">
        <f>""</f>
        <v/>
      </c>
      <c r="I231" t="str">
        <f>"INDIGENT HEALTH"</f>
        <v>INDIGENT HEALTH</v>
      </c>
    </row>
    <row r="232" spans="1:9" x14ac:dyDescent="0.3">
      <c r="A232" t="str">
        <f>"T1251"</f>
        <v>T1251</v>
      </c>
      <c r="B232" t="s">
        <v>82</v>
      </c>
      <c r="C232">
        <v>72673</v>
      </c>
      <c r="D232" s="2">
        <v>464.58</v>
      </c>
      <c r="E232" s="1">
        <v>43003</v>
      </c>
      <c r="F232" t="str">
        <f>"201709194980"</f>
        <v>201709194980</v>
      </c>
      <c r="G232" t="str">
        <f>"INDIGENT HEALTH"</f>
        <v>INDIGENT HEALTH</v>
      </c>
      <c r="H232" s="2">
        <v>464.58</v>
      </c>
      <c r="I232" t="str">
        <f>"INDIGENT HEALTH"</f>
        <v>INDIGENT HEALTH</v>
      </c>
    </row>
    <row r="233" spans="1:9" x14ac:dyDescent="0.3">
      <c r="A233" t="str">
        <f>""</f>
        <v/>
      </c>
      <c r="F233" t="str">
        <f>""</f>
        <v/>
      </c>
      <c r="G233" t="str">
        <f>""</f>
        <v/>
      </c>
      <c r="I233" t="str">
        <f>"INDIGENT HEALTH"</f>
        <v>INDIGENT HEALTH</v>
      </c>
    </row>
    <row r="234" spans="1:9" x14ac:dyDescent="0.3">
      <c r="A234" t="str">
        <f>"001795"</f>
        <v>001795</v>
      </c>
      <c r="B234" t="s">
        <v>83</v>
      </c>
      <c r="C234">
        <v>72674</v>
      </c>
      <c r="D234" s="2">
        <v>336.53</v>
      </c>
      <c r="E234" s="1">
        <v>43003</v>
      </c>
      <c r="F234" t="str">
        <f>"143678"</f>
        <v>143678</v>
      </c>
      <c r="G234" t="str">
        <f>"PARTS/PCT#3"</f>
        <v>PARTS/PCT#3</v>
      </c>
      <c r="H234" s="2">
        <v>336.53</v>
      </c>
      <c r="I234" t="str">
        <f>"PARTS/PCT#3"</f>
        <v>PARTS/PCT#3</v>
      </c>
    </row>
    <row r="235" spans="1:9" x14ac:dyDescent="0.3">
      <c r="A235" t="str">
        <f>"T3200"</f>
        <v>T3200</v>
      </c>
      <c r="B235" t="s">
        <v>84</v>
      </c>
      <c r="C235">
        <v>72444</v>
      </c>
      <c r="D235" s="2">
        <v>136.6</v>
      </c>
      <c r="E235" s="1">
        <v>42989</v>
      </c>
      <c r="F235" t="str">
        <f>"201709064610"</f>
        <v>201709064610</v>
      </c>
      <c r="G235" t="str">
        <f>"INDIGENT HEALTH"</f>
        <v>INDIGENT HEALTH</v>
      </c>
      <c r="H235" s="2">
        <v>136.6</v>
      </c>
      <c r="I235" t="str">
        <f>"INDIGENT HEALTH"</f>
        <v>INDIGENT HEALTH</v>
      </c>
    </row>
    <row r="236" spans="1:9" x14ac:dyDescent="0.3">
      <c r="A236" t="str">
        <f>"B&amp;B"</f>
        <v>B&amp;B</v>
      </c>
      <c r="B236" t="s">
        <v>85</v>
      </c>
      <c r="C236">
        <v>72445</v>
      </c>
      <c r="D236" s="2">
        <v>2197.09</v>
      </c>
      <c r="E236" s="1">
        <v>42989</v>
      </c>
      <c r="F236" t="str">
        <f>"201709014523"</f>
        <v>201709014523</v>
      </c>
      <c r="G236" t="str">
        <f>"CUST#1700/PCT#2"</f>
        <v>CUST#1700/PCT#2</v>
      </c>
      <c r="H236" s="2">
        <v>78.540000000000006</v>
      </c>
      <c r="I236" t="str">
        <f>"CUST#1700/PCT#2"</f>
        <v>CUST#1700/PCT#2</v>
      </c>
    </row>
    <row r="237" spans="1:9" x14ac:dyDescent="0.3">
      <c r="A237" t="str">
        <f>""</f>
        <v/>
      </c>
      <c r="F237" t="str">
        <f>"201709014524"</f>
        <v>201709014524</v>
      </c>
      <c r="G237" t="str">
        <f>"CUST#1750/PCT#3"</f>
        <v>CUST#1750/PCT#3</v>
      </c>
      <c r="H237" s="2">
        <v>341.37</v>
      </c>
      <c r="I237" t="str">
        <f>"CUST#1750/PCT#3"</f>
        <v>CUST#1750/PCT#3</v>
      </c>
    </row>
    <row r="238" spans="1:9" x14ac:dyDescent="0.3">
      <c r="A238" t="str">
        <f>""</f>
        <v/>
      </c>
      <c r="F238" t="str">
        <f>"201709014525"</f>
        <v>201709014525</v>
      </c>
      <c r="G238" t="str">
        <f>"CUST#1800/PCT#4"</f>
        <v>CUST#1800/PCT#4</v>
      </c>
      <c r="H238" s="2">
        <v>483.69</v>
      </c>
      <c r="I238" t="str">
        <f>"CUST#1800/PCT#4"</f>
        <v>CUST#1800/PCT#4</v>
      </c>
    </row>
    <row r="239" spans="1:9" x14ac:dyDescent="0.3">
      <c r="A239" t="str">
        <f>""</f>
        <v/>
      </c>
      <c r="F239" t="str">
        <f>"201709064556"</f>
        <v>201709064556</v>
      </c>
      <c r="G239" t="str">
        <f>"CUST#1650"</f>
        <v>CUST#1650</v>
      </c>
      <c r="H239" s="2">
        <v>235.05</v>
      </c>
      <c r="I239" t="str">
        <f>"CUST#1650"</f>
        <v>CUST#1650</v>
      </c>
    </row>
    <row r="240" spans="1:9" x14ac:dyDescent="0.3">
      <c r="A240" t="str">
        <f>""</f>
        <v/>
      </c>
      <c r="F240" t="str">
        <f>""</f>
        <v/>
      </c>
      <c r="G240" t="str">
        <f>""</f>
        <v/>
      </c>
      <c r="I240" t="str">
        <f>"CUST#1650"</f>
        <v>CUST#1650</v>
      </c>
    </row>
    <row r="241" spans="1:9" x14ac:dyDescent="0.3">
      <c r="A241" t="str">
        <f>""</f>
        <v/>
      </c>
      <c r="F241" t="str">
        <f>""</f>
        <v/>
      </c>
      <c r="G241" t="str">
        <f>""</f>
        <v/>
      </c>
      <c r="I241" t="str">
        <f>"CUST#1650"</f>
        <v>CUST#1650</v>
      </c>
    </row>
    <row r="242" spans="1:9" x14ac:dyDescent="0.3">
      <c r="A242" t="str">
        <f>""</f>
        <v/>
      </c>
      <c r="F242" t="str">
        <f>"201709064566"</f>
        <v>201709064566</v>
      </c>
      <c r="G242" t="str">
        <f>"CUST#1650/PCT#1"</f>
        <v>CUST#1650/PCT#1</v>
      </c>
      <c r="H242" s="2">
        <v>1030.6600000000001</v>
      </c>
      <c r="I242" t="str">
        <f>"CUST#1650/PCT#1"</f>
        <v>CUST#1650/PCT#1</v>
      </c>
    </row>
    <row r="243" spans="1:9" x14ac:dyDescent="0.3">
      <c r="A243" t="str">
        <f>""</f>
        <v/>
      </c>
      <c r="F243" t="str">
        <f>""</f>
        <v/>
      </c>
      <c r="G243" t="str">
        <f>""</f>
        <v/>
      </c>
      <c r="I243" t="str">
        <f>"CUST#1650/PCT#1"</f>
        <v>CUST#1650/PCT#1</v>
      </c>
    </row>
    <row r="244" spans="1:9" x14ac:dyDescent="0.3">
      <c r="A244" t="str">
        <f>""</f>
        <v/>
      </c>
      <c r="F244" t="str">
        <f>""</f>
        <v/>
      </c>
      <c r="G244" t="str">
        <f>""</f>
        <v/>
      </c>
      <c r="I244" t="str">
        <f>"CUST#1650/PCT#1"</f>
        <v>CUST#1650/PCT#1</v>
      </c>
    </row>
    <row r="245" spans="1:9" x14ac:dyDescent="0.3">
      <c r="A245" t="str">
        <f>""</f>
        <v/>
      </c>
      <c r="F245" t="str">
        <f>"9205-535025"</f>
        <v>9205-535025</v>
      </c>
      <c r="G245" t="str">
        <f>"FULE LINE"</f>
        <v>FULE LINE</v>
      </c>
      <c r="H245" s="2">
        <v>27.78</v>
      </c>
      <c r="I245" t="str">
        <f>"FULE LINE"</f>
        <v>FULE LINE</v>
      </c>
    </row>
    <row r="246" spans="1:9" x14ac:dyDescent="0.3">
      <c r="A246" t="str">
        <f>"B&amp;B"</f>
        <v>B&amp;B</v>
      </c>
      <c r="B246" t="s">
        <v>85</v>
      </c>
      <c r="C246">
        <v>72675</v>
      </c>
      <c r="D246" s="2">
        <v>93.34</v>
      </c>
      <c r="E246" s="1">
        <v>43003</v>
      </c>
      <c r="F246" t="str">
        <f>"9205-536627"</f>
        <v>9205-536627</v>
      </c>
      <c r="G246" t="str">
        <f>"INV 9205-536627"</f>
        <v>INV 9205-536627</v>
      </c>
      <c r="H246" s="2">
        <v>65.319999999999993</v>
      </c>
      <c r="I246" t="str">
        <f>"INV 9205-536627"</f>
        <v>INV 9205-536627</v>
      </c>
    </row>
    <row r="247" spans="1:9" x14ac:dyDescent="0.3">
      <c r="A247" t="str">
        <f>""</f>
        <v/>
      </c>
      <c r="F247" t="str">
        <f>"9205-539457"</f>
        <v>9205-539457</v>
      </c>
      <c r="G247" t="str">
        <f>"INV 9205-539457"</f>
        <v>INV 9205-539457</v>
      </c>
      <c r="H247" s="2">
        <v>28.02</v>
      </c>
      <c r="I247" t="str">
        <f>"INV 9205-539457"</f>
        <v>INV 9205-539457</v>
      </c>
    </row>
    <row r="248" spans="1:9" x14ac:dyDescent="0.3">
      <c r="A248" t="str">
        <f>"BTW"</f>
        <v>BTW</v>
      </c>
      <c r="B248" t="s">
        <v>86</v>
      </c>
      <c r="C248">
        <v>72446</v>
      </c>
      <c r="D248" s="2">
        <v>919.42</v>
      </c>
      <c r="E248" s="1">
        <v>42989</v>
      </c>
      <c r="F248" t="str">
        <f>"0009"</f>
        <v>0009</v>
      </c>
      <c r="G248" t="str">
        <f>"IN#342957 343217 343643 343681"</f>
        <v>IN#342957 343217 343643 343681</v>
      </c>
      <c r="H248" s="2">
        <v>187.49</v>
      </c>
      <c r="I248" t="str">
        <f>"IN#342957 343217 343643 343681"</f>
        <v>IN#342957 343217 343643 343681</v>
      </c>
    </row>
    <row r="249" spans="1:9" x14ac:dyDescent="0.3">
      <c r="A249" t="str">
        <f>""</f>
        <v/>
      </c>
      <c r="F249" t="str">
        <f>"201709064537"</f>
        <v>201709064537</v>
      </c>
      <c r="G249" t="str">
        <f>"AUTO SERVICES/PCT#2"</f>
        <v>AUTO SERVICES/PCT#2</v>
      </c>
      <c r="H249" s="2">
        <v>355</v>
      </c>
      <c r="I249" t="str">
        <f>"AUTO SERVICES/PCT#2"</f>
        <v>AUTO SERVICES/PCT#2</v>
      </c>
    </row>
    <row r="250" spans="1:9" x14ac:dyDescent="0.3">
      <c r="A250" t="str">
        <f>""</f>
        <v/>
      </c>
      <c r="F250" t="str">
        <f>"201709064540"</f>
        <v>201709064540</v>
      </c>
      <c r="G250" t="str">
        <f>"ACCT#0009/AUTO SVCS/PCT#1"</f>
        <v>ACCT#0009/AUTO SVCS/PCT#1</v>
      </c>
      <c r="H250" s="2">
        <v>336.98</v>
      </c>
      <c r="I250" t="str">
        <f>"ACCT#0009/AUTO SVCS/PCT#1"</f>
        <v>ACCT#0009/AUTO SVCS/PCT#1</v>
      </c>
    </row>
    <row r="251" spans="1:9" x14ac:dyDescent="0.3">
      <c r="A251" t="str">
        <f>""</f>
        <v/>
      </c>
      <c r="F251" t="str">
        <f>"343119"</f>
        <v>343119</v>
      </c>
      <c r="G251" t="str">
        <f>"ACCT#0008/2001 FORD PK F150"</f>
        <v>ACCT#0008/2001 FORD PK F150</v>
      </c>
      <c r="H251" s="2">
        <v>39.950000000000003</v>
      </c>
      <c r="I251" t="str">
        <f>"ACCT#0008/2001 FORD PK F150"</f>
        <v>ACCT#0008/2001 FORD PK F150</v>
      </c>
    </row>
    <row r="252" spans="1:9" x14ac:dyDescent="0.3">
      <c r="A252" t="str">
        <f>"001769"</f>
        <v>001769</v>
      </c>
      <c r="B252" t="s">
        <v>87</v>
      </c>
      <c r="C252">
        <v>72447</v>
      </c>
      <c r="D252" s="2">
        <v>600</v>
      </c>
      <c r="E252" s="1">
        <v>42989</v>
      </c>
      <c r="F252" t="str">
        <f>"1522"</f>
        <v>1522</v>
      </c>
      <c r="G252" t="str">
        <f>"TREE REMOVAL/PCT#2"</f>
        <v>TREE REMOVAL/PCT#2</v>
      </c>
      <c r="H252" s="2">
        <v>600</v>
      </c>
      <c r="I252" t="str">
        <f>"TREE REMOVAL/PCT#2"</f>
        <v>TREE REMOVAL/PCT#2</v>
      </c>
    </row>
    <row r="253" spans="1:9" x14ac:dyDescent="0.3">
      <c r="A253" t="str">
        <f>"BA"</f>
        <v>BA</v>
      </c>
      <c r="B253" t="s">
        <v>88</v>
      </c>
      <c r="C253">
        <v>72448</v>
      </c>
      <c r="D253" s="2">
        <v>60.84</v>
      </c>
      <c r="E253" s="1">
        <v>42989</v>
      </c>
      <c r="F253" t="str">
        <f>"TAX CAUSE #3466"</f>
        <v>TAX CAUSE #3466</v>
      </c>
      <c r="G253" t="str">
        <f>"PRINTER FEE 6/14/17"</f>
        <v>PRINTER FEE 6/14/17</v>
      </c>
      <c r="H253" s="2">
        <v>60.84</v>
      </c>
      <c r="I253" t="str">
        <f>"PRINTER FEE 6/14/17"</f>
        <v>PRINTER FEE 6/14/17</v>
      </c>
    </row>
    <row r="254" spans="1:9" x14ac:dyDescent="0.3">
      <c r="A254" t="str">
        <f>"BCAD"</f>
        <v>BCAD</v>
      </c>
      <c r="B254" t="s">
        <v>89</v>
      </c>
      <c r="C254">
        <v>72449</v>
      </c>
      <c r="D254" s="2">
        <v>131029.43</v>
      </c>
      <c r="E254" s="1">
        <v>42989</v>
      </c>
      <c r="F254" t="str">
        <f>"201709014510"</f>
        <v>201709014510</v>
      </c>
      <c r="G254" t="str">
        <f>"4TH QTR 2017 LOCAL SUPPORT"</f>
        <v>4TH QTR 2017 LOCAL SUPPORT</v>
      </c>
      <c r="H254" s="2">
        <v>131029.43</v>
      </c>
      <c r="I254" t="str">
        <f>"4TH QTR 2017 LOCAL SUPPORT"</f>
        <v>4TH QTR 2017 LOCAL SUPPORT</v>
      </c>
    </row>
    <row r="255" spans="1:9" x14ac:dyDescent="0.3">
      <c r="A255" t="str">
        <f>"000871"</f>
        <v>000871</v>
      </c>
      <c r="B255" t="s">
        <v>90</v>
      </c>
      <c r="C255">
        <v>72450</v>
      </c>
      <c r="D255" s="2">
        <v>550</v>
      </c>
      <c r="E255" s="1">
        <v>42989</v>
      </c>
      <c r="F255" t="str">
        <f>"14106"</f>
        <v>14106</v>
      </c>
      <c r="G255" t="str">
        <f>"2017-18 BEST LEADERSHIP PROG"</f>
        <v>2017-18 BEST LEADERSHIP PROG</v>
      </c>
      <c r="H255" s="2">
        <v>550</v>
      </c>
      <c r="I255" t="str">
        <f>"2017-18 BEST LEADERSHIP PROG"</f>
        <v>2017-18 BEST LEADERSHIP PROG</v>
      </c>
    </row>
    <row r="256" spans="1:9" x14ac:dyDescent="0.3">
      <c r="A256" t="str">
        <f>"001551"</f>
        <v>001551</v>
      </c>
      <c r="B256" t="s">
        <v>91</v>
      </c>
      <c r="C256">
        <v>72676</v>
      </c>
      <c r="D256" s="2">
        <v>2500</v>
      </c>
      <c r="E256" s="1">
        <v>43003</v>
      </c>
      <c r="F256" t="str">
        <f>"201709194998"</f>
        <v>201709194998</v>
      </c>
      <c r="G256" t="str">
        <f>"FOSTER EXPENSES/SCHOOL SUPPLS"</f>
        <v>FOSTER EXPENSES/SCHOOL SUPPLS</v>
      </c>
      <c r="H256" s="2">
        <v>2500</v>
      </c>
      <c r="I256" t="str">
        <f>"FOSTER EXPENSES/SCHOOL SUPPLS"</f>
        <v>FOSTER EXPENSES/SCHOOL SUPPLS</v>
      </c>
    </row>
    <row r="257" spans="1:10" x14ac:dyDescent="0.3">
      <c r="A257" t="str">
        <f>"T1636"</f>
        <v>T1636</v>
      </c>
      <c r="B257" t="s">
        <v>92</v>
      </c>
      <c r="C257">
        <v>72451</v>
      </c>
      <c r="D257" s="2">
        <v>2448.38</v>
      </c>
      <c r="E257" s="1">
        <v>42989</v>
      </c>
      <c r="F257" t="s">
        <v>93</v>
      </c>
      <c r="G257" t="s">
        <v>94</v>
      </c>
      <c r="H257" s="2" t="str">
        <f>"SERVICE 6/14/17"</f>
        <v>SERVICE 6/14/17</v>
      </c>
      <c r="I257" t="str">
        <f>"995-4110"</f>
        <v>995-4110</v>
      </c>
      <c r="J257">
        <v>275</v>
      </c>
    </row>
    <row r="258" spans="1:10" x14ac:dyDescent="0.3">
      <c r="A258" t="str">
        <f>""</f>
        <v/>
      </c>
      <c r="F258" t="str">
        <f>"11985"</f>
        <v>11985</v>
      </c>
      <c r="G258" t="str">
        <f>"SERVICE 7/7/17"</f>
        <v>SERVICE 7/7/17</v>
      </c>
      <c r="H258" s="2">
        <v>150</v>
      </c>
      <c r="I258" t="str">
        <f>"SERVICE 7/7/17"</f>
        <v>SERVICE 7/7/17</v>
      </c>
    </row>
    <row r="259" spans="1:10" x14ac:dyDescent="0.3">
      <c r="A259" t="str">
        <f>""</f>
        <v/>
      </c>
      <c r="F259" t="s">
        <v>95</v>
      </c>
      <c r="G259" t="s">
        <v>96</v>
      </c>
      <c r="H259" s="2" t="str">
        <f>"SERVICE O/S 6/14/17"</f>
        <v>SERVICE O/S 6/14/17</v>
      </c>
      <c r="I259" t="str">
        <f>"995-4110"</f>
        <v>995-4110</v>
      </c>
      <c r="J259">
        <v>250</v>
      </c>
    </row>
    <row r="260" spans="1:10" x14ac:dyDescent="0.3">
      <c r="A260" t="str">
        <f>""</f>
        <v/>
      </c>
      <c r="F260" t="s">
        <v>95</v>
      </c>
      <c r="G260" t="s">
        <v>97</v>
      </c>
      <c r="H260" s="2" t="str">
        <f>"SERVICE  6/14/17"</f>
        <v>SERVICE  6/14/17</v>
      </c>
      <c r="I260" t="str">
        <f>"995-4110"</f>
        <v>995-4110</v>
      </c>
      <c r="J260">
        <v>400</v>
      </c>
    </row>
    <row r="261" spans="1:10" x14ac:dyDescent="0.3">
      <c r="A261" t="str">
        <f>""</f>
        <v/>
      </c>
      <c r="F261" t="s">
        <v>95</v>
      </c>
      <c r="G261" t="s">
        <v>98</v>
      </c>
      <c r="H261" s="2" t="str">
        <f>"SERVICE 6/14/17"</f>
        <v>SERVICE 6/14/17</v>
      </c>
      <c r="I261" t="str">
        <f>"995-4110"</f>
        <v>995-4110</v>
      </c>
      <c r="J261">
        <v>250</v>
      </c>
    </row>
    <row r="262" spans="1:10" x14ac:dyDescent="0.3">
      <c r="A262" t="str">
        <f>""</f>
        <v/>
      </c>
      <c r="F262" t="str">
        <f>"12179 7/7/17"</f>
        <v>12179 7/7/17</v>
      </c>
      <c r="G262" t="str">
        <f>"SERVICE 7/7/17"</f>
        <v>SERVICE 7/7/17</v>
      </c>
      <c r="H262" s="2">
        <v>75</v>
      </c>
      <c r="I262" t="str">
        <f>"SERVICE 7/7/17"</f>
        <v>SERVICE 7/7/17</v>
      </c>
    </row>
    <row r="263" spans="1:10" x14ac:dyDescent="0.3">
      <c r="A263" t="str">
        <f>""</f>
        <v/>
      </c>
      <c r="F263" t="str">
        <f>"12480"</f>
        <v>12480</v>
      </c>
      <c r="G263" t="str">
        <f>"SERVICE 6/14/17"</f>
        <v>SERVICE 6/14/17</v>
      </c>
      <c r="H263" s="2">
        <v>340</v>
      </c>
      <c r="I263" t="str">
        <f>"SERVICE 6/14/17"</f>
        <v>SERVICE 6/14/17</v>
      </c>
    </row>
    <row r="264" spans="1:10" x14ac:dyDescent="0.3">
      <c r="A264" t="str">
        <f>""</f>
        <v/>
      </c>
      <c r="F264" t="str">
        <f>"12488"</f>
        <v>12488</v>
      </c>
      <c r="G264" t="str">
        <f>"SERVICE 6/14/17"</f>
        <v>SERVICE 6/14/17</v>
      </c>
      <c r="H264" s="2">
        <v>325</v>
      </c>
      <c r="I264" t="str">
        <f>"SERVICE 6/14/17"</f>
        <v>SERVICE 6/14/17</v>
      </c>
    </row>
    <row r="265" spans="1:10" x14ac:dyDescent="0.3">
      <c r="A265" t="str">
        <f>""</f>
        <v/>
      </c>
      <c r="F265" t="str">
        <f>"12683"</f>
        <v>12683</v>
      </c>
      <c r="G265" t="str">
        <f>"SERVICE 7/11/17"</f>
        <v>SERVICE 7/11/17</v>
      </c>
      <c r="H265" s="2">
        <v>75</v>
      </c>
      <c r="I265" t="str">
        <f>"SERVICE 7/11/17"</f>
        <v>SERVICE 7/11/17</v>
      </c>
    </row>
    <row r="266" spans="1:10" x14ac:dyDescent="0.3">
      <c r="A266" t="str">
        <f>""</f>
        <v/>
      </c>
      <c r="F266" t="str">
        <f>"12743"</f>
        <v>12743</v>
      </c>
      <c r="G266" t="str">
        <f>"SERVICE 7/21/17"</f>
        <v>SERVICE 7/21/17</v>
      </c>
      <c r="H266" s="2">
        <v>75</v>
      </c>
      <c r="I266" t="str">
        <f>"SERVICE 7/21/17"</f>
        <v>SERVICE 7/21/17</v>
      </c>
    </row>
    <row r="267" spans="1:10" x14ac:dyDescent="0.3">
      <c r="A267" t="str">
        <f>""</f>
        <v/>
      </c>
      <c r="F267" t="str">
        <f>"9754"</f>
        <v>9754</v>
      </c>
      <c r="G267" t="str">
        <f>"SERVICE 7/7/17"</f>
        <v>SERVICE 7/7/17</v>
      </c>
      <c r="H267" s="2">
        <v>200</v>
      </c>
      <c r="I267" t="str">
        <f>"SERVICE 7/7/17"</f>
        <v>SERVICE 7/7/17</v>
      </c>
    </row>
    <row r="268" spans="1:10" x14ac:dyDescent="0.3">
      <c r="A268" t="str">
        <f>""</f>
        <v/>
      </c>
      <c r="F268" t="str">
        <f>"TAX CAUSE #3466"</f>
        <v>TAX CAUSE #3466</v>
      </c>
      <c r="G268" t="str">
        <f>"SERVICE 6/14/17"</f>
        <v>SERVICE 6/14/17</v>
      </c>
      <c r="H268" s="2">
        <v>33.380000000000003</v>
      </c>
      <c r="I268" t="str">
        <f>"SERVICE 6/14/17"</f>
        <v>SERVICE 6/14/17</v>
      </c>
    </row>
    <row r="269" spans="1:10" x14ac:dyDescent="0.3">
      <c r="A269" t="str">
        <f>"T1636"</f>
        <v>T1636</v>
      </c>
      <c r="B269" t="s">
        <v>92</v>
      </c>
      <c r="C269">
        <v>72677</v>
      </c>
      <c r="D269" s="2">
        <v>3900</v>
      </c>
      <c r="E269" s="1">
        <v>43003</v>
      </c>
      <c r="F269" t="s">
        <v>93</v>
      </c>
      <c r="G269" t="s">
        <v>99</v>
      </c>
      <c r="H269" s="2" t="str">
        <f>"SERVICE  7/31/17"</f>
        <v>SERVICE  7/31/17</v>
      </c>
      <c r="I269" t="str">
        <f>"995-4110"</f>
        <v>995-4110</v>
      </c>
      <c r="J269">
        <v>150</v>
      </c>
    </row>
    <row r="270" spans="1:10" x14ac:dyDescent="0.3">
      <c r="A270" t="str">
        <f>""</f>
        <v/>
      </c>
      <c r="F270" t="s">
        <v>93</v>
      </c>
      <c r="G270" t="s">
        <v>100</v>
      </c>
      <c r="H270" s="2" t="str">
        <f>"SERVICE  6/14/17"</f>
        <v>SERVICE  6/14/17</v>
      </c>
      <c r="I270" t="str">
        <f>"995-4110"</f>
        <v>995-4110</v>
      </c>
      <c r="J270">
        <v>350</v>
      </c>
    </row>
    <row r="271" spans="1:10" x14ac:dyDescent="0.3">
      <c r="A271" t="str">
        <f>""</f>
        <v/>
      </c>
      <c r="F271" t="s">
        <v>93</v>
      </c>
      <c r="G271" t="s">
        <v>101</v>
      </c>
      <c r="H271" s="2" t="str">
        <f>"SERVICE  6/14/17"</f>
        <v>SERVICE  6/14/17</v>
      </c>
      <c r="I271" t="str">
        <f>"995-4110"</f>
        <v>995-4110</v>
      </c>
      <c r="J271">
        <v>1725</v>
      </c>
    </row>
    <row r="272" spans="1:10" x14ac:dyDescent="0.3">
      <c r="A272" t="str">
        <f>""</f>
        <v/>
      </c>
      <c r="F272" t="s">
        <v>95</v>
      </c>
      <c r="G272" t="s">
        <v>102</v>
      </c>
      <c r="H272" s="2" t="str">
        <f>"SERVICE 07/31/2017"</f>
        <v>SERVICE 07/31/2017</v>
      </c>
      <c r="I272" t="str">
        <f>"995-4110"</f>
        <v>995-4110</v>
      </c>
      <c r="J272">
        <v>725</v>
      </c>
    </row>
    <row r="273" spans="1:10" x14ac:dyDescent="0.3">
      <c r="A273" t="str">
        <f>""</f>
        <v/>
      </c>
      <c r="F273" t="s">
        <v>95</v>
      </c>
      <c r="G273" t="s">
        <v>103</v>
      </c>
      <c r="H273" s="2" t="str">
        <f>"SERVICE 7/31/17"</f>
        <v>SERVICE 7/31/17</v>
      </c>
      <c r="I273" t="str">
        <f>"995-4110"</f>
        <v>995-4110</v>
      </c>
      <c r="J273">
        <v>75</v>
      </c>
    </row>
    <row r="274" spans="1:10" x14ac:dyDescent="0.3">
      <c r="A274" t="str">
        <f>""</f>
        <v/>
      </c>
      <c r="F274" t="str">
        <f>"12446"</f>
        <v>12446</v>
      </c>
      <c r="G274" t="str">
        <f>"SERVICE  6/14/17"</f>
        <v>SERVICE  6/14/17</v>
      </c>
      <c r="H274" s="2">
        <v>325</v>
      </c>
      <c r="I274" t="str">
        <f>"SERVICE  6/14/17"</f>
        <v>SERVICE  6/14/17</v>
      </c>
    </row>
    <row r="275" spans="1:10" x14ac:dyDescent="0.3">
      <c r="A275" t="str">
        <f>""</f>
        <v/>
      </c>
      <c r="F275" t="str">
        <f>"12451"</f>
        <v>12451</v>
      </c>
      <c r="G275" t="str">
        <f>"SERVICE  6/14/17"</f>
        <v>SERVICE  6/14/17</v>
      </c>
      <c r="H275" s="2">
        <v>400</v>
      </c>
      <c r="I275" t="str">
        <f>"SERVICE  6/14/17"</f>
        <v>SERVICE  6/14/17</v>
      </c>
    </row>
    <row r="276" spans="1:10" x14ac:dyDescent="0.3">
      <c r="A276" t="str">
        <f>""</f>
        <v/>
      </c>
      <c r="F276" t="str">
        <f>"12742"</f>
        <v>12742</v>
      </c>
      <c r="G276" t="str">
        <f>"SERVICE 8/03/17"</f>
        <v>SERVICE 8/03/17</v>
      </c>
      <c r="H276" s="2">
        <v>150</v>
      </c>
      <c r="I276" t="str">
        <f>"SERVICE 8/03/17"</f>
        <v>SERVICE 8/03/17</v>
      </c>
    </row>
    <row r="277" spans="1:10" x14ac:dyDescent="0.3">
      <c r="A277" t="str">
        <f>"BASCO"</f>
        <v>BASCO</v>
      </c>
      <c r="B277" t="s">
        <v>104</v>
      </c>
      <c r="C277">
        <v>72678</v>
      </c>
      <c r="D277" s="2">
        <v>299.56</v>
      </c>
      <c r="E277" s="1">
        <v>43003</v>
      </c>
      <c r="F277" t="str">
        <f>"201709144881"</f>
        <v>201709144881</v>
      </c>
      <c r="G277" t="str">
        <f>"ACCT#BC01"</f>
        <v>ACCT#BC01</v>
      </c>
      <c r="H277" s="2">
        <v>281.56</v>
      </c>
      <c r="I277" t="str">
        <f>"ACCT#BC01"</f>
        <v>ACCT#BC01</v>
      </c>
    </row>
    <row r="278" spans="1:10" x14ac:dyDescent="0.3">
      <c r="A278" t="str">
        <f>""</f>
        <v/>
      </c>
      <c r="F278" t="str">
        <f>""</f>
        <v/>
      </c>
      <c r="G278" t="str">
        <f>""</f>
        <v/>
      </c>
      <c r="I278" t="str">
        <f>"ACCT#BC01"</f>
        <v>ACCT#BC01</v>
      </c>
    </row>
    <row r="279" spans="1:10" x14ac:dyDescent="0.3">
      <c r="A279" t="str">
        <f>""</f>
        <v/>
      </c>
      <c r="F279" t="str">
        <f>""</f>
        <v/>
      </c>
      <c r="G279" t="str">
        <f>""</f>
        <v/>
      </c>
      <c r="I279" t="str">
        <f>"ACCT#BC01"</f>
        <v>ACCT#BC01</v>
      </c>
    </row>
    <row r="280" spans="1:10" x14ac:dyDescent="0.3">
      <c r="A280" t="str">
        <f>""</f>
        <v/>
      </c>
      <c r="F280" t="str">
        <f>""</f>
        <v/>
      </c>
      <c r="G280" t="str">
        <f>""</f>
        <v/>
      </c>
      <c r="I280" t="str">
        <f>"ACCT#BC01"</f>
        <v>ACCT#BC01</v>
      </c>
    </row>
    <row r="281" spans="1:10" x14ac:dyDescent="0.3">
      <c r="A281" t="str">
        <f>""</f>
        <v/>
      </c>
      <c r="F281" t="str">
        <f>"201709144907"</f>
        <v>201709144907</v>
      </c>
      <c r="G281" t="str">
        <f>"ACCT#BC01/PCT#4"</f>
        <v>ACCT#BC01/PCT#4</v>
      </c>
      <c r="H281" s="2">
        <v>18</v>
      </c>
      <c r="I281" t="str">
        <f>"ACCT#BC01/PCT#4"</f>
        <v>ACCT#BC01/PCT#4</v>
      </c>
    </row>
    <row r="282" spans="1:10" x14ac:dyDescent="0.3">
      <c r="A282" t="str">
        <f>"T3799"</f>
        <v>T3799</v>
      </c>
      <c r="B282" t="s">
        <v>105</v>
      </c>
      <c r="C282">
        <v>72679</v>
      </c>
      <c r="D282" s="2">
        <v>1051.33</v>
      </c>
      <c r="E282" s="1">
        <v>43003</v>
      </c>
      <c r="F282" t="str">
        <f>"164"</f>
        <v>164</v>
      </c>
      <c r="G282" t="str">
        <f>"AUGUST FUEL USE"</f>
        <v>AUGUST FUEL USE</v>
      </c>
      <c r="H282" s="2">
        <v>1051.33</v>
      </c>
      <c r="I282" t="str">
        <f>"AUGUST FUEL USE"</f>
        <v>AUGUST FUEL USE</v>
      </c>
    </row>
    <row r="283" spans="1:10" x14ac:dyDescent="0.3">
      <c r="A283" t="str">
        <f>"T13544"</f>
        <v>T13544</v>
      </c>
      <c r="B283" t="s">
        <v>106</v>
      </c>
      <c r="C283">
        <v>999999</v>
      </c>
      <c r="D283" s="2">
        <v>113.27</v>
      </c>
      <c r="E283" s="1">
        <v>43004</v>
      </c>
      <c r="F283" t="str">
        <f>"201709194981"</f>
        <v>201709194981</v>
      </c>
      <c r="G283" t="str">
        <f>"INDIGENT HEALTH"</f>
        <v>INDIGENT HEALTH</v>
      </c>
      <c r="H283" s="2">
        <v>113.27</v>
      </c>
      <c r="I283" t="str">
        <f>"INDIGENT HEALTH"</f>
        <v>INDIGENT HEALTH</v>
      </c>
    </row>
    <row r="284" spans="1:10" x14ac:dyDescent="0.3">
      <c r="A284" t="str">
        <f>"000719"</f>
        <v>000719</v>
      </c>
      <c r="B284" t="s">
        <v>107</v>
      </c>
      <c r="C284">
        <v>72680</v>
      </c>
      <c r="D284" s="2">
        <v>393.55</v>
      </c>
      <c r="E284" s="1">
        <v>43003</v>
      </c>
      <c r="F284" t="str">
        <f>"5502"</f>
        <v>5502</v>
      </c>
      <c r="G284" t="str">
        <f>"MOWER REPAIRS/GEN SVCS"</f>
        <v>MOWER REPAIRS/GEN SVCS</v>
      </c>
      <c r="H284" s="2">
        <v>376.3</v>
      </c>
      <c r="I284" t="str">
        <f>"MOWER REPAIRS/GEN SVCS"</f>
        <v>MOWER REPAIRS/GEN SVCS</v>
      </c>
    </row>
    <row r="285" spans="1:10" x14ac:dyDescent="0.3">
      <c r="A285" t="str">
        <f>""</f>
        <v/>
      </c>
      <c r="F285" t="str">
        <f>"5704"</f>
        <v>5704</v>
      </c>
      <c r="G285" t="str">
        <f>"TRIMMER HEAD SPRING/CVR/HLDR"</f>
        <v>TRIMMER HEAD SPRING/CVR/HLDR</v>
      </c>
      <c r="H285" s="2">
        <v>17.25</v>
      </c>
      <c r="I285" t="str">
        <f>"TRIMMER HEAD SPRING/CVR/HLDR"</f>
        <v>TRIMMER HEAD SPRING/CVR/HLDR</v>
      </c>
    </row>
    <row r="286" spans="1:10" x14ac:dyDescent="0.3">
      <c r="A286" t="str">
        <f>"001542"</f>
        <v>001542</v>
      </c>
      <c r="B286" t="s">
        <v>108</v>
      </c>
      <c r="C286">
        <v>999999</v>
      </c>
      <c r="D286" s="2">
        <v>1390</v>
      </c>
      <c r="E286" s="1">
        <v>43004</v>
      </c>
      <c r="F286" t="str">
        <f>"2017097"</f>
        <v>2017097</v>
      </c>
      <c r="G286" t="str">
        <f>"TRANSPORT-S. BROWN"</f>
        <v>TRANSPORT-S. BROWN</v>
      </c>
      <c r="H286" s="2">
        <v>695</v>
      </c>
      <c r="I286" t="str">
        <f>"TRANSPORT-S. BROWN"</f>
        <v>TRANSPORT-S. BROWN</v>
      </c>
    </row>
    <row r="287" spans="1:10" x14ac:dyDescent="0.3">
      <c r="A287" t="str">
        <f>""</f>
        <v/>
      </c>
      <c r="F287" t="str">
        <f>"2017098"</f>
        <v>2017098</v>
      </c>
      <c r="G287" t="str">
        <f>"TRANSPORT-N. HAZELTON"</f>
        <v>TRANSPORT-N. HAZELTON</v>
      </c>
      <c r="H287" s="2">
        <v>695</v>
      </c>
      <c r="I287" t="str">
        <f>"TRANSPORT-N. HAZELTON"</f>
        <v>TRANSPORT-N. HAZELTON</v>
      </c>
    </row>
    <row r="288" spans="1:10" x14ac:dyDescent="0.3">
      <c r="A288" t="str">
        <f>"002504"</f>
        <v>002504</v>
      </c>
      <c r="B288" t="s">
        <v>109</v>
      </c>
      <c r="C288">
        <v>72452</v>
      </c>
      <c r="D288" s="2">
        <v>1675</v>
      </c>
      <c r="E288" s="1">
        <v>42989</v>
      </c>
      <c r="F288" t="str">
        <f>"4309"</f>
        <v>4309</v>
      </c>
      <c r="G288" t="str">
        <f>"ELECTION SUPPLIES"</f>
        <v>ELECTION SUPPLIES</v>
      </c>
      <c r="H288" s="2">
        <v>1675</v>
      </c>
      <c r="I288" t="str">
        <f>"ELECTION SUPPLIES"</f>
        <v>ELECTION SUPPLIES</v>
      </c>
    </row>
    <row r="289" spans="1:10" x14ac:dyDescent="0.3">
      <c r="A289" t="str">
        <f>"T5228"</f>
        <v>T5228</v>
      </c>
      <c r="B289" t="s">
        <v>110</v>
      </c>
      <c r="C289">
        <v>72453</v>
      </c>
      <c r="D289" s="2">
        <v>118.99</v>
      </c>
      <c r="E289" s="1">
        <v>42989</v>
      </c>
      <c r="F289" t="str">
        <f>"1-25016"</f>
        <v>1-25016</v>
      </c>
      <c r="G289" t="str">
        <f>"UNIT#LPHCP/99 FORD RANGER"</f>
        <v>UNIT#LPHCP/99 FORD RANGER</v>
      </c>
      <c r="H289" s="2">
        <v>118.99</v>
      </c>
      <c r="I289" t="str">
        <f>"UNIT#LPHCP/99 FORD RANGER"</f>
        <v>UNIT#LPHCP/99 FORD RANGER</v>
      </c>
    </row>
    <row r="290" spans="1:10" x14ac:dyDescent="0.3">
      <c r="A290" t="str">
        <f>"000485"</f>
        <v>000485</v>
      </c>
      <c r="B290" t="s">
        <v>111</v>
      </c>
      <c r="C290">
        <v>72681</v>
      </c>
      <c r="D290" s="2">
        <v>425</v>
      </c>
      <c r="E290" s="1">
        <v>43003</v>
      </c>
      <c r="F290" t="str">
        <f>"4853R"</f>
        <v>4853R</v>
      </c>
      <c r="G290" t="str">
        <f>"BASTROP TREE SERVICE  INC"</f>
        <v>BASTROP TREE SERVICE  INC</v>
      </c>
      <c r="H290" s="2">
        <v>425</v>
      </c>
      <c r="I290" t="str">
        <f>"TREES SERVICE"</f>
        <v>TREES SERVICE</v>
      </c>
    </row>
    <row r="291" spans="1:10" x14ac:dyDescent="0.3">
      <c r="A291" t="str">
        <f>"BVH"</f>
        <v>BVH</v>
      </c>
      <c r="B291" t="s">
        <v>112</v>
      </c>
      <c r="C291">
        <v>72682</v>
      </c>
      <c r="D291" s="2">
        <v>519.49</v>
      </c>
      <c r="E291" s="1">
        <v>43003</v>
      </c>
      <c r="F291" t="str">
        <f>"1087423"</f>
        <v>1087423</v>
      </c>
      <c r="G291" t="str">
        <f>"INV 1087423"</f>
        <v>INV 1087423</v>
      </c>
      <c r="H291" s="2">
        <v>166.52</v>
      </c>
      <c r="I291" t="str">
        <f>"INV 1087423"</f>
        <v>INV 1087423</v>
      </c>
    </row>
    <row r="292" spans="1:10" x14ac:dyDescent="0.3">
      <c r="A292" t="str">
        <f>""</f>
        <v/>
      </c>
      <c r="F292" t="str">
        <f>"1091839"</f>
        <v>1091839</v>
      </c>
      <c r="G292" t="str">
        <f>"INV 1091839"</f>
        <v>INV 1091839</v>
      </c>
      <c r="H292" s="2">
        <v>161.69999999999999</v>
      </c>
      <c r="I292" t="str">
        <f>"INV 1091839"</f>
        <v>INV 1091839</v>
      </c>
    </row>
    <row r="293" spans="1:10" x14ac:dyDescent="0.3">
      <c r="A293" t="str">
        <f>""</f>
        <v/>
      </c>
      <c r="F293" t="str">
        <f>"1092965"</f>
        <v>1092965</v>
      </c>
      <c r="G293" t="s">
        <v>113</v>
      </c>
      <c r="H293" s="2">
        <v>191.27</v>
      </c>
      <c r="I293" t="s">
        <v>113</v>
      </c>
    </row>
    <row r="294" spans="1:10" x14ac:dyDescent="0.3">
      <c r="A294" t="str">
        <f>"000110"</f>
        <v>000110</v>
      </c>
      <c r="B294" t="s">
        <v>114</v>
      </c>
      <c r="C294">
        <v>72454</v>
      </c>
      <c r="D294" s="2">
        <v>1645</v>
      </c>
      <c r="E294" s="1">
        <v>42989</v>
      </c>
      <c r="F294" t="str">
        <f>"BKGRND INVESTIGAT"</f>
        <v>BKGRND INVESTIGAT</v>
      </c>
      <c r="G294" t="str">
        <f>"AUGUST SERVICES"</f>
        <v>AUGUST SERVICES</v>
      </c>
      <c r="H294" s="2">
        <v>1645</v>
      </c>
      <c r="I294" t="str">
        <f>"LAW ENFORCEMENT"</f>
        <v>LAW ENFORCEMENT</v>
      </c>
    </row>
    <row r="295" spans="1:10" x14ac:dyDescent="0.3">
      <c r="A295" t="str">
        <f>""</f>
        <v/>
      </c>
      <c r="F295" t="str">
        <f>""</f>
        <v/>
      </c>
      <c r="G295" t="str">
        <f>""</f>
        <v/>
      </c>
      <c r="I295" t="str">
        <f>"JAIL"</f>
        <v>JAIL</v>
      </c>
    </row>
    <row r="296" spans="1:10" x14ac:dyDescent="0.3">
      <c r="A296" t="str">
        <f>"002543"</f>
        <v>002543</v>
      </c>
      <c r="B296" t="s">
        <v>115</v>
      </c>
      <c r="C296">
        <v>72683</v>
      </c>
      <c r="D296" s="2">
        <v>70</v>
      </c>
      <c r="E296" s="1">
        <v>43003</v>
      </c>
      <c r="F296" t="s">
        <v>93</v>
      </c>
      <c r="G296" t="s">
        <v>100</v>
      </c>
      <c r="H296" s="2" t="str">
        <f>"SERVICE  6/14/17"</f>
        <v>SERVICE  6/14/17</v>
      </c>
      <c r="I296" t="str">
        <f>"995-4110"</f>
        <v>995-4110</v>
      </c>
      <c r="J296">
        <v>70</v>
      </c>
    </row>
    <row r="297" spans="1:10" x14ac:dyDescent="0.3">
      <c r="A297" t="str">
        <f>"KEITH"</f>
        <v>KEITH</v>
      </c>
      <c r="B297" t="s">
        <v>116</v>
      </c>
      <c r="C297">
        <v>72455</v>
      </c>
      <c r="D297" s="2">
        <v>2183.5</v>
      </c>
      <c r="E297" s="1">
        <v>42989</v>
      </c>
      <c r="F297" t="str">
        <f>"74423171"</f>
        <v>74423171</v>
      </c>
      <c r="G297" t="str">
        <f>"INV 74423171"</f>
        <v>INV 74423171</v>
      </c>
      <c r="H297" s="2">
        <v>859.76</v>
      </c>
      <c r="I297" t="str">
        <f>"INV 74423171"</f>
        <v>INV 74423171</v>
      </c>
    </row>
    <row r="298" spans="1:10" x14ac:dyDescent="0.3">
      <c r="A298" t="str">
        <f>""</f>
        <v/>
      </c>
      <c r="F298" t="str">
        <f>"74429335"</f>
        <v>74429335</v>
      </c>
      <c r="G298" t="str">
        <f>"INV 74429335"</f>
        <v>INV 74429335</v>
      </c>
      <c r="H298" s="2">
        <v>1323.74</v>
      </c>
      <c r="I298" t="str">
        <f>"INV 74429335"</f>
        <v>INV 74429335</v>
      </c>
    </row>
    <row r="299" spans="1:10" x14ac:dyDescent="0.3">
      <c r="A299" t="str">
        <f>"KEITH"</f>
        <v>KEITH</v>
      </c>
      <c r="B299" t="s">
        <v>116</v>
      </c>
      <c r="C299">
        <v>72684</v>
      </c>
      <c r="D299" s="2">
        <v>1537.51</v>
      </c>
      <c r="E299" s="1">
        <v>43003</v>
      </c>
      <c r="F299" t="str">
        <f>"74442746/74435917"</f>
        <v>74442746/74435917</v>
      </c>
      <c r="G299" t="str">
        <f>"INV 74442746"</f>
        <v>INV 74442746</v>
      </c>
      <c r="H299" s="2">
        <v>1537.51</v>
      </c>
      <c r="I299" t="str">
        <f>"INV 74442746"</f>
        <v>INV 74442746</v>
      </c>
    </row>
    <row r="300" spans="1:10" x14ac:dyDescent="0.3">
      <c r="A300" t="str">
        <f>""</f>
        <v/>
      </c>
      <c r="F300" t="str">
        <f>""</f>
        <v/>
      </c>
      <c r="G300" t="str">
        <f>""</f>
        <v/>
      </c>
      <c r="I300" t="str">
        <f>"INV 74435917"</f>
        <v>INV 74435917</v>
      </c>
    </row>
    <row r="301" spans="1:10" x14ac:dyDescent="0.3">
      <c r="A301" t="str">
        <f>"004075"</f>
        <v>004075</v>
      </c>
      <c r="B301" t="s">
        <v>117</v>
      </c>
      <c r="C301">
        <v>72456</v>
      </c>
      <c r="D301" s="2">
        <v>2392.61</v>
      </c>
      <c r="E301" s="1">
        <v>42989</v>
      </c>
      <c r="F301" t="str">
        <f>"180861-00"</f>
        <v>180861-00</v>
      </c>
      <c r="G301" t="str">
        <f>"INV 180861-00"</f>
        <v>INV 180861-00</v>
      </c>
      <c r="H301" s="2">
        <v>2392.61</v>
      </c>
      <c r="I301" t="str">
        <f>"INV 180861-00"</f>
        <v>INV 180861-00</v>
      </c>
    </row>
    <row r="302" spans="1:10" x14ac:dyDescent="0.3">
      <c r="A302" t="str">
        <f>"004075"</f>
        <v>004075</v>
      </c>
      <c r="B302" t="s">
        <v>117</v>
      </c>
      <c r="C302">
        <v>999999</v>
      </c>
      <c r="D302" s="2">
        <v>2363.37</v>
      </c>
      <c r="E302" s="1">
        <v>43004</v>
      </c>
      <c r="F302" t="str">
        <f>"138991-00"</f>
        <v>138991-00</v>
      </c>
      <c r="G302" t="str">
        <f>"INV 138991-00"</f>
        <v>INV 138991-00</v>
      </c>
      <c r="H302" s="2">
        <v>2363.37</v>
      </c>
      <c r="I302" t="str">
        <f>"INV 138991-00"</f>
        <v>INV 138991-00</v>
      </c>
    </row>
    <row r="303" spans="1:10" x14ac:dyDescent="0.3">
      <c r="A303" t="str">
        <f>"001112"</f>
        <v>001112</v>
      </c>
      <c r="B303" t="s">
        <v>118</v>
      </c>
      <c r="C303">
        <v>72457</v>
      </c>
      <c r="D303" s="2">
        <v>935.31</v>
      </c>
      <c r="E303" s="1">
        <v>42989</v>
      </c>
      <c r="F303" t="str">
        <f>"2836451"</f>
        <v>2836451</v>
      </c>
      <c r="G303" t="str">
        <f>"Inv# 2836451"</f>
        <v>Inv# 2836451</v>
      </c>
      <c r="H303" s="2">
        <v>22.38</v>
      </c>
      <c r="I303" t="str">
        <f>"Inv# 2836451"</f>
        <v>Inv# 2836451</v>
      </c>
    </row>
    <row r="304" spans="1:10" x14ac:dyDescent="0.3">
      <c r="A304" t="str">
        <f>""</f>
        <v/>
      </c>
      <c r="F304" t="str">
        <f>"2838054"</f>
        <v>2838054</v>
      </c>
      <c r="G304" t="str">
        <f>"INV# 2838054"</f>
        <v>INV# 2838054</v>
      </c>
      <c r="H304" s="2">
        <v>912.93</v>
      </c>
      <c r="I304" t="str">
        <f>"INV# 2838054"</f>
        <v>INV# 2838054</v>
      </c>
    </row>
    <row r="305" spans="1:10" x14ac:dyDescent="0.3">
      <c r="A305" t="str">
        <f>"001112"</f>
        <v>001112</v>
      </c>
      <c r="B305" t="s">
        <v>118</v>
      </c>
      <c r="C305">
        <v>72685</v>
      </c>
      <c r="D305" s="2">
        <v>1298.8800000000001</v>
      </c>
      <c r="E305" s="1">
        <v>43003</v>
      </c>
      <c r="F305" t="str">
        <f>"2854484"</f>
        <v>2854484</v>
      </c>
      <c r="G305" t="str">
        <f>"GPS Cameras"</f>
        <v>GPS Cameras</v>
      </c>
      <c r="H305" s="2">
        <v>762.57</v>
      </c>
      <c r="I305" t="str">
        <f>"BB207432021330026523"</f>
        <v>BB207432021330026523</v>
      </c>
    </row>
    <row r="306" spans="1:10" x14ac:dyDescent="0.3">
      <c r="A306" t="str">
        <f>""</f>
        <v/>
      </c>
      <c r="F306" t="str">
        <f>""</f>
        <v/>
      </c>
      <c r="G306" t="str">
        <f>""</f>
        <v/>
      </c>
      <c r="I306" t="str">
        <f>"Shipping"</f>
        <v>Shipping</v>
      </c>
    </row>
    <row r="307" spans="1:10" x14ac:dyDescent="0.3">
      <c r="A307" t="str">
        <f>""</f>
        <v/>
      </c>
      <c r="F307" t="str">
        <f>"2863137"</f>
        <v>2863137</v>
      </c>
      <c r="G307" t="str">
        <f>"Inv# 286137"</f>
        <v>Inv# 286137</v>
      </c>
      <c r="H307" s="2">
        <v>536.30999999999995</v>
      </c>
      <c r="I307" t="str">
        <f>"GPS Camera"</f>
        <v>GPS Camera</v>
      </c>
    </row>
    <row r="308" spans="1:10" x14ac:dyDescent="0.3">
      <c r="A308" t="str">
        <f>""</f>
        <v/>
      </c>
      <c r="F308" t="str">
        <f>""</f>
        <v/>
      </c>
      <c r="G308" t="str">
        <f>""</f>
        <v/>
      </c>
      <c r="I308" t="str">
        <f>"Memory Card"</f>
        <v>Memory Card</v>
      </c>
    </row>
    <row r="309" spans="1:10" x14ac:dyDescent="0.3">
      <c r="A309" t="str">
        <f>""</f>
        <v/>
      </c>
      <c r="F309" t="str">
        <f>""</f>
        <v/>
      </c>
      <c r="G309" t="str">
        <f>""</f>
        <v/>
      </c>
      <c r="I309" t="str">
        <f>"Shipping"</f>
        <v>Shipping</v>
      </c>
    </row>
    <row r="310" spans="1:10" x14ac:dyDescent="0.3">
      <c r="A310" t="str">
        <f>""</f>
        <v/>
      </c>
      <c r="F310" t="str">
        <f>""</f>
        <v/>
      </c>
      <c r="G310" t="str">
        <f>""</f>
        <v/>
      </c>
      <c r="I310" t="str">
        <f>"Memory Card"</f>
        <v>Memory Card</v>
      </c>
    </row>
    <row r="311" spans="1:10" x14ac:dyDescent="0.3">
      <c r="A311" t="str">
        <f>""</f>
        <v/>
      </c>
      <c r="F311" t="str">
        <f>""</f>
        <v/>
      </c>
      <c r="G311" t="str">
        <f>""</f>
        <v/>
      </c>
      <c r="I311" t="str">
        <f>"Shipping"</f>
        <v>Shipping</v>
      </c>
    </row>
    <row r="312" spans="1:10" x14ac:dyDescent="0.3">
      <c r="A312" t="str">
        <f>"T12436"</f>
        <v>T12436</v>
      </c>
      <c r="B312" t="s">
        <v>119</v>
      </c>
      <c r="C312">
        <v>72686</v>
      </c>
      <c r="D312" s="2">
        <v>300</v>
      </c>
      <c r="E312" s="1">
        <v>43003</v>
      </c>
      <c r="F312" t="str">
        <f>"201709194977"</f>
        <v>201709194977</v>
      </c>
      <c r="G312" t="str">
        <f>"1SC-0003-17"</f>
        <v>1SC-0003-17</v>
      </c>
      <c r="H312" s="2">
        <v>300</v>
      </c>
      <c r="I312" t="str">
        <f>"1SC-0003-17"</f>
        <v>1SC-0003-17</v>
      </c>
    </row>
    <row r="313" spans="1:10" x14ac:dyDescent="0.3">
      <c r="A313" t="str">
        <f>"002443"</f>
        <v>002443</v>
      </c>
      <c r="B313" t="s">
        <v>120</v>
      </c>
      <c r="C313">
        <v>72458</v>
      </c>
      <c r="D313" s="2">
        <v>375</v>
      </c>
      <c r="E313" s="1">
        <v>42989</v>
      </c>
      <c r="F313" t="str">
        <f>"11985"</f>
        <v>11985</v>
      </c>
      <c r="G313" t="str">
        <f>"SERVICE 7/7/17"</f>
        <v>SERVICE 7/7/17</v>
      </c>
      <c r="H313" s="2">
        <v>75</v>
      </c>
    </row>
    <row r="314" spans="1:10" x14ac:dyDescent="0.3">
      <c r="A314" t="str">
        <f>""</f>
        <v/>
      </c>
      <c r="F314" t="s">
        <v>95</v>
      </c>
      <c r="G314" t="s">
        <v>97</v>
      </c>
      <c r="H314" s="2" t="str">
        <f>"SERVICE  6/14/17"</f>
        <v>SERVICE  6/14/17</v>
      </c>
    </row>
    <row r="315" spans="1:10" x14ac:dyDescent="0.3">
      <c r="A315" t="str">
        <f>""</f>
        <v/>
      </c>
      <c r="F315" t="str">
        <f>"12480"</f>
        <v>12480</v>
      </c>
      <c r="G315" t="str">
        <f>"SERVICE 6/14/17"</f>
        <v>SERVICE 6/14/17</v>
      </c>
      <c r="H315" s="2">
        <v>225</v>
      </c>
    </row>
    <row r="316" spans="1:10" x14ac:dyDescent="0.3">
      <c r="A316" t="str">
        <f>"002443"</f>
        <v>002443</v>
      </c>
      <c r="B316" t="s">
        <v>120</v>
      </c>
      <c r="C316">
        <v>72687</v>
      </c>
      <c r="D316" s="2">
        <v>270</v>
      </c>
      <c r="E316" s="1">
        <v>43003</v>
      </c>
      <c r="F316" t="s">
        <v>93</v>
      </c>
      <c r="G316" t="s">
        <v>100</v>
      </c>
      <c r="H316" s="2" t="str">
        <f>"SERVICE  6/14/17"</f>
        <v>SERVICE  6/14/17</v>
      </c>
      <c r="I316" t="str">
        <f>"995-4110"</f>
        <v>995-4110</v>
      </c>
      <c r="J316">
        <v>130</v>
      </c>
    </row>
    <row r="317" spans="1:10" x14ac:dyDescent="0.3">
      <c r="A317" t="str">
        <f>""</f>
        <v/>
      </c>
      <c r="F317" t="s">
        <v>93</v>
      </c>
      <c r="G317" t="s">
        <v>101</v>
      </c>
      <c r="H317" s="2" t="str">
        <f>"SERVICE 6/14/17"</f>
        <v>SERVICE 6/14/17</v>
      </c>
      <c r="I317" t="str">
        <f>"995-4110"</f>
        <v>995-4110</v>
      </c>
      <c r="J317">
        <v>65</v>
      </c>
    </row>
    <row r="318" spans="1:10" x14ac:dyDescent="0.3">
      <c r="A318" t="str">
        <f>""</f>
        <v/>
      </c>
      <c r="F318" t="str">
        <f>"12742"</f>
        <v>12742</v>
      </c>
      <c r="G318" t="str">
        <f>"SERVICE 8/3/17"</f>
        <v>SERVICE 8/3/17</v>
      </c>
      <c r="H318" s="2">
        <v>75</v>
      </c>
      <c r="I318" t="str">
        <f>"SERVICE 8/3/17"</f>
        <v>SERVICE 8/3/17</v>
      </c>
    </row>
    <row r="319" spans="1:10" x14ac:dyDescent="0.3">
      <c r="A319" t="str">
        <f>"T2043"</f>
        <v>T2043</v>
      </c>
      <c r="B319" t="s">
        <v>121</v>
      </c>
      <c r="C319">
        <v>999999</v>
      </c>
      <c r="D319" s="2">
        <v>1240</v>
      </c>
      <c r="E319" s="1">
        <v>43004</v>
      </c>
      <c r="F319" t="str">
        <f>"104515"</f>
        <v>104515</v>
      </c>
      <c r="G319" t="str">
        <f>"CLIENT#001309/SVC THRU 8/15/17"</f>
        <v>CLIENT#001309/SVC THRU 8/15/17</v>
      </c>
      <c r="H319" s="2">
        <v>1240</v>
      </c>
      <c r="I319" t="str">
        <f>"CLIENT#001309/SVC THRU 8/15/17"</f>
        <v>CLIENT#001309/SVC THRU 8/15/17</v>
      </c>
    </row>
    <row r="320" spans="1:10" x14ac:dyDescent="0.3">
      <c r="A320" t="str">
        <f>"004147"</f>
        <v>004147</v>
      </c>
      <c r="B320" t="s">
        <v>122</v>
      </c>
      <c r="C320">
        <v>72459</v>
      </c>
      <c r="D320" s="2">
        <v>1131.98</v>
      </c>
      <c r="E320" s="1">
        <v>42989</v>
      </c>
      <c r="F320" t="str">
        <f>"4117"</f>
        <v>4117</v>
      </c>
      <c r="G320" t="str">
        <f>"LABOR/TRUCK#8236/903-7690/PCT4"</f>
        <v>LABOR/TRUCK#8236/903-7690/PCT4</v>
      </c>
      <c r="H320" s="2">
        <v>593.23</v>
      </c>
      <c r="I320" t="str">
        <f>"LABOR/TRUCK#8236/903-7690/PCT4"</f>
        <v>LABOR/TRUCK#8236/903-7690/PCT4</v>
      </c>
    </row>
    <row r="321" spans="1:10" x14ac:dyDescent="0.3">
      <c r="A321" t="str">
        <f>""</f>
        <v/>
      </c>
      <c r="F321" t="str">
        <f>"4143"</f>
        <v>4143</v>
      </c>
      <c r="G321" t="str">
        <f>"LABOR/TRUCK#3296-903-7691/PCT4"</f>
        <v>LABOR/TRUCK#3296-903-7691/PCT4</v>
      </c>
      <c r="H321" s="2">
        <v>538.75</v>
      </c>
      <c r="I321" t="str">
        <f>"LABOR/TRUCK#3296-903-7691/PCT4"</f>
        <v>LABOR/TRUCK#3296-903-7691/PCT4</v>
      </c>
    </row>
    <row r="322" spans="1:10" x14ac:dyDescent="0.3">
      <c r="A322" t="str">
        <f>"004147"</f>
        <v>004147</v>
      </c>
      <c r="B322" t="s">
        <v>122</v>
      </c>
      <c r="C322">
        <v>72688</v>
      </c>
      <c r="D322" s="2">
        <v>135</v>
      </c>
      <c r="E322" s="1">
        <v>43003</v>
      </c>
      <c r="F322" t="str">
        <f>"4165"</f>
        <v>4165</v>
      </c>
      <c r="G322" t="str">
        <f>"2014 FREIGHT/PCT#4"</f>
        <v>2014 FREIGHT/PCT#4</v>
      </c>
      <c r="H322" s="2">
        <v>135</v>
      </c>
      <c r="I322" t="str">
        <f>"2014 FREIGHT/PCT#4"</f>
        <v>2014 FREIGHT/PCT#4</v>
      </c>
    </row>
    <row r="323" spans="1:10" x14ac:dyDescent="0.3">
      <c r="A323" t="str">
        <f>"000593"</f>
        <v>000593</v>
      </c>
      <c r="B323" t="s">
        <v>123</v>
      </c>
      <c r="C323">
        <v>72460</v>
      </c>
      <c r="D323" s="2">
        <v>583.46</v>
      </c>
      <c r="E323" s="1">
        <v>42989</v>
      </c>
      <c r="F323" t="str">
        <f>"84078929795/694"</f>
        <v>84078929795/694</v>
      </c>
      <c r="G323" t="str">
        <f>"INV 84078929795"</f>
        <v>INV 84078929795</v>
      </c>
      <c r="H323" s="2">
        <v>583.46</v>
      </c>
      <c r="I323" t="str">
        <f>"INV 84078929795"</f>
        <v>INV 84078929795</v>
      </c>
    </row>
    <row r="324" spans="1:10" x14ac:dyDescent="0.3">
      <c r="A324" t="str">
        <f>""</f>
        <v/>
      </c>
      <c r="F324" t="str">
        <f>""</f>
        <v/>
      </c>
      <c r="G324" t="str">
        <f>""</f>
        <v/>
      </c>
      <c r="I324" t="str">
        <f>"INV 84078929694"</f>
        <v>INV 84078929694</v>
      </c>
    </row>
    <row r="325" spans="1:10" x14ac:dyDescent="0.3">
      <c r="A325" t="str">
        <f>"000593"</f>
        <v>000593</v>
      </c>
      <c r="B325" t="s">
        <v>123</v>
      </c>
      <c r="C325">
        <v>72689</v>
      </c>
      <c r="D325" s="2">
        <v>648.48</v>
      </c>
      <c r="E325" s="1">
        <v>43003</v>
      </c>
      <c r="F325" t="str">
        <f>"84078929945/9864"</f>
        <v>84078929945/9864</v>
      </c>
      <c r="G325" t="str">
        <f>"INV 84078929945"</f>
        <v>INV 84078929945</v>
      </c>
      <c r="H325" s="2">
        <v>648.48</v>
      </c>
      <c r="I325" t="str">
        <f>"INV 84078929945"</f>
        <v>INV 84078929945</v>
      </c>
    </row>
    <row r="326" spans="1:10" x14ac:dyDescent="0.3">
      <c r="A326" t="str">
        <f>""</f>
        <v/>
      </c>
      <c r="F326" t="str">
        <f>""</f>
        <v/>
      </c>
      <c r="G326" t="str">
        <f>""</f>
        <v/>
      </c>
      <c r="I326" t="str">
        <f>"INV 84078929864"</f>
        <v>INV 84078929864</v>
      </c>
    </row>
    <row r="327" spans="1:10" x14ac:dyDescent="0.3">
      <c r="A327" t="str">
        <f>"003732"</f>
        <v>003732</v>
      </c>
      <c r="B327" t="s">
        <v>124</v>
      </c>
      <c r="C327">
        <v>72461</v>
      </c>
      <c r="D327" s="2">
        <v>700</v>
      </c>
      <c r="E327" s="1">
        <v>42989</v>
      </c>
      <c r="F327" t="str">
        <f>"201709064578"</f>
        <v>201709064578</v>
      </c>
      <c r="G327" t="str">
        <f>"17-18564"</f>
        <v>17-18564</v>
      </c>
      <c r="H327" s="2">
        <v>100</v>
      </c>
      <c r="I327" t="str">
        <f>"17-18564"</f>
        <v>17-18564</v>
      </c>
    </row>
    <row r="328" spans="1:10" x14ac:dyDescent="0.3">
      <c r="A328" t="str">
        <f>""</f>
        <v/>
      </c>
      <c r="F328" t="str">
        <f>"201709064579"</f>
        <v>201709064579</v>
      </c>
      <c r="G328" t="str">
        <f>"JUVENILE 8/29/17"</f>
        <v>JUVENILE 8/29/17</v>
      </c>
      <c r="H328" s="2">
        <v>100</v>
      </c>
      <c r="I328" t="str">
        <f>"JUVENILE 8/29/17"</f>
        <v>JUVENILE 8/29/17</v>
      </c>
    </row>
    <row r="329" spans="1:10" x14ac:dyDescent="0.3">
      <c r="A329" t="str">
        <f>""</f>
        <v/>
      </c>
      <c r="F329" t="str">
        <f>"201709064581"</f>
        <v>201709064581</v>
      </c>
      <c r="G329" t="str">
        <f>"55049"</f>
        <v>55049</v>
      </c>
      <c r="H329" s="2">
        <v>250</v>
      </c>
      <c r="I329" t="str">
        <f>"55049"</f>
        <v>55049</v>
      </c>
    </row>
    <row r="330" spans="1:10" x14ac:dyDescent="0.3">
      <c r="A330" t="str">
        <f>""</f>
        <v/>
      </c>
      <c r="F330" t="str">
        <f>"201709064582"</f>
        <v>201709064582</v>
      </c>
      <c r="G330" t="str">
        <f>"55 350"</f>
        <v>55 350</v>
      </c>
      <c r="H330" s="2">
        <v>250</v>
      </c>
      <c r="I330" t="str">
        <f>"55 350"</f>
        <v>55 350</v>
      </c>
    </row>
    <row r="331" spans="1:10" x14ac:dyDescent="0.3">
      <c r="A331" t="str">
        <f>"003732"</f>
        <v>003732</v>
      </c>
      <c r="B331" t="s">
        <v>124</v>
      </c>
      <c r="C331">
        <v>999999</v>
      </c>
      <c r="D331" s="2">
        <v>700</v>
      </c>
      <c r="E331" s="1">
        <v>43004</v>
      </c>
      <c r="F331" t="str">
        <f>"201709205077"</f>
        <v>201709205077</v>
      </c>
      <c r="G331" t="str">
        <f>"16-17713"</f>
        <v>16-17713</v>
      </c>
      <c r="H331" s="2">
        <v>100</v>
      </c>
      <c r="I331" t="str">
        <f>"16-17713"</f>
        <v>16-17713</v>
      </c>
    </row>
    <row r="332" spans="1:10" x14ac:dyDescent="0.3">
      <c r="A332" t="str">
        <f>""</f>
        <v/>
      </c>
      <c r="F332" t="str">
        <f>"201709205092"</f>
        <v>201709205092</v>
      </c>
      <c r="G332" t="str">
        <f>"J.3057"</f>
        <v>J.3057</v>
      </c>
      <c r="H332" s="2">
        <v>350</v>
      </c>
      <c r="I332" t="str">
        <f>"J.3057"</f>
        <v>J.3057</v>
      </c>
    </row>
    <row r="333" spans="1:10" x14ac:dyDescent="0.3">
      <c r="A333" t="str">
        <f>""</f>
        <v/>
      </c>
      <c r="F333" t="str">
        <f>"201709205093"</f>
        <v>201709205093</v>
      </c>
      <c r="G333" t="str">
        <f>"J.3093"</f>
        <v>J.3093</v>
      </c>
      <c r="H333" s="2">
        <v>250</v>
      </c>
      <c r="I333" t="str">
        <f>"J.3093"</f>
        <v>J.3093</v>
      </c>
    </row>
    <row r="334" spans="1:10" x14ac:dyDescent="0.3">
      <c r="A334" t="str">
        <f>"001135"</f>
        <v>001135</v>
      </c>
      <c r="B334" t="s">
        <v>125</v>
      </c>
      <c r="C334">
        <v>72462</v>
      </c>
      <c r="D334" s="2">
        <v>1181.81</v>
      </c>
      <c r="E334" s="1">
        <v>42989</v>
      </c>
      <c r="F334" t="str">
        <f>"201709064561"</f>
        <v>201709064561</v>
      </c>
      <c r="G334" t="str">
        <f>"CRIMESTOPPER FEES - JULY 2017"</f>
        <v>CRIMESTOPPER FEES - JULY 2017</v>
      </c>
      <c r="H334" s="2">
        <v>631.71</v>
      </c>
      <c r="I334" t="str">
        <f>"CRIMESTOPPER FEES - JULY 2017"</f>
        <v>CRIMESTOPPER FEES - JULY 2017</v>
      </c>
    </row>
    <row r="335" spans="1:10" x14ac:dyDescent="0.3">
      <c r="A335" t="str">
        <f>""</f>
        <v/>
      </c>
      <c r="F335" t="str">
        <f>"201709064562"</f>
        <v>201709064562</v>
      </c>
      <c r="G335" t="str">
        <f>"CRIMESTOPPER FEES AUGUST 2017"</f>
        <v>CRIMESTOPPER FEES AUGUST 2017</v>
      </c>
      <c r="H335" s="2">
        <v>550.1</v>
      </c>
      <c r="I335" t="str">
        <f>"CRIMESTOPPER FEES AUGUST 2017"</f>
        <v>CRIMESTOPPER FEES AUGUST 2017</v>
      </c>
    </row>
    <row r="336" spans="1:10" x14ac:dyDescent="0.3">
      <c r="A336" t="str">
        <f>"005029"</f>
        <v>005029</v>
      </c>
      <c r="B336" t="s">
        <v>126</v>
      </c>
      <c r="C336">
        <v>72463</v>
      </c>
      <c r="D336" s="2">
        <v>20</v>
      </c>
      <c r="E336" s="1">
        <v>42989</v>
      </c>
      <c r="F336" t="s">
        <v>127</v>
      </c>
      <c r="G336" t="s">
        <v>128</v>
      </c>
      <c r="H336" s="2" t="str">
        <f>"RESTITUTION-P. BOATMAN"</f>
        <v>RESTITUTION-P. BOATMAN</v>
      </c>
      <c r="I336" t="str">
        <f>"210-0000"</f>
        <v>210-0000</v>
      </c>
      <c r="J336">
        <v>20</v>
      </c>
    </row>
    <row r="337" spans="1:9" x14ac:dyDescent="0.3">
      <c r="A337" t="str">
        <f>"BEC"</f>
        <v>BEC</v>
      </c>
      <c r="B337" t="s">
        <v>129</v>
      </c>
      <c r="C337">
        <v>72638</v>
      </c>
      <c r="D337" s="2">
        <v>4079.44</v>
      </c>
      <c r="E337" s="1">
        <v>42993</v>
      </c>
      <c r="F337" t="str">
        <f>"201709154921"</f>
        <v>201709154921</v>
      </c>
      <c r="G337" t="str">
        <f>"ACCT #5000057374 / 09/05/2017"</f>
        <v>ACCT #5000057374 / 09/05/2017</v>
      </c>
      <c r="H337" s="2">
        <v>4049.44</v>
      </c>
      <c r="I337" t="str">
        <f>"ACCT #5000057374 / 09/05/2017"</f>
        <v>ACCT #5000057374 / 09/05/2017</v>
      </c>
    </row>
    <row r="338" spans="1:9" x14ac:dyDescent="0.3">
      <c r="A338" t="str">
        <f>""</f>
        <v/>
      </c>
      <c r="F338" t="str">
        <f>""</f>
        <v/>
      </c>
      <c r="G338" t="str">
        <f>""</f>
        <v/>
      </c>
      <c r="I338" t="str">
        <f>"ACCT #5000057374 / 09/05/2017"</f>
        <v>ACCT #5000057374 / 09/05/2017</v>
      </c>
    </row>
    <row r="339" spans="1:9" x14ac:dyDescent="0.3">
      <c r="A339" t="str">
        <f>""</f>
        <v/>
      </c>
      <c r="F339" t="str">
        <f>""</f>
        <v/>
      </c>
      <c r="G339" t="str">
        <f>""</f>
        <v/>
      </c>
      <c r="I339" t="str">
        <f>"ACCT #5000057374 / 09/05/2017"</f>
        <v>ACCT #5000057374 / 09/05/2017</v>
      </c>
    </row>
    <row r="340" spans="1:9" x14ac:dyDescent="0.3">
      <c r="A340" t="str">
        <f>""</f>
        <v/>
      </c>
      <c r="F340" t="str">
        <f>""</f>
        <v/>
      </c>
      <c r="G340" t="str">
        <f>""</f>
        <v/>
      </c>
      <c r="I340" t="str">
        <f>"ACCT #5000057374 / 09/05/2017"</f>
        <v>ACCT #5000057374 / 09/05/2017</v>
      </c>
    </row>
    <row r="341" spans="1:9" x14ac:dyDescent="0.3">
      <c r="A341" t="str">
        <f>""</f>
        <v/>
      </c>
      <c r="F341" t="str">
        <f>"201709154923"</f>
        <v>201709154923</v>
      </c>
      <c r="G341" t="str">
        <f>"ACCT #5500033554 - 09/05/2017"</f>
        <v>ACCT #5500033554 - 09/05/2017</v>
      </c>
      <c r="H341" s="2">
        <v>30</v>
      </c>
      <c r="I341" t="str">
        <f>"ACCT #5500033554 - 09/05/2017"</f>
        <v>ACCT #5500033554 - 09/05/2017</v>
      </c>
    </row>
    <row r="342" spans="1:9" x14ac:dyDescent="0.3">
      <c r="A342" t="str">
        <f>"T5975"</f>
        <v>T5975</v>
      </c>
      <c r="B342" t="s">
        <v>130</v>
      </c>
      <c r="C342">
        <v>72464</v>
      </c>
      <c r="D342" s="2">
        <v>1025</v>
      </c>
      <c r="E342" s="1">
        <v>42989</v>
      </c>
      <c r="F342" t="str">
        <f>"8-2017"</f>
        <v>8-2017</v>
      </c>
      <c r="G342" t="str">
        <f>"INV 8-2017"</f>
        <v>INV 8-2017</v>
      </c>
      <c r="H342" s="2">
        <v>1025</v>
      </c>
      <c r="I342" t="str">
        <f>"INV 8-2017"</f>
        <v>INV 8-2017</v>
      </c>
    </row>
    <row r="343" spans="1:9" x14ac:dyDescent="0.3">
      <c r="A343" t="str">
        <f>"T5975"</f>
        <v>T5975</v>
      </c>
      <c r="B343" t="s">
        <v>130</v>
      </c>
      <c r="C343">
        <v>72690</v>
      </c>
      <c r="D343" s="2">
        <v>350</v>
      </c>
      <c r="E343" s="1">
        <v>43003</v>
      </c>
      <c r="F343" t="str">
        <f>"MHMR SERVICE"</f>
        <v>MHMR SERVICE</v>
      </c>
      <c r="G343" t="str">
        <f>"INV 8-2017 REVISED"</f>
        <v>INV 8-2017 REVISED</v>
      </c>
      <c r="H343" s="2">
        <v>350</v>
      </c>
      <c r="I343" t="str">
        <f>"INV 8-2017 REVISED"</f>
        <v>INV 8-2017 REVISED</v>
      </c>
    </row>
    <row r="344" spans="1:9" x14ac:dyDescent="0.3">
      <c r="A344" t="str">
        <f>"001367"</f>
        <v>001367</v>
      </c>
      <c r="B344" t="s">
        <v>131</v>
      </c>
      <c r="C344">
        <v>72465</v>
      </c>
      <c r="D344" s="2">
        <v>4356.1099999999997</v>
      </c>
      <c r="E344" s="1">
        <v>42989</v>
      </c>
      <c r="F344" t="str">
        <f>"17-18028"</f>
        <v>17-18028</v>
      </c>
      <c r="G344" t="str">
        <f>"INV 6062/UNIT 4718"</f>
        <v>INV 6062/UNIT 4718</v>
      </c>
      <c r="H344" s="2">
        <v>1642.26</v>
      </c>
      <c r="I344" t="str">
        <f>"INV 6062/UNIT 4718"</f>
        <v>INV 6062/UNIT 4718</v>
      </c>
    </row>
    <row r="345" spans="1:9" x14ac:dyDescent="0.3">
      <c r="A345" t="str">
        <f>""</f>
        <v/>
      </c>
      <c r="F345" t="str">
        <f>"6061/UNIT 0118"</f>
        <v>6061/UNIT 0118</v>
      </c>
      <c r="G345" t="str">
        <f>"INV 6061/UNIT 0118"</f>
        <v>INV 6061/UNIT 0118</v>
      </c>
      <c r="H345" s="2">
        <v>437.75</v>
      </c>
      <c r="I345" t="str">
        <f>"INV 6061/UNIT 0118"</f>
        <v>INV 6061/UNIT 0118</v>
      </c>
    </row>
    <row r="346" spans="1:9" x14ac:dyDescent="0.3">
      <c r="A346" t="str">
        <f>""</f>
        <v/>
      </c>
      <c r="F346" t="str">
        <f>"6129/UNIT 1672"</f>
        <v>6129/UNIT 1672</v>
      </c>
      <c r="G346" t="str">
        <f>"INV 6129/UNIT 1672"</f>
        <v>INV 6129/UNIT 1672</v>
      </c>
      <c r="H346" s="2">
        <v>134.81</v>
      </c>
      <c r="I346" t="str">
        <f>"INV 6129/UNIT 1672"</f>
        <v>INV 6129/UNIT 1672</v>
      </c>
    </row>
    <row r="347" spans="1:9" x14ac:dyDescent="0.3">
      <c r="A347" t="str">
        <f>""</f>
        <v/>
      </c>
      <c r="F347" t="str">
        <f>"6134/UNIT 0122"</f>
        <v>6134/UNIT 0122</v>
      </c>
      <c r="G347" t="str">
        <f>"INV 6134/UNIT 0122"</f>
        <v>INV 6134/UNIT 0122</v>
      </c>
      <c r="H347" s="2">
        <v>1039.23</v>
      </c>
      <c r="I347" t="str">
        <f>"INV 6134/UNIT 0122"</f>
        <v>INV 6134/UNIT 0122</v>
      </c>
    </row>
    <row r="348" spans="1:9" x14ac:dyDescent="0.3">
      <c r="A348" t="str">
        <f>""</f>
        <v/>
      </c>
      <c r="F348" t="str">
        <f>"6149/UNIT 0127"</f>
        <v>6149/UNIT 0127</v>
      </c>
      <c r="G348" t="str">
        <f>"INV 6149/UNIT 0127"</f>
        <v>INV 6149/UNIT 0127</v>
      </c>
      <c r="H348" s="2">
        <v>190.82</v>
      </c>
      <c r="I348" t="str">
        <f>"INV 6149/UNIT 0127"</f>
        <v>INV 6149/UNIT 0127</v>
      </c>
    </row>
    <row r="349" spans="1:9" x14ac:dyDescent="0.3">
      <c r="A349" t="str">
        <f>""</f>
        <v/>
      </c>
      <c r="F349" t="str">
        <f>"6160"</f>
        <v>6160</v>
      </c>
      <c r="G349" t="str">
        <f>"INV 6160/UNIT 5350"</f>
        <v>INV 6160/UNIT 5350</v>
      </c>
      <c r="H349" s="2">
        <v>123.6</v>
      </c>
      <c r="I349" t="str">
        <f>"INV 6160/UNIT 5350"</f>
        <v>INV 6160/UNIT 5350</v>
      </c>
    </row>
    <row r="350" spans="1:9" x14ac:dyDescent="0.3">
      <c r="A350" t="str">
        <f>""</f>
        <v/>
      </c>
      <c r="F350" t="str">
        <f>"6178/UNIT 121"</f>
        <v>6178/UNIT 121</v>
      </c>
      <c r="G350" t="str">
        <f>"INV 6178/UNIT 121"</f>
        <v>INV 6178/UNIT 121</v>
      </c>
      <c r="H350" s="2">
        <v>129.78</v>
      </c>
      <c r="I350" t="str">
        <f>"INV 6178/UNIT 121"</f>
        <v>INV 6178/UNIT 121</v>
      </c>
    </row>
    <row r="351" spans="1:9" x14ac:dyDescent="0.3">
      <c r="A351" t="str">
        <f>""</f>
        <v/>
      </c>
      <c r="F351" t="str">
        <f>"MULT PO#S"</f>
        <v>MULT PO#S</v>
      </c>
      <c r="G351" t="str">
        <f>"INV 6094/UNIT 6492"</f>
        <v>INV 6094/UNIT 6492</v>
      </c>
      <c r="H351" s="2">
        <v>657.86</v>
      </c>
      <c r="I351" t="str">
        <f>"INV 6094/UNIT 6492"</f>
        <v>INV 6094/UNIT 6492</v>
      </c>
    </row>
    <row r="352" spans="1:9" x14ac:dyDescent="0.3">
      <c r="A352" t="str">
        <f>""</f>
        <v/>
      </c>
      <c r="F352" t="str">
        <f>""</f>
        <v/>
      </c>
      <c r="G352" t="str">
        <f>""</f>
        <v/>
      </c>
      <c r="I352" t="str">
        <f>"INV 6104/UNIT 4102"</f>
        <v>INV 6104/UNIT 4102</v>
      </c>
    </row>
    <row r="353" spans="1:9" x14ac:dyDescent="0.3">
      <c r="A353" t="str">
        <f>""</f>
        <v/>
      </c>
      <c r="F353" t="str">
        <f>""</f>
        <v/>
      </c>
      <c r="G353" t="str">
        <f>""</f>
        <v/>
      </c>
      <c r="I353" t="str">
        <f>"INV 6105/UNIT4102"</f>
        <v>INV 6105/UNIT4102</v>
      </c>
    </row>
    <row r="354" spans="1:9" x14ac:dyDescent="0.3">
      <c r="A354" t="str">
        <f>""</f>
        <v/>
      </c>
      <c r="F354" t="str">
        <f>""</f>
        <v/>
      </c>
      <c r="G354" t="str">
        <f>""</f>
        <v/>
      </c>
      <c r="I354" t="str">
        <f>"INV 6109/UNIT 4362"</f>
        <v>INV 6109/UNIT 4362</v>
      </c>
    </row>
    <row r="355" spans="1:9" x14ac:dyDescent="0.3">
      <c r="A355" t="str">
        <f>""</f>
        <v/>
      </c>
      <c r="F355" t="str">
        <f>""</f>
        <v/>
      </c>
      <c r="G355" t="str">
        <f>""</f>
        <v/>
      </c>
      <c r="I355" t="str">
        <f>"INV 6115/UNIT 0125"</f>
        <v>INV 6115/UNIT 0125</v>
      </c>
    </row>
    <row r="356" spans="1:9" x14ac:dyDescent="0.3">
      <c r="A356" t="str">
        <f>""</f>
        <v/>
      </c>
      <c r="F356" t="str">
        <f>""</f>
        <v/>
      </c>
      <c r="G356" t="str">
        <f>""</f>
        <v/>
      </c>
      <c r="I356" t="str">
        <f>"INV 6121/UNIT 0120"</f>
        <v>INV 6121/UNIT 0120</v>
      </c>
    </row>
    <row r="357" spans="1:9" x14ac:dyDescent="0.3">
      <c r="A357" t="str">
        <f>""</f>
        <v/>
      </c>
      <c r="F357" t="str">
        <f>""</f>
        <v/>
      </c>
      <c r="G357" t="str">
        <f>""</f>
        <v/>
      </c>
      <c r="I357" t="str">
        <f>"INV 6123/UNIT 8948"</f>
        <v>INV 6123/UNIT 8948</v>
      </c>
    </row>
    <row r="358" spans="1:9" x14ac:dyDescent="0.3">
      <c r="A358" t="str">
        <f>""</f>
        <v/>
      </c>
      <c r="F358" t="str">
        <f>""</f>
        <v/>
      </c>
      <c r="G358" t="str">
        <f>""</f>
        <v/>
      </c>
      <c r="I358" t="str">
        <f>"INV 6128/UNIT 1672"</f>
        <v>INV 6128/UNIT 1672</v>
      </c>
    </row>
    <row r="359" spans="1:9" x14ac:dyDescent="0.3">
      <c r="A359" t="str">
        <f>""</f>
        <v/>
      </c>
      <c r="F359" t="str">
        <f>""</f>
        <v/>
      </c>
      <c r="G359" t="str">
        <f>""</f>
        <v/>
      </c>
      <c r="I359" t="str">
        <f>"INV 6130/UNIT 6502"</f>
        <v>INV 6130/UNIT 6502</v>
      </c>
    </row>
    <row r="360" spans="1:9" x14ac:dyDescent="0.3">
      <c r="A360" t="str">
        <f>""</f>
        <v/>
      </c>
      <c r="F360" t="str">
        <f>""</f>
        <v/>
      </c>
      <c r="G360" t="str">
        <f>""</f>
        <v/>
      </c>
      <c r="I360" t="str">
        <f>"INV 6131/UNIT 80"</f>
        <v>INV 6131/UNIT 80</v>
      </c>
    </row>
    <row r="361" spans="1:9" x14ac:dyDescent="0.3">
      <c r="A361" t="str">
        <f>"001367"</f>
        <v>001367</v>
      </c>
      <c r="B361" t="s">
        <v>131</v>
      </c>
      <c r="C361">
        <v>72691</v>
      </c>
      <c r="D361" s="2">
        <v>4833.34</v>
      </c>
      <c r="E361" s="1">
        <v>43003</v>
      </c>
      <c r="F361" t="str">
        <f>"4668"</f>
        <v>4668</v>
      </c>
      <c r="G361" t="str">
        <f>"INV 4668/UNIT 3102"</f>
        <v>INV 4668/UNIT 3102</v>
      </c>
      <c r="H361" s="2">
        <v>190.34</v>
      </c>
      <c r="I361" t="str">
        <f>"INV 4668/UNIT 3102"</f>
        <v>INV 4668/UNIT 3102</v>
      </c>
    </row>
    <row r="362" spans="1:9" x14ac:dyDescent="0.3">
      <c r="A362" t="str">
        <f>""</f>
        <v/>
      </c>
      <c r="F362" t="str">
        <f>"6170"</f>
        <v>6170</v>
      </c>
      <c r="G362" t="str">
        <f>"CHECK AC/PCT#1"</f>
        <v>CHECK AC/PCT#1</v>
      </c>
      <c r="H362" s="2">
        <v>1410</v>
      </c>
      <c r="I362" t="str">
        <f>"CHECK AC/PCT#1"</f>
        <v>CHECK AC/PCT#1</v>
      </c>
    </row>
    <row r="363" spans="1:9" x14ac:dyDescent="0.3">
      <c r="A363" t="str">
        <f>""</f>
        <v/>
      </c>
      <c r="F363" t="str">
        <f>"6183"</f>
        <v>6183</v>
      </c>
      <c r="G363" t="str">
        <f>"INV 6183/UNIT 0117"</f>
        <v>INV 6183/UNIT 0117</v>
      </c>
      <c r="H363" s="2">
        <v>521.48</v>
      </c>
      <c r="I363" t="str">
        <f>"INV 6183/UNIT 0117"</f>
        <v>INV 6183/UNIT 0117</v>
      </c>
    </row>
    <row r="364" spans="1:9" x14ac:dyDescent="0.3">
      <c r="A364" t="str">
        <f>""</f>
        <v/>
      </c>
      <c r="F364" t="str">
        <f>"6239"</f>
        <v>6239</v>
      </c>
      <c r="G364" t="str">
        <f>"INV 6239/UNIT 0118"</f>
        <v>INV 6239/UNIT 0118</v>
      </c>
      <c r="H364" s="2">
        <v>148.13</v>
      </c>
      <c r="I364" t="str">
        <f>"INV 6239/UNIT 0118"</f>
        <v>INV 6239/UNIT 0118</v>
      </c>
    </row>
    <row r="365" spans="1:9" x14ac:dyDescent="0.3">
      <c r="A365" t="str">
        <f>""</f>
        <v/>
      </c>
      <c r="F365" t="str">
        <f>"6245"</f>
        <v>6245</v>
      </c>
      <c r="G365" t="str">
        <f>"INV 6245/UNIT 9379"</f>
        <v>INV 6245/UNIT 9379</v>
      </c>
      <c r="H365" s="2">
        <v>265.22000000000003</v>
      </c>
      <c r="I365" t="str">
        <f>"INV 6245/UNIT 9379"</f>
        <v>INV 6245/UNIT 9379</v>
      </c>
    </row>
    <row r="366" spans="1:9" x14ac:dyDescent="0.3">
      <c r="A366" t="str">
        <f>""</f>
        <v/>
      </c>
      <c r="F366" t="str">
        <f>"6262"</f>
        <v>6262</v>
      </c>
      <c r="G366" t="str">
        <f>"INV 6262/UNIT 1630"</f>
        <v>INV 6262/UNIT 1630</v>
      </c>
      <c r="H366" s="2">
        <v>128.69999999999999</v>
      </c>
      <c r="I366" t="str">
        <f>"INV 6262/UNIT 1630"</f>
        <v>INV 6262/UNIT 1630</v>
      </c>
    </row>
    <row r="367" spans="1:9" x14ac:dyDescent="0.3">
      <c r="A367" t="str">
        <f>""</f>
        <v/>
      </c>
      <c r="F367" t="str">
        <f>"6274 9/15/17"</f>
        <v>6274 9/15/17</v>
      </c>
      <c r="G367" t="str">
        <f>"OIL &amp; FILTER CHANGE"</f>
        <v>OIL &amp; FILTER CHANGE</v>
      </c>
      <c r="H367" s="2">
        <v>36.36</v>
      </c>
      <c r="I367" t="str">
        <f>"OIL &amp; FILTER CHANGE"</f>
        <v>OIL &amp; FILTER CHANGE</v>
      </c>
    </row>
    <row r="368" spans="1:9" x14ac:dyDescent="0.3">
      <c r="A368" t="str">
        <f>""</f>
        <v/>
      </c>
      <c r="F368" t="str">
        <f>"BLANKET PO"</f>
        <v>BLANKET PO</v>
      </c>
      <c r="G368" t="str">
        <f>"INV 6264/UNIT3804"</f>
        <v>INV 6264/UNIT3804</v>
      </c>
      <c r="H368" s="2">
        <v>835.42</v>
      </c>
      <c r="I368" t="str">
        <f>"INV 6264/UNIT3804"</f>
        <v>INV 6264/UNIT3804</v>
      </c>
    </row>
    <row r="369" spans="1:9" x14ac:dyDescent="0.3">
      <c r="A369" t="str">
        <f>""</f>
        <v/>
      </c>
      <c r="F369" t="str">
        <f>""</f>
        <v/>
      </c>
      <c r="G369" t="str">
        <f>""</f>
        <v/>
      </c>
      <c r="I369" t="str">
        <f>"INV 6269/UNIT 0123"</f>
        <v>INV 6269/UNIT 0123</v>
      </c>
    </row>
    <row r="370" spans="1:9" x14ac:dyDescent="0.3">
      <c r="A370" t="str">
        <f>""</f>
        <v/>
      </c>
      <c r="F370" t="str">
        <f>""</f>
        <v/>
      </c>
      <c r="G370" t="str">
        <f>""</f>
        <v/>
      </c>
      <c r="I370" t="str">
        <f>"INV 6272/UNIT 126"</f>
        <v>INV 6272/UNIT 126</v>
      </c>
    </row>
    <row r="371" spans="1:9" x14ac:dyDescent="0.3">
      <c r="A371" t="str">
        <f>""</f>
        <v/>
      </c>
      <c r="F371" t="str">
        <f>""</f>
        <v/>
      </c>
      <c r="G371" t="str">
        <f>""</f>
        <v/>
      </c>
      <c r="I371" t="str">
        <f>"INV 6281/UNIT 0311"</f>
        <v>INV 6281/UNIT 0311</v>
      </c>
    </row>
    <row r="372" spans="1:9" x14ac:dyDescent="0.3">
      <c r="A372" t="str">
        <f>""</f>
        <v/>
      </c>
      <c r="F372" t="str">
        <f>""</f>
        <v/>
      </c>
      <c r="G372" t="str">
        <f>""</f>
        <v/>
      </c>
      <c r="I372" t="str">
        <f>"INV 6283/UNIT 0119"</f>
        <v>INV 6283/UNIT 0119</v>
      </c>
    </row>
    <row r="373" spans="1:9" x14ac:dyDescent="0.3">
      <c r="A373" t="str">
        <f>""</f>
        <v/>
      </c>
      <c r="F373" t="str">
        <f>""</f>
        <v/>
      </c>
      <c r="G373" t="str">
        <f>""</f>
        <v/>
      </c>
      <c r="I373" t="str">
        <f>"INV 6284/UNIT 1670"</f>
        <v>INV 6284/UNIT 1670</v>
      </c>
    </row>
    <row r="374" spans="1:9" x14ac:dyDescent="0.3">
      <c r="A374" t="str">
        <f>""</f>
        <v/>
      </c>
      <c r="F374" t="str">
        <f>""</f>
        <v/>
      </c>
      <c r="G374" t="str">
        <f>""</f>
        <v/>
      </c>
      <c r="I374" t="str">
        <f>"INV 6286/UNIT 6523"</f>
        <v>INV 6286/UNIT 6523</v>
      </c>
    </row>
    <row r="375" spans="1:9" x14ac:dyDescent="0.3">
      <c r="A375" t="str">
        <f>""</f>
        <v/>
      </c>
      <c r="F375" t="str">
        <f>"INV6157"</f>
        <v>INV6157</v>
      </c>
      <c r="G375" t="str">
        <f>"INV 6157/UNIT 6535"</f>
        <v>INV 6157/UNIT 6535</v>
      </c>
      <c r="H375" s="2">
        <v>61.8</v>
      </c>
      <c r="I375" t="str">
        <f>"INV 6157/UNIT 6535"</f>
        <v>INV 6157/UNIT 6535</v>
      </c>
    </row>
    <row r="376" spans="1:9" x14ac:dyDescent="0.3">
      <c r="A376" t="str">
        <f>""</f>
        <v/>
      </c>
      <c r="F376" t="str">
        <f>"MULITPLE INVOICES"</f>
        <v>MULITPLE INVOICES</v>
      </c>
      <c r="G376" t="str">
        <f>"INV 6140/UNIT0417"</f>
        <v>INV 6140/UNIT0417</v>
      </c>
      <c r="H376" s="2">
        <v>419.32</v>
      </c>
      <c r="I376" t="str">
        <f>"INV 6140/UNIT0417"</f>
        <v>INV 6140/UNIT0417</v>
      </c>
    </row>
    <row r="377" spans="1:9" x14ac:dyDescent="0.3">
      <c r="A377" t="str">
        <f>""</f>
        <v/>
      </c>
      <c r="F377" t="str">
        <f>""</f>
        <v/>
      </c>
      <c r="G377" t="str">
        <f>""</f>
        <v/>
      </c>
      <c r="I377" t="str">
        <f>"INV 6141/UNIT 6550"</f>
        <v>INV 6141/UNIT 6550</v>
      </c>
    </row>
    <row r="378" spans="1:9" x14ac:dyDescent="0.3">
      <c r="A378" t="str">
        <f>""</f>
        <v/>
      </c>
      <c r="F378" t="str">
        <f>""</f>
        <v/>
      </c>
      <c r="G378" t="str">
        <f>""</f>
        <v/>
      </c>
      <c r="I378" t="str">
        <f>"INV 6146/UNIT 0124"</f>
        <v>INV 6146/UNIT 0124</v>
      </c>
    </row>
    <row r="379" spans="1:9" x14ac:dyDescent="0.3">
      <c r="A379" t="str">
        <f>""</f>
        <v/>
      </c>
      <c r="F379" t="str">
        <f>""</f>
        <v/>
      </c>
      <c r="G379" t="str">
        <f>""</f>
        <v/>
      </c>
      <c r="I379" t="str">
        <f>"INV 6148/UNIT 0127"</f>
        <v>INV 6148/UNIT 0127</v>
      </c>
    </row>
    <row r="380" spans="1:9" x14ac:dyDescent="0.3">
      <c r="A380" t="str">
        <f>""</f>
        <v/>
      </c>
      <c r="F380" t="str">
        <f>""</f>
        <v/>
      </c>
      <c r="G380" t="str">
        <f>""</f>
        <v/>
      </c>
      <c r="I380" t="str">
        <f>"INV 6152/UNIT 4102"</f>
        <v>INV 6152/UNIT 4102</v>
      </c>
    </row>
    <row r="381" spans="1:9" x14ac:dyDescent="0.3">
      <c r="A381" t="str">
        <f>""</f>
        <v/>
      </c>
      <c r="F381" t="str">
        <f>""</f>
        <v/>
      </c>
      <c r="G381" t="str">
        <f>""</f>
        <v/>
      </c>
      <c r="I381" t="str">
        <f>"INV 6155/UNIT 6548"</f>
        <v>INV 6155/UNIT 6548</v>
      </c>
    </row>
    <row r="382" spans="1:9" x14ac:dyDescent="0.3">
      <c r="A382" t="str">
        <f>""</f>
        <v/>
      </c>
      <c r="F382" t="str">
        <f>""</f>
        <v/>
      </c>
      <c r="G382" t="str">
        <f>""</f>
        <v/>
      </c>
      <c r="I382" t="str">
        <f>"INV 6163/UNIT 6520"</f>
        <v>INV 6163/UNIT 6520</v>
      </c>
    </row>
    <row r="383" spans="1:9" x14ac:dyDescent="0.3">
      <c r="A383" t="str">
        <f>""</f>
        <v/>
      </c>
      <c r="F383" t="str">
        <f>""</f>
        <v/>
      </c>
      <c r="G383" t="str">
        <f>""</f>
        <v/>
      </c>
      <c r="I383" t="str">
        <f>"INV 6167/UNIT 8968"</f>
        <v>INV 6167/UNIT 8968</v>
      </c>
    </row>
    <row r="384" spans="1:9" x14ac:dyDescent="0.3">
      <c r="A384" t="str">
        <f>""</f>
        <v/>
      </c>
      <c r="F384" t="str">
        <f>""</f>
        <v/>
      </c>
      <c r="G384" t="str">
        <f>""</f>
        <v/>
      </c>
      <c r="I384" t="str">
        <f>"INV 6182/UNIT 1666"</f>
        <v>INV 6182/UNIT 1666</v>
      </c>
    </row>
    <row r="385" spans="1:10" x14ac:dyDescent="0.3">
      <c r="A385" t="str">
        <f>""</f>
        <v/>
      </c>
      <c r="F385" t="str">
        <f>"MULTI. INVOICES"</f>
        <v>MULTI. INVOICES</v>
      </c>
      <c r="G385" t="str">
        <f>"INV SWAT"</f>
        <v>INV SWAT</v>
      </c>
      <c r="H385" s="2">
        <v>816.57</v>
      </c>
      <c r="I385" t="str">
        <f>"INV SWAT"</f>
        <v>INV SWAT</v>
      </c>
    </row>
    <row r="386" spans="1:10" x14ac:dyDescent="0.3">
      <c r="A386" t="str">
        <f>""</f>
        <v/>
      </c>
      <c r="F386" t="str">
        <f>""</f>
        <v/>
      </c>
      <c r="G386" t="str">
        <f>""</f>
        <v/>
      </c>
      <c r="I386" t="str">
        <f>"INV 6198/UNIT 0311"</f>
        <v>INV 6198/UNIT 0311</v>
      </c>
    </row>
    <row r="387" spans="1:10" x14ac:dyDescent="0.3">
      <c r="A387" t="str">
        <f>""</f>
        <v/>
      </c>
      <c r="F387" t="str">
        <f>""</f>
        <v/>
      </c>
      <c r="G387" t="str">
        <f>""</f>
        <v/>
      </c>
      <c r="I387" t="str">
        <f>"INV 6218/UNIT 1673"</f>
        <v>INV 6218/UNIT 1673</v>
      </c>
    </row>
    <row r="388" spans="1:10" x14ac:dyDescent="0.3">
      <c r="A388" t="str">
        <f>""</f>
        <v/>
      </c>
      <c r="F388" t="str">
        <f>""</f>
        <v/>
      </c>
      <c r="G388" t="str">
        <f>""</f>
        <v/>
      </c>
      <c r="I388" t="str">
        <f>"INV 6220/UNIT 0122"</f>
        <v>INV 6220/UNIT 0122</v>
      </c>
    </row>
    <row r="389" spans="1:10" x14ac:dyDescent="0.3">
      <c r="A389" t="str">
        <f>""</f>
        <v/>
      </c>
      <c r="F389" t="str">
        <f>""</f>
        <v/>
      </c>
      <c r="G389" t="str">
        <f>""</f>
        <v/>
      </c>
      <c r="I389" t="str">
        <f>"INV 6222/UNIT 4717"</f>
        <v>INV 6222/UNIT 4717</v>
      </c>
    </row>
    <row r="390" spans="1:10" x14ac:dyDescent="0.3">
      <c r="A390" t="str">
        <f>""</f>
        <v/>
      </c>
      <c r="F390" t="str">
        <f>""</f>
        <v/>
      </c>
      <c r="G390" t="str">
        <f>""</f>
        <v/>
      </c>
      <c r="I390" t="str">
        <f>"INV 6235/UNIT 86"</f>
        <v>INV 6235/UNIT 86</v>
      </c>
    </row>
    <row r="391" spans="1:10" x14ac:dyDescent="0.3">
      <c r="A391" t="str">
        <f>""</f>
        <v/>
      </c>
      <c r="F391" t="str">
        <f>""</f>
        <v/>
      </c>
      <c r="G391" t="str">
        <f>""</f>
        <v/>
      </c>
      <c r="I391" t="str">
        <f>"INV 6248/UNIT 0313"</f>
        <v>INV 6248/UNIT 0313</v>
      </c>
    </row>
    <row r="392" spans="1:10" x14ac:dyDescent="0.3">
      <c r="A392" t="str">
        <f>""</f>
        <v/>
      </c>
      <c r="F392" t="str">
        <f>""</f>
        <v/>
      </c>
      <c r="G392" t="str">
        <f>""</f>
        <v/>
      </c>
      <c r="I392" t="str">
        <f>"INV 6249/UNIT 8217"</f>
        <v>INV 6249/UNIT 8217</v>
      </c>
    </row>
    <row r="393" spans="1:10" x14ac:dyDescent="0.3">
      <c r="A393" t="str">
        <f>"004069"</f>
        <v>004069</v>
      </c>
      <c r="B393" t="s">
        <v>132</v>
      </c>
      <c r="C393">
        <v>72466</v>
      </c>
      <c r="D393" s="2">
        <v>496.37</v>
      </c>
      <c r="E393" s="1">
        <v>42989</v>
      </c>
      <c r="F393" t="str">
        <f>"88475"</f>
        <v>88475</v>
      </c>
      <c r="G393" t="str">
        <f>"ACCT#1268"</f>
        <v>ACCT#1268</v>
      </c>
      <c r="H393" s="2">
        <v>496.37</v>
      </c>
      <c r="I393" t="str">
        <f>"ACCT#1268"</f>
        <v>ACCT#1268</v>
      </c>
    </row>
    <row r="394" spans="1:10" x14ac:dyDescent="0.3">
      <c r="A394" t="str">
        <f>"004069"</f>
        <v>004069</v>
      </c>
      <c r="B394" t="s">
        <v>132</v>
      </c>
      <c r="C394">
        <v>72692</v>
      </c>
      <c r="D394" s="2">
        <v>935.43</v>
      </c>
      <c r="E394" s="1">
        <v>43003</v>
      </c>
      <c r="F394" t="str">
        <f>"88623"</f>
        <v>88623</v>
      </c>
      <c r="G394" t="str">
        <f>"ACCT#1268/PCT#3"</f>
        <v>ACCT#1268/PCT#3</v>
      </c>
      <c r="H394" s="2">
        <v>290.79000000000002</v>
      </c>
      <c r="I394" t="str">
        <f>"ACCT#1268/PCT#3"</f>
        <v>ACCT#1268/PCT#3</v>
      </c>
    </row>
    <row r="395" spans="1:10" x14ac:dyDescent="0.3">
      <c r="A395" t="str">
        <f>""</f>
        <v/>
      </c>
      <c r="F395" t="str">
        <f>"88737"</f>
        <v>88737</v>
      </c>
      <c r="G395" t="str">
        <f>"ACCT#1268/PCT#3"</f>
        <v>ACCT#1268/PCT#3</v>
      </c>
      <c r="H395" s="2">
        <v>201.71</v>
      </c>
      <c r="I395" t="str">
        <f>"ACCT#1268/PCT#3"</f>
        <v>ACCT#1268/PCT#3</v>
      </c>
    </row>
    <row r="396" spans="1:10" x14ac:dyDescent="0.3">
      <c r="A396" t="str">
        <f>""</f>
        <v/>
      </c>
      <c r="F396" t="str">
        <f>"88897"</f>
        <v>88897</v>
      </c>
      <c r="G396" t="str">
        <f>"ACCT#1268/PCT#3"</f>
        <v>ACCT#1268/PCT#3</v>
      </c>
      <c r="H396" s="2">
        <v>442.93</v>
      </c>
      <c r="I396" t="str">
        <f>"ACCT#1268/PCT#3"</f>
        <v>ACCT#1268/PCT#3</v>
      </c>
    </row>
    <row r="397" spans="1:10" x14ac:dyDescent="0.3">
      <c r="A397" t="str">
        <f>"003337"</f>
        <v>003337</v>
      </c>
      <c r="B397" t="s">
        <v>133</v>
      </c>
      <c r="C397">
        <v>72693</v>
      </c>
      <c r="D397" s="2">
        <v>47.1</v>
      </c>
      <c r="E397" s="1">
        <v>43003</v>
      </c>
      <c r="F397" t="str">
        <f>"FEED FOR LIVESTOCK"</f>
        <v>FEED FOR LIVESTOCK</v>
      </c>
      <c r="G397" t="str">
        <f>"REINBURSEMENT"</f>
        <v>REINBURSEMENT</v>
      </c>
      <c r="H397" s="2">
        <v>47.1</v>
      </c>
      <c r="I397" t="str">
        <f>"DISCOUNT FEED"</f>
        <v>DISCOUNT FEED</v>
      </c>
    </row>
    <row r="398" spans="1:10" x14ac:dyDescent="0.3">
      <c r="A398" t="str">
        <f>""</f>
        <v/>
      </c>
      <c r="F398" t="str">
        <f>""</f>
        <v/>
      </c>
      <c r="G398" t="str">
        <f>""</f>
        <v/>
      </c>
      <c r="I398" t="str">
        <f>"TRACTOR SUPPLY"</f>
        <v>TRACTOR SUPPLY</v>
      </c>
    </row>
    <row r="399" spans="1:10" x14ac:dyDescent="0.3">
      <c r="A399" t="str">
        <f>"004274"</f>
        <v>004274</v>
      </c>
      <c r="B399" t="s">
        <v>134</v>
      </c>
      <c r="C399">
        <v>72467</v>
      </c>
      <c r="D399" s="2">
        <v>16.73</v>
      </c>
      <c r="E399" s="1">
        <v>42989</v>
      </c>
      <c r="F399" t="s">
        <v>135</v>
      </c>
      <c r="G399" t="s">
        <v>136</v>
      </c>
      <c r="H399" s="2" t="str">
        <f>"RESTITUTION-R. WRIGHT"</f>
        <v>RESTITUTION-R. WRIGHT</v>
      </c>
      <c r="I399" t="str">
        <f>"210-0000"</f>
        <v>210-0000</v>
      </c>
      <c r="J399">
        <v>16.73</v>
      </c>
    </row>
    <row r="400" spans="1:10" x14ac:dyDescent="0.3">
      <c r="A400" t="str">
        <f>"T9216"</f>
        <v>T9216</v>
      </c>
      <c r="B400" t="s">
        <v>137</v>
      </c>
      <c r="C400">
        <v>72468</v>
      </c>
      <c r="D400" s="2">
        <v>500</v>
      </c>
      <c r="E400" s="1">
        <v>42989</v>
      </c>
      <c r="F400" t="str">
        <f>"201709064571"</f>
        <v>201709064571</v>
      </c>
      <c r="G400" t="str">
        <f>"52 802"</f>
        <v>52 802</v>
      </c>
      <c r="H400" s="2">
        <v>250</v>
      </c>
      <c r="I400" t="str">
        <f>"52 802"</f>
        <v>52 802</v>
      </c>
    </row>
    <row r="401" spans="1:10" x14ac:dyDescent="0.3">
      <c r="A401" t="str">
        <f>""</f>
        <v/>
      </c>
      <c r="F401" t="str">
        <f>"201709064572"</f>
        <v>201709064572</v>
      </c>
      <c r="G401" t="str">
        <f>"51 147"</f>
        <v>51 147</v>
      </c>
      <c r="H401" s="2">
        <v>250</v>
      </c>
      <c r="I401" t="str">
        <f>"51 147"</f>
        <v>51 147</v>
      </c>
    </row>
    <row r="402" spans="1:10" x14ac:dyDescent="0.3">
      <c r="A402" t="str">
        <f>"T9216"</f>
        <v>T9216</v>
      </c>
      <c r="B402" t="s">
        <v>137</v>
      </c>
      <c r="C402">
        <v>72694</v>
      </c>
      <c r="D402" s="2">
        <v>250</v>
      </c>
      <c r="E402" s="1">
        <v>43003</v>
      </c>
      <c r="F402" t="str">
        <f>"201709205085"</f>
        <v>201709205085</v>
      </c>
      <c r="G402" t="str">
        <f>"54 741"</f>
        <v>54 741</v>
      </c>
      <c r="H402" s="2">
        <v>250</v>
      </c>
      <c r="I402" t="str">
        <f>"54 741"</f>
        <v>54 741</v>
      </c>
    </row>
    <row r="403" spans="1:10" x14ac:dyDescent="0.3">
      <c r="A403" t="str">
        <f>"002356"</f>
        <v>002356</v>
      </c>
      <c r="B403" t="s">
        <v>138</v>
      </c>
      <c r="C403">
        <v>72469</v>
      </c>
      <c r="D403" s="2">
        <v>30</v>
      </c>
      <c r="E403" s="1">
        <v>42989</v>
      </c>
      <c r="F403" t="str">
        <f>"17-18547"</f>
        <v>17-18547</v>
      </c>
      <c r="G403" t="str">
        <f>"CENTRAL ADOPTION REGISTRY FUND"</f>
        <v>CENTRAL ADOPTION REGISTRY FUND</v>
      </c>
      <c r="H403" s="2">
        <v>15</v>
      </c>
      <c r="I403" t="str">
        <f>"CENTRAL ADOPTION REGISTRY FUND"</f>
        <v>CENTRAL ADOPTION REGISTRY FUND</v>
      </c>
    </row>
    <row r="404" spans="1:10" x14ac:dyDescent="0.3">
      <c r="A404" t="str">
        <f>""</f>
        <v/>
      </c>
      <c r="F404" t="str">
        <f>"17-18555"</f>
        <v>17-18555</v>
      </c>
      <c r="G404" t="str">
        <f>"CENTRAL ADOPTION REGISTRY FUND"</f>
        <v>CENTRAL ADOPTION REGISTRY FUND</v>
      </c>
      <c r="H404" s="2">
        <v>15</v>
      </c>
      <c r="I404" t="str">
        <f>"CENTRAL ADOPTION REGISTRY FUND"</f>
        <v>CENTRAL ADOPTION REGISTRY FUND</v>
      </c>
    </row>
    <row r="405" spans="1:10" x14ac:dyDescent="0.3">
      <c r="A405" t="str">
        <f>"002356"</f>
        <v>002356</v>
      </c>
      <c r="B405" t="s">
        <v>138</v>
      </c>
      <c r="C405">
        <v>72695</v>
      </c>
      <c r="D405" s="2">
        <v>30</v>
      </c>
      <c r="E405" s="1">
        <v>43003</v>
      </c>
      <c r="F405" t="str">
        <f>"17-18569"</f>
        <v>17-18569</v>
      </c>
      <c r="G405" t="str">
        <f>"CENTRAL ADOPTION REGISTRY FUND"</f>
        <v>CENTRAL ADOPTION REGISTRY FUND</v>
      </c>
      <c r="H405" s="2">
        <v>15</v>
      </c>
      <c r="I405" t="str">
        <f>"CENTRAL ADOPTION REGISTRY FUND"</f>
        <v>CENTRAL ADOPTION REGISTRY FUND</v>
      </c>
    </row>
    <row r="406" spans="1:10" x14ac:dyDescent="0.3">
      <c r="A406" t="str">
        <f>""</f>
        <v/>
      </c>
      <c r="F406" t="str">
        <f>"17-18589"</f>
        <v>17-18589</v>
      </c>
      <c r="G406" t="str">
        <f>"CENTRAL ADOPTION REGISTRY FUND"</f>
        <v>CENTRAL ADOPTION REGISTRY FUND</v>
      </c>
      <c r="H406" s="2">
        <v>15</v>
      </c>
      <c r="I406" t="str">
        <f>"CENTRAL ADOPTION REGISTRY FUND"</f>
        <v>CENTRAL ADOPTION REGISTRY FUND</v>
      </c>
    </row>
    <row r="407" spans="1:10" x14ac:dyDescent="0.3">
      <c r="A407" t="str">
        <f>"T12628"</f>
        <v>T12628</v>
      </c>
      <c r="B407" t="s">
        <v>139</v>
      </c>
      <c r="C407">
        <v>72696</v>
      </c>
      <c r="D407" s="2">
        <v>469.8</v>
      </c>
      <c r="E407" s="1">
        <v>43003</v>
      </c>
      <c r="F407" t="str">
        <f>"266495"</f>
        <v>266495</v>
      </c>
      <c r="G407" t="str">
        <f>"ITEM#JPP20/3600"</f>
        <v>ITEM#JPP20/3600</v>
      </c>
      <c r="H407" s="2">
        <v>59.4</v>
      </c>
      <c r="I407" t="str">
        <f>"ITEM#JPP20/3600"</f>
        <v>ITEM#JPP20/3600</v>
      </c>
    </row>
    <row r="408" spans="1:10" x14ac:dyDescent="0.3">
      <c r="A408" t="str">
        <f>""</f>
        <v/>
      </c>
      <c r="F408" t="str">
        <f>"266495-1"</f>
        <v>266495-1</v>
      </c>
      <c r="G408" t="str">
        <f>"ITEM#C5056A"</f>
        <v>ITEM#C5056A</v>
      </c>
      <c r="H408" s="2">
        <v>410.4</v>
      </c>
      <c r="I408" t="str">
        <f>"ITEM#C5056A"</f>
        <v>ITEM#C5056A</v>
      </c>
    </row>
    <row r="409" spans="1:10" x14ac:dyDescent="0.3">
      <c r="A409" t="str">
        <f>"002687"</f>
        <v>002687</v>
      </c>
      <c r="B409" t="s">
        <v>140</v>
      </c>
      <c r="C409">
        <v>72697</v>
      </c>
      <c r="D409" s="2">
        <v>160</v>
      </c>
      <c r="E409" s="1">
        <v>43003</v>
      </c>
      <c r="F409" t="s">
        <v>93</v>
      </c>
      <c r="G409" t="s">
        <v>100</v>
      </c>
      <c r="H409" s="2" t="str">
        <f>"SERVICE 6/14/17"</f>
        <v>SERVICE 6/14/17</v>
      </c>
      <c r="I409" t="str">
        <f>"995-4110"</f>
        <v>995-4110</v>
      </c>
      <c r="J409">
        <v>160</v>
      </c>
    </row>
    <row r="410" spans="1:10" x14ac:dyDescent="0.3">
      <c r="A410" t="str">
        <f>"CPC"</f>
        <v>CPC</v>
      </c>
      <c r="B410" t="s">
        <v>141</v>
      </c>
      <c r="C410">
        <v>72470</v>
      </c>
      <c r="D410" s="2">
        <v>223.97</v>
      </c>
      <c r="E410" s="1">
        <v>42989</v>
      </c>
      <c r="F410" t="str">
        <f>"0342003-IN"</f>
        <v>0342003-IN</v>
      </c>
      <c r="G410" t="str">
        <f>"CUST#7860203/IT#102-6-CF/BCAC"</f>
        <v>CUST#7860203/IT#102-6-CF/BCAC</v>
      </c>
      <c r="H410" s="2">
        <v>223.97</v>
      </c>
      <c r="I410" t="str">
        <f>"CUST#7860203/IT#102-6-CF/BCAC"</f>
        <v>CUST#7860203/IT#102-6-CF/BCAC</v>
      </c>
    </row>
    <row r="411" spans="1:10" x14ac:dyDescent="0.3">
      <c r="A411" t="str">
        <f>"CBOA"</f>
        <v>CBOA</v>
      </c>
      <c r="B411" t="s">
        <v>142</v>
      </c>
      <c r="C411">
        <v>72471</v>
      </c>
      <c r="D411" s="2">
        <v>200</v>
      </c>
      <c r="E411" s="1">
        <v>42989</v>
      </c>
      <c r="F411" t="str">
        <f>"495814"</f>
        <v>495814</v>
      </c>
      <c r="G411" t="str">
        <f>"ACCT#000690/ORD#00415269/PCT#2"</f>
        <v>ACCT#000690/ORD#00415269/PCT#2</v>
      </c>
      <c r="H411" s="2">
        <v>200</v>
      </c>
      <c r="I411" t="str">
        <f>"ACCT#000690/ORD#00415269/PCT#2"</f>
        <v>ACCT#000690/ORD#00415269/PCT#2</v>
      </c>
    </row>
    <row r="412" spans="1:10" x14ac:dyDescent="0.3">
      <c r="A412" t="str">
        <f>"CARD"</f>
        <v>CARD</v>
      </c>
      <c r="B412" t="s">
        <v>143</v>
      </c>
      <c r="C412">
        <v>0</v>
      </c>
      <c r="D412" s="2">
        <v>962.34</v>
      </c>
      <c r="E412" s="1">
        <v>42989</v>
      </c>
      <c r="F412" t="str">
        <f>"7/24-8/23 STATEMEN"</f>
        <v>7/24-8/23 STATEMEN</v>
      </c>
      <c r="G412" t="str">
        <f>"STATEMENT 0574"</f>
        <v>STATEMENT 0574</v>
      </c>
      <c r="H412" s="2">
        <v>962.34</v>
      </c>
      <c r="I412" t="str">
        <f>"HILTON - LODGING"</f>
        <v>HILTON - LODGING</v>
      </c>
    </row>
    <row r="413" spans="1:10" x14ac:dyDescent="0.3">
      <c r="A413" t="str">
        <f>""</f>
        <v/>
      </c>
      <c r="F413" t="str">
        <f>""</f>
        <v/>
      </c>
      <c r="G413" t="str">
        <f>""</f>
        <v/>
      </c>
      <c r="I413" t="str">
        <f>"MAIL &amp; SIGNS"</f>
        <v>MAIL &amp; SIGNS</v>
      </c>
    </row>
    <row r="414" spans="1:10" x14ac:dyDescent="0.3">
      <c r="A414" t="str">
        <f>""</f>
        <v/>
      </c>
      <c r="F414" t="str">
        <f>""</f>
        <v/>
      </c>
      <c r="G414" t="str">
        <f>""</f>
        <v/>
      </c>
      <c r="I414" t="str">
        <f>"USPS - CERTIFIED"</f>
        <v>USPS - CERTIFIED</v>
      </c>
    </row>
    <row r="415" spans="1:10" x14ac:dyDescent="0.3">
      <c r="A415" t="str">
        <f>""</f>
        <v/>
      </c>
      <c r="F415" t="str">
        <f>""</f>
        <v/>
      </c>
      <c r="G415" t="str">
        <f>""</f>
        <v/>
      </c>
      <c r="I415" t="str">
        <f>"JACKNOB CO"</f>
        <v>JACKNOB CO</v>
      </c>
    </row>
    <row r="416" spans="1:10" x14ac:dyDescent="0.3">
      <c r="A416" t="str">
        <f>"T4871"</f>
        <v>T4871</v>
      </c>
      <c r="B416" t="s">
        <v>144</v>
      </c>
      <c r="C416">
        <v>0</v>
      </c>
      <c r="D416" s="2">
        <v>129.61000000000001</v>
      </c>
      <c r="E416" s="1">
        <v>42989</v>
      </c>
      <c r="F416" t="str">
        <f>"JVZ2719"</f>
        <v>JVZ2719</v>
      </c>
      <c r="G416" t="str">
        <f>"CUST#9566243/PART#1438525"</f>
        <v>CUST#9566243/PART#1438525</v>
      </c>
      <c r="H416" s="2">
        <v>28.82</v>
      </c>
      <c r="I416" t="str">
        <f>"CUST#9566243/PART#1438525"</f>
        <v>CUST#9566243/PART#1438525</v>
      </c>
    </row>
    <row r="417" spans="1:9" x14ac:dyDescent="0.3">
      <c r="A417" t="str">
        <f>""</f>
        <v/>
      </c>
      <c r="F417" t="str">
        <f>"JXB6604"</f>
        <v>JXB6604</v>
      </c>
      <c r="G417" t="str">
        <f>"CUST#9566243/ITEM#3002513"</f>
        <v>CUST#9566243/ITEM#3002513</v>
      </c>
      <c r="H417" s="2">
        <v>100.79</v>
      </c>
      <c r="I417" t="str">
        <f>"CUST#9566243/ITEM#3002513"</f>
        <v>CUST#9566243/ITEM#3002513</v>
      </c>
    </row>
    <row r="418" spans="1:9" x14ac:dyDescent="0.3">
      <c r="A418" t="str">
        <f>"T4871"</f>
        <v>T4871</v>
      </c>
      <c r="B418" t="s">
        <v>144</v>
      </c>
      <c r="C418">
        <v>999999</v>
      </c>
      <c r="D418" s="2">
        <v>3090</v>
      </c>
      <c r="E418" s="1">
        <v>43004</v>
      </c>
      <c r="F418" t="str">
        <f>"JFRJ438"</f>
        <v>JFRJ438</v>
      </c>
      <c r="G418" t="str">
        <f>"Quote # JFRJ438"</f>
        <v>Quote # JFRJ438</v>
      </c>
      <c r="H418" s="2">
        <v>3090</v>
      </c>
      <c r="I418" t="str">
        <f>"Quote # JFRJ438"</f>
        <v>Quote # JFRJ438</v>
      </c>
    </row>
    <row r="419" spans="1:9" x14ac:dyDescent="0.3">
      <c r="A419" t="str">
        <f>"CTRPNT"</f>
        <v>CTRPNT</v>
      </c>
      <c r="B419" t="s">
        <v>145</v>
      </c>
      <c r="C419">
        <v>72409</v>
      </c>
      <c r="D419" s="2">
        <v>1298.8800000000001</v>
      </c>
      <c r="E419" s="1">
        <v>42985</v>
      </c>
      <c r="F419" t="str">
        <f>"201709074680"</f>
        <v>201709074680</v>
      </c>
      <c r="G419" t="str">
        <f>"ACCT#2959074-2 / 08312017"</f>
        <v>ACCT#2959074-2 / 08312017</v>
      </c>
      <c r="H419" s="2">
        <v>44.97</v>
      </c>
      <c r="I419" t="str">
        <f t="shared" ref="I419:I426" si="3">"CENTERPOINT ENERGY"</f>
        <v>CENTERPOINT ENERGY</v>
      </c>
    </row>
    <row r="420" spans="1:9" x14ac:dyDescent="0.3">
      <c r="A420" t="str">
        <f>""</f>
        <v/>
      </c>
      <c r="F420" t="str">
        <f>"201709074681"</f>
        <v>201709074681</v>
      </c>
      <c r="G420" t="str">
        <f>"ACCT#2974567-6 / 08312017"</f>
        <v>ACCT#2974567-6 / 08312017</v>
      </c>
      <c r="H420" s="2">
        <v>1133.6099999999999</v>
      </c>
      <c r="I420" t="str">
        <f t="shared" si="3"/>
        <v>CENTERPOINT ENERGY</v>
      </c>
    </row>
    <row r="421" spans="1:9" x14ac:dyDescent="0.3">
      <c r="A421" t="str">
        <f>""</f>
        <v/>
      </c>
      <c r="F421" t="str">
        <f>"201709074682"</f>
        <v>201709074682</v>
      </c>
      <c r="G421" t="str">
        <f>"ACCT#3204433-1 / 08242017"</f>
        <v>ACCT#3204433-1 / 08242017</v>
      </c>
      <c r="H421" s="2">
        <v>40.1</v>
      </c>
      <c r="I421" t="str">
        <f t="shared" si="3"/>
        <v>CENTERPOINT ENERGY</v>
      </c>
    </row>
    <row r="422" spans="1:9" x14ac:dyDescent="0.3">
      <c r="A422" t="str">
        <f>""</f>
        <v/>
      </c>
      <c r="F422" t="str">
        <f>"201709074683"</f>
        <v>201709074683</v>
      </c>
      <c r="G422" t="str">
        <f>"ACCT#3204434-9 / 08312017"</f>
        <v>ACCT#3204434-9 / 08312017</v>
      </c>
      <c r="H422" s="2">
        <v>40.1</v>
      </c>
      <c r="I422" t="str">
        <f t="shared" si="3"/>
        <v>CENTERPOINT ENERGY</v>
      </c>
    </row>
    <row r="423" spans="1:9" x14ac:dyDescent="0.3">
      <c r="A423" t="str">
        <f>""</f>
        <v/>
      </c>
      <c r="F423" t="str">
        <f>"201709074684"</f>
        <v>201709074684</v>
      </c>
      <c r="G423" t="str">
        <f>"ACCT#6400890108-0 / 08242017"</f>
        <v>ACCT#6400890108-0 / 08242017</v>
      </c>
      <c r="H423" s="2">
        <v>40.1</v>
      </c>
      <c r="I423" t="str">
        <f t="shared" si="3"/>
        <v>CENTERPOINT ENERGY</v>
      </c>
    </row>
    <row r="424" spans="1:9" x14ac:dyDescent="0.3">
      <c r="A424" t="str">
        <f>"CTRPNT"</f>
        <v>CTRPNT</v>
      </c>
      <c r="B424" t="s">
        <v>145</v>
      </c>
      <c r="C424">
        <v>72639</v>
      </c>
      <c r="D424" s="2">
        <v>124.48</v>
      </c>
      <c r="E424" s="1">
        <v>42993</v>
      </c>
      <c r="F424" t="str">
        <f>"201709154924"</f>
        <v>201709154924</v>
      </c>
      <c r="G424" t="str">
        <f>"ACCT# 6400893680-5 / 09062017"</f>
        <v>ACCT# 6400893680-5 / 09062017</v>
      </c>
      <c r="H424" s="2">
        <v>43.86</v>
      </c>
      <c r="I424" t="str">
        <f t="shared" si="3"/>
        <v>CENTERPOINT ENERGY</v>
      </c>
    </row>
    <row r="425" spans="1:9" x14ac:dyDescent="0.3">
      <c r="A425" t="str">
        <f>""</f>
        <v/>
      </c>
      <c r="F425" t="str">
        <f>"201709154925"</f>
        <v>201709154925</v>
      </c>
      <c r="G425" t="str">
        <f>"ACCT #2814197-6 / 09062017"</f>
        <v>ACCT #2814197-6 / 09062017</v>
      </c>
      <c r="H425" s="2">
        <v>40.1</v>
      </c>
      <c r="I425" t="str">
        <f t="shared" si="3"/>
        <v>CENTERPOINT ENERGY</v>
      </c>
    </row>
    <row r="426" spans="1:9" x14ac:dyDescent="0.3">
      <c r="A426" t="str">
        <f>""</f>
        <v/>
      </c>
      <c r="F426" t="str">
        <f>"201709154926"</f>
        <v>201709154926</v>
      </c>
      <c r="G426" t="str">
        <f>"ACCT #2959097-3 / 09062017"</f>
        <v>ACCT #2959097-3 / 09062017</v>
      </c>
      <c r="H426" s="2">
        <v>40.520000000000003</v>
      </c>
      <c r="I426" t="str">
        <f t="shared" si="3"/>
        <v>CENTERPOINT ENERGY</v>
      </c>
    </row>
    <row r="427" spans="1:9" x14ac:dyDescent="0.3">
      <c r="A427" t="str">
        <f>"CENTEX"</f>
        <v>CENTEX</v>
      </c>
      <c r="B427" t="s">
        <v>146</v>
      </c>
      <c r="C427">
        <v>72472</v>
      </c>
      <c r="D427" s="2">
        <v>3627</v>
      </c>
      <c r="E427" s="1">
        <v>42989</v>
      </c>
      <c r="F427" t="str">
        <f>"30120459"</f>
        <v>30120459</v>
      </c>
      <c r="G427" t="str">
        <f>"CUST#BASPCT1/ORD#37-19558/PCT1"</f>
        <v>CUST#BASPCT1/ORD#37-19558/PCT1</v>
      </c>
      <c r="H427" s="2">
        <v>429.21</v>
      </c>
      <c r="I427" t="str">
        <f>"CUST#BASPCT1/ORD#37-19558/PCT1"</f>
        <v>CUST#BASPCT1/ORD#37-19558/PCT1</v>
      </c>
    </row>
    <row r="428" spans="1:9" x14ac:dyDescent="0.3">
      <c r="A428" t="str">
        <f>""</f>
        <v/>
      </c>
      <c r="F428" t="str">
        <f>"30120493"</f>
        <v>30120493</v>
      </c>
      <c r="G428" t="str">
        <f>"CUST#BASPCT1/ORD#37-19558/PCT1"</f>
        <v>CUST#BASPCT1/ORD#37-19558/PCT1</v>
      </c>
      <c r="H428" s="2">
        <v>422.82</v>
      </c>
      <c r="I428" t="str">
        <f>"CUST#BASPCT1/ORD#37-19558/PCT1"</f>
        <v>CUST#BASPCT1/ORD#37-19558/PCT1</v>
      </c>
    </row>
    <row r="429" spans="1:9" x14ac:dyDescent="0.3">
      <c r="A429" t="str">
        <f>""</f>
        <v/>
      </c>
      <c r="F429" t="str">
        <f>"30120533"</f>
        <v>30120533</v>
      </c>
      <c r="G429" t="str">
        <f>"CUST#BASPCT1/ORD#37-19558/PCT1"</f>
        <v>CUST#BASPCT1/ORD#37-19558/PCT1</v>
      </c>
      <c r="H429" s="2">
        <v>426.06</v>
      </c>
      <c r="I429" t="str">
        <f>"CUST#BASPCT1/ORD#37-19558/PCT1"</f>
        <v>CUST#BASPCT1/ORD#37-19558/PCT1</v>
      </c>
    </row>
    <row r="430" spans="1:9" x14ac:dyDescent="0.3">
      <c r="A430" t="str">
        <f>""</f>
        <v/>
      </c>
      <c r="F430" t="str">
        <f>"30120534"</f>
        <v>30120534</v>
      </c>
      <c r="G430" t="str">
        <f>"CUST#BASPCT4/ORD#37-19552/PCT4"</f>
        <v>CUST#BASPCT4/ORD#37-19552/PCT4</v>
      </c>
      <c r="H430" s="2">
        <v>419.4</v>
      </c>
      <c r="I430" t="str">
        <f>"CUST#BASPCT4/ORD#37-19552/PCT4"</f>
        <v>CUST#BASPCT4/ORD#37-19552/PCT4</v>
      </c>
    </row>
    <row r="431" spans="1:9" x14ac:dyDescent="0.3">
      <c r="A431" t="str">
        <f>""</f>
        <v/>
      </c>
      <c r="F431" t="str">
        <f>"30120639"</f>
        <v>30120639</v>
      </c>
      <c r="G431" t="str">
        <f>"CUST#BASPCT1/ORD#37-19558/PCT1"</f>
        <v>CUST#BASPCT1/ORD#37-19558/PCT1</v>
      </c>
      <c r="H431" s="2">
        <v>434.88</v>
      </c>
      <c r="I431" t="str">
        <f>"CUST#BASPCT1/ORD#37-19558/PCT1"</f>
        <v>CUST#BASPCT1/ORD#37-19558/PCT1</v>
      </c>
    </row>
    <row r="432" spans="1:9" x14ac:dyDescent="0.3">
      <c r="A432" t="str">
        <f>""</f>
        <v/>
      </c>
      <c r="F432" t="str">
        <f>"30120640"</f>
        <v>30120640</v>
      </c>
      <c r="G432" t="str">
        <f>"CUST#BASPCT4/ORD#37-19552/PCT4"</f>
        <v>CUST#BASPCT4/ORD#37-19552/PCT4</v>
      </c>
      <c r="H432" s="2">
        <v>196.2</v>
      </c>
      <c r="I432" t="str">
        <f>"CUST#BASPCT4/ORD#37-19552/PCT4"</f>
        <v>CUST#BASPCT4/ORD#37-19552/PCT4</v>
      </c>
    </row>
    <row r="433" spans="1:9" x14ac:dyDescent="0.3">
      <c r="A433" t="str">
        <f>""</f>
        <v/>
      </c>
      <c r="F433" t="str">
        <f>"30120671"</f>
        <v>30120671</v>
      </c>
      <c r="G433" t="str">
        <f t="shared" ref="G433:G438" si="4">"CUST#BASPCT1/ORD#37-19558/PCT1"</f>
        <v>CUST#BASPCT1/ORD#37-19558/PCT1</v>
      </c>
      <c r="H433" s="2">
        <v>433.44</v>
      </c>
      <c r="I433" t="str">
        <f>"CUST#BASPCT1/ORD#37-19558/JP#1"</f>
        <v>CUST#BASPCT1/ORD#37-19558/JP#1</v>
      </c>
    </row>
    <row r="434" spans="1:9" x14ac:dyDescent="0.3">
      <c r="A434" t="str">
        <f>""</f>
        <v/>
      </c>
      <c r="F434" t="str">
        <f>"30120739"</f>
        <v>30120739</v>
      </c>
      <c r="G434" t="str">
        <f t="shared" si="4"/>
        <v>CUST#BASPCT1/ORD#37-19558/PCT1</v>
      </c>
      <c r="H434" s="2">
        <v>434.79</v>
      </c>
      <c r="I434" t="str">
        <f>"CUST#BASPCT1/ORD#37-19558/PCT1"</f>
        <v>CUST#BASPCT1/ORD#37-19558/PCT1</v>
      </c>
    </row>
    <row r="435" spans="1:9" x14ac:dyDescent="0.3">
      <c r="A435" t="str">
        <f>""</f>
        <v/>
      </c>
      <c r="F435" t="str">
        <f>"30120772"</f>
        <v>30120772</v>
      </c>
      <c r="G435" t="str">
        <f t="shared" si="4"/>
        <v>CUST#BASPCT1/ORD#37-19558/PCT1</v>
      </c>
      <c r="H435" s="2">
        <v>430.2</v>
      </c>
      <c r="I435" t="str">
        <f>"CUST#BASPCT1/ORD#37-19558/PCT1"</f>
        <v>CUST#BASPCT1/ORD#37-19558/PCT1</v>
      </c>
    </row>
    <row r="436" spans="1:9" x14ac:dyDescent="0.3">
      <c r="A436" t="str">
        <f>"CENTEX"</f>
        <v>CENTEX</v>
      </c>
      <c r="B436" t="s">
        <v>146</v>
      </c>
      <c r="C436">
        <v>72698</v>
      </c>
      <c r="D436" s="2">
        <v>2139.75</v>
      </c>
      <c r="E436" s="1">
        <v>43003</v>
      </c>
      <c r="F436" t="str">
        <f>"30120704"</f>
        <v>30120704</v>
      </c>
      <c r="G436" t="str">
        <f t="shared" si="4"/>
        <v>CUST#BASPCT1/ORD#37-19558/PCT1</v>
      </c>
      <c r="H436" s="2">
        <v>432.9</v>
      </c>
      <c r="I436" t="str">
        <f>"CUST#BASPCT1/ORD#37-19558/PCT1"</f>
        <v>CUST#BASPCT1/ORD#37-19558/PCT1</v>
      </c>
    </row>
    <row r="437" spans="1:9" x14ac:dyDescent="0.3">
      <c r="A437" t="str">
        <f>""</f>
        <v/>
      </c>
      <c r="F437" t="str">
        <f>"30120819"</f>
        <v>30120819</v>
      </c>
      <c r="G437" t="str">
        <f t="shared" si="4"/>
        <v>CUST#BASPCT1/ORD#37-19558/PCT1</v>
      </c>
      <c r="H437" s="2">
        <v>430.65</v>
      </c>
      <c r="I437" t="str">
        <f>"CUST#BASPCT1/ORD#37-19558/PCT1"</f>
        <v>CUST#BASPCT1/ORD#37-19558/PCT1</v>
      </c>
    </row>
    <row r="438" spans="1:9" x14ac:dyDescent="0.3">
      <c r="A438" t="str">
        <f>""</f>
        <v/>
      </c>
      <c r="F438" t="str">
        <f>"30120968"</f>
        <v>30120968</v>
      </c>
      <c r="G438" t="str">
        <f t="shared" si="4"/>
        <v>CUST#BASPCT1/ORD#37-19558/PCT1</v>
      </c>
      <c r="H438" s="2">
        <v>429.21</v>
      </c>
      <c r="I438" t="str">
        <f>"CUST#BASPCT1/ORD#37-19558/PCT1"</f>
        <v>CUST#BASPCT1/ORD#37-19558/PCT1</v>
      </c>
    </row>
    <row r="439" spans="1:9" x14ac:dyDescent="0.3">
      <c r="A439" t="str">
        <f>""</f>
        <v/>
      </c>
      <c r="F439" t="str">
        <f>"30121043"</f>
        <v>30121043</v>
      </c>
      <c r="G439" t="str">
        <f>"ACCT#BSPCT1 / BSAE / P1"</f>
        <v>ACCT#BSPCT1 / BSAE / P1</v>
      </c>
      <c r="H439" s="2">
        <v>418.5</v>
      </c>
      <c r="I439" t="str">
        <f>"ACCT#BSPCT1 / BSAE / P1"</f>
        <v>ACCT#BSPCT1 / BSAE / P1</v>
      </c>
    </row>
    <row r="440" spans="1:9" x14ac:dyDescent="0.3">
      <c r="A440" t="str">
        <f>""</f>
        <v/>
      </c>
      <c r="F440" t="str">
        <f>"30121072"</f>
        <v>30121072</v>
      </c>
      <c r="G440" t="str">
        <f>"CUST#BASPCT1 / BASE / P1"</f>
        <v>CUST#BASPCT1 / BASE / P1</v>
      </c>
      <c r="H440" s="2">
        <v>428.49</v>
      </c>
      <c r="I440" t="str">
        <f>"CUST#BASPCT1 / BASE / P1"</f>
        <v>CUST#BASPCT1 / BASE / P1</v>
      </c>
    </row>
    <row r="441" spans="1:9" x14ac:dyDescent="0.3">
      <c r="A441" t="str">
        <f>"002795"</f>
        <v>002795</v>
      </c>
      <c r="B441" t="s">
        <v>147</v>
      </c>
      <c r="C441">
        <v>72699</v>
      </c>
      <c r="D441" s="2">
        <v>2100</v>
      </c>
      <c r="E441" s="1">
        <v>43003</v>
      </c>
      <c r="F441" t="str">
        <f>"11869"</f>
        <v>11869</v>
      </c>
      <c r="G441" t="str">
        <f>"CTA 223-17  A. KOEGLER"</f>
        <v>CTA 223-17  A. KOEGLER</v>
      </c>
      <c r="H441" s="2">
        <v>2100</v>
      </c>
      <c r="I441" t="str">
        <f>"CTA 223-17  A. KOEGLER"</f>
        <v>CTA 223-17  A. KOEGLER</v>
      </c>
    </row>
    <row r="442" spans="1:9" x14ac:dyDescent="0.3">
      <c r="A442" t="str">
        <f>"004648"</f>
        <v>004648</v>
      </c>
      <c r="B442" t="s">
        <v>148</v>
      </c>
      <c r="C442">
        <v>72473</v>
      </c>
      <c r="D442" s="2">
        <v>200</v>
      </c>
      <c r="E442" s="1">
        <v>42989</v>
      </c>
      <c r="F442" t="str">
        <f>"201709064605"</f>
        <v>201709064605</v>
      </c>
      <c r="G442" t="str">
        <f>"16-17819"</f>
        <v>16-17819</v>
      </c>
      <c r="H442" s="2">
        <v>100</v>
      </c>
      <c r="I442" t="str">
        <f>"16-17819"</f>
        <v>16-17819</v>
      </c>
    </row>
    <row r="443" spans="1:9" x14ac:dyDescent="0.3">
      <c r="A443" t="str">
        <f>""</f>
        <v/>
      </c>
      <c r="F443" t="str">
        <f>"201709064607"</f>
        <v>201709064607</v>
      </c>
      <c r="G443" t="str">
        <f>"17-18250"</f>
        <v>17-18250</v>
      </c>
      <c r="H443" s="2">
        <v>100</v>
      </c>
      <c r="I443" t="str">
        <f>"17-18250"</f>
        <v>17-18250</v>
      </c>
    </row>
    <row r="444" spans="1:9" x14ac:dyDescent="0.3">
      <c r="A444" t="str">
        <f>"T7886"</f>
        <v>T7886</v>
      </c>
      <c r="B444" t="s">
        <v>149</v>
      </c>
      <c r="C444">
        <v>72474</v>
      </c>
      <c r="D444" s="2">
        <v>320</v>
      </c>
      <c r="E444" s="1">
        <v>42989</v>
      </c>
      <c r="F444" t="str">
        <f>"0000119"</f>
        <v>0000119</v>
      </c>
      <c r="G444" t="str">
        <f>"ID#HCC100/ANIMAL SERVICES"</f>
        <v>ID#HCC100/ANIMAL SERVICES</v>
      </c>
      <c r="H444" s="2">
        <v>320</v>
      </c>
      <c r="I444" t="str">
        <f>"ID#HCC100/ANIMAL SERVICES"</f>
        <v>ID#HCC100/ANIMAL SERVICES</v>
      </c>
    </row>
    <row r="445" spans="1:9" x14ac:dyDescent="0.3">
      <c r="A445" t="str">
        <f>"T9145"</f>
        <v>T9145</v>
      </c>
      <c r="B445" t="s">
        <v>150</v>
      </c>
      <c r="C445">
        <v>72475</v>
      </c>
      <c r="D445" s="2">
        <v>1900</v>
      </c>
      <c r="E445" s="1">
        <v>42989</v>
      </c>
      <c r="F445" t="str">
        <f>"201709014492"</f>
        <v>201709014492</v>
      </c>
      <c r="G445" t="str">
        <f>"16 150"</f>
        <v>16 150</v>
      </c>
      <c r="H445" s="2">
        <v>400</v>
      </c>
      <c r="I445" t="str">
        <f>"16 150"</f>
        <v>16 150</v>
      </c>
    </row>
    <row r="446" spans="1:9" x14ac:dyDescent="0.3">
      <c r="A446" t="str">
        <f>""</f>
        <v/>
      </c>
      <c r="F446" t="str">
        <f>"201709014493"</f>
        <v>201709014493</v>
      </c>
      <c r="G446" t="str">
        <f>"16 274"</f>
        <v>16 274</v>
      </c>
      <c r="H446" s="2">
        <v>400</v>
      </c>
      <c r="I446" t="str">
        <f>"16 274"</f>
        <v>16 274</v>
      </c>
    </row>
    <row r="447" spans="1:9" x14ac:dyDescent="0.3">
      <c r="A447" t="str">
        <f>""</f>
        <v/>
      </c>
      <c r="F447" t="str">
        <f>"201709014494"</f>
        <v>201709014494</v>
      </c>
      <c r="G447" t="str">
        <f>"16 068"</f>
        <v>16 068</v>
      </c>
      <c r="H447" s="2">
        <v>400</v>
      </c>
      <c r="I447" t="str">
        <f>"16 068"</f>
        <v>16 068</v>
      </c>
    </row>
    <row r="448" spans="1:9" x14ac:dyDescent="0.3">
      <c r="A448" t="str">
        <f>""</f>
        <v/>
      </c>
      <c r="F448" t="str">
        <f>"201709014495"</f>
        <v>201709014495</v>
      </c>
      <c r="G448" t="str">
        <f>"4107354M"</f>
        <v>4107354M</v>
      </c>
      <c r="H448" s="2">
        <v>400</v>
      </c>
      <c r="I448" t="str">
        <f>"4107354M"</f>
        <v>4107354M</v>
      </c>
    </row>
    <row r="449" spans="1:9" x14ac:dyDescent="0.3">
      <c r="A449" t="str">
        <f>""</f>
        <v/>
      </c>
      <c r="F449" t="str">
        <f>"201709014496"</f>
        <v>201709014496</v>
      </c>
      <c r="G449" t="str">
        <f>"423-5204 423-5205 423-5206"</f>
        <v>423-5204 423-5205 423-5206</v>
      </c>
      <c r="H449" s="2">
        <v>300</v>
      </c>
      <c r="I449" t="str">
        <f>"423-5204 423-5205 423-5206"</f>
        <v>423-5204 423-5205 423-5206</v>
      </c>
    </row>
    <row r="450" spans="1:9" x14ac:dyDescent="0.3">
      <c r="A450" t="str">
        <f>"T9145"</f>
        <v>T9145</v>
      </c>
      <c r="B450" t="s">
        <v>150</v>
      </c>
      <c r="C450">
        <v>999999</v>
      </c>
      <c r="D450" s="2">
        <v>3075</v>
      </c>
      <c r="E450" s="1">
        <v>43004</v>
      </c>
      <c r="F450" t="str">
        <f>"201709134862"</f>
        <v>201709134862</v>
      </c>
      <c r="G450" t="str">
        <f>"16 110"</f>
        <v>16 110</v>
      </c>
      <c r="H450" s="2">
        <v>400</v>
      </c>
      <c r="I450" t="str">
        <f>"16 110"</f>
        <v>16 110</v>
      </c>
    </row>
    <row r="451" spans="1:9" x14ac:dyDescent="0.3">
      <c r="A451" t="str">
        <f>""</f>
        <v/>
      </c>
      <c r="F451" t="str">
        <f>"201709134863"</f>
        <v>201709134863</v>
      </c>
      <c r="G451" t="str">
        <f>"16 214"</f>
        <v>16 214</v>
      </c>
      <c r="H451" s="2">
        <v>400</v>
      </c>
      <c r="I451" t="str">
        <f>"16 214"</f>
        <v>16 214</v>
      </c>
    </row>
    <row r="452" spans="1:9" x14ac:dyDescent="0.3">
      <c r="A452" t="str">
        <f>""</f>
        <v/>
      </c>
      <c r="F452" t="str">
        <f>"201709134864"</f>
        <v>201709134864</v>
      </c>
      <c r="G452" t="str">
        <f>"DCPC-10-080"</f>
        <v>DCPC-10-080</v>
      </c>
      <c r="H452" s="2">
        <v>100</v>
      </c>
      <c r="I452" t="str">
        <f>"DCPC-10-080"</f>
        <v>DCPC-10-080</v>
      </c>
    </row>
    <row r="453" spans="1:9" x14ac:dyDescent="0.3">
      <c r="A453" t="str">
        <f>""</f>
        <v/>
      </c>
      <c r="F453" t="str">
        <f>"201709134865"</f>
        <v>201709134865</v>
      </c>
      <c r="G453" t="str">
        <f>"16 112  403316-3"</f>
        <v>16 112  403316-3</v>
      </c>
      <c r="H453" s="2">
        <v>800</v>
      </c>
      <c r="I453" t="str">
        <f>"16 112  403316-3"</f>
        <v>16 112  403316-3</v>
      </c>
    </row>
    <row r="454" spans="1:9" x14ac:dyDescent="0.3">
      <c r="A454" t="str">
        <f>""</f>
        <v/>
      </c>
      <c r="F454" t="str">
        <f>"201709205029"</f>
        <v>201709205029</v>
      </c>
      <c r="G454" t="str">
        <f>"150824162  15982416W"</f>
        <v>150824162  15982416W</v>
      </c>
      <c r="H454" s="2">
        <v>600</v>
      </c>
      <c r="I454" t="str">
        <f>"150824162  15982416W"</f>
        <v>150824162  15982416W</v>
      </c>
    </row>
    <row r="455" spans="1:9" x14ac:dyDescent="0.3">
      <c r="A455" t="str">
        <f>""</f>
        <v/>
      </c>
      <c r="F455" t="str">
        <f>"201709205030"</f>
        <v>201709205030</v>
      </c>
      <c r="G455" t="str">
        <f>"405187-3"</f>
        <v>405187-3</v>
      </c>
      <c r="H455" s="2">
        <v>400</v>
      </c>
      <c r="I455" t="str">
        <f>"405187-3"</f>
        <v>405187-3</v>
      </c>
    </row>
    <row r="456" spans="1:9" x14ac:dyDescent="0.3">
      <c r="A456" t="str">
        <f>""</f>
        <v/>
      </c>
      <c r="F456" t="str">
        <f>"201709205068"</f>
        <v>201709205068</v>
      </c>
      <c r="G456" t="str">
        <f>"16-17765"</f>
        <v>16-17765</v>
      </c>
      <c r="H456" s="2">
        <v>100</v>
      </c>
      <c r="I456" t="str">
        <f>"16-17765"</f>
        <v>16-17765</v>
      </c>
    </row>
    <row r="457" spans="1:9" x14ac:dyDescent="0.3">
      <c r="A457" t="str">
        <f>""</f>
        <v/>
      </c>
      <c r="F457" t="str">
        <f>"201709205069"</f>
        <v>201709205069</v>
      </c>
      <c r="G457" t="str">
        <f>"16-18071"</f>
        <v>16-18071</v>
      </c>
      <c r="H457" s="2">
        <v>100</v>
      </c>
      <c r="I457" t="str">
        <f>"16-18071"</f>
        <v>16-18071</v>
      </c>
    </row>
    <row r="458" spans="1:9" x14ac:dyDescent="0.3">
      <c r="A458" t="str">
        <f>""</f>
        <v/>
      </c>
      <c r="F458" t="str">
        <f>"201709205070"</f>
        <v>201709205070</v>
      </c>
      <c r="G458" t="str">
        <f>"17-18578"</f>
        <v>17-18578</v>
      </c>
      <c r="H458" s="2">
        <v>175</v>
      </c>
      <c r="I458" t="str">
        <f>"17-18578"</f>
        <v>17-18578</v>
      </c>
    </row>
    <row r="459" spans="1:9" x14ac:dyDescent="0.3">
      <c r="A459" t="str">
        <f>"005030"</f>
        <v>005030</v>
      </c>
      <c r="B459" t="s">
        <v>151</v>
      </c>
      <c r="C459">
        <v>72476</v>
      </c>
      <c r="D459" s="2">
        <v>128.16</v>
      </c>
      <c r="E459" s="1">
        <v>42989</v>
      </c>
      <c r="F459" t="str">
        <f>"1009"</f>
        <v>1009</v>
      </c>
      <c r="G459" t="str">
        <f>"SUTURES W/NEEDLE/ANIMAL SVCS"</f>
        <v>SUTURES W/NEEDLE/ANIMAL SVCS</v>
      </c>
      <c r="H459" s="2">
        <v>128.16</v>
      </c>
      <c r="I459" t="str">
        <f>"SUTURES W/NEEDLE/ANIMAL SVCS"</f>
        <v>SUTURES W/NEEDLE/ANIMAL SVCS</v>
      </c>
    </row>
    <row r="460" spans="1:9" x14ac:dyDescent="0.3">
      <c r="A460" t="str">
        <f>"005030"</f>
        <v>005030</v>
      </c>
      <c r="B460" t="s">
        <v>151</v>
      </c>
      <c r="C460">
        <v>72700</v>
      </c>
      <c r="D460" s="2">
        <v>98.85</v>
      </c>
      <c r="E460" s="1">
        <v>43003</v>
      </c>
      <c r="F460" t="str">
        <f>"1010"</f>
        <v>1010</v>
      </c>
      <c r="G460" t="str">
        <f>"PROBIOTIC/BCAS"</f>
        <v>PROBIOTIC/BCAS</v>
      </c>
      <c r="H460" s="2">
        <v>98.85</v>
      </c>
      <c r="I460" t="str">
        <f>"PROBIOTIC/BCAS"</f>
        <v>PROBIOTIC/BCAS</v>
      </c>
    </row>
    <row r="461" spans="1:9" x14ac:dyDescent="0.3">
      <c r="A461" t="str">
        <f>"T14090"</f>
        <v>T14090</v>
      </c>
      <c r="B461" t="s">
        <v>152</v>
      </c>
      <c r="C461">
        <v>999999</v>
      </c>
      <c r="D461" s="2">
        <v>156.96</v>
      </c>
      <c r="E461" s="1">
        <v>42979</v>
      </c>
      <c r="F461" t="str">
        <f>"201709014503"</f>
        <v>201709014503</v>
      </c>
      <c r="G461" t="str">
        <f>"LEGAL BOOKS REIMBURSEMENT"</f>
        <v>LEGAL BOOKS REIMBURSEMENT</v>
      </c>
      <c r="H461" s="2">
        <v>156.96</v>
      </c>
      <c r="I461" t="str">
        <f>"LEGAL BOOKS REIMBURSEMENT"</f>
        <v>LEGAL BOOKS REIMBURSEMENT</v>
      </c>
    </row>
    <row r="462" spans="1:9" x14ac:dyDescent="0.3">
      <c r="A462" t="str">
        <f>"004228"</f>
        <v>004228</v>
      </c>
      <c r="B462" t="s">
        <v>153</v>
      </c>
      <c r="C462">
        <v>72701</v>
      </c>
      <c r="D462" s="2">
        <v>245</v>
      </c>
      <c r="E462" s="1">
        <v>43003</v>
      </c>
      <c r="F462" t="str">
        <f>"201709194999"</f>
        <v>201709194999</v>
      </c>
      <c r="G462" t="str">
        <f>"PER DIEM ADVANCE REQUEST"</f>
        <v>PER DIEM ADVANCE REQUEST</v>
      </c>
      <c r="H462" s="2">
        <v>180</v>
      </c>
      <c r="I462" t="str">
        <f>"PER DIEM ADVANCE REQUEST"</f>
        <v>PER DIEM ADVANCE REQUEST</v>
      </c>
    </row>
    <row r="463" spans="1:9" x14ac:dyDescent="0.3">
      <c r="A463" t="str">
        <f>""</f>
        <v/>
      </c>
      <c r="F463" t="str">
        <f>"201709195000"</f>
        <v>201709195000</v>
      </c>
      <c r="G463" t="str">
        <f>"PER DIEM ADVANCE REQUEST"</f>
        <v>PER DIEM ADVANCE REQUEST</v>
      </c>
      <c r="H463" s="2">
        <v>65</v>
      </c>
      <c r="I463" t="str">
        <f>"PER DIEM ADVANCE REQUEST"</f>
        <v>PER DIEM ADVANCE REQUEST</v>
      </c>
    </row>
    <row r="464" spans="1:9" x14ac:dyDescent="0.3">
      <c r="A464" t="str">
        <f>"005120"</f>
        <v>005120</v>
      </c>
      <c r="B464" t="s">
        <v>154</v>
      </c>
      <c r="C464">
        <v>72702</v>
      </c>
      <c r="D464" s="2">
        <v>73.87</v>
      </c>
      <c r="E464" s="1">
        <v>43003</v>
      </c>
      <c r="F464" t="str">
        <f>"5008893304"</f>
        <v>5008893304</v>
      </c>
      <c r="G464" t="str">
        <f>"CUST#0011167190/PCT#1"</f>
        <v>CUST#0011167190/PCT#1</v>
      </c>
      <c r="H464" s="2">
        <v>73.87</v>
      </c>
      <c r="I464" t="str">
        <f>"CUST#0011167190/PCT#1"</f>
        <v>CUST#0011167190/PCT#1</v>
      </c>
    </row>
    <row r="465" spans="1:9" x14ac:dyDescent="0.3">
      <c r="A465" t="str">
        <f>"005132"</f>
        <v>005132</v>
      </c>
      <c r="B465" t="s">
        <v>155</v>
      </c>
      <c r="C465">
        <v>72703</v>
      </c>
      <c r="D465" s="2">
        <v>51.42</v>
      </c>
      <c r="E465" s="1">
        <v>43003</v>
      </c>
      <c r="F465" t="str">
        <f>"8403324571"</f>
        <v>8403324571</v>
      </c>
      <c r="G465" t="str">
        <f>"CUST#10377368/PCT#2"</f>
        <v>CUST#10377368/PCT#2</v>
      </c>
      <c r="H465" s="2">
        <v>51.42</v>
      </c>
      <c r="I465" t="str">
        <f>"CUST#10377368/PCT#2"</f>
        <v>CUST#10377368/PCT#2</v>
      </c>
    </row>
    <row r="466" spans="1:9" x14ac:dyDescent="0.3">
      <c r="A466" t="str">
        <f>"004728"</f>
        <v>004728</v>
      </c>
      <c r="B466" t="s">
        <v>156</v>
      </c>
      <c r="C466">
        <v>72704</v>
      </c>
      <c r="D466" s="2">
        <v>3869.5</v>
      </c>
      <c r="E466" s="1">
        <v>43003</v>
      </c>
      <c r="F466" t="str">
        <f>"201709144876"</f>
        <v>201709144876</v>
      </c>
      <c r="G466" t="str">
        <f>"ACCT#086-11458/ANIMAL SHELTER"</f>
        <v>ACCT#086-11458/ANIMAL SHELTER</v>
      </c>
      <c r="H466" s="2">
        <v>531.74</v>
      </c>
      <c r="I466" t="str">
        <f>"ACCT#086-11458/ANIMAL SHELTER"</f>
        <v>ACCT#086-11458/ANIMAL SHELTER</v>
      </c>
    </row>
    <row r="467" spans="1:9" x14ac:dyDescent="0.3">
      <c r="A467" t="str">
        <f>""</f>
        <v/>
      </c>
      <c r="F467" t="str">
        <f>"201709144880"</f>
        <v>201709144880</v>
      </c>
      <c r="G467" t="str">
        <f>"ACCT#086-11451"</f>
        <v>ACCT#086-11451</v>
      </c>
      <c r="H467" s="2">
        <v>51.95</v>
      </c>
      <c r="I467" t="str">
        <f>"ACCT#086-11451"</f>
        <v>ACCT#086-11451</v>
      </c>
    </row>
    <row r="468" spans="1:9" x14ac:dyDescent="0.3">
      <c r="A468" t="str">
        <f>""</f>
        <v/>
      </c>
      <c r="F468" t="str">
        <f>"201709144886"</f>
        <v>201709144886</v>
      </c>
      <c r="G468" t="str">
        <f>"ACCT#086-11381"</f>
        <v>ACCT#086-11381</v>
      </c>
      <c r="H468" s="2">
        <v>829.67</v>
      </c>
      <c r="I468" t="str">
        <f>"ACCT#086-11381"</f>
        <v>ACCT#086-11381</v>
      </c>
    </row>
    <row r="469" spans="1:9" x14ac:dyDescent="0.3">
      <c r="A469" t="str">
        <f>""</f>
        <v/>
      </c>
      <c r="F469" t="str">
        <f>"201709144887"</f>
        <v>201709144887</v>
      </c>
      <c r="G469" t="str">
        <f>"ACCT#086-11451/PCT#1"</f>
        <v>ACCT#086-11451/PCT#1</v>
      </c>
      <c r="H469" s="2">
        <v>769.81</v>
      </c>
      <c r="I469" t="str">
        <f>"ACCT#086-11451/PCT#1"</f>
        <v>ACCT#086-11451/PCT#1</v>
      </c>
    </row>
    <row r="470" spans="1:9" x14ac:dyDescent="0.3">
      <c r="A470" t="str">
        <f>""</f>
        <v/>
      </c>
      <c r="F470" t="str">
        <f>"201709144903"</f>
        <v>201709144903</v>
      </c>
      <c r="G470" t="str">
        <f>"ACCT#086-11386/PCT#4"</f>
        <v>ACCT#086-11386/PCT#4</v>
      </c>
      <c r="H470" s="2">
        <v>917.37</v>
      </c>
      <c r="I470" t="str">
        <f>"ACCT#086-11386/PCT#4"</f>
        <v>ACCT#086-11386/PCT#4</v>
      </c>
    </row>
    <row r="471" spans="1:9" x14ac:dyDescent="0.3">
      <c r="A471" t="str">
        <f>""</f>
        <v/>
      </c>
      <c r="F471" t="str">
        <f>"201709184946"</f>
        <v>201709184946</v>
      </c>
      <c r="G471" t="str">
        <f>"ACCT#086-11375/PCT#2"</f>
        <v>ACCT#086-11375/PCT#2</v>
      </c>
      <c r="H471" s="2">
        <v>768.96</v>
      </c>
      <c r="I471" t="str">
        <f>"ACCT#086-11375/PCT#2"</f>
        <v>ACCT#086-11375/PCT#2</v>
      </c>
    </row>
    <row r="472" spans="1:9" x14ac:dyDescent="0.3">
      <c r="A472" t="str">
        <f>"BCO"</f>
        <v>BCO</v>
      </c>
      <c r="B472" t="s">
        <v>157</v>
      </c>
      <c r="C472">
        <v>72410</v>
      </c>
      <c r="D472" s="2">
        <v>52811.19</v>
      </c>
      <c r="E472" s="1">
        <v>42985</v>
      </c>
      <c r="F472" t="str">
        <f>"201709074685"</f>
        <v>201709074685</v>
      </c>
      <c r="G472" t="str">
        <f>"ACCT#02-2083-04 / 08292017"</f>
        <v>ACCT#02-2083-04 / 08292017</v>
      </c>
      <c r="H472" s="2">
        <v>990.83</v>
      </c>
      <c r="I472" t="str">
        <f>"ACCT#02-2083-04 / 08292017"</f>
        <v>ACCT#02-2083-04 / 08292017</v>
      </c>
    </row>
    <row r="473" spans="1:9" x14ac:dyDescent="0.3">
      <c r="A473" t="str">
        <f>""</f>
        <v/>
      </c>
      <c r="F473" t="str">
        <f>"201709074686"</f>
        <v>201709074686</v>
      </c>
      <c r="G473" t="str">
        <f>"COUNTY DEVELOPMENT CENTER"</f>
        <v>COUNTY DEVELOPMENT CENTER</v>
      </c>
      <c r="H473" s="2">
        <v>2677.75</v>
      </c>
      <c r="I473" t="str">
        <f>"COUNTY DEVELOPMENT CENTER"</f>
        <v>COUNTY DEVELOPMENT CENTER</v>
      </c>
    </row>
    <row r="474" spans="1:9" x14ac:dyDescent="0.3">
      <c r="A474" t="str">
        <f>""</f>
        <v/>
      </c>
      <c r="F474" t="str">
        <f>"201709074687"</f>
        <v>201709074687</v>
      </c>
      <c r="G474" t="str">
        <f>"LAW ENFORCEMENT CENTER"</f>
        <v>LAW ENFORCEMENT CENTER</v>
      </c>
      <c r="H474" s="2">
        <v>31578.35</v>
      </c>
      <c r="I474" t="str">
        <f>"LAW ENFORCEMENT CENTER"</f>
        <v>LAW ENFORCEMENT CENTER</v>
      </c>
    </row>
    <row r="475" spans="1:9" x14ac:dyDescent="0.3">
      <c r="A475" t="str">
        <f>""</f>
        <v/>
      </c>
      <c r="F475" t="str">
        <f>"201709074688"</f>
        <v>201709074688</v>
      </c>
      <c r="G475" t="str">
        <f>"BASTROP COUNTY COURTHOUSE"</f>
        <v>BASTROP COUNTY COURTHOUSE</v>
      </c>
      <c r="H475" s="2">
        <v>17564.259999999998</v>
      </c>
      <c r="I475" t="str">
        <f>"CITY OF BASTROP"</f>
        <v>CITY OF BASTROP</v>
      </c>
    </row>
    <row r="476" spans="1:9" x14ac:dyDescent="0.3">
      <c r="A476" t="str">
        <f>"BCO"</f>
        <v>BCO</v>
      </c>
      <c r="B476" t="s">
        <v>157</v>
      </c>
      <c r="C476">
        <v>72705</v>
      </c>
      <c r="D476" s="2">
        <v>59.92</v>
      </c>
      <c r="E476" s="1">
        <v>43003</v>
      </c>
      <c r="F476" t="str">
        <f>"201709205102"</f>
        <v>201709205102</v>
      </c>
      <c r="G476" t="str">
        <f>"ARREST FEES - 040117-063017"</f>
        <v>ARREST FEES - 040117-063017</v>
      </c>
      <c r="H476" s="2">
        <v>59.92</v>
      </c>
      <c r="I476" t="str">
        <f>"ARREST FEES - 040117-063017"</f>
        <v>ARREST FEES - 040117-063017</v>
      </c>
    </row>
    <row r="477" spans="1:9" x14ac:dyDescent="0.3">
      <c r="A477" t="str">
        <f>"COB"</f>
        <v>COB</v>
      </c>
      <c r="B477" t="s">
        <v>157</v>
      </c>
      <c r="C477">
        <v>999999</v>
      </c>
      <c r="D477" s="2">
        <v>500</v>
      </c>
      <c r="E477" s="1">
        <v>43004</v>
      </c>
      <c r="F477" t="str">
        <f>"201709184941"</f>
        <v>201709184941</v>
      </c>
      <c r="G477" t="str">
        <f>"RENTAL-PARKING LOT"</f>
        <v>RENTAL-PARKING LOT</v>
      </c>
      <c r="H477" s="2">
        <v>500</v>
      </c>
      <c r="I477" t="str">
        <f>"RENTAL-PARKING LOT"</f>
        <v>RENTAL-PARKING LOT</v>
      </c>
    </row>
    <row r="478" spans="1:9" x14ac:dyDescent="0.3">
      <c r="A478" t="str">
        <f>"ECO"</f>
        <v>ECO</v>
      </c>
      <c r="B478" t="s">
        <v>158</v>
      </c>
      <c r="C478">
        <v>72706</v>
      </c>
      <c r="D478" s="2">
        <v>29.89</v>
      </c>
      <c r="E478" s="1">
        <v>43003</v>
      </c>
      <c r="F478" t="str">
        <f>"201709205101"</f>
        <v>201709205101</v>
      </c>
      <c r="G478" t="str">
        <f>"ARREST FEES - 040117-063017"</f>
        <v>ARREST FEES - 040117-063017</v>
      </c>
      <c r="H478" s="2">
        <v>29.89</v>
      </c>
      <c r="I478" t="str">
        <f>"ARREST FEES - 040117-063017"</f>
        <v>ARREST FEES - 040117-063017</v>
      </c>
    </row>
    <row r="479" spans="1:9" x14ac:dyDescent="0.3">
      <c r="A479" t="str">
        <f>"SCO"</f>
        <v>SCO</v>
      </c>
      <c r="B479" t="s">
        <v>159</v>
      </c>
      <c r="C479">
        <v>72411</v>
      </c>
      <c r="D479" s="2">
        <v>2317.4899999999998</v>
      </c>
      <c r="E479" s="1">
        <v>42985</v>
      </c>
      <c r="F479" t="str">
        <f>"201709074697"</f>
        <v>201709074697</v>
      </c>
      <c r="G479" t="str">
        <f>"ACCT#007-0000388-000/08252017"</f>
        <v>ACCT#007-0000388-000/08252017</v>
      </c>
      <c r="H479" s="2">
        <v>713.76</v>
      </c>
      <c r="I479" t="str">
        <f>"ACCT#007-0000388-000/08252017"</f>
        <v>ACCT#007-0000388-000/08252017</v>
      </c>
    </row>
    <row r="480" spans="1:9" x14ac:dyDescent="0.3">
      <c r="A480" t="str">
        <f>""</f>
        <v/>
      </c>
      <c r="F480" t="str">
        <f>"201709074698"</f>
        <v>201709074698</v>
      </c>
      <c r="G480" t="str">
        <f>"ACCT#007-0000389-000/08252017"</f>
        <v>ACCT#007-0000389-000/08252017</v>
      </c>
      <c r="H480" s="2">
        <v>43.72</v>
      </c>
      <c r="I480" t="str">
        <f>"CITY OF SMITHVILLE"</f>
        <v>CITY OF SMITHVILLE</v>
      </c>
    </row>
    <row r="481" spans="1:9" x14ac:dyDescent="0.3">
      <c r="A481" t="str">
        <f>""</f>
        <v/>
      </c>
      <c r="F481" t="str">
        <f>"201709074699"</f>
        <v>201709074699</v>
      </c>
      <c r="G481" t="str">
        <f>"ACCT#044-0001240-000/08252017"</f>
        <v>ACCT#044-0001240-000/08252017</v>
      </c>
      <c r="H481" s="2">
        <v>417.69</v>
      </c>
      <c r="I481" t="str">
        <f>"CITY OF SMITHVILLE"</f>
        <v>CITY OF SMITHVILLE</v>
      </c>
    </row>
    <row r="482" spans="1:9" x14ac:dyDescent="0.3">
      <c r="A482" t="str">
        <f>""</f>
        <v/>
      </c>
      <c r="F482" t="str">
        <f>"201709074700"</f>
        <v>201709074700</v>
      </c>
      <c r="G482" t="str">
        <f>"ACCT#044-0001250-000/08252017"</f>
        <v>ACCT#044-0001250-000/08252017</v>
      </c>
      <c r="H482" s="2">
        <v>102.4</v>
      </c>
      <c r="I482" t="str">
        <f>"ACCT#044-0001250-000/08252017"</f>
        <v>ACCT#044-0001250-000/08252017</v>
      </c>
    </row>
    <row r="483" spans="1:9" x14ac:dyDescent="0.3">
      <c r="A483" t="str">
        <f>""</f>
        <v/>
      </c>
      <c r="F483" t="str">
        <f>"201709074701"</f>
        <v>201709074701</v>
      </c>
      <c r="G483" t="str">
        <f>"ACCT#044-0001252-000/08252017"</f>
        <v>ACCT#044-0001252-000/08252017</v>
      </c>
      <c r="H483" s="2">
        <v>740.49</v>
      </c>
      <c r="I483" t="str">
        <f>"CITY OF SMITHVILLE"</f>
        <v>CITY OF SMITHVILLE</v>
      </c>
    </row>
    <row r="484" spans="1:9" x14ac:dyDescent="0.3">
      <c r="A484" t="str">
        <f>""</f>
        <v/>
      </c>
      <c r="F484" t="str">
        <f>"201709074702"</f>
        <v>201709074702</v>
      </c>
      <c r="G484" t="str">
        <f>"ACCT#044-0001253-000/08252017"</f>
        <v>ACCT#044-0001253-000/08252017</v>
      </c>
      <c r="H484" s="2">
        <v>299.43</v>
      </c>
      <c r="I484" t="str">
        <f>"CITY OF SMITHVILLE"</f>
        <v>CITY OF SMITHVILLE</v>
      </c>
    </row>
    <row r="485" spans="1:9" x14ac:dyDescent="0.3">
      <c r="A485" t="str">
        <f>"SCO"</f>
        <v>SCO</v>
      </c>
      <c r="B485" t="s">
        <v>159</v>
      </c>
      <c r="C485">
        <v>72707</v>
      </c>
      <c r="D485" s="2">
        <v>13.77</v>
      </c>
      <c r="E485" s="1">
        <v>43003</v>
      </c>
      <c r="F485" t="str">
        <f>"201709205104"</f>
        <v>201709205104</v>
      </c>
      <c r="G485" t="str">
        <f>"ARREST FEES - 040117-063017"</f>
        <v>ARREST FEES - 040117-063017</v>
      </c>
      <c r="H485" s="2">
        <v>13.77</v>
      </c>
      <c r="I485" t="str">
        <f>"ARREST FEES - 040117-063017"</f>
        <v>ARREST FEES - 040117-063017</v>
      </c>
    </row>
    <row r="486" spans="1:9" x14ac:dyDescent="0.3">
      <c r="A486" t="str">
        <f>"002198"</f>
        <v>002198</v>
      </c>
      <c r="B486" t="s">
        <v>160</v>
      </c>
      <c r="C486">
        <v>72708</v>
      </c>
      <c r="D486" s="2">
        <v>2239</v>
      </c>
      <c r="E486" s="1">
        <v>43003</v>
      </c>
      <c r="F486" t="str">
        <f>"PMA-0031863"</f>
        <v>PMA-0031863</v>
      </c>
      <c r="G486" t="str">
        <f>"INV PMA-0031863"</f>
        <v>INV PMA-0031863</v>
      </c>
      <c r="H486" s="2">
        <v>2239</v>
      </c>
      <c r="I486" t="str">
        <f>"INV PMA-0031863"</f>
        <v>INV PMA-0031863</v>
      </c>
    </row>
    <row r="487" spans="1:9" x14ac:dyDescent="0.3">
      <c r="A487" t="str">
        <f>"CLINIC"</f>
        <v>CLINIC</v>
      </c>
      <c r="B487" t="s">
        <v>161</v>
      </c>
      <c r="C487">
        <v>72477</v>
      </c>
      <c r="D487" s="2">
        <v>31.01</v>
      </c>
      <c r="E487" s="1">
        <v>42989</v>
      </c>
      <c r="F487" t="str">
        <f>"201709064612"</f>
        <v>201709064612</v>
      </c>
      <c r="G487" t="str">
        <f>"INDIGENT HEALTH"</f>
        <v>INDIGENT HEALTH</v>
      </c>
      <c r="H487" s="2">
        <v>31.01</v>
      </c>
      <c r="I487" t="str">
        <f>"INDIGENT HEALTH"</f>
        <v>INDIGENT HEALTH</v>
      </c>
    </row>
    <row r="488" spans="1:9" x14ac:dyDescent="0.3">
      <c r="A488" t="str">
        <f>"CLINIC"</f>
        <v>CLINIC</v>
      </c>
      <c r="B488" t="s">
        <v>161</v>
      </c>
      <c r="C488">
        <v>72709</v>
      </c>
      <c r="D488" s="2">
        <v>335.64</v>
      </c>
      <c r="E488" s="1">
        <v>43003</v>
      </c>
      <c r="F488" t="str">
        <f>"201707-0 JULY"</f>
        <v>201707-0 JULY</v>
      </c>
      <c r="G488" t="str">
        <f>"INV 201707-0"</f>
        <v>INV 201707-0</v>
      </c>
      <c r="H488" s="2">
        <v>85.4</v>
      </c>
      <c r="I488" t="str">
        <f>"INV 201707-0"</f>
        <v>INV 201707-0</v>
      </c>
    </row>
    <row r="489" spans="1:9" x14ac:dyDescent="0.3">
      <c r="A489" t="str">
        <f>""</f>
        <v/>
      </c>
      <c r="F489" t="str">
        <f>"201709194982"</f>
        <v>201709194982</v>
      </c>
      <c r="G489" t="str">
        <f>"INDIGENT HEALTH"</f>
        <v>INDIGENT HEALTH</v>
      </c>
      <c r="H489" s="2">
        <v>250.24</v>
      </c>
      <c r="I489" t="str">
        <f>"INDIGENT HEALTH"</f>
        <v>INDIGENT HEALTH</v>
      </c>
    </row>
    <row r="490" spans="1:9" x14ac:dyDescent="0.3">
      <c r="A490" t="str">
        <f>"COLORA"</f>
        <v>COLORA</v>
      </c>
      <c r="B490" t="s">
        <v>162</v>
      </c>
      <c r="C490">
        <v>72710</v>
      </c>
      <c r="D490" s="2">
        <v>29322.85</v>
      </c>
      <c r="E490" s="1">
        <v>43003</v>
      </c>
      <c r="F490" t="str">
        <f>"239317"</f>
        <v>239317</v>
      </c>
      <c r="G490" t="str">
        <f>"CUST#1321/MATERIAL/PCT#1"</f>
        <v>CUST#1321/MATERIAL/PCT#1</v>
      </c>
      <c r="H490" s="2">
        <v>29322.85</v>
      </c>
      <c r="I490" t="str">
        <f>"CUST#1321/MATERIAL/PCT#1"</f>
        <v>CUST#1321/MATERIAL/PCT#1</v>
      </c>
    </row>
    <row r="491" spans="1:9" x14ac:dyDescent="0.3">
      <c r="A491" t="str">
        <f>"002809"</f>
        <v>002809</v>
      </c>
      <c r="B491" t="s">
        <v>163</v>
      </c>
      <c r="C491">
        <v>72478</v>
      </c>
      <c r="D491" s="2">
        <v>514</v>
      </c>
      <c r="E491" s="1">
        <v>42989</v>
      </c>
      <c r="F491" t="str">
        <f>"COFFEE/TEA"</f>
        <v>COFFEE/TEA</v>
      </c>
      <c r="G491" t="str">
        <f>"INV 12463720550"</f>
        <v>INV 12463720550</v>
      </c>
      <c r="H491" s="2">
        <v>514</v>
      </c>
      <c r="I491" t="str">
        <f>"INV 12463720550"</f>
        <v>INV 12463720550</v>
      </c>
    </row>
    <row r="492" spans="1:9" x14ac:dyDescent="0.3">
      <c r="A492" t="str">
        <f>""</f>
        <v/>
      </c>
      <c r="F492" t="str">
        <f>""</f>
        <v/>
      </c>
      <c r="G492" t="str">
        <f>""</f>
        <v/>
      </c>
      <c r="I492" t="str">
        <f>"INV 12463722967"</f>
        <v>INV 12463722967</v>
      </c>
    </row>
    <row r="493" spans="1:9" x14ac:dyDescent="0.3">
      <c r="A493" t="str">
        <f>""</f>
        <v/>
      </c>
      <c r="F493" t="str">
        <f>""</f>
        <v/>
      </c>
      <c r="G493" t="str">
        <f>""</f>
        <v/>
      </c>
      <c r="I493" t="str">
        <f>"INV 12463724081"</f>
        <v>INV 12463724081</v>
      </c>
    </row>
    <row r="494" spans="1:9" x14ac:dyDescent="0.3">
      <c r="A494" t="str">
        <f>"005166"</f>
        <v>005166</v>
      </c>
      <c r="B494" t="s">
        <v>164</v>
      </c>
      <c r="C494">
        <v>72711</v>
      </c>
      <c r="D494" s="2">
        <v>2000</v>
      </c>
      <c r="E494" s="1">
        <v>43003</v>
      </c>
      <c r="F494" t="str">
        <f>"17022-1"</f>
        <v>17022-1</v>
      </c>
      <c r="G494" t="str">
        <f>"Payment"</f>
        <v>Payment</v>
      </c>
      <c r="H494" s="2">
        <v>2000</v>
      </c>
      <c r="I494" t="str">
        <f>"Payment"</f>
        <v>Payment</v>
      </c>
    </row>
    <row r="495" spans="1:9" x14ac:dyDescent="0.3">
      <c r="A495" t="str">
        <f>"T8530"</f>
        <v>T8530</v>
      </c>
      <c r="B495" t="s">
        <v>165</v>
      </c>
      <c r="C495">
        <v>72479</v>
      </c>
      <c r="D495" s="2">
        <v>411.81</v>
      </c>
      <c r="E495" s="1">
        <v>42989</v>
      </c>
      <c r="F495" t="str">
        <f>"0236-436335"</f>
        <v>0236-436335</v>
      </c>
      <c r="G495" t="str">
        <f>"LIGHT BULBS"</f>
        <v>LIGHT BULBS</v>
      </c>
      <c r="H495" s="2">
        <v>411.81</v>
      </c>
      <c r="I495" t="str">
        <f>"LIGHT BULBS"</f>
        <v>LIGHT BULBS</v>
      </c>
    </row>
    <row r="496" spans="1:9" x14ac:dyDescent="0.3">
      <c r="A496" t="str">
        <f>"CONTEC"</f>
        <v>CONTEC</v>
      </c>
      <c r="B496" t="s">
        <v>166</v>
      </c>
      <c r="C496">
        <v>72712</v>
      </c>
      <c r="D496" s="2">
        <v>5118</v>
      </c>
      <c r="E496" s="1">
        <v>43003</v>
      </c>
      <c r="F496" t="str">
        <f>"15591398"</f>
        <v>15591398</v>
      </c>
      <c r="G496" t="str">
        <f>"ACCT#434304/REF#12493371SO/P#2"</f>
        <v>ACCT#434304/REF#12493371SO/P#2</v>
      </c>
      <c r="H496" s="2">
        <v>3660</v>
      </c>
      <c r="I496" t="str">
        <f>"ACCT#434304/REF#12493371SO/P#2"</f>
        <v>ACCT#434304/REF#12493371SO/P#2</v>
      </c>
    </row>
    <row r="497" spans="1:9" x14ac:dyDescent="0.3">
      <c r="A497" t="str">
        <f>""</f>
        <v/>
      </c>
      <c r="F497" t="str">
        <f>"15610671"</f>
        <v>15610671</v>
      </c>
      <c r="G497" t="str">
        <f>"ACCT#434304/REF#12517590SO/P4"</f>
        <v>ACCT#434304/REF#12517590SO/P4</v>
      </c>
      <c r="H497" s="2">
        <v>1458</v>
      </c>
      <c r="I497" t="str">
        <f>"ACCT#434304/REF#12517590SO/P4"</f>
        <v>ACCT#434304/REF#12517590SO/P4</v>
      </c>
    </row>
    <row r="498" spans="1:9" x14ac:dyDescent="0.3">
      <c r="A498" t="str">
        <f>"003723"</f>
        <v>003723</v>
      </c>
      <c r="B498" t="s">
        <v>167</v>
      </c>
      <c r="C498">
        <v>72480</v>
      </c>
      <c r="D498" s="2">
        <v>480</v>
      </c>
      <c r="E498" s="1">
        <v>42989</v>
      </c>
      <c r="F498" t="str">
        <f>"19420"</f>
        <v>19420</v>
      </c>
      <c r="G498" t="str">
        <f>"Replace 24 Points Sheriff"</f>
        <v>Replace 24 Points Sheriff</v>
      </c>
      <c r="H498" s="2">
        <v>480</v>
      </c>
      <c r="I498" t="str">
        <f>"Labor"</f>
        <v>Labor</v>
      </c>
    </row>
    <row r="499" spans="1:9" x14ac:dyDescent="0.3">
      <c r="A499" t="str">
        <f>"005059"</f>
        <v>005059</v>
      </c>
      <c r="B499" t="s">
        <v>168</v>
      </c>
      <c r="C499">
        <v>72713</v>
      </c>
      <c r="D499" s="2">
        <v>370</v>
      </c>
      <c r="E499" s="1">
        <v>43003</v>
      </c>
      <c r="F499" t="str">
        <f>"TINT WINDOWS"</f>
        <v>TINT WINDOWS</v>
      </c>
      <c r="G499" t="str">
        <f>"UNIT 0313 &amp; 0314"</f>
        <v>UNIT 0313 &amp; 0314</v>
      </c>
      <c r="H499" s="2">
        <v>370</v>
      </c>
      <c r="I499" t="str">
        <f>"UNIT 0313 &amp; 0314"</f>
        <v>UNIT 0313 &amp; 0314</v>
      </c>
    </row>
    <row r="500" spans="1:9" x14ac:dyDescent="0.3">
      <c r="A500" t="str">
        <f>"CEC"</f>
        <v>CEC</v>
      </c>
      <c r="B500" t="s">
        <v>169</v>
      </c>
      <c r="C500">
        <v>72481</v>
      </c>
      <c r="D500" s="2">
        <v>4498.18</v>
      </c>
      <c r="E500" s="1">
        <v>42989</v>
      </c>
      <c r="F500" t="str">
        <f>"IN44971"</f>
        <v>IN44971</v>
      </c>
      <c r="G500" t="str">
        <f>"Canopy-Mech"</f>
        <v>Canopy-Mech</v>
      </c>
      <c r="H500" s="2">
        <v>4498.18</v>
      </c>
      <c r="I500" t="str">
        <f>"Canopy-Mech"</f>
        <v>Canopy-Mech</v>
      </c>
    </row>
    <row r="501" spans="1:9" x14ac:dyDescent="0.3">
      <c r="A501" t="str">
        <f>""</f>
        <v/>
      </c>
      <c r="F501" t="str">
        <f>""</f>
        <v/>
      </c>
      <c r="G501" t="str">
        <f>""</f>
        <v/>
      </c>
      <c r="I501" t="str">
        <f>"SHIPPING"</f>
        <v>SHIPPING</v>
      </c>
    </row>
    <row r="502" spans="1:9" x14ac:dyDescent="0.3">
      <c r="A502" t="str">
        <f>"CEC"</f>
        <v>CEC</v>
      </c>
      <c r="B502" t="s">
        <v>169</v>
      </c>
      <c r="C502">
        <v>72714</v>
      </c>
      <c r="D502" s="2">
        <v>639.62</v>
      </c>
      <c r="E502" s="1">
        <v>43003</v>
      </c>
      <c r="F502" t="str">
        <f>"WS17774"</f>
        <v>WS17774</v>
      </c>
      <c r="G502" t="str">
        <f>"CUST#353/PCT#3"</f>
        <v>CUST#353/PCT#3</v>
      </c>
      <c r="H502" s="2">
        <v>639.62</v>
      </c>
      <c r="I502" t="str">
        <f>"CUST#353/PCT#3"</f>
        <v>CUST#353/PCT#3</v>
      </c>
    </row>
    <row r="503" spans="1:9" x14ac:dyDescent="0.3">
      <c r="A503" t="str">
        <f>"001457"</f>
        <v>001457</v>
      </c>
      <c r="B503" t="s">
        <v>170</v>
      </c>
      <c r="C503">
        <v>72482</v>
      </c>
      <c r="D503" s="2">
        <v>1100</v>
      </c>
      <c r="E503" s="1">
        <v>42989</v>
      </c>
      <c r="F503" t="str">
        <f>"JCW-30059-01"</f>
        <v>JCW-30059-01</v>
      </c>
      <c r="G503" t="str">
        <f>"DNA-WEBSVC Fusion interfa"</f>
        <v>DNA-WEBSVC Fusion interfa</v>
      </c>
      <c r="H503" s="2">
        <v>1100</v>
      </c>
      <c r="I503" t="str">
        <f>"DNA-WEBSVC Fusion interfa"</f>
        <v>DNA-WEBSVC Fusion interfa</v>
      </c>
    </row>
    <row r="504" spans="1:9" x14ac:dyDescent="0.3">
      <c r="A504" t="str">
        <f>"001457"</f>
        <v>001457</v>
      </c>
      <c r="B504" t="s">
        <v>170</v>
      </c>
      <c r="C504">
        <v>72715</v>
      </c>
      <c r="D504" s="2">
        <v>3293</v>
      </c>
      <c r="E504" s="1">
        <v>43003</v>
      </c>
      <c r="F504" t="str">
        <f>"16228"</f>
        <v>16228</v>
      </c>
      <c r="G504" t="str">
        <f>"CUST#2449/LABOR"</f>
        <v>CUST#2449/LABOR</v>
      </c>
      <c r="H504" s="2">
        <v>125</v>
      </c>
      <c r="I504" t="str">
        <f>"CUST#2449/LABOR"</f>
        <v>CUST#2449/LABOR</v>
      </c>
    </row>
    <row r="505" spans="1:9" x14ac:dyDescent="0.3">
      <c r="A505" t="str">
        <f>""</f>
        <v/>
      </c>
      <c r="F505" t="str">
        <f>"JCW-30068-01"</f>
        <v>JCW-30068-01</v>
      </c>
      <c r="G505" t="str">
        <f>"Exacq Video Software Supp"</f>
        <v>Exacq Video Software Supp</v>
      </c>
      <c r="H505" s="2">
        <v>940</v>
      </c>
      <c r="I505" t="str">
        <f>"Exacq Video Software Supp"</f>
        <v>Exacq Video Software Supp</v>
      </c>
    </row>
    <row r="506" spans="1:9" x14ac:dyDescent="0.3">
      <c r="A506" t="str">
        <f>""</f>
        <v/>
      </c>
      <c r="F506" t="str">
        <f>"JCW-30069-01"</f>
        <v>JCW-30069-01</v>
      </c>
      <c r="G506" t="str">
        <f>"DNA Fusion Access Control"</f>
        <v>DNA Fusion Access Control</v>
      </c>
      <c r="H506" s="2">
        <v>2228</v>
      </c>
      <c r="I506" t="str">
        <f>"DNA Fusion Access Control"</f>
        <v>DNA Fusion Access Control</v>
      </c>
    </row>
    <row r="507" spans="1:9" x14ac:dyDescent="0.3">
      <c r="A507" t="str">
        <f>"001894"</f>
        <v>001894</v>
      </c>
      <c r="B507" t="s">
        <v>171</v>
      </c>
      <c r="C507">
        <v>72716</v>
      </c>
      <c r="D507" s="2">
        <v>742.71</v>
      </c>
      <c r="E507" s="1">
        <v>43003</v>
      </c>
      <c r="F507" t="str">
        <f>"P26121"</f>
        <v>P26121</v>
      </c>
      <c r="G507" t="str">
        <f>"ACCT#BASTR002/ORD#116649/PCT4"</f>
        <v>ACCT#BASTR002/ORD#116649/PCT4</v>
      </c>
      <c r="H507" s="2">
        <v>124.93</v>
      </c>
      <c r="I507" t="str">
        <f>"ACCT#BASTR002/ORD#116649/PCT4"</f>
        <v>ACCT#BASTR002/ORD#116649/PCT4</v>
      </c>
    </row>
    <row r="508" spans="1:9" x14ac:dyDescent="0.3">
      <c r="A508" t="str">
        <f>""</f>
        <v/>
      </c>
      <c r="F508" t="str">
        <f>"P26551"</f>
        <v>P26551</v>
      </c>
      <c r="G508" t="str">
        <f>"ACCT#BASTR002/ORD#117019/PCT#4"</f>
        <v>ACCT#BASTR002/ORD#117019/PCT#4</v>
      </c>
      <c r="H508" s="2">
        <v>617.78</v>
      </c>
      <c r="I508" t="str">
        <f>"ACCT#BASTR002/PCT#4"</f>
        <v>ACCT#BASTR002/PCT#4</v>
      </c>
    </row>
    <row r="509" spans="1:9" x14ac:dyDescent="0.3">
      <c r="A509" t="str">
        <f>"CCO"</f>
        <v>CCO</v>
      </c>
      <c r="B509" t="s">
        <v>172</v>
      </c>
      <c r="C509">
        <v>72483</v>
      </c>
      <c r="D509" s="2">
        <v>56.59</v>
      </c>
      <c r="E509" s="1">
        <v>42989</v>
      </c>
      <c r="F509" t="str">
        <f>"CTCS482075"</f>
        <v>CTCS482075</v>
      </c>
      <c r="G509" t="str">
        <f>"CUST#58312/OIL CHANGE/2010 CHV"</f>
        <v>CUST#58312/OIL CHANGE/2010 CHV</v>
      </c>
      <c r="H509" s="2">
        <v>56.59</v>
      </c>
      <c r="I509" t="str">
        <f>"CUST#58312/OIL CHANGE/2010 CHV"</f>
        <v>CUST#58312/OIL CHANGE/2010 CHV</v>
      </c>
    </row>
    <row r="510" spans="1:9" x14ac:dyDescent="0.3">
      <c r="A510" t="str">
        <f>"CCO"</f>
        <v>CCO</v>
      </c>
      <c r="B510" t="s">
        <v>172</v>
      </c>
      <c r="C510">
        <v>999999</v>
      </c>
      <c r="D510" s="2">
        <v>1.26</v>
      </c>
      <c r="E510" s="1">
        <v>43004</v>
      </c>
      <c r="F510" t="str">
        <f>"220606"</f>
        <v>220606</v>
      </c>
      <c r="G510" t="str">
        <f>"CUST#4011/RETAINER/PCT#3"</f>
        <v>CUST#4011/RETAINER/PCT#3</v>
      </c>
      <c r="H510" s="2">
        <v>1.26</v>
      </c>
      <c r="I510" t="str">
        <f>"CUST#4011/RETAINER/PCT#3"</f>
        <v>CUST#4011/RETAINER/PCT#3</v>
      </c>
    </row>
    <row r="511" spans="1:9" x14ac:dyDescent="0.3">
      <c r="A511" t="str">
        <f>"002938"</f>
        <v>002938</v>
      </c>
      <c r="B511" t="s">
        <v>173</v>
      </c>
      <c r="C511">
        <v>72484</v>
      </c>
      <c r="D511" s="2">
        <v>600</v>
      </c>
      <c r="E511" s="1">
        <v>42989</v>
      </c>
      <c r="F511" t="str">
        <f>"3733"</f>
        <v>3733</v>
      </c>
      <c r="G511" t="str">
        <f>"RENEWAL-COVERTRACK MAPPING"</f>
        <v>RENEWAL-COVERTRACK MAPPING</v>
      </c>
      <c r="H511" s="2">
        <v>600</v>
      </c>
      <c r="I511" t="str">
        <f>"RENEWAL-COVERTRACK MAPPING"</f>
        <v>RENEWAL-COVERTRACK MAPPING</v>
      </c>
    </row>
    <row r="512" spans="1:9" x14ac:dyDescent="0.3">
      <c r="A512" t="str">
        <f>"004106"</f>
        <v>004106</v>
      </c>
      <c r="B512" t="s">
        <v>174</v>
      </c>
      <c r="C512">
        <v>72406</v>
      </c>
      <c r="D512" s="2">
        <v>4250</v>
      </c>
      <c r="E512" s="1">
        <v>42985</v>
      </c>
      <c r="F512" t="str">
        <f>"201709074672"</f>
        <v>201709074672</v>
      </c>
      <c r="G512" t="str">
        <f>"Psych Evals - May - August"</f>
        <v>Psych Evals - May - August</v>
      </c>
      <c r="H512" s="2">
        <v>4250</v>
      </c>
      <c r="I512" t="str">
        <f>"May Psych Evals"</f>
        <v>May Psych Evals</v>
      </c>
    </row>
    <row r="513" spans="1:9" x14ac:dyDescent="0.3">
      <c r="A513" t="str">
        <f>""</f>
        <v/>
      </c>
      <c r="F513" t="str">
        <f>""</f>
        <v/>
      </c>
      <c r="G513" t="str">
        <f>""</f>
        <v/>
      </c>
      <c r="I513" t="str">
        <f>"June Psych Evals"</f>
        <v>June Psych Evals</v>
      </c>
    </row>
    <row r="514" spans="1:9" x14ac:dyDescent="0.3">
      <c r="A514" t="str">
        <f>""</f>
        <v/>
      </c>
      <c r="F514" t="str">
        <f>""</f>
        <v/>
      </c>
      <c r="G514" t="str">
        <f>""</f>
        <v/>
      </c>
      <c r="I514" t="str">
        <f>"July Psych Evals"</f>
        <v>July Psych Evals</v>
      </c>
    </row>
    <row r="515" spans="1:9" x14ac:dyDescent="0.3">
      <c r="A515" t="str">
        <f>""</f>
        <v/>
      </c>
      <c r="F515" t="str">
        <f>""</f>
        <v/>
      </c>
      <c r="G515" t="str">
        <f>""</f>
        <v/>
      </c>
      <c r="I515" t="str">
        <f>"August Psych Evals"</f>
        <v>August Psych Evals</v>
      </c>
    </row>
    <row r="516" spans="1:9" x14ac:dyDescent="0.3">
      <c r="A516" t="str">
        <f>"004106"</f>
        <v>004106</v>
      </c>
      <c r="B516" t="s">
        <v>174</v>
      </c>
      <c r="C516">
        <v>72485</v>
      </c>
      <c r="D516" s="2">
        <v>250</v>
      </c>
      <c r="E516" s="1">
        <v>42989</v>
      </c>
      <c r="F516" t="str">
        <f>"201708314477"</f>
        <v>201708314477</v>
      </c>
      <c r="G516" t="str">
        <f>"PSYC EVALUATION"</f>
        <v>PSYC EVALUATION</v>
      </c>
      <c r="H516" s="2">
        <v>250</v>
      </c>
      <c r="I516" t="str">
        <f>"PSYC EVALUATION"</f>
        <v>PSYC EVALUATION</v>
      </c>
    </row>
    <row r="517" spans="1:9" x14ac:dyDescent="0.3">
      <c r="A517" t="str">
        <f>"004839"</f>
        <v>004839</v>
      </c>
      <c r="B517" t="s">
        <v>175</v>
      </c>
      <c r="C517">
        <v>72486</v>
      </c>
      <c r="D517" s="2">
        <v>252</v>
      </c>
      <c r="E517" s="1">
        <v>42989</v>
      </c>
      <c r="F517" t="str">
        <f>"17379"</f>
        <v>17379</v>
      </c>
      <c r="G517" t="str">
        <f>"Ammo Order"</f>
        <v>Ammo Order</v>
      </c>
      <c r="H517" s="2">
        <v>252</v>
      </c>
      <c r="I517" t="str">
        <f>"Sku# 90250"</f>
        <v>Sku# 90250</v>
      </c>
    </row>
    <row r="518" spans="1:9" x14ac:dyDescent="0.3">
      <c r="A518" t="str">
        <f>""</f>
        <v/>
      </c>
      <c r="F518" t="str">
        <f>""</f>
        <v/>
      </c>
      <c r="G518" t="str">
        <f>""</f>
        <v/>
      </c>
      <c r="I518" t="str">
        <f>"Discount"</f>
        <v>Discount</v>
      </c>
    </row>
    <row r="519" spans="1:9" x14ac:dyDescent="0.3">
      <c r="A519" t="str">
        <f>""</f>
        <v/>
      </c>
      <c r="F519" t="str">
        <f>""</f>
        <v/>
      </c>
      <c r="G519" t="str">
        <f>""</f>
        <v/>
      </c>
      <c r="I519" t="str">
        <f>"Sku# SB9A"</f>
        <v>Sku# SB9A</v>
      </c>
    </row>
    <row r="520" spans="1:9" x14ac:dyDescent="0.3">
      <c r="A520" t="str">
        <f>""</f>
        <v/>
      </c>
      <c r="F520" t="str">
        <f>""</f>
        <v/>
      </c>
      <c r="G520" t="str">
        <f>""</f>
        <v/>
      </c>
      <c r="I520" t="str">
        <f>"Discount"</f>
        <v>Discount</v>
      </c>
    </row>
    <row r="521" spans="1:9" x14ac:dyDescent="0.3">
      <c r="A521" t="str">
        <f>"T7302"</f>
        <v>T7302</v>
      </c>
      <c r="B521" t="s">
        <v>176</v>
      </c>
      <c r="C521">
        <v>72717</v>
      </c>
      <c r="D521" s="2">
        <v>50.85</v>
      </c>
      <c r="E521" s="1">
        <v>43003</v>
      </c>
      <c r="F521" t="str">
        <f>"201709144877"</f>
        <v>201709144877</v>
      </c>
      <c r="G521" t="str">
        <f>"ACCT#1839"</f>
        <v>ACCT#1839</v>
      </c>
      <c r="H521" s="2">
        <v>16.95</v>
      </c>
      <c r="I521" t="str">
        <f>"ACCT#1839"</f>
        <v>ACCT#1839</v>
      </c>
    </row>
    <row r="522" spans="1:9" x14ac:dyDescent="0.3">
      <c r="A522" t="str">
        <f>""</f>
        <v/>
      </c>
      <c r="F522" t="str">
        <f>"52625"</f>
        <v>52625</v>
      </c>
      <c r="G522" t="str">
        <f>"ACCT#1839/RABIES-APOLLO FOWLER"</f>
        <v>ACCT#1839/RABIES-APOLLO FOWLER</v>
      </c>
      <c r="H522" s="2">
        <v>16.95</v>
      </c>
      <c r="I522" t="str">
        <f>"ACCT#1839/RABIES-APOLLO FOWLER"</f>
        <v>ACCT#1839/RABIES-APOLLO FOWLER</v>
      </c>
    </row>
    <row r="523" spans="1:9" x14ac:dyDescent="0.3">
      <c r="A523" t="str">
        <f>""</f>
        <v/>
      </c>
      <c r="F523" t="str">
        <f>"53950"</f>
        <v>53950</v>
      </c>
      <c r="G523" t="str">
        <f>"RABIES-MARTY MARTINEZ"</f>
        <v>RABIES-MARTY MARTINEZ</v>
      </c>
      <c r="H523" s="2">
        <v>16.95</v>
      </c>
      <c r="I523" t="str">
        <f>"RABIES-MARTY MARTINEZ"</f>
        <v>RABIES-MARTY MARTINEZ</v>
      </c>
    </row>
    <row r="524" spans="1:9" x14ac:dyDescent="0.3">
      <c r="A524" t="str">
        <f>"T11708"</f>
        <v>T11708</v>
      </c>
      <c r="B524" t="s">
        <v>177</v>
      </c>
      <c r="C524">
        <v>72487</v>
      </c>
      <c r="D524" s="2">
        <v>150</v>
      </c>
      <c r="E524" s="1">
        <v>42989</v>
      </c>
      <c r="F524" t="str">
        <f>"201708314484"</f>
        <v>201708314484</v>
      </c>
      <c r="G524" t="str">
        <f>"CLEANING SVCS/PCT#2"</f>
        <v>CLEANING SVCS/PCT#2</v>
      </c>
      <c r="H524" s="2">
        <v>150</v>
      </c>
      <c r="I524" t="str">
        <f>"CLEANING SVCS/PCT#2"</f>
        <v>CLEANING SVCS/PCT#2</v>
      </c>
    </row>
    <row r="525" spans="1:9" x14ac:dyDescent="0.3">
      <c r="A525" t="str">
        <f>"003136"</f>
        <v>003136</v>
      </c>
      <c r="B525" t="s">
        <v>178</v>
      </c>
      <c r="C525">
        <v>72558</v>
      </c>
      <c r="D525" s="2">
        <v>16.75</v>
      </c>
      <c r="E525" s="1">
        <v>42989</v>
      </c>
      <c r="F525" t="str">
        <f>"OXS015"</f>
        <v>OXS015</v>
      </c>
      <c r="G525" t="str">
        <f>"LICENSE PLATE#1165326"</f>
        <v>LICENSE PLATE#1165326</v>
      </c>
      <c r="H525" s="2">
        <v>16.75</v>
      </c>
      <c r="I525" t="str">
        <f>"LICENSE PLATE#1165326"</f>
        <v>LICENSE PLATE#1165326</v>
      </c>
    </row>
    <row r="526" spans="1:9" x14ac:dyDescent="0.3">
      <c r="A526" t="str">
        <f>"003136"</f>
        <v>003136</v>
      </c>
      <c r="B526" t="s">
        <v>178</v>
      </c>
      <c r="C526">
        <v>72778</v>
      </c>
      <c r="D526" s="2">
        <v>10.06</v>
      </c>
      <c r="E526" s="1">
        <v>43003</v>
      </c>
      <c r="F526" t="str">
        <f>"SHO438"</f>
        <v>SHO438</v>
      </c>
      <c r="G526" t="str">
        <f>"PLATE#1352231"</f>
        <v>PLATE#1352231</v>
      </c>
      <c r="H526" s="2">
        <v>10.06</v>
      </c>
      <c r="I526" t="str">
        <f>"PLATE#1352231"</f>
        <v>PLATE#1352231</v>
      </c>
    </row>
    <row r="527" spans="1:9" x14ac:dyDescent="0.3">
      <c r="A527" t="str">
        <f>"T9280"</f>
        <v>T9280</v>
      </c>
      <c r="B527" t="s">
        <v>179</v>
      </c>
      <c r="C527">
        <v>72718</v>
      </c>
      <c r="D527" s="2">
        <v>542.98</v>
      </c>
      <c r="E527" s="1">
        <v>43003</v>
      </c>
      <c r="F527" t="str">
        <f>"294116"</f>
        <v>294116</v>
      </c>
      <c r="G527" t="str">
        <f>"Inv# 294116"</f>
        <v>Inv# 294116</v>
      </c>
      <c r="H527" s="2">
        <v>542.98</v>
      </c>
      <c r="I527" t="str">
        <f>"RSH7725122450"</f>
        <v>RSH7725122450</v>
      </c>
    </row>
    <row r="528" spans="1:9" x14ac:dyDescent="0.3">
      <c r="A528" t="str">
        <f>""</f>
        <v/>
      </c>
      <c r="F528" t="str">
        <f>""</f>
        <v/>
      </c>
      <c r="G528" t="str">
        <f>""</f>
        <v/>
      </c>
      <c r="I528" t="str">
        <f>"BA080HYE0408D"</f>
        <v>BA080HYE0408D</v>
      </c>
    </row>
    <row r="529" spans="1:9" x14ac:dyDescent="0.3">
      <c r="A529" t="str">
        <f>""</f>
        <v/>
      </c>
      <c r="F529" t="str">
        <f>""</f>
        <v/>
      </c>
      <c r="G529" t="str">
        <f>""</f>
        <v/>
      </c>
      <c r="I529" t="str">
        <f>"Shipping"</f>
        <v>Shipping</v>
      </c>
    </row>
    <row r="530" spans="1:9" x14ac:dyDescent="0.3">
      <c r="A530" t="str">
        <f>"004072"</f>
        <v>004072</v>
      </c>
      <c r="B530" t="s">
        <v>180</v>
      </c>
      <c r="C530">
        <v>72489</v>
      </c>
      <c r="D530" s="2">
        <v>98.99</v>
      </c>
      <c r="E530" s="1">
        <v>42989</v>
      </c>
      <c r="F530" t="str">
        <f>"IN1315415"</f>
        <v>IN1315415</v>
      </c>
      <c r="G530" t="str">
        <f>"ACCT#CO150:40G634/TONER"</f>
        <v>ACCT#CO150:40G634/TONER</v>
      </c>
      <c r="H530" s="2">
        <v>98.99</v>
      </c>
      <c r="I530" t="str">
        <f>"ACCT#CO150:40G634/TONER"</f>
        <v>ACCT#CO150:40G634/TONER</v>
      </c>
    </row>
    <row r="531" spans="1:9" x14ac:dyDescent="0.3">
      <c r="A531" t="str">
        <f>"T7935"</f>
        <v>T7935</v>
      </c>
      <c r="B531" t="s">
        <v>181</v>
      </c>
      <c r="C531">
        <v>72719</v>
      </c>
      <c r="D531" s="2">
        <v>140.32</v>
      </c>
      <c r="E531" s="1">
        <v>43003</v>
      </c>
      <c r="F531" t="str">
        <f>"31512381-51"</f>
        <v>31512381-51</v>
      </c>
      <c r="G531" t="str">
        <f>"SCHEDULE #216/PURCHASING"</f>
        <v>SCHEDULE #216/PURCHASING</v>
      </c>
      <c r="H531" s="2">
        <v>140.32</v>
      </c>
      <c r="I531" t="str">
        <f>"SCHEDULE #216/PURCHASING"</f>
        <v>SCHEDULE #216/PURCHASING</v>
      </c>
    </row>
    <row r="532" spans="1:9" x14ac:dyDescent="0.3">
      <c r="A532" t="str">
        <f>"002352"</f>
        <v>002352</v>
      </c>
      <c r="B532" t="s">
        <v>182</v>
      </c>
      <c r="C532">
        <v>72490</v>
      </c>
      <c r="D532" s="2">
        <v>195</v>
      </c>
      <c r="E532" s="1">
        <v>42989</v>
      </c>
      <c r="F532" t="str">
        <f>"9754"</f>
        <v>9754</v>
      </c>
      <c r="G532" t="str">
        <f>"SERVICE 7/7/17"</f>
        <v>SERVICE 7/7/17</v>
      </c>
      <c r="H532" s="2">
        <v>195</v>
      </c>
      <c r="I532" t="str">
        <f>"SERVICE 7/7/17"</f>
        <v>SERVICE 7/7/17</v>
      </c>
    </row>
    <row r="533" spans="1:9" x14ac:dyDescent="0.3">
      <c r="A533" t="str">
        <f>"002352"</f>
        <v>002352</v>
      </c>
      <c r="B533" t="s">
        <v>182</v>
      </c>
      <c r="C533">
        <v>72720</v>
      </c>
      <c r="D533" s="2">
        <v>80</v>
      </c>
      <c r="E533" s="1">
        <v>43003</v>
      </c>
      <c r="F533" t="str">
        <f>"12451"</f>
        <v>12451</v>
      </c>
      <c r="G533" t="str">
        <f>"SERVICE  6/14/17"</f>
        <v>SERVICE  6/14/17</v>
      </c>
      <c r="H533" s="2">
        <v>80</v>
      </c>
      <c r="I533" t="str">
        <f>"SERVICE  6/14/17"</f>
        <v>SERVICE  6/14/17</v>
      </c>
    </row>
    <row r="534" spans="1:9" x14ac:dyDescent="0.3">
      <c r="A534" t="str">
        <f>"004294"</f>
        <v>004294</v>
      </c>
      <c r="B534" t="s">
        <v>183</v>
      </c>
      <c r="C534">
        <v>72721</v>
      </c>
      <c r="D534" s="2">
        <v>116</v>
      </c>
      <c r="E534" s="1">
        <v>43003</v>
      </c>
      <c r="F534" t="str">
        <f>"201709184945"</f>
        <v>201709184945</v>
      </c>
      <c r="G534" t="str">
        <f>"REIMBURSEMENT"</f>
        <v>REIMBURSEMENT</v>
      </c>
      <c r="H534" s="2">
        <v>116</v>
      </c>
      <c r="I534" t="str">
        <f>"REIMBURSEMENT"</f>
        <v>REIMBURSEMENT</v>
      </c>
    </row>
    <row r="535" spans="1:9" x14ac:dyDescent="0.3">
      <c r="A535" t="str">
        <f>"BROOKS"</f>
        <v>BROOKS</v>
      </c>
      <c r="B535" t="s">
        <v>184</v>
      </c>
      <c r="C535">
        <v>72491</v>
      </c>
      <c r="D535" s="2">
        <v>200</v>
      </c>
      <c r="E535" s="1">
        <v>42989</v>
      </c>
      <c r="F535" t="str">
        <f>"201709064557"</f>
        <v>201709064557</v>
      </c>
      <c r="G535" t="str">
        <f>"LEGAL CONSULT. SVCS-AUG"</f>
        <v>LEGAL CONSULT. SVCS-AUG</v>
      </c>
      <c r="H535" s="2">
        <v>200</v>
      </c>
      <c r="I535" t="str">
        <f>"LEGAL CONSULT. SVCS-AUG"</f>
        <v>LEGAL CONSULT. SVCS-AUG</v>
      </c>
    </row>
    <row r="536" spans="1:9" x14ac:dyDescent="0.3">
      <c r="A536" t="str">
        <f>"003335"</f>
        <v>003335</v>
      </c>
      <c r="B536" t="s">
        <v>185</v>
      </c>
      <c r="C536">
        <v>72492</v>
      </c>
      <c r="D536" s="2">
        <v>1865</v>
      </c>
      <c r="E536" s="1">
        <v>42989</v>
      </c>
      <c r="F536" t="str">
        <f>"201709064609"</f>
        <v>201709064609</v>
      </c>
      <c r="G536" t="str">
        <f>"16-17591"</f>
        <v>16-17591</v>
      </c>
      <c r="H536" s="2">
        <v>392.5</v>
      </c>
      <c r="I536" t="str">
        <f>"16-17591"</f>
        <v>16-17591</v>
      </c>
    </row>
    <row r="537" spans="1:9" x14ac:dyDescent="0.3">
      <c r="A537" t="str">
        <f>""</f>
        <v/>
      </c>
      <c r="F537" t="str">
        <f>"201709064611"</f>
        <v>201709064611</v>
      </c>
      <c r="G537" t="str">
        <f>"16-18023"</f>
        <v>16-18023</v>
      </c>
      <c r="H537" s="2">
        <v>205</v>
      </c>
      <c r="I537" t="str">
        <f>"16-18023"</f>
        <v>16-18023</v>
      </c>
    </row>
    <row r="538" spans="1:9" x14ac:dyDescent="0.3">
      <c r="A538" t="str">
        <f>""</f>
        <v/>
      </c>
      <c r="F538" t="str">
        <f>"201709064614"</f>
        <v>201709064614</v>
      </c>
      <c r="G538" t="str">
        <f>"15-17035"</f>
        <v>15-17035</v>
      </c>
      <c r="H538" s="2">
        <v>197.5</v>
      </c>
      <c r="I538" t="str">
        <f>"15-17035"</f>
        <v>15-17035</v>
      </c>
    </row>
    <row r="539" spans="1:9" x14ac:dyDescent="0.3">
      <c r="A539" t="str">
        <f>""</f>
        <v/>
      </c>
      <c r="F539" t="str">
        <f>"201709064616"</f>
        <v>201709064616</v>
      </c>
      <c r="G539" t="str">
        <f>"16-17819"</f>
        <v>16-17819</v>
      </c>
      <c r="H539" s="2">
        <v>445</v>
      </c>
      <c r="I539" t="str">
        <f>"16-17819"</f>
        <v>16-17819</v>
      </c>
    </row>
    <row r="540" spans="1:9" x14ac:dyDescent="0.3">
      <c r="A540" t="str">
        <f>""</f>
        <v/>
      </c>
      <c r="F540" t="str">
        <f>"201709064619"</f>
        <v>201709064619</v>
      </c>
      <c r="G540" t="str">
        <f>"16-18043"</f>
        <v>16-18043</v>
      </c>
      <c r="H540" s="2">
        <v>625</v>
      </c>
      <c r="I540" t="str">
        <f>"16-18043"</f>
        <v>16-18043</v>
      </c>
    </row>
    <row r="541" spans="1:9" x14ac:dyDescent="0.3">
      <c r="A541" t="str">
        <f>"003335"</f>
        <v>003335</v>
      </c>
      <c r="B541" t="s">
        <v>185</v>
      </c>
      <c r="C541">
        <v>999999</v>
      </c>
      <c r="D541" s="2">
        <v>700</v>
      </c>
      <c r="E541" s="1">
        <v>43004</v>
      </c>
      <c r="F541" t="str">
        <f>"201709205031"</f>
        <v>201709205031</v>
      </c>
      <c r="G541" t="str">
        <f>"423438"</f>
        <v>423438</v>
      </c>
      <c r="H541" s="2">
        <v>100</v>
      </c>
      <c r="I541" t="str">
        <f>"423438"</f>
        <v>423438</v>
      </c>
    </row>
    <row r="542" spans="1:9" x14ac:dyDescent="0.3">
      <c r="A542" t="str">
        <f>""</f>
        <v/>
      </c>
      <c r="F542" t="str">
        <f>"201709205071"</f>
        <v>201709205071</v>
      </c>
      <c r="G542" t="str">
        <f>"10-13607"</f>
        <v>10-13607</v>
      </c>
      <c r="H542" s="2">
        <v>100</v>
      </c>
      <c r="I542" t="str">
        <f>"10-13607"</f>
        <v>10-13607</v>
      </c>
    </row>
    <row r="543" spans="1:9" x14ac:dyDescent="0.3">
      <c r="A543" t="str">
        <f>""</f>
        <v/>
      </c>
      <c r="F543" t="str">
        <f>"201709205072"</f>
        <v>201709205072</v>
      </c>
      <c r="G543" t="str">
        <f>"10-13841"</f>
        <v>10-13841</v>
      </c>
      <c r="H543" s="2">
        <v>100</v>
      </c>
      <c r="I543" t="str">
        <f>"10-13841"</f>
        <v>10-13841</v>
      </c>
    </row>
    <row r="544" spans="1:9" x14ac:dyDescent="0.3">
      <c r="A544" t="str">
        <f>""</f>
        <v/>
      </c>
      <c r="F544" t="str">
        <f>"201709205073"</f>
        <v>201709205073</v>
      </c>
      <c r="G544" t="str">
        <f>"07-12290"</f>
        <v>07-12290</v>
      </c>
      <c r="H544" s="2">
        <v>100</v>
      </c>
      <c r="I544" t="str">
        <f>"07-12290"</f>
        <v>07-12290</v>
      </c>
    </row>
    <row r="545" spans="1:9" x14ac:dyDescent="0.3">
      <c r="A545" t="str">
        <f>""</f>
        <v/>
      </c>
      <c r="F545" t="str">
        <f>"201709205074"</f>
        <v>201709205074</v>
      </c>
      <c r="G545" t="str">
        <f>"13-15747"</f>
        <v>13-15747</v>
      </c>
      <c r="H545" s="2">
        <v>100</v>
      </c>
      <c r="I545" t="str">
        <f>"13-15747"</f>
        <v>13-15747</v>
      </c>
    </row>
    <row r="546" spans="1:9" x14ac:dyDescent="0.3">
      <c r="A546" t="str">
        <f>""</f>
        <v/>
      </c>
      <c r="F546" t="str">
        <f>"201709205075"</f>
        <v>201709205075</v>
      </c>
      <c r="G546" t="str">
        <f>"04-8785"</f>
        <v>04-8785</v>
      </c>
      <c r="H546" s="2">
        <v>100</v>
      </c>
      <c r="I546" t="str">
        <f>"04-8785"</f>
        <v>04-8785</v>
      </c>
    </row>
    <row r="547" spans="1:9" x14ac:dyDescent="0.3">
      <c r="A547" t="str">
        <f>""</f>
        <v/>
      </c>
      <c r="F547" t="str">
        <f>"201709205076"</f>
        <v>201709205076</v>
      </c>
      <c r="G547" t="str">
        <f>"16-17565"</f>
        <v>16-17565</v>
      </c>
      <c r="H547" s="2">
        <v>100</v>
      </c>
      <c r="I547" t="str">
        <f>"16-17565"</f>
        <v>16-17565</v>
      </c>
    </row>
    <row r="548" spans="1:9" x14ac:dyDescent="0.3">
      <c r="A548" t="str">
        <f>"DELL"</f>
        <v>DELL</v>
      </c>
      <c r="B548" t="s">
        <v>186</v>
      </c>
      <c r="C548">
        <v>72493</v>
      </c>
      <c r="D548" s="2">
        <v>101.39</v>
      </c>
      <c r="E548" s="1">
        <v>42989</v>
      </c>
      <c r="F548" t="str">
        <f>"10186813708"</f>
        <v>10186813708</v>
      </c>
      <c r="G548" t="str">
        <f>"CUST#7792907/ORD#247311938"</f>
        <v>CUST#7792907/ORD#247311938</v>
      </c>
      <c r="H548" s="2">
        <v>101.39</v>
      </c>
      <c r="I548" t="str">
        <f>"CUST#7792907/ORD#247311938"</f>
        <v>CUST#7792907/ORD#247311938</v>
      </c>
    </row>
    <row r="549" spans="1:9" x14ac:dyDescent="0.3">
      <c r="A549" t="str">
        <f>"DELL"</f>
        <v>DELL</v>
      </c>
      <c r="B549" t="s">
        <v>186</v>
      </c>
      <c r="C549">
        <v>72722</v>
      </c>
      <c r="D549" s="2">
        <v>279.77</v>
      </c>
      <c r="E549" s="1">
        <v>43003</v>
      </c>
      <c r="F549" t="str">
        <f>"MULTIPLE INVOICES"</f>
        <v>MULTIPLE INVOICES</v>
      </c>
      <c r="G549" t="str">
        <f>"68675086 7345752 64146450"</f>
        <v>68675086 7345752 64146450</v>
      </c>
      <c r="H549" s="2">
        <v>279.77</v>
      </c>
      <c r="I549" t="str">
        <f>"Inv# 10164146450"</f>
        <v>Inv# 10164146450</v>
      </c>
    </row>
    <row r="550" spans="1:9" x14ac:dyDescent="0.3">
      <c r="A550" t="str">
        <f>""</f>
        <v/>
      </c>
      <c r="F550" t="str">
        <f>""</f>
        <v/>
      </c>
      <c r="G550" t="str">
        <f>""</f>
        <v/>
      </c>
      <c r="I550" t="str">
        <f>"Invoice #10168675086"</f>
        <v>Invoice #10168675086</v>
      </c>
    </row>
    <row r="551" spans="1:9" x14ac:dyDescent="0.3">
      <c r="A551" t="str">
        <f>""</f>
        <v/>
      </c>
      <c r="F551" t="str">
        <f>""</f>
        <v/>
      </c>
      <c r="G551" t="str">
        <f>""</f>
        <v/>
      </c>
      <c r="I551" t="str">
        <f>"Invoice #1017345752"</f>
        <v>Invoice #1017345752</v>
      </c>
    </row>
    <row r="552" spans="1:9" x14ac:dyDescent="0.3">
      <c r="A552" t="str">
        <f>"DENTRU"</f>
        <v>DENTRU</v>
      </c>
      <c r="B552" t="s">
        <v>187</v>
      </c>
      <c r="C552">
        <v>999999</v>
      </c>
      <c r="D552" s="2">
        <v>1125</v>
      </c>
      <c r="E552" s="1">
        <v>43004</v>
      </c>
      <c r="F552" t="str">
        <f>"BATX014885 AUGUST"</f>
        <v>BATX014885 AUGUST</v>
      </c>
      <c r="G552" t="str">
        <f>"INV BATX014885"</f>
        <v>INV BATX014885</v>
      </c>
      <c r="H552" s="2">
        <v>1125</v>
      </c>
      <c r="I552" t="str">
        <f>"INV BATX014885"</f>
        <v>INV BATX014885</v>
      </c>
    </row>
    <row r="553" spans="1:9" x14ac:dyDescent="0.3">
      <c r="A553" t="str">
        <f>"T5686"</f>
        <v>T5686</v>
      </c>
      <c r="B553" t="s">
        <v>188</v>
      </c>
      <c r="C553">
        <v>72494</v>
      </c>
      <c r="D553" s="2">
        <v>89</v>
      </c>
      <c r="E553" s="1">
        <v>42989</v>
      </c>
      <c r="F553" t="str">
        <f>"23792"</f>
        <v>23792</v>
      </c>
      <c r="G553" t="str">
        <f>"SERVICE CALL/OPEN LOCK/BCAS"</f>
        <v>SERVICE CALL/OPEN LOCK/BCAS</v>
      </c>
      <c r="H553" s="2">
        <v>89</v>
      </c>
      <c r="I553" t="str">
        <f>"SERVICE CALL/OPEN LOCK/BCAS"</f>
        <v>SERVICE CALL/OPEN LOCK/BCAS</v>
      </c>
    </row>
    <row r="554" spans="1:9" x14ac:dyDescent="0.3">
      <c r="A554" t="str">
        <f>"T5686"</f>
        <v>T5686</v>
      </c>
      <c r="B554" t="s">
        <v>188</v>
      </c>
      <c r="C554">
        <v>72723</v>
      </c>
      <c r="D554" s="2">
        <v>20</v>
      </c>
      <c r="E554" s="1">
        <v>43003</v>
      </c>
      <c r="F554" t="str">
        <f>"23817"</f>
        <v>23817</v>
      </c>
      <c r="G554" t="str">
        <f>"INV 23817"</f>
        <v>INV 23817</v>
      </c>
      <c r="H554" s="2">
        <v>20</v>
      </c>
      <c r="I554" t="str">
        <f>"INV 23817"</f>
        <v>INV 23817</v>
      </c>
    </row>
    <row r="555" spans="1:9" x14ac:dyDescent="0.3">
      <c r="A555" t="str">
        <f>"DISCOU"</f>
        <v>DISCOU</v>
      </c>
      <c r="B555" t="s">
        <v>189</v>
      </c>
      <c r="C555">
        <v>72495</v>
      </c>
      <c r="D555" s="2">
        <v>268.49</v>
      </c>
      <c r="E555" s="1">
        <v>42989</v>
      </c>
      <c r="F555" t="str">
        <f>"1432"</f>
        <v>1432</v>
      </c>
      <c r="G555" t="str">
        <f>"INV 1432 BCSO"</f>
        <v>INV 1432 BCSO</v>
      </c>
      <c r="H555" s="2">
        <v>268.49</v>
      </c>
      <c r="I555" t="str">
        <f>"INV 1432 BCSO"</f>
        <v>INV 1432 BCSO</v>
      </c>
    </row>
    <row r="556" spans="1:9" x14ac:dyDescent="0.3">
      <c r="A556" t="str">
        <f>""</f>
        <v/>
      </c>
      <c r="F556" t="str">
        <f>""</f>
        <v/>
      </c>
      <c r="G556" t="str">
        <f>""</f>
        <v/>
      </c>
      <c r="I556" t="str">
        <f>"INV 1432 BCSO"</f>
        <v>INV 1432 BCSO</v>
      </c>
    </row>
    <row r="557" spans="1:9" x14ac:dyDescent="0.3">
      <c r="A557" t="str">
        <f>"002868"</f>
        <v>002868</v>
      </c>
      <c r="B557" t="s">
        <v>190</v>
      </c>
      <c r="C557">
        <v>72496</v>
      </c>
      <c r="D557" s="2">
        <v>217.5</v>
      </c>
      <c r="E557" s="1">
        <v>42989</v>
      </c>
      <c r="F557" t="str">
        <f>"2681617"</f>
        <v>2681617</v>
      </c>
      <c r="G557" t="str">
        <f>"ACCT#27917"</f>
        <v>ACCT#27917</v>
      </c>
      <c r="H557" s="2">
        <v>217.5</v>
      </c>
      <c r="I557" t="str">
        <f>"ACCT#27917"</f>
        <v>ACCT#27917</v>
      </c>
    </row>
    <row r="558" spans="1:9" x14ac:dyDescent="0.3">
      <c r="A558" t="str">
        <f>"004885"</f>
        <v>004885</v>
      </c>
      <c r="B558" t="s">
        <v>191</v>
      </c>
      <c r="C558">
        <v>72724</v>
      </c>
      <c r="D558" s="2">
        <v>176.13</v>
      </c>
      <c r="E558" s="1">
        <v>43003</v>
      </c>
      <c r="F558" t="str">
        <f>"201709205034"</f>
        <v>201709205034</v>
      </c>
      <c r="G558" t="str">
        <f>"REIMBURSEMENT"</f>
        <v>REIMBURSEMENT</v>
      </c>
      <c r="H558" s="2">
        <v>176.13</v>
      </c>
      <c r="I558" t="str">
        <f>"REIMBURSEMENT"</f>
        <v>REIMBURSEMENT</v>
      </c>
    </row>
    <row r="559" spans="1:9" x14ac:dyDescent="0.3">
      <c r="A559" t="str">
        <f>"T9323"</f>
        <v>T9323</v>
      </c>
      <c r="B559" t="s">
        <v>192</v>
      </c>
      <c r="C559">
        <v>72497</v>
      </c>
      <c r="D559" s="2">
        <v>2330</v>
      </c>
      <c r="E559" s="1">
        <v>42989</v>
      </c>
      <c r="F559" t="str">
        <f>"201709014497"</f>
        <v>201709014497</v>
      </c>
      <c r="G559" t="str">
        <f>"15687"</f>
        <v>15687</v>
      </c>
      <c r="H559" s="2">
        <v>400</v>
      </c>
      <c r="I559" t="str">
        <f>"15687"</f>
        <v>15687</v>
      </c>
    </row>
    <row r="560" spans="1:9" x14ac:dyDescent="0.3">
      <c r="A560" t="str">
        <f>""</f>
        <v/>
      </c>
      <c r="F560" t="str">
        <f>"201709014498"</f>
        <v>201709014498</v>
      </c>
      <c r="G560" t="str">
        <f>"10339"</f>
        <v>10339</v>
      </c>
      <c r="H560" s="2">
        <v>400</v>
      </c>
      <c r="I560" t="str">
        <f>"10339"</f>
        <v>10339</v>
      </c>
    </row>
    <row r="561" spans="1:9" x14ac:dyDescent="0.3">
      <c r="A561" t="str">
        <f>""</f>
        <v/>
      </c>
      <c r="F561" t="str">
        <f>"201709014511"</f>
        <v>201709014511</v>
      </c>
      <c r="G561" t="str">
        <f>"604-335"</f>
        <v>604-335</v>
      </c>
      <c r="H561" s="2">
        <v>100</v>
      </c>
      <c r="I561" t="str">
        <f>"604-335"</f>
        <v>604-335</v>
      </c>
    </row>
    <row r="562" spans="1:9" x14ac:dyDescent="0.3">
      <c r="A562" t="str">
        <f>""</f>
        <v/>
      </c>
      <c r="F562" t="str">
        <f>"201709064645"</f>
        <v>201709064645</v>
      </c>
      <c r="G562" t="str">
        <f>"006336"</f>
        <v>006336</v>
      </c>
      <c r="H562" s="2">
        <v>180</v>
      </c>
      <c r="I562" t="str">
        <f>"006336"</f>
        <v>006336</v>
      </c>
    </row>
    <row r="563" spans="1:9" x14ac:dyDescent="0.3">
      <c r="A563" t="str">
        <f>""</f>
        <v/>
      </c>
      <c r="F563" t="str">
        <f>"201709064646"</f>
        <v>201709064646</v>
      </c>
      <c r="G563" t="str">
        <f>"16-18025"</f>
        <v>16-18025</v>
      </c>
      <c r="H563" s="2">
        <v>180</v>
      </c>
      <c r="I563" t="str">
        <f>"16-18025"</f>
        <v>16-18025</v>
      </c>
    </row>
    <row r="564" spans="1:9" x14ac:dyDescent="0.3">
      <c r="A564" t="str">
        <f>""</f>
        <v/>
      </c>
      <c r="F564" t="str">
        <f>"201709064647"</f>
        <v>201709064647</v>
      </c>
      <c r="G564" t="str">
        <f>"17-18521"</f>
        <v>17-18521</v>
      </c>
      <c r="H564" s="2">
        <v>100</v>
      </c>
      <c r="I564" t="str">
        <f>"17-18521"</f>
        <v>17-18521</v>
      </c>
    </row>
    <row r="565" spans="1:9" x14ac:dyDescent="0.3">
      <c r="A565" t="str">
        <f>""</f>
        <v/>
      </c>
      <c r="F565" t="str">
        <f>"201709064648"</f>
        <v>201709064648</v>
      </c>
      <c r="G565" t="str">
        <f>"006336"</f>
        <v>006336</v>
      </c>
      <c r="H565" s="2">
        <v>180</v>
      </c>
      <c r="I565" t="str">
        <f>"006336"</f>
        <v>006336</v>
      </c>
    </row>
    <row r="566" spans="1:9" x14ac:dyDescent="0.3">
      <c r="A566" t="str">
        <f>""</f>
        <v/>
      </c>
      <c r="F566" t="str">
        <f>"201709064649"</f>
        <v>201709064649</v>
      </c>
      <c r="G566" t="str">
        <f>"0913337"</f>
        <v>0913337</v>
      </c>
      <c r="H566" s="2">
        <v>100</v>
      </c>
      <c r="I566" t="str">
        <f>"0913337"</f>
        <v>0913337</v>
      </c>
    </row>
    <row r="567" spans="1:9" x14ac:dyDescent="0.3">
      <c r="A567" t="str">
        <f>""</f>
        <v/>
      </c>
      <c r="F567" t="str">
        <f>"201709064650"</f>
        <v>201709064650</v>
      </c>
      <c r="G567" t="str">
        <f>"16-17910"</f>
        <v>16-17910</v>
      </c>
      <c r="H567" s="2">
        <v>60</v>
      </c>
      <c r="I567" t="str">
        <f>"16-17910"</f>
        <v>16-17910</v>
      </c>
    </row>
    <row r="568" spans="1:9" x14ac:dyDescent="0.3">
      <c r="A568" t="str">
        <f>""</f>
        <v/>
      </c>
      <c r="F568" t="str">
        <f>"201709064651"</f>
        <v>201709064651</v>
      </c>
      <c r="G568" t="str">
        <f>"16-17734"</f>
        <v>16-17734</v>
      </c>
      <c r="H568" s="2">
        <v>300</v>
      </c>
      <c r="I568" t="str">
        <f>"16-17734"</f>
        <v>16-17734</v>
      </c>
    </row>
    <row r="569" spans="1:9" x14ac:dyDescent="0.3">
      <c r="A569" t="str">
        <f>""</f>
        <v/>
      </c>
      <c r="F569" t="str">
        <f>"201709064652"</f>
        <v>201709064652</v>
      </c>
      <c r="G569" t="str">
        <f>"17-18493"</f>
        <v>17-18493</v>
      </c>
      <c r="H569" s="2">
        <v>80</v>
      </c>
      <c r="I569" t="str">
        <f>"17-18493"</f>
        <v>17-18493</v>
      </c>
    </row>
    <row r="570" spans="1:9" x14ac:dyDescent="0.3">
      <c r="A570" t="str">
        <f>""</f>
        <v/>
      </c>
      <c r="F570" t="str">
        <f>"201709064653"</f>
        <v>201709064653</v>
      </c>
      <c r="G570" t="str">
        <f>"55228"</f>
        <v>55228</v>
      </c>
      <c r="H570" s="2">
        <v>250</v>
      </c>
      <c r="I570" t="str">
        <f>"55228"</f>
        <v>55228</v>
      </c>
    </row>
    <row r="571" spans="1:9" x14ac:dyDescent="0.3">
      <c r="A571" t="str">
        <f>"T9323"</f>
        <v>T9323</v>
      </c>
      <c r="B571" t="s">
        <v>192</v>
      </c>
      <c r="C571">
        <v>999999</v>
      </c>
      <c r="D571" s="2">
        <v>1425</v>
      </c>
      <c r="E571" s="1">
        <v>43004</v>
      </c>
      <c r="F571" t="str">
        <f>"201709154935"</f>
        <v>201709154935</v>
      </c>
      <c r="G571" t="str">
        <f>"16212 16269 55425"</f>
        <v>16212 16269 55425</v>
      </c>
      <c r="H571" s="2">
        <v>800</v>
      </c>
      <c r="I571" t="str">
        <f>"16212 16269 55425"</f>
        <v>16212 16269 55425</v>
      </c>
    </row>
    <row r="572" spans="1:9" x14ac:dyDescent="0.3">
      <c r="A572" t="str">
        <f>""</f>
        <v/>
      </c>
      <c r="F572" t="str">
        <f>"201709205090"</f>
        <v>201709205090</v>
      </c>
      <c r="G572" t="str">
        <f>"55425  C170073  CH-20170812-C"</f>
        <v>55425  C170073  CH-20170812-C</v>
      </c>
      <c r="H572" s="2">
        <v>625</v>
      </c>
      <c r="I572" t="str">
        <f>"55425  C170073  CH-20170812-C"</f>
        <v>55425  C170073  CH-20170812-C</v>
      </c>
    </row>
    <row r="573" spans="1:9" x14ac:dyDescent="0.3">
      <c r="A573" t="str">
        <f>"ECOLAB"</f>
        <v>ECOLAB</v>
      </c>
      <c r="B573" t="s">
        <v>193</v>
      </c>
      <c r="C573">
        <v>999999</v>
      </c>
      <c r="D573" s="2">
        <v>1103.67</v>
      </c>
      <c r="E573" s="1">
        <v>43004</v>
      </c>
      <c r="F573" t="str">
        <f>"6857003"</f>
        <v>6857003</v>
      </c>
      <c r="G573" t="str">
        <f>"INV 6857003"</f>
        <v>INV 6857003</v>
      </c>
      <c r="H573" s="2">
        <v>1103.67</v>
      </c>
      <c r="I573" t="str">
        <f>"INV 6857003"</f>
        <v>INV 6857003</v>
      </c>
    </row>
    <row r="574" spans="1:9" x14ac:dyDescent="0.3">
      <c r="A574" t="str">
        <f>"T6190"</f>
        <v>T6190</v>
      </c>
      <c r="B574" t="s">
        <v>194</v>
      </c>
      <c r="C574">
        <v>72725</v>
      </c>
      <c r="D574" s="2">
        <v>423.75</v>
      </c>
      <c r="E574" s="1">
        <v>43003</v>
      </c>
      <c r="F574" t="str">
        <f>"1016845"</f>
        <v>1016845</v>
      </c>
      <c r="G574" t="str">
        <f>"ACCT#B06875/ORD#1117865/ELECT"</f>
        <v>ACCT#B06875/ORD#1117865/ELECT</v>
      </c>
      <c r="H574" s="2">
        <v>423.75</v>
      </c>
      <c r="I574" t="str">
        <f>"ACCT#B06875/ORD#1117865/ELECT"</f>
        <v>ACCT#B06875/ORD#1117865/ELECT</v>
      </c>
    </row>
    <row r="575" spans="1:9" x14ac:dyDescent="0.3">
      <c r="A575" t="str">
        <f>"EC"</f>
        <v>EC</v>
      </c>
      <c r="B575" t="s">
        <v>195</v>
      </c>
      <c r="C575">
        <v>72498</v>
      </c>
      <c r="D575" s="2">
        <v>178.5</v>
      </c>
      <c r="E575" s="1">
        <v>42989</v>
      </c>
      <c r="F575" t="str">
        <f>"52421-7528"</f>
        <v>52421-7528</v>
      </c>
      <c r="G575" t="str">
        <f>"Public Notice"</f>
        <v>Public Notice</v>
      </c>
      <c r="H575" s="2">
        <v>36</v>
      </c>
      <c r="I575" t="str">
        <f>"Public Notice"</f>
        <v>Public Notice</v>
      </c>
    </row>
    <row r="576" spans="1:9" x14ac:dyDescent="0.3">
      <c r="A576" t="str">
        <f>""</f>
        <v/>
      </c>
      <c r="F576" t="str">
        <f>"52421-7703"</f>
        <v>52421-7703</v>
      </c>
      <c r="G576" t="str">
        <f>"Indigent Health Public"</f>
        <v>Indigent Health Public</v>
      </c>
      <c r="H576" s="2">
        <v>142.5</v>
      </c>
      <c r="I576" t="str">
        <f>"Indigent Health Public"</f>
        <v>Indigent Health Public</v>
      </c>
    </row>
    <row r="577" spans="1:9" x14ac:dyDescent="0.3">
      <c r="A577" t="str">
        <f>"EC"</f>
        <v>EC</v>
      </c>
      <c r="B577" t="s">
        <v>195</v>
      </c>
      <c r="C577">
        <v>72726</v>
      </c>
      <c r="D577" s="2">
        <v>144</v>
      </c>
      <c r="E577" s="1">
        <v>43003</v>
      </c>
      <c r="F577" t="str">
        <f>"52421-6680/81"</f>
        <v>52421-6680/81</v>
      </c>
      <c r="G577" t="str">
        <f>"Assistant Auditor Ad"</f>
        <v>Assistant Auditor Ad</v>
      </c>
      <c r="H577" s="2">
        <v>144</v>
      </c>
      <c r="I577" t="str">
        <f>"Assistant Auditor Ad"</f>
        <v>Assistant Auditor Ad</v>
      </c>
    </row>
    <row r="578" spans="1:9" x14ac:dyDescent="0.3">
      <c r="A578" t="str">
        <f>"EU"</f>
        <v>EU</v>
      </c>
      <c r="B578" t="s">
        <v>196</v>
      </c>
      <c r="C578">
        <v>72412</v>
      </c>
      <c r="D578" s="2">
        <v>1110.25</v>
      </c>
      <c r="E578" s="1">
        <v>42985</v>
      </c>
      <c r="F578" t="str">
        <f>"201709074689"</f>
        <v>201709074689</v>
      </c>
      <c r="G578" t="str">
        <f>"ACCT#007-0008410-002/08312017"</f>
        <v>ACCT#007-0008410-002/08312017</v>
      </c>
      <c r="H578" s="2">
        <v>129.62</v>
      </c>
      <c r="I578" t="str">
        <f t="shared" ref="I578:I584" si="5">"CITY OF ELGIN UTILITIES"</f>
        <v>CITY OF ELGIN UTILITIES</v>
      </c>
    </row>
    <row r="579" spans="1:9" x14ac:dyDescent="0.3">
      <c r="A579" t="str">
        <f>""</f>
        <v/>
      </c>
      <c r="F579" t="str">
        <f>"201709074690"</f>
        <v>201709074690</v>
      </c>
      <c r="G579" t="str">
        <f>"ACCT#007-0011501-000/08312017"</f>
        <v>ACCT#007-0011501-000/08312017</v>
      </c>
      <c r="H579" s="2">
        <v>100.32</v>
      </c>
      <c r="I579" t="str">
        <f t="shared" si="5"/>
        <v>CITY OF ELGIN UTILITIES</v>
      </c>
    </row>
    <row r="580" spans="1:9" x14ac:dyDescent="0.3">
      <c r="A580" t="str">
        <f>""</f>
        <v/>
      </c>
      <c r="F580" t="str">
        <f>"201709074691"</f>
        <v>201709074691</v>
      </c>
      <c r="G580" t="str">
        <f>"ACCT#007-0011510-000/08312017"</f>
        <v>ACCT#007-0011510-000/08312017</v>
      </c>
      <c r="H580" s="2">
        <v>237.81</v>
      </c>
      <c r="I580" t="str">
        <f t="shared" si="5"/>
        <v>CITY OF ELGIN UTILITIES</v>
      </c>
    </row>
    <row r="581" spans="1:9" x14ac:dyDescent="0.3">
      <c r="A581" t="str">
        <f>""</f>
        <v/>
      </c>
      <c r="F581" t="str">
        <f>"201709074692"</f>
        <v>201709074692</v>
      </c>
      <c r="G581" t="str">
        <f>"ACCT#007-0011530-000/08312017"</f>
        <v>ACCT#007-0011530-000/08312017</v>
      </c>
      <c r="H581" s="2">
        <v>77.09</v>
      </c>
      <c r="I581" t="str">
        <f t="shared" si="5"/>
        <v>CITY OF ELGIN UTILITIES</v>
      </c>
    </row>
    <row r="582" spans="1:9" x14ac:dyDescent="0.3">
      <c r="A582" t="str">
        <f>""</f>
        <v/>
      </c>
      <c r="F582" t="str">
        <f>"201709074693"</f>
        <v>201709074693</v>
      </c>
      <c r="G582" t="str">
        <f>"ACCT#007-0011534-001/08312017"</f>
        <v>ACCT#007-0011534-001/08312017</v>
      </c>
      <c r="H582" s="2">
        <v>128.81</v>
      </c>
      <c r="I582" t="str">
        <f t="shared" si="5"/>
        <v>CITY OF ELGIN UTILITIES</v>
      </c>
    </row>
    <row r="583" spans="1:9" x14ac:dyDescent="0.3">
      <c r="A583" t="str">
        <f>""</f>
        <v/>
      </c>
      <c r="F583" t="str">
        <f>"201709074694"</f>
        <v>201709074694</v>
      </c>
      <c r="G583" t="str">
        <f>"ACCT#007-0011535-000/08312017"</f>
        <v>ACCT#007-0011535-000/08312017</v>
      </c>
      <c r="H583" s="2">
        <v>347.26</v>
      </c>
      <c r="I583" t="str">
        <f t="shared" si="5"/>
        <v>CITY OF ELGIN UTILITIES</v>
      </c>
    </row>
    <row r="584" spans="1:9" x14ac:dyDescent="0.3">
      <c r="A584" t="str">
        <f>""</f>
        <v/>
      </c>
      <c r="F584" t="str">
        <f>"201709074695"</f>
        <v>201709074695</v>
      </c>
      <c r="G584" t="str">
        <f>"ACCT#007-0011544-001/08312017"</f>
        <v>ACCT#007-0011544-001/08312017</v>
      </c>
      <c r="H584" s="2">
        <v>89.34</v>
      </c>
      <c r="I584" t="str">
        <f t="shared" si="5"/>
        <v>CITY OF ELGIN UTILITIES</v>
      </c>
    </row>
    <row r="585" spans="1:9" x14ac:dyDescent="0.3">
      <c r="A585" t="str">
        <f>"003027"</f>
        <v>003027</v>
      </c>
      <c r="B585" t="s">
        <v>197</v>
      </c>
      <c r="C585">
        <v>72499</v>
      </c>
      <c r="D585" s="2">
        <v>159.04</v>
      </c>
      <c r="E585" s="1">
        <v>42989</v>
      </c>
      <c r="F585" t="str">
        <f>"201708314476"</f>
        <v>201708314476</v>
      </c>
      <c r="G585" t="str">
        <f>"CUST#0888336/ELEC SVCS"</f>
        <v>CUST#0888336/ELEC SVCS</v>
      </c>
      <c r="H585" s="2">
        <v>101.35</v>
      </c>
      <c r="I585" t="str">
        <f>"CUST#0888336/ELEC SVCS"</f>
        <v>CUST#0888336/ELEC SVCS</v>
      </c>
    </row>
    <row r="586" spans="1:9" x14ac:dyDescent="0.3">
      <c r="A586" t="str">
        <f>""</f>
        <v/>
      </c>
      <c r="F586" t="str">
        <f>"201708314483"</f>
        <v>201708314483</v>
      </c>
      <c r="G586" t="str">
        <f>"CUST#0888336/PCT#1"</f>
        <v>CUST#0888336/PCT#1</v>
      </c>
      <c r="H586" s="2">
        <v>57.69</v>
      </c>
      <c r="I586" t="str">
        <f>"CUST#0888336/PCT#1"</f>
        <v>CUST#0888336/PCT#1</v>
      </c>
    </row>
    <row r="587" spans="1:9" x14ac:dyDescent="0.3">
      <c r="A587" t="str">
        <f>"003027"</f>
        <v>003027</v>
      </c>
      <c r="B587" t="s">
        <v>197</v>
      </c>
      <c r="C587">
        <v>72727</v>
      </c>
      <c r="D587" s="2">
        <v>85</v>
      </c>
      <c r="E587" s="1">
        <v>43003</v>
      </c>
      <c r="F587" t="str">
        <f>"145-10247-01"</f>
        <v>145-10247-01</v>
      </c>
      <c r="G587" t="str">
        <f>"CUST#0888336"</f>
        <v>CUST#0888336</v>
      </c>
      <c r="H587" s="2">
        <v>85</v>
      </c>
      <c r="I587" t="str">
        <f>"CUST#0888336"</f>
        <v>CUST#0888336</v>
      </c>
    </row>
    <row r="588" spans="1:9" x14ac:dyDescent="0.3">
      <c r="A588" t="str">
        <f>"T8587"</f>
        <v>T8587</v>
      </c>
      <c r="B588" t="s">
        <v>198</v>
      </c>
      <c r="C588">
        <v>72500</v>
      </c>
      <c r="D588" s="2">
        <v>1201</v>
      </c>
      <c r="E588" s="1">
        <v>42989</v>
      </c>
      <c r="F588" t="str">
        <f>"073117 BCBS"</f>
        <v>073117 BCBS</v>
      </c>
      <c r="G588" t="str">
        <f>"SPAYS/NEUTERS/PAIN MEDS"</f>
        <v>SPAYS/NEUTERS/PAIN MEDS</v>
      </c>
      <c r="H588" s="2">
        <v>1201</v>
      </c>
      <c r="I588" t="str">
        <f>"SPAYS/NEUTERS/PAIN MEDS"</f>
        <v>SPAYS/NEUTERS/PAIN MEDS</v>
      </c>
    </row>
    <row r="589" spans="1:9" x14ac:dyDescent="0.3">
      <c r="A589" t="str">
        <f>"002424"</f>
        <v>002424</v>
      </c>
      <c r="B589" t="s">
        <v>199</v>
      </c>
      <c r="C589">
        <v>72501</v>
      </c>
      <c r="D589" s="2">
        <v>105.4</v>
      </c>
      <c r="E589" s="1">
        <v>42989</v>
      </c>
      <c r="F589" t="str">
        <f>"201709064613"</f>
        <v>201709064613</v>
      </c>
      <c r="G589" t="str">
        <f>"INDIGENT HEALTH"</f>
        <v>INDIGENT HEALTH</v>
      </c>
      <c r="H589" s="2">
        <v>105.4</v>
      </c>
      <c r="I589" t="str">
        <f>"INDIGENT HEALTH"</f>
        <v>INDIGENT HEALTH</v>
      </c>
    </row>
    <row r="590" spans="1:9" x14ac:dyDescent="0.3">
      <c r="A590" t="str">
        <f>"005218"</f>
        <v>005218</v>
      </c>
      <c r="B590" t="s">
        <v>200</v>
      </c>
      <c r="C590">
        <v>72728</v>
      </c>
      <c r="D590" s="2">
        <v>196.01</v>
      </c>
      <c r="E590" s="1">
        <v>43003</v>
      </c>
      <c r="F590" t="str">
        <f>"201709144913"</f>
        <v>201709144913</v>
      </c>
      <c r="G590" t="str">
        <f>"BASTROP CRIMINAL COURT"</f>
        <v>BASTROP CRIMINAL COURT</v>
      </c>
      <c r="H590" s="2">
        <v>196.01</v>
      </c>
      <c r="I590" t="str">
        <f>"BASTROP CRIMINAL COURT"</f>
        <v>BASTROP CRIMINAL COURT</v>
      </c>
    </row>
    <row r="591" spans="1:9" x14ac:dyDescent="0.3">
      <c r="A591" t="str">
        <f>"000589"</f>
        <v>000589</v>
      </c>
      <c r="B591" t="s">
        <v>201</v>
      </c>
      <c r="C591">
        <v>72729</v>
      </c>
      <c r="D591" s="2">
        <v>32867.17</v>
      </c>
      <c r="E591" s="1">
        <v>43003</v>
      </c>
      <c r="F591" t="str">
        <f>"9401695201"</f>
        <v>9401695201</v>
      </c>
      <c r="G591" t="str">
        <f>"ACCT#912897/PCT#3"</f>
        <v>ACCT#912897/PCT#3</v>
      </c>
      <c r="H591" s="2">
        <v>145.6</v>
      </c>
      <c r="I591" t="str">
        <f>"ACCT#912897/PCT#3"</f>
        <v>ACCT#912897/PCT#3</v>
      </c>
    </row>
    <row r="592" spans="1:9" x14ac:dyDescent="0.3">
      <c r="A592" t="str">
        <f>""</f>
        <v/>
      </c>
      <c r="F592" t="str">
        <f>"9401695327"</f>
        <v>9401695327</v>
      </c>
      <c r="G592" t="str">
        <f>"CUST#912922/BOL#20743/PCT#1"</f>
        <v>CUST#912922/BOL#20743/PCT#1</v>
      </c>
      <c r="H592" s="2">
        <v>3369.21</v>
      </c>
      <c r="I592" t="str">
        <f>"CUST#912922/BOL#20743/PCT#1"</f>
        <v>CUST#912922/BOL#20743/PCT#1</v>
      </c>
    </row>
    <row r="593" spans="1:10" x14ac:dyDescent="0.3">
      <c r="A593" t="str">
        <f>""</f>
        <v/>
      </c>
      <c r="F593" t="str">
        <f>"9401696326"</f>
        <v>9401696326</v>
      </c>
      <c r="G593" t="str">
        <f>"CUST#912922/BOL#20768/PCT#1"</f>
        <v>CUST#912922/BOL#20768/PCT#1</v>
      </c>
      <c r="H593" s="2">
        <v>3466.41</v>
      </c>
      <c r="I593" t="str">
        <f>"CUST#912922/BOL#20768/PCT#1"</f>
        <v>CUST#912922/BOL#20768/PCT#1</v>
      </c>
    </row>
    <row r="594" spans="1:10" x14ac:dyDescent="0.3">
      <c r="A594" t="str">
        <f>""</f>
        <v/>
      </c>
      <c r="F594" t="str">
        <f>"9401697356"</f>
        <v>9401697356</v>
      </c>
      <c r="G594" t="str">
        <f>"CUST#912922/BOL#20784/PCT#1"</f>
        <v>CUST#912922/BOL#20784/PCT#1</v>
      </c>
      <c r="H594" s="2">
        <v>3446.16</v>
      </c>
      <c r="I594" t="str">
        <f>"CUST#912922/BOL#20784/PCT#1"</f>
        <v>CUST#912922/BOL#20784/PCT#1</v>
      </c>
    </row>
    <row r="595" spans="1:10" x14ac:dyDescent="0.3">
      <c r="A595" t="str">
        <f>""</f>
        <v/>
      </c>
      <c r="F595" t="str">
        <f>"9401704240"</f>
        <v>9401704240</v>
      </c>
      <c r="G595" t="str">
        <f>"CUST#912897/BOL#20848/PCT#3"</f>
        <v>CUST#912897/BOL#20848/PCT#3</v>
      </c>
      <c r="H595" s="2">
        <v>10840.63</v>
      </c>
      <c r="I595" t="str">
        <f>"CUST#912897/BOL#20848/PCT#3"</f>
        <v>CUST#912897/BOL#20848/PCT#3</v>
      </c>
    </row>
    <row r="596" spans="1:10" x14ac:dyDescent="0.3">
      <c r="A596" t="str">
        <f>""</f>
        <v/>
      </c>
      <c r="F596" t="str">
        <f>"9401711038"</f>
        <v>9401711038</v>
      </c>
      <c r="G596" t="str">
        <f>"ACCT#912897/BOL#20922/PCT#3"</f>
        <v>ACCT#912897/BOL#20922/PCT#3</v>
      </c>
      <c r="H596" s="2">
        <v>11599.16</v>
      </c>
      <c r="I596" t="str">
        <f>"ACCT#912897/BOL#20922/PCT#3"</f>
        <v>ACCT#912897/BOL#20922/PCT#3</v>
      </c>
    </row>
    <row r="597" spans="1:10" x14ac:dyDescent="0.3">
      <c r="A597" t="str">
        <f>"T2788"</f>
        <v>T2788</v>
      </c>
      <c r="B597" t="s">
        <v>202</v>
      </c>
      <c r="C597">
        <v>72502</v>
      </c>
      <c r="D597" s="2">
        <v>371.57</v>
      </c>
      <c r="E597" s="1">
        <v>42989</v>
      </c>
      <c r="F597" t="str">
        <f>"3414705"</f>
        <v>3414705</v>
      </c>
      <c r="G597" t="str">
        <f>"PARTS/PCT#3"</f>
        <v>PARTS/PCT#3</v>
      </c>
      <c r="H597" s="2">
        <v>371.57</v>
      </c>
      <c r="I597" t="str">
        <f>"PARTS/PCT#3"</f>
        <v>PARTS/PCT#3</v>
      </c>
    </row>
    <row r="598" spans="1:10" x14ac:dyDescent="0.3">
      <c r="A598" t="str">
        <f>"003841"</f>
        <v>003841</v>
      </c>
      <c r="B598" t="s">
        <v>203</v>
      </c>
      <c r="C598">
        <v>72730</v>
      </c>
      <c r="D598" s="2">
        <v>2124</v>
      </c>
      <c r="E598" s="1">
        <v>43003</v>
      </c>
      <c r="F598" t="str">
        <f>"07910230"</f>
        <v>07910230</v>
      </c>
      <c r="G598" t="str">
        <f>"Inv# 07910230"</f>
        <v>Inv# 07910230</v>
      </c>
      <c r="H598" s="2">
        <v>2124</v>
      </c>
      <c r="I598" t="str">
        <f>"Inv# 07910230"</f>
        <v>Inv# 07910230</v>
      </c>
    </row>
    <row r="599" spans="1:10" x14ac:dyDescent="0.3">
      <c r="A599" t="str">
        <f>"FCC"</f>
        <v>FCC</v>
      </c>
      <c r="B599" t="s">
        <v>204</v>
      </c>
      <c r="C599">
        <v>72731</v>
      </c>
      <c r="D599" s="2">
        <v>5229.24</v>
      </c>
      <c r="E599" s="1">
        <v>43003</v>
      </c>
      <c r="F599" t="str">
        <f>"201709184951"</f>
        <v>201709184951</v>
      </c>
      <c r="G599" t="str">
        <f>"GRANT REIMBURSEMENT"</f>
        <v>GRANT REIMBURSEMENT</v>
      </c>
      <c r="H599" s="2">
        <v>5229.24</v>
      </c>
      <c r="I599" t="str">
        <f>"GRANT REIMBURSEMENT"</f>
        <v>GRANT REIMBURSEMENT</v>
      </c>
    </row>
    <row r="600" spans="1:10" x14ac:dyDescent="0.3">
      <c r="A600" t="str">
        <f>"003066"</f>
        <v>003066</v>
      </c>
      <c r="B600" t="s">
        <v>205</v>
      </c>
      <c r="C600">
        <v>72732</v>
      </c>
      <c r="D600" s="2">
        <v>46.73</v>
      </c>
      <c r="E600" s="1">
        <v>43003</v>
      </c>
      <c r="F600" t="str">
        <f>"201709194983"</f>
        <v>201709194983</v>
      </c>
      <c r="G600" t="str">
        <f>"INDIGENT HEALTH"</f>
        <v>INDIGENT HEALTH</v>
      </c>
      <c r="H600" s="2">
        <v>46.73</v>
      </c>
      <c r="I600" t="str">
        <f>"INDIGENT HEALTH"</f>
        <v>INDIGENT HEALTH</v>
      </c>
    </row>
    <row r="601" spans="1:10" x14ac:dyDescent="0.3">
      <c r="A601" t="str">
        <f>"002412"</f>
        <v>002412</v>
      </c>
      <c r="B601" t="s">
        <v>206</v>
      </c>
      <c r="C601">
        <v>72733</v>
      </c>
      <c r="D601" s="2">
        <v>100</v>
      </c>
      <c r="E601" s="1">
        <v>43003</v>
      </c>
      <c r="F601" t="str">
        <f>"12451"</f>
        <v>12451</v>
      </c>
      <c r="G601" t="str">
        <f>"SERVICE  6/14/17"</f>
        <v>SERVICE  6/14/17</v>
      </c>
      <c r="H601" s="2">
        <v>100</v>
      </c>
      <c r="I601" t="str">
        <f>"SERVICE  6/14/17"</f>
        <v>SERVICE  6/14/17</v>
      </c>
    </row>
    <row r="602" spans="1:10" x14ac:dyDescent="0.3">
      <c r="A602" t="str">
        <f>"000700"</f>
        <v>000700</v>
      </c>
      <c r="B602" t="s">
        <v>207</v>
      </c>
      <c r="C602">
        <v>72734</v>
      </c>
      <c r="D602" s="2">
        <v>176.8</v>
      </c>
      <c r="E602" s="1">
        <v>43003</v>
      </c>
      <c r="F602" t="str">
        <f>"201709194984"</f>
        <v>201709194984</v>
      </c>
      <c r="G602" t="str">
        <f>"INDIGENT HEALTH"</f>
        <v>INDIGENT HEALTH</v>
      </c>
      <c r="H602" s="2">
        <v>176.8</v>
      </c>
      <c r="I602" t="str">
        <f>"INDIGENT HEALTH"</f>
        <v>INDIGENT HEALTH</v>
      </c>
    </row>
    <row r="603" spans="1:10" x14ac:dyDescent="0.3">
      <c r="A603" t="str">
        <f>"T8083"</f>
        <v>T8083</v>
      </c>
      <c r="B603" t="s">
        <v>208</v>
      </c>
      <c r="C603">
        <v>72735</v>
      </c>
      <c r="D603" s="2">
        <v>489.72</v>
      </c>
      <c r="E603" s="1">
        <v>43003</v>
      </c>
      <c r="F603" t="str">
        <f>"4897433-1"</f>
        <v>4897433-1</v>
      </c>
      <c r="G603" t="str">
        <f>"CUST#306066/ITEM#S3325000"</f>
        <v>CUST#306066/ITEM#S3325000</v>
      </c>
      <c r="H603" s="2">
        <v>489.72</v>
      </c>
      <c r="I603" t="str">
        <f>"CUST#306066"</f>
        <v>CUST#306066</v>
      </c>
    </row>
    <row r="604" spans="1:10" x14ac:dyDescent="0.3">
      <c r="A604" t="str">
        <f>"T9733"</f>
        <v>T9733</v>
      </c>
      <c r="B604" t="s">
        <v>209</v>
      </c>
      <c r="C604">
        <v>72503</v>
      </c>
      <c r="D604" s="2">
        <v>200</v>
      </c>
      <c r="E604" s="1">
        <v>42989</v>
      </c>
      <c r="F604" t="s">
        <v>95</v>
      </c>
      <c r="G604" t="s">
        <v>210</v>
      </c>
      <c r="H604" s="2" t="str">
        <f>"RESTITUTION-A. KELLOUGH"</f>
        <v>RESTITUTION-A. KELLOUGH</v>
      </c>
      <c r="I604" t="str">
        <f>"210-0000"</f>
        <v>210-0000</v>
      </c>
      <c r="J604">
        <v>100</v>
      </c>
    </row>
    <row r="605" spans="1:10" x14ac:dyDescent="0.3">
      <c r="A605" t="str">
        <f>""</f>
        <v/>
      </c>
      <c r="F605" t="s">
        <v>211</v>
      </c>
      <c r="G605" t="s">
        <v>212</v>
      </c>
      <c r="H605" s="2" t="str">
        <f>"RESTITUTION-F. GREER JR"</f>
        <v>RESTITUTION-F. GREER JR</v>
      </c>
      <c r="I605" t="str">
        <f>"210-0000"</f>
        <v>210-0000</v>
      </c>
      <c r="J605">
        <v>100</v>
      </c>
    </row>
    <row r="606" spans="1:10" x14ac:dyDescent="0.3">
      <c r="A606" t="str">
        <f>"004691"</f>
        <v>004691</v>
      </c>
      <c r="B606" t="s">
        <v>213</v>
      </c>
      <c r="C606">
        <v>72504</v>
      </c>
      <c r="D606" s="2">
        <v>12334.49</v>
      </c>
      <c r="E606" s="1">
        <v>42989</v>
      </c>
      <c r="F606" t="str">
        <f>"NP51158724"</f>
        <v>NP51158724</v>
      </c>
      <c r="G606" t="str">
        <f>"INV NP51158724"</f>
        <v>INV NP51158724</v>
      </c>
      <c r="H606" s="2">
        <v>10973</v>
      </c>
      <c r="I606" t="str">
        <f>"INV NP51158724"</f>
        <v>INV NP51158724</v>
      </c>
    </row>
    <row r="607" spans="1:10" x14ac:dyDescent="0.3">
      <c r="A607" t="str">
        <f>""</f>
        <v/>
      </c>
      <c r="F607" t="str">
        <f>"NP51316613 9/4/17"</f>
        <v>NP51316613 9/4/17</v>
      </c>
      <c r="G607" t="str">
        <f>"Stmt# NP51316613"</f>
        <v>Stmt# NP51316613</v>
      </c>
      <c r="H607" s="2">
        <v>875.19</v>
      </c>
      <c r="I607" t="str">
        <f>"General Service-Floo"</f>
        <v>General Service-Floo</v>
      </c>
    </row>
    <row r="608" spans="1:10" x14ac:dyDescent="0.3">
      <c r="A608" t="str">
        <f>""</f>
        <v/>
      </c>
      <c r="F608" t="str">
        <f>""</f>
        <v/>
      </c>
      <c r="G608" t="str">
        <f>""</f>
        <v/>
      </c>
      <c r="I608" t="str">
        <f>"General Service"</f>
        <v>General Service</v>
      </c>
    </row>
    <row r="609" spans="1:9" x14ac:dyDescent="0.3">
      <c r="A609" t="str">
        <f>""</f>
        <v/>
      </c>
      <c r="F609" t="str">
        <f>""</f>
        <v/>
      </c>
      <c r="G609" t="str">
        <f>""</f>
        <v/>
      </c>
      <c r="I609" t="str">
        <f>"Sign Shop"</f>
        <v>Sign Shop</v>
      </c>
    </row>
    <row r="610" spans="1:9" x14ac:dyDescent="0.3">
      <c r="A610" t="str">
        <f>""</f>
        <v/>
      </c>
      <c r="F610" t="str">
        <f>""</f>
        <v/>
      </c>
      <c r="G610" t="str">
        <f>""</f>
        <v/>
      </c>
      <c r="I610" t="str">
        <f>"Ag Extension"</f>
        <v>Ag Extension</v>
      </c>
    </row>
    <row r="611" spans="1:9" x14ac:dyDescent="0.3">
      <c r="A611" t="str">
        <f>""</f>
        <v/>
      </c>
      <c r="F611" t="str">
        <f>""</f>
        <v/>
      </c>
      <c r="G611" t="str">
        <f>""</f>
        <v/>
      </c>
      <c r="I611" t="str">
        <f>"Pct 1"</f>
        <v>Pct 1</v>
      </c>
    </row>
    <row r="612" spans="1:9" x14ac:dyDescent="0.3">
      <c r="A612" t="str">
        <f>""</f>
        <v/>
      </c>
      <c r="F612" t="str">
        <f>""</f>
        <v/>
      </c>
      <c r="G612" t="str">
        <f>""</f>
        <v/>
      </c>
      <c r="I612" t="str">
        <f>"Pct 2"</f>
        <v>Pct 2</v>
      </c>
    </row>
    <row r="613" spans="1:9" x14ac:dyDescent="0.3">
      <c r="A613" t="str">
        <f>""</f>
        <v/>
      </c>
      <c r="F613" t="str">
        <f>"NP51316848"</f>
        <v>NP51316848</v>
      </c>
      <c r="G613" t="str">
        <f>"Stmt# NP51316848"</f>
        <v>Stmt# NP51316848</v>
      </c>
      <c r="H613" s="2">
        <v>486.3</v>
      </c>
      <c r="I613" t="str">
        <f>"Stmt# NP51316848"</f>
        <v>Stmt# NP51316848</v>
      </c>
    </row>
    <row r="614" spans="1:9" x14ac:dyDescent="0.3">
      <c r="A614" t="str">
        <f>"004691"</f>
        <v>004691</v>
      </c>
      <c r="B614" t="s">
        <v>213</v>
      </c>
      <c r="C614">
        <v>72736</v>
      </c>
      <c r="D614" s="2">
        <v>14308.83</v>
      </c>
      <c r="E614" s="1">
        <v>43003</v>
      </c>
      <c r="F614" t="str">
        <f>"FUEL"</f>
        <v>FUEL</v>
      </c>
      <c r="G614" t="str">
        <f>"Stmt# NP51385488"</f>
        <v>Stmt# NP51385488</v>
      </c>
      <c r="H614" s="2">
        <v>782.01</v>
      </c>
      <c r="I614" t="str">
        <f>"General Services"</f>
        <v>General Services</v>
      </c>
    </row>
    <row r="615" spans="1:9" x14ac:dyDescent="0.3">
      <c r="A615" t="str">
        <f>""</f>
        <v/>
      </c>
      <c r="F615" t="str">
        <f>""</f>
        <v/>
      </c>
      <c r="G615" t="str">
        <f>""</f>
        <v/>
      </c>
      <c r="I615" t="str">
        <f>"SIgn Shop"</f>
        <v>SIgn Shop</v>
      </c>
    </row>
    <row r="616" spans="1:9" x14ac:dyDescent="0.3">
      <c r="A616" t="str">
        <f>""</f>
        <v/>
      </c>
      <c r="F616" t="str">
        <f>""</f>
        <v/>
      </c>
      <c r="G616" t="str">
        <f>""</f>
        <v/>
      </c>
      <c r="I616" t="str">
        <f>"Habitat Conservation"</f>
        <v>Habitat Conservation</v>
      </c>
    </row>
    <row r="617" spans="1:9" x14ac:dyDescent="0.3">
      <c r="A617" t="str">
        <f>""</f>
        <v/>
      </c>
      <c r="F617" t="str">
        <f>""</f>
        <v/>
      </c>
      <c r="G617" t="str">
        <f>""</f>
        <v/>
      </c>
      <c r="I617" t="str">
        <f>"Ag Extension"</f>
        <v>Ag Extension</v>
      </c>
    </row>
    <row r="618" spans="1:9" x14ac:dyDescent="0.3">
      <c r="A618" t="str">
        <f>""</f>
        <v/>
      </c>
      <c r="F618" t="str">
        <f>""</f>
        <v/>
      </c>
      <c r="G618" t="str">
        <f>""</f>
        <v/>
      </c>
      <c r="I618" t="str">
        <f>"Pct 1"</f>
        <v>Pct 1</v>
      </c>
    </row>
    <row r="619" spans="1:9" x14ac:dyDescent="0.3">
      <c r="A619" t="str">
        <f>""</f>
        <v/>
      </c>
      <c r="F619" t="str">
        <f>"NP51316814"</f>
        <v>NP51316814</v>
      </c>
      <c r="G619" t="str">
        <f>"INV NP51316814"</f>
        <v>INV NP51316814</v>
      </c>
      <c r="H619" s="2">
        <v>13046.95</v>
      </c>
      <c r="I619" t="str">
        <f>"INV NP51316814"</f>
        <v>INV NP51316814</v>
      </c>
    </row>
    <row r="620" spans="1:9" x14ac:dyDescent="0.3">
      <c r="A620" t="str">
        <f>""</f>
        <v/>
      </c>
      <c r="F620" t="str">
        <f>"NP51385721"</f>
        <v>NP51385721</v>
      </c>
      <c r="G620" t="str">
        <f>"Stmt# NP51385721"</f>
        <v>Stmt# NP51385721</v>
      </c>
      <c r="H620" s="2">
        <v>479.87</v>
      </c>
      <c r="I620" t="str">
        <f>"Stmt# NP51385721"</f>
        <v>Stmt# NP51385721</v>
      </c>
    </row>
    <row r="621" spans="1:9" x14ac:dyDescent="0.3">
      <c r="A621" t="str">
        <f>"T5062"</f>
        <v>T5062</v>
      </c>
      <c r="B621" t="s">
        <v>214</v>
      </c>
      <c r="C621">
        <v>72505</v>
      </c>
      <c r="D621" s="2">
        <v>559.95000000000005</v>
      </c>
      <c r="E621" s="1">
        <v>42989</v>
      </c>
      <c r="F621" t="str">
        <f>"87257506"</f>
        <v>87257506</v>
      </c>
      <c r="G621" t="str">
        <f>"PARTS/PCT#3"</f>
        <v>PARTS/PCT#3</v>
      </c>
      <c r="H621" s="2">
        <v>559.95000000000005</v>
      </c>
      <c r="I621" t="str">
        <f>"PARTS/PCT#3"</f>
        <v>PARTS/PCT#3</v>
      </c>
    </row>
    <row r="622" spans="1:9" x14ac:dyDescent="0.3">
      <c r="A622" t="str">
        <f>"FLS"</f>
        <v>FLS</v>
      </c>
      <c r="B622" t="s">
        <v>215</v>
      </c>
      <c r="C622">
        <v>999999</v>
      </c>
      <c r="D622" s="2">
        <v>1050</v>
      </c>
      <c r="E622" s="1">
        <v>43004</v>
      </c>
      <c r="F622" t="str">
        <f>"201709134857"</f>
        <v>201709134857</v>
      </c>
      <c r="G622" t="str">
        <f>"N/A 09/08/17"</f>
        <v>N/A 09/08/17</v>
      </c>
      <c r="H622" s="2">
        <v>400</v>
      </c>
      <c r="I622" t="str">
        <f>"N/A 09/08/17"</f>
        <v>N/A 09/08/17</v>
      </c>
    </row>
    <row r="623" spans="1:9" x14ac:dyDescent="0.3">
      <c r="A623" t="str">
        <f>""</f>
        <v/>
      </c>
      <c r="F623" t="str">
        <f>"201709154933"</f>
        <v>201709154933</v>
      </c>
      <c r="G623" t="str">
        <f>"16 014"</f>
        <v>16 014</v>
      </c>
      <c r="H623" s="2">
        <v>400</v>
      </c>
      <c r="I623" t="str">
        <f>"16 014"</f>
        <v>16 014</v>
      </c>
    </row>
    <row r="624" spans="1:9" x14ac:dyDescent="0.3">
      <c r="A624" t="str">
        <f>""</f>
        <v/>
      </c>
      <c r="F624" t="str">
        <f>"201709205106"</f>
        <v>201709205106</v>
      </c>
      <c r="G624" t="str">
        <f>"J3091"</f>
        <v>J3091</v>
      </c>
      <c r="H624" s="2">
        <v>250</v>
      </c>
      <c r="I624" t="str">
        <f>"J3091"</f>
        <v>J3091</v>
      </c>
    </row>
    <row r="625" spans="1:9" x14ac:dyDescent="0.3">
      <c r="A625" t="str">
        <f>"PPLAN"</f>
        <v>PPLAN</v>
      </c>
      <c r="B625" t="s">
        <v>216</v>
      </c>
      <c r="C625">
        <v>72737</v>
      </c>
      <c r="D625" s="2">
        <v>1838.7</v>
      </c>
      <c r="E625" s="1">
        <v>43003</v>
      </c>
      <c r="F625" t="str">
        <f>"201709144896"</f>
        <v>201709144896</v>
      </c>
      <c r="G625" t="str">
        <f>"ACCT#8850283308/PCT#2"</f>
        <v>ACCT#8850283308/PCT#2</v>
      </c>
      <c r="H625" s="2">
        <v>-341.72</v>
      </c>
      <c r="I625" t="str">
        <f>"ACCT#8850283308/PCT#2"</f>
        <v>ACCT#8850283308/PCT#2</v>
      </c>
    </row>
    <row r="626" spans="1:9" x14ac:dyDescent="0.3">
      <c r="A626" t="str">
        <f>""</f>
        <v/>
      </c>
      <c r="F626" t="str">
        <f>"201709144910"</f>
        <v>201709144910</v>
      </c>
      <c r="G626" t="str">
        <f>"ACCT#8850283308/PCT#4"</f>
        <v>ACCT#8850283308/PCT#4</v>
      </c>
      <c r="H626" s="2">
        <v>-391.4</v>
      </c>
      <c r="I626" t="str">
        <f>"ACCT#8850283308/PCT#4"</f>
        <v>ACCT#8850283308/PCT#4</v>
      </c>
    </row>
    <row r="627" spans="1:9" x14ac:dyDescent="0.3">
      <c r="A627" t="str">
        <f>""</f>
        <v/>
      </c>
      <c r="F627" t="str">
        <f>"201709144890"</f>
        <v>201709144890</v>
      </c>
      <c r="G627" t="str">
        <f>"ACCT#8850283308/PCT#1"</f>
        <v>ACCT#8850283308/PCT#1</v>
      </c>
      <c r="H627" s="2">
        <v>1962.05</v>
      </c>
      <c r="I627" t="str">
        <f>"ACCT#8850283308/PCT#1"</f>
        <v>ACCT#8850283308/PCT#1</v>
      </c>
    </row>
    <row r="628" spans="1:9" x14ac:dyDescent="0.3">
      <c r="A628" t="str">
        <f>""</f>
        <v/>
      </c>
      <c r="F628" t="str">
        <f>"201709144899"</f>
        <v>201709144899</v>
      </c>
      <c r="G628" t="str">
        <f>"ACCT#8850283308/PCT#3"</f>
        <v>ACCT#8850283308/PCT#3</v>
      </c>
      <c r="H628" s="2">
        <v>609.77</v>
      </c>
      <c r="I628" t="str">
        <f>"ACCT#8850283308/PCT#3"</f>
        <v>ACCT#8850283308/PCT#3</v>
      </c>
    </row>
    <row r="629" spans="1:9" x14ac:dyDescent="0.3">
      <c r="A629" t="str">
        <f>"AT&amp;EI"</f>
        <v>AT&amp;EI</v>
      </c>
      <c r="B629" t="s">
        <v>217</v>
      </c>
      <c r="C629">
        <v>72506</v>
      </c>
      <c r="D629" s="2">
        <v>515.20000000000005</v>
      </c>
      <c r="E629" s="1">
        <v>42989</v>
      </c>
      <c r="F629" t="str">
        <f>"AP348813"</f>
        <v>AP348813</v>
      </c>
      <c r="G629" t="str">
        <f>"CUST#3326/PCT#4"</f>
        <v>CUST#3326/PCT#4</v>
      </c>
      <c r="H629" s="2">
        <v>515.20000000000005</v>
      </c>
      <c r="I629" t="str">
        <f>"CUST#3326/PCT#4"</f>
        <v>CUST#3326/PCT#4</v>
      </c>
    </row>
    <row r="630" spans="1:9" x14ac:dyDescent="0.3">
      <c r="A630" t="str">
        <f>"AT&amp;EI"</f>
        <v>AT&amp;EI</v>
      </c>
      <c r="B630" t="s">
        <v>217</v>
      </c>
      <c r="C630">
        <v>72738</v>
      </c>
      <c r="D630" s="2">
        <v>300.20999999999998</v>
      </c>
      <c r="E630" s="1">
        <v>43003</v>
      </c>
      <c r="F630" t="str">
        <f>"AP349292"</f>
        <v>AP349292</v>
      </c>
      <c r="G630" t="str">
        <f>"ACCT#3325/PCT#2"</f>
        <v>ACCT#3325/PCT#2</v>
      </c>
      <c r="H630" s="2">
        <v>182.08</v>
      </c>
      <c r="I630" t="str">
        <f>"ACCT#3325/PCT#2"</f>
        <v>ACCT#3325/PCT#2</v>
      </c>
    </row>
    <row r="631" spans="1:9" x14ac:dyDescent="0.3">
      <c r="A631" t="str">
        <f>""</f>
        <v/>
      </c>
      <c r="F631" t="str">
        <f>"AP349771"</f>
        <v>AP349771</v>
      </c>
      <c r="G631" t="str">
        <f>"CUST#3323/PCT#4"</f>
        <v>CUST#3323/PCT#4</v>
      </c>
      <c r="H631" s="2">
        <v>118.13</v>
      </c>
      <c r="I631" t="str">
        <f>"CUST#3323/PCT#4"</f>
        <v>CUST#3323/PCT#4</v>
      </c>
    </row>
    <row r="632" spans="1:9" x14ac:dyDescent="0.3">
      <c r="A632" t="str">
        <f>"002256"</f>
        <v>002256</v>
      </c>
      <c r="B632" t="s">
        <v>218</v>
      </c>
      <c r="C632">
        <v>72507</v>
      </c>
      <c r="D632" s="2">
        <v>14714</v>
      </c>
      <c r="E632" s="1">
        <v>42989</v>
      </c>
      <c r="F632" t="str">
        <f>"1009"</f>
        <v>1009</v>
      </c>
      <c r="G632" t="str">
        <f>"CONF#1772733405/PCT#2"</f>
        <v>CONF#1772733405/PCT#2</v>
      </c>
      <c r="H632" s="2">
        <v>5364</v>
      </c>
      <c r="I632" t="str">
        <f>"CONF#1772733405/PCT#2"</f>
        <v>CONF#1772733405/PCT#2</v>
      </c>
    </row>
    <row r="633" spans="1:9" x14ac:dyDescent="0.3">
      <c r="A633" t="str">
        <f>""</f>
        <v/>
      </c>
      <c r="F633" t="str">
        <f>"1010"</f>
        <v>1010</v>
      </c>
      <c r="G633" t="str">
        <f>"REPAIR &amp; REBUILD DAMAGED RD/P2"</f>
        <v>REPAIR &amp; REBUILD DAMAGED RD/P2</v>
      </c>
      <c r="H633" s="2">
        <v>850</v>
      </c>
      <c r="I633" t="str">
        <f>"REPAIR &amp; REBUILD DAMAGED RD/P2"</f>
        <v>REPAIR &amp; REBUILD DAMAGED RD/P2</v>
      </c>
    </row>
    <row r="634" spans="1:9" x14ac:dyDescent="0.3">
      <c r="A634" t="str">
        <f>""</f>
        <v/>
      </c>
      <c r="F634" t="str">
        <f>"1011"</f>
        <v>1011</v>
      </c>
      <c r="G634" t="str">
        <f>"SET CULVERT PIPES &amp; FIX/PCT#2"</f>
        <v>SET CULVERT PIPES &amp; FIX/PCT#2</v>
      </c>
      <c r="H634" s="2">
        <v>8500</v>
      </c>
      <c r="I634" t="str">
        <f>"SET CULVERT PIPES &amp; FIX/PCT#2"</f>
        <v>SET CULVERT PIPES &amp; FIX/PCT#2</v>
      </c>
    </row>
    <row r="635" spans="1:9" x14ac:dyDescent="0.3">
      <c r="A635" t="str">
        <f>"002256"</f>
        <v>002256</v>
      </c>
      <c r="B635" t="s">
        <v>218</v>
      </c>
      <c r="C635">
        <v>72886</v>
      </c>
      <c r="D635" s="2">
        <v>381.13</v>
      </c>
      <c r="E635" s="1">
        <v>43003</v>
      </c>
      <c r="F635" t="str">
        <f>"1012"</f>
        <v>1012</v>
      </c>
      <c r="G635" t="str">
        <f>"PLANT GRASS SEED/P2"</f>
        <v>PLANT GRASS SEED/P2</v>
      </c>
      <c r="H635" s="2">
        <v>381.13</v>
      </c>
      <c r="I635" t="str">
        <f>"FRERICH ENTERPRISES INC"</f>
        <v>FRERICH ENTERPRISES INC</v>
      </c>
    </row>
    <row r="636" spans="1:9" x14ac:dyDescent="0.3">
      <c r="A636" t="str">
        <f>"005139"</f>
        <v>005139</v>
      </c>
      <c r="B636" t="s">
        <v>219</v>
      </c>
      <c r="C636">
        <v>72739</v>
      </c>
      <c r="D636" s="2">
        <v>74654.16</v>
      </c>
      <c r="E636" s="1">
        <v>43003</v>
      </c>
      <c r="F636" t="str">
        <f>"28340"</f>
        <v>28340</v>
      </c>
      <c r="G636" t="str">
        <f>"RAWS STATION"</f>
        <v>RAWS STATION</v>
      </c>
      <c r="H636" s="2">
        <v>74654.16</v>
      </c>
      <c r="I636" t="str">
        <f>"RAWS STATION"</f>
        <v>RAWS STATION</v>
      </c>
    </row>
    <row r="637" spans="1:9" x14ac:dyDescent="0.3">
      <c r="A637" t="str">
        <f>""</f>
        <v/>
      </c>
      <c r="F637" t="str">
        <f>""</f>
        <v/>
      </c>
      <c r="G637" t="str">
        <f>""</f>
        <v/>
      </c>
      <c r="I637" t="str">
        <f>"PortableRAWS STATION"</f>
        <v>PortableRAWS STATION</v>
      </c>
    </row>
    <row r="638" spans="1:9" x14ac:dyDescent="0.3">
      <c r="A638" t="str">
        <f>""</f>
        <v/>
      </c>
      <c r="F638" t="str">
        <f>""</f>
        <v/>
      </c>
      <c r="G638" t="str">
        <f>""</f>
        <v/>
      </c>
      <c r="I638" t="str">
        <f>"Shipping"</f>
        <v>Shipping</v>
      </c>
    </row>
    <row r="639" spans="1:9" x14ac:dyDescent="0.3">
      <c r="A639" t="str">
        <f>"G&amp;C"</f>
        <v>G&amp;C</v>
      </c>
      <c r="B639" t="s">
        <v>220</v>
      </c>
      <c r="C639">
        <v>999999</v>
      </c>
      <c r="D639" s="2">
        <v>815.13</v>
      </c>
      <c r="E639" s="1">
        <v>43004</v>
      </c>
      <c r="F639" t="str">
        <f>"102895"</f>
        <v>102895</v>
      </c>
      <c r="G639" t="str">
        <f>"REGULAR ENVELOPES"</f>
        <v>REGULAR ENVELOPES</v>
      </c>
      <c r="H639" s="2">
        <v>35.85</v>
      </c>
      <c r="I639" t="str">
        <f>"REGULAR ENVELOPES"</f>
        <v>REGULAR ENVELOPES</v>
      </c>
    </row>
    <row r="640" spans="1:9" x14ac:dyDescent="0.3">
      <c r="A640" t="str">
        <f>""</f>
        <v/>
      </c>
      <c r="F640" t="str">
        <f>"102904"</f>
        <v>102904</v>
      </c>
      <c r="G640" t="str">
        <f>"POSTERS/HAND OUTS/ELECTIONS"</f>
        <v>POSTERS/HAND OUTS/ELECTIONS</v>
      </c>
      <c r="H640" s="2">
        <v>94.16</v>
      </c>
      <c r="I640" t="str">
        <f>"POSTERS/HAND OUTS/ELECTIONS"</f>
        <v>POSTERS/HAND OUTS/ELECTIONS</v>
      </c>
    </row>
    <row r="641" spans="1:9" x14ac:dyDescent="0.3">
      <c r="A641" t="str">
        <f>""</f>
        <v/>
      </c>
      <c r="F641" t="str">
        <f>"102977"</f>
        <v>102977</v>
      </c>
      <c r="G641" t="str">
        <f>"SCHEDULING ORD/PERSONAL BOND"</f>
        <v>SCHEDULING ORD/PERSONAL BOND</v>
      </c>
      <c r="H641" s="2">
        <v>631.72</v>
      </c>
      <c r="I641" t="str">
        <f>"SCHEDULING ORD/PERSONAL BOND"</f>
        <v>SCHEDULING ORD/PERSONAL BOND</v>
      </c>
    </row>
    <row r="642" spans="1:9" x14ac:dyDescent="0.3">
      <c r="A642" t="str">
        <f>""</f>
        <v/>
      </c>
      <c r="F642" t="str">
        <f>"103004"</f>
        <v>103004</v>
      </c>
      <c r="G642" t="str">
        <f>"POSTERS/FLYERS"</f>
        <v>POSTERS/FLYERS</v>
      </c>
      <c r="H642" s="2">
        <v>53.4</v>
      </c>
      <c r="I642" t="str">
        <f>"POSTERS/FLYERS"</f>
        <v>POSTERS/FLYERS</v>
      </c>
    </row>
    <row r="643" spans="1:9" x14ac:dyDescent="0.3">
      <c r="A643" t="str">
        <f>"002605"</f>
        <v>002605</v>
      </c>
      <c r="B643" t="s">
        <v>221</v>
      </c>
      <c r="C643">
        <v>72740</v>
      </c>
      <c r="D643" s="2">
        <v>322.72000000000003</v>
      </c>
      <c r="E643" s="1">
        <v>43003</v>
      </c>
      <c r="F643" t="str">
        <f>"201709154919"</f>
        <v>201709154919</v>
      </c>
      <c r="G643" t="str">
        <f>"CUST#2179855/PCT#3"</f>
        <v>CUST#2179855/PCT#3</v>
      </c>
      <c r="H643" s="2">
        <v>322.72000000000003</v>
      </c>
      <c r="I643" t="str">
        <f>"CUST#2179855/PCT#3"</f>
        <v>CUST#2179855/PCT#3</v>
      </c>
    </row>
    <row r="644" spans="1:9" x14ac:dyDescent="0.3">
      <c r="A644" t="str">
        <f>"004055"</f>
        <v>004055</v>
      </c>
      <c r="B644" t="s">
        <v>222</v>
      </c>
      <c r="C644">
        <v>72508</v>
      </c>
      <c r="D644" s="2">
        <v>851.11</v>
      </c>
      <c r="E644" s="1">
        <v>42989</v>
      </c>
      <c r="F644" t="str">
        <f>"1127 1128 1129"</f>
        <v>1127 1128 1129</v>
      </c>
      <c r="G644" t="str">
        <f>"INV 1127  1128  1129"</f>
        <v>INV 1127  1128  1129</v>
      </c>
      <c r="H644" s="2">
        <v>376.07</v>
      </c>
      <c r="I644" t="str">
        <f>"INV 1127 UNIT 1126"</f>
        <v>INV 1127 UNIT 1126</v>
      </c>
    </row>
    <row r="645" spans="1:9" x14ac:dyDescent="0.3">
      <c r="A645" t="str">
        <f>""</f>
        <v/>
      </c>
      <c r="F645" t="str">
        <f>""</f>
        <v/>
      </c>
      <c r="G645" t="str">
        <f>""</f>
        <v/>
      </c>
      <c r="I645" t="str">
        <f>"INV 1128 UNIT 4426"</f>
        <v>INV 1128 UNIT 4426</v>
      </c>
    </row>
    <row r="646" spans="1:9" x14ac:dyDescent="0.3">
      <c r="A646" t="str">
        <f>""</f>
        <v/>
      </c>
      <c r="F646" t="str">
        <f>""</f>
        <v/>
      </c>
      <c r="G646" t="str">
        <f>""</f>
        <v/>
      </c>
      <c r="I646" t="str">
        <f>"INV 1129 UNIT 118"</f>
        <v>INV 1129 UNIT 118</v>
      </c>
    </row>
    <row r="647" spans="1:9" x14ac:dyDescent="0.3">
      <c r="A647" t="str">
        <f>""</f>
        <v/>
      </c>
      <c r="F647" t="str">
        <f>"1134 1133"</f>
        <v>1134 1133</v>
      </c>
      <c r="G647" t="str">
        <f>"INV 1134  1133"</f>
        <v>INV 1134  1133</v>
      </c>
      <c r="H647" s="2">
        <v>475.04</v>
      </c>
      <c r="I647" t="str">
        <f>"INV 1134  UNIT 0799"</f>
        <v>INV 1134  UNIT 0799</v>
      </c>
    </row>
    <row r="648" spans="1:9" x14ac:dyDescent="0.3">
      <c r="A648" t="str">
        <f>""</f>
        <v/>
      </c>
      <c r="F648" t="str">
        <f>""</f>
        <v/>
      </c>
      <c r="G648" t="str">
        <f>""</f>
        <v/>
      </c>
      <c r="I648" t="str">
        <f>"INV 1133  UNIT 84"</f>
        <v>INV 1133  UNIT 84</v>
      </c>
    </row>
    <row r="649" spans="1:9" x14ac:dyDescent="0.3">
      <c r="A649" t="str">
        <f>"T5794"</f>
        <v>T5794</v>
      </c>
      <c r="B649" t="s">
        <v>223</v>
      </c>
      <c r="C649">
        <v>72509</v>
      </c>
      <c r="D649" s="2">
        <v>1970.73</v>
      </c>
      <c r="E649" s="1">
        <v>42989</v>
      </c>
      <c r="F649" t="str">
        <f>"N48749"</f>
        <v>N48749</v>
      </c>
      <c r="G649" t="str">
        <f>"T-SHIRTS"</f>
        <v>T-SHIRTS</v>
      </c>
      <c r="H649" s="2">
        <v>1970.73</v>
      </c>
      <c r="I649" t="str">
        <f>"T-SHIRTS"</f>
        <v>T-SHIRTS</v>
      </c>
    </row>
    <row r="650" spans="1:9" x14ac:dyDescent="0.3">
      <c r="A650" t="str">
        <f>"T5794"</f>
        <v>T5794</v>
      </c>
      <c r="B650" t="s">
        <v>223</v>
      </c>
      <c r="C650">
        <v>999999</v>
      </c>
      <c r="D650" s="2">
        <v>319.89999999999998</v>
      </c>
      <c r="E650" s="1">
        <v>43004</v>
      </c>
      <c r="F650" t="str">
        <f>"N48998"</f>
        <v>N48998</v>
      </c>
      <c r="G650" t="str">
        <f>"CUST#02260/ORD#S41203/BCAS"</f>
        <v>CUST#02260/ORD#S41203/BCAS</v>
      </c>
      <c r="H650" s="2">
        <v>319.89999999999998</v>
      </c>
      <c r="I650" t="str">
        <f>"CUST#02260/ORD#S41203/BCAS"</f>
        <v>CUST#02260/ORD#S41203/BCAS</v>
      </c>
    </row>
    <row r="651" spans="1:9" x14ac:dyDescent="0.3">
      <c r="A651" t="str">
        <f>"WWGI"</f>
        <v>WWGI</v>
      </c>
      <c r="B651" t="s">
        <v>224</v>
      </c>
      <c r="C651">
        <v>72741</v>
      </c>
      <c r="D651" s="2">
        <v>359.04</v>
      </c>
      <c r="E651" s="1">
        <v>43003</v>
      </c>
      <c r="F651" t="str">
        <f>"9549766575"</f>
        <v>9549766575</v>
      </c>
      <c r="G651" t="str">
        <f>"Order# WEB1294010793"</f>
        <v>Order# WEB1294010793</v>
      </c>
      <c r="H651" s="2">
        <v>359.04</v>
      </c>
      <c r="I651" t="str">
        <f>"Item# 4GHV7"</f>
        <v>Item# 4GHV7</v>
      </c>
    </row>
    <row r="652" spans="1:9" x14ac:dyDescent="0.3">
      <c r="A652" t="str">
        <f>"GTDI"</f>
        <v>GTDI</v>
      </c>
      <c r="B652" t="s">
        <v>225</v>
      </c>
      <c r="C652">
        <v>72510</v>
      </c>
      <c r="D652" s="2">
        <v>3738.7</v>
      </c>
      <c r="E652" s="1">
        <v>42989</v>
      </c>
      <c r="F652" t="str">
        <f>"0624574 1651079"</f>
        <v>0624574 1651079</v>
      </c>
      <c r="G652" t="str">
        <f>"INV 0624574 / INV1651079"</f>
        <v>INV 0624574 / INV1651079</v>
      </c>
      <c r="H652" s="2">
        <v>3553.5</v>
      </c>
      <c r="I652" t="str">
        <f>"INV 0624574"</f>
        <v>INV 0624574</v>
      </c>
    </row>
    <row r="653" spans="1:9" x14ac:dyDescent="0.3">
      <c r="A653" t="str">
        <f>""</f>
        <v/>
      </c>
      <c r="F653" t="str">
        <f>""</f>
        <v/>
      </c>
      <c r="G653" t="str">
        <f>""</f>
        <v/>
      </c>
      <c r="I653" t="str">
        <f>"INV1651079"</f>
        <v>INV1651079</v>
      </c>
    </row>
    <row r="654" spans="1:9" x14ac:dyDescent="0.3">
      <c r="A654" t="str">
        <f>""</f>
        <v/>
      </c>
      <c r="F654" t="str">
        <f>"INV0621616"</f>
        <v>INV0621616</v>
      </c>
      <c r="G654" t="str">
        <f>"SHIRTS/OEM"</f>
        <v>SHIRTS/OEM</v>
      </c>
      <c r="H654" s="2">
        <v>185.2</v>
      </c>
      <c r="I654" t="str">
        <f>"SHIRTS/OEM"</f>
        <v>SHIRTS/OEM</v>
      </c>
    </row>
    <row r="655" spans="1:9" x14ac:dyDescent="0.3">
      <c r="A655" t="str">
        <f>"T3667"</f>
        <v>T3667</v>
      </c>
      <c r="B655" t="s">
        <v>226</v>
      </c>
      <c r="C655">
        <v>72511</v>
      </c>
      <c r="D655" s="2">
        <v>618.17999999999995</v>
      </c>
      <c r="E655" s="1">
        <v>42989</v>
      </c>
      <c r="F655" t="str">
        <f>"1371184"</f>
        <v>1371184</v>
      </c>
      <c r="G655" t="str">
        <f>"CUST#0007014928/PAPER PRODUCTS"</f>
        <v>CUST#0007014928/PAPER PRODUCTS</v>
      </c>
      <c r="H655" s="2">
        <v>618.17999999999995</v>
      </c>
      <c r="I655" t="str">
        <f>"CUST#0007014928/PAPER PRODUCTS"</f>
        <v>CUST#0007014928/PAPER PRODUCTS</v>
      </c>
    </row>
    <row r="656" spans="1:9" x14ac:dyDescent="0.3">
      <c r="A656" t="str">
        <f>"T3667"</f>
        <v>T3667</v>
      </c>
      <c r="B656" t="s">
        <v>226</v>
      </c>
      <c r="C656">
        <v>72742</v>
      </c>
      <c r="D656" s="2">
        <v>1002.5</v>
      </c>
      <c r="E656" s="1">
        <v>43003</v>
      </c>
      <c r="F656" t="str">
        <f>"1378295"</f>
        <v>1378295</v>
      </c>
      <c r="G656" t="str">
        <f>"INV 1378295"</f>
        <v>INV 1378295</v>
      </c>
      <c r="H656" s="2">
        <v>1002.5</v>
      </c>
      <c r="I656" t="str">
        <f>"INV 1378295"</f>
        <v>INV 1378295</v>
      </c>
    </row>
    <row r="657" spans="1:10" x14ac:dyDescent="0.3">
      <c r="A657" t="str">
        <f>"005207"</f>
        <v>005207</v>
      </c>
      <c r="B657" t="s">
        <v>227</v>
      </c>
      <c r="C657">
        <v>72512</v>
      </c>
      <c r="D657" s="2">
        <v>214</v>
      </c>
      <c r="E657" s="1">
        <v>42989</v>
      </c>
      <c r="F657" t="str">
        <f>"201709064569"</f>
        <v>201709064569</v>
      </c>
      <c r="G657" t="str">
        <f>"REIMBURSE-MILEAGE"</f>
        <v>REIMBURSE-MILEAGE</v>
      </c>
      <c r="H657" s="2">
        <v>214</v>
      </c>
      <c r="I657" t="str">
        <f>"REIMBURSE-MILEAGE"</f>
        <v>REIMBURSE-MILEAGE</v>
      </c>
    </row>
    <row r="658" spans="1:10" x14ac:dyDescent="0.3">
      <c r="A658" t="str">
        <f>"003170"</f>
        <v>003170</v>
      </c>
      <c r="B658" t="s">
        <v>228</v>
      </c>
      <c r="C658">
        <v>72513</v>
      </c>
      <c r="D658" s="2">
        <v>225</v>
      </c>
      <c r="E658" s="1">
        <v>42989</v>
      </c>
      <c r="F658" t="str">
        <f>"12488"</f>
        <v>12488</v>
      </c>
      <c r="G658" t="str">
        <f>"SERVICE 6/14/17"</f>
        <v>SERVICE 6/14/17</v>
      </c>
      <c r="H658" s="2">
        <v>225</v>
      </c>
      <c r="I658" t="str">
        <f>"SERVICE 6/14/17"</f>
        <v>SERVICE 6/14/17</v>
      </c>
    </row>
    <row r="659" spans="1:10" x14ac:dyDescent="0.3">
      <c r="A659" t="str">
        <f>"003170"</f>
        <v>003170</v>
      </c>
      <c r="B659" t="s">
        <v>228</v>
      </c>
      <c r="C659">
        <v>72743</v>
      </c>
      <c r="D659" s="2">
        <v>75</v>
      </c>
      <c r="E659" s="1">
        <v>43003</v>
      </c>
      <c r="F659" t="str">
        <f>"12451"</f>
        <v>12451</v>
      </c>
      <c r="G659" t="str">
        <f>"SERVICE  6/14/17"</f>
        <v>SERVICE  6/14/17</v>
      </c>
      <c r="H659" s="2">
        <v>75</v>
      </c>
      <c r="I659" t="str">
        <f>"SERVICE  6/14/17"</f>
        <v>SERVICE  6/14/17</v>
      </c>
    </row>
    <row r="660" spans="1:10" x14ac:dyDescent="0.3">
      <c r="A660" t="str">
        <f>"005221"</f>
        <v>005221</v>
      </c>
      <c r="B660" t="s">
        <v>229</v>
      </c>
      <c r="C660">
        <v>72744</v>
      </c>
      <c r="D660" s="2">
        <v>16018.25</v>
      </c>
      <c r="E660" s="1">
        <v>43003</v>
      </c>
      <c r="F660" t="str">
        <f>"21509"</f>
        <v>21509</v>
      </c>
      <c r="G660" t="str">
        <f>"ORD#9165/RIP RAP/PCT#2"</f>
        <v>ORD#9165/RIP RAP/PCT#2</v>
      </c>
      <c r="H660" s="2">
        <v>13472.63</v>
      </c>
      <c r="I660" t="str">
        <f>"ORD#9165/RIP RAP/PCT#2"</f>
        <v>ORD#9165/RIP RAP/PCT#2</v>
      </c>
    </row>
    <row r="661" spans="1:10" x14ac:dyDescent="0.3">
      <c r="A661" t="str">
        <f>""</f>
        <v/>
      </c>
      <c r="F661" t="str">
        <f>"21551"</f>
        <v>21551</v>
      </c>
      <c r="G661" t="str">
        <f>"ACCT#954/RIP RAP/PCT#2"</f>
        <v>ACCT#954/RIP RAP/PCT#2</v>
      </c>
      <c r="H661" s="2">
        <v>2545.62</v>
      </c>
      <c r="I661" t="str">
        <f>"ACCT#954/RIP RAP/PCT#2"</f>
        <v>ACCT#954/RIP RAP/PCT#2</v>
      </c>
    </row>
    <row r="662" spans="1:10" x14ac:dyDescent="0.3">
      <c r="A662" t="str">
        <f>"004250"</f>
        <v>004250</v>
      </c>
      <c r="B662" t="s">
        <v>230</v>
      </c>
      <c r="C662">
        <v>72745</v>
      </c>
      <c r="D662" s="2">
        <v>1512</v>
      </c>
      <c r="E662" s="1">
        <v>43003</v>
      </c>
      <c r="F662" t="str">
        <f>"558515-01"</f>
        <v>558515-01</v>
      </c>
      <c r="G662" t="str">
        <f>"CUST#180474-C/PART#509554/PCT2"</f>
        <v>CUST#180474-C/PART#509554/PCT2</v>
      </c>
      <c r="H662" s="2">
        <v>1512</v>
      </c>
      <c r="I662" t="str">
        <f>"CUST#180474-C/PART#509554/PCT2"</f>
        <v>CUST#180474-C/PART#509554/PCT2</v>
      </c>
    </row>
    <row r="663" spans="1:10" x14ac:dyDescent="0.3">
      <c r="A663" t="str">
        <f>"002681"</f>
        <v>002681</v>
      </c>
      <c r="B663" t="s">
        <v>231</v>
      </c>
      <c r="C663">
        <v>72514</v>
      </c>
      <c r="D663" s="2">
        <v>116.83</v>
      </c>
      <c r="E663" s="1">
        <v>42989</v>
      </c>
      <c r="F663" t="str">
        <f>"0004403901-IN"</f>
        <v>0004403901-IN</v>
      </c>
      <c r="G663" t="str">
        <f>"INV 0004403901-IN"</f>
        <v>INV 0004403901-IN</v>
      </c>
      <c r="H663" s="2">
        <v>116.83</v>
      </c>
      <c r="I663" t="str">
        <f>"INV 0004403901-IN"</f>
        <v>INV 0004403901-IN</v>
      </c>
    </row>
    <row r="664" spans="1:10" x14ac:dyDescent="0.3">
      <c r="A664" t="str">
        <f>"004624"</f>
        <v>004624</v>
      </c>
      <c r="B664" t="s">
        <v>232</v>
      </c>
      <c r="C664">
        <v>72515</v>
      </c>
      <c r="D664" s="2">
        <v>100</v>
      </c>
      <c r="E664" s="1">
        <v>42989</v>
      </c>
      <c r="F664" t="s">
        <v>135</v>
      </c>
      <c r="G664" t="s">
        <v>233</v>
      </c>
      <c r="H664" s="2" t="str">
        <f>"RESTITUTION-M. FELTS"</f>
        <v>RESTITUTION-M. FELTS</v>
      </c>
      <c r="I664" t="str">
        <f>"210-0000"</f>
        <v>210-0000</v>
      </c>
      <c r="J664">
        <v>100</v>
      </c>
    </row>
    <row r="665" spans="1:10" x14ac:dyDescent="0.3">
      <c r="A665" t="str">
        <f>"004351"</f>
        <v>004351</v>
      </c>
      <c r="B665" t="s">
        <v>234</v>
      </c>
      <c r="C665">
        <v>72516</v>
      </c>
      <c r="D665" s="2">
        <v>353.56</v>
      </c>
      <c r="E665" s="1">
        <v>42989</v>
      </c>
      <c r="F665" t="str">
        <f>"201709014521"</f>
        <v>201709014521</v>
      </c>
      <c r="G665" t="str">
        <f>"TRVL ADVANCE-LODGING/PER DIEM"</f>
        <v>TRVL ADVANCE-LODGING/PER DIEM</v>
      </c>
      <c r="H665" s="2">
        <v>353.56</v>
      </c>
      <c r="I665" t="str">
        <f>"TRVL ADVANCE-LODGING/PER DIEM"</f>
        <v>TRVL ADVANCE-LODGING/PER DIEM</v>
      </c>
    </row>
    <row r="666" spans="1:10" x14ac:dyDescent="0.3">
      <c r="A666" t="str">
        <f>"HPC"</f>
        <v>HPC</v>
      </c>
      <c r="B666" t="s">
        <v>235</v>
      </c>
      <c r="C666">
        <v>72746</v>
      </c>
      <c r="D666" s="2">
        <v>650</v>
      </c>
      <c r="E666" s="1">
        <v>43003</v>
      </c>
      <c r="F666" t="str">
        <f>"PEST CONTROL SEPT"</f>
        <v>PEST CONTROL SEPT</v>
      </c>
      <c r="G666" t="str">
        <f>"SEPTEMBER SERVICE"</f>
        <v>SEPTEMBER SERVICE</v>
      </c>
      <c r="H666" s="2">
        <v>650</v>
      </c>
      <c r="I666" t="str">
        <f>"SEPTEMBER SERVICE"</f>
        <v>SEPTEMBER SERVICE</v>
      </c>
    </row>
    <row r="667" spans="1:10" x14ac:dyDescent="0.3">
      <c r="A667" t="str">
        <f>"ECKEL"</f>
        <v>ECKEL</v>
      </c>
      <c r="B667" t="s">
        <v>236</v>
      </c>
      <c r="C667">
        <v>72747</v>
      </c>
      <c r="D667" s="2">
        <v>450</v>
      </c>
      <c r="E667" s="1">
        <v>43003</v>
      </c>
      <c r="F667" t="str">
        <f>"201709194953"</f>
        <v>201709194953</v>
      </c>
      <c r="G667" t="str">
        <f>"16-17601"</f>
        <v>16-17601</v>
      </c>
      <c r="H667" s="2">
        <v>150</v>
      </c>
      <c r="I667" t="str">
        <f>"16-17601"</f>
        <v>16-17601</v>
      </c>
    </row>
    <row r="668" spans="1:10" x14ac:dyDescent="0.3">
      <c r="A668" t="str">
        <f>""</f>
        <v/>
      </c>
      <c r="F668" t="str">
        <f>"201709194954"</f>
        <v>201709194954</v>
      </c>
      <c r="G668" t="str">
        <f>"98 4913"</f>
        <v>98 4913</v>
      </c>
      <c r="H668" s="2">
        <v>100</v>
      </c>
      <c r="I668" t="str">
        <f>"98 4913"</f>
        <v>98 4913</v>
      </c>
    </row>
    <row r="669" spans="1:10" x14ac:dyDescent="0.3">
      <c r="A669" t="str">
        <f>""</f>
        <v/>
      </c>
      <c r="F669" t="str">
        <f>"201709194955"</f>
        <v>201709194955</v>
      </c>
      <c r="G669" t="str">
        <f>"11-14791"</f>
        <v>11-14791</v>
      </c>
      <c r="H669" s="2">
        <v>100</v>
      </c>
      <c r="I669" t="str">
        <f>"11-14791"</f>
        <v>11-14791</v>
      </c>
    </row>
    <row r="670" spans="1:10" x14ac:dyDescent="0.3">
      <c r="A670" t="str">
        <f>""</f>
        <v/>
      </c>
      <c r="F670" t="str">
        <f>"201709194956"</f>
        <v>201709194956</v>
      </c>
      <c r="G670" t="str">
        <f>"04-9338"</f>
        <v>04-9338</v>
      </c>
      <c r="H670" s="2">
        <v>100</v>
      </c>
      <c r="I670" t="str">
        <f>"04-9338"</f>
        <v>04-9338</v>
      </c>
    </row>
    <row r="671" spans="1:10" x14ac:dyDescent="0.3">
      <c r="A671" t="str">
        <f>"HM"</f>
        <v>HM</v>
      </c>
      <c r="B671" t="s">
        <v>237</v>
      </c>
      <c r="C671">
        <v>72517</v>
      </c>
      <c r="D671" s="2">
        <v>1481.75</v>
      </c>
      <c r="E671" s="1">
        <v>42989</v>
      </c>
      <c r="F671" t="str">
        <f>"WIUS0111135"</f>
        <v>WIUS0111135</v>
      </c>
      <c r="G671" t="str">
        <f>"CUST#0129150/MAINTENANCE/PCT#3"</f>
        <v>CUST#0129150/MAINTENANCE/PCT#3</v>
      </c>
      <c r="H671" s="2">
        <v>1481.75</v>
      </c>
      <c r="I671" t="str">
        <f>"CUST#0129150/MAINTENANCE/PCT#3"</f>
        <v>CUST#0129150/MAINTENANCE/PCT#3</v>
      </c>
    </row>
    <row r="672" spans="1:10" x14ac:dyDescent="0.3">
      <c r="A672" t="str">
        <f>"HM"</f>
        <v>HM</v>
      </c>
      <c r="B672" t="s">
        <v>237</v>
      </c>
      <c r="C672">
        <v>72748</v>
      </c>
      <c r="D672" s="2">
        <v>18372.64</v>
      </c>
      <c r="E672" s="1">
        <v>43003</v>
      </c>
      <c r="F672" t="str">
        <f>"24' DOVE TAIL"</f>
        <v>24' DOVE TAIL</v>
      </c>
      <c r="G672" t="str">
        <f>"21' TAG ALONG TRAILER"</f>
        <v>21' TAG ALONG TRAILER</v>
      </c>
      <c r="H672" s="2">
        <v>17775.060000000001</v>
      </c>
      <c r="I672" t="str">
        <f>"21' TAG ALONG TRAILER"</f>
        <v>21' TAG ALONG TRAILER</v>
      </c>
    </row>
    <row r="673" spans="1:9" x14ac:dyDescent="0.3">
      <c r="A673" t="str">
        <f>""</f>
        <v/>
      </c>
      <c r="F673" t="str">
        <f>"PIMP0252121"</f>
        <v>PIMP0252121</v>
      </c>
      <c r="G673" t="str">
        <f>"CUST#0129200/PCT#4"</f>
        <v>CUST#0129200/PCT#4</v>
      </c>
      <c r="H673" s="2">
        <v>562.84</v>
      </c>
      <c r="I673" t="str">
        <f>"CUST#0129200/PCT#4"</f>
        <v>CUST#0129200/PCT#4</v>
      </c>
    </row>
    <row r="674" spans="1:9" x14ac:dyDescent="0.3">
      <c r="A674" t="str">
        <f>""</f>
        <v/>
      </c>
      <c r="F674" t="str">
        <f>"PIMP0252139"</f>
        <v>PIMP0252139</v>
      </c>
      <c r="G674" t="str">
        <f>"CUST#0129200/PCT#4"</f>
        <v>CUST#0129200/PCT#4</v>
      </c>
      <c r="H674" s="2">
        <v>34.74</v>
      </c>
      <c r="I674" t="str">
        <f>"CUST#0129200/PCT#4"</f>
        <v>CUST#0129200/PCT#4</v>
      </c>
    </row>
    <row r="675" spans="1:9" x14ac:dyDescent="0.3">
      <c r="A675" t="str">
        <f>"T8869"</f>
        <v>T8869</v>
      </c>
      <c r="B675" t="s">
        <v>238</v>
      </c>
      <c r="C675">
        <v>72518</v>
      </c>
      <c r="D675" s="2">
        <v>3234.95</v>
      </c>
      <c r="E675" s="1">
        <v>42989</v>
      </c>
      <c r="F675" t="str">
        <f>"ACCOUNT#7656"</f>
        <v>ACCOUNT#7656</v>
      </c>
      <c r="G675" t="str">
        <f>"Acct# 7656"</f>
        <v>Acct# 7656</v>
      </c>
      <c r="H675" s="2">
        <v>3234.95</v>
      </c>
      <c r="I675" t="str">
        <f>"Inv# 7010101"</f>
        <v>Inv# 7010101</v>
      </c>
    </row>
    <row r="676" spans="1:9" x14ac:dyDescent="0.3">
      <c r="A676" t="str">
        <f>""</f>
        <v/>
      </c>
      <c r="F676" t="str">
        <f>""</f>
        <v/>
      </c>
      <c r="G676" t="str">
        <f>""</f>
        <v/>
      </c>
      <c r="I676" t="str">
        <f>"Inv# 6021911"</f>
        <v>Inv# 6021911</v>
      </c>
    </row>
    <row r="677" spans="1:9" x14ac:dyDescent="0.3">
      <c r="A677" t="str">
        <f>""</f>
        <v/>
      </c>
      <c r="F677" t="str">
        <f>""</f>
        <v/>
      </c>
      <c r="G677" t="str">
        <f>""</f>
        <v/>
      </c>
      <c r="I677" t="str">
        <f>"Inv# 6021963"</f>
        <v>Inv# 6021963</v>
      </c>
    </row>
    <row r="678" spans="1:9" x14ac:dyDescent="0.3">
      <c r="A678" t="str">
        <f>""</f>
        <v/>
      </c>
      <c r="F678" t="str">
        <f>""</f>
        <v/>
      </c>
      <c r="G678" t="str">
        <f>""</f>
        <v/>
      </c>
      <c r="I678" t="str">
        <f>"Inv# 6021972"</f>
        <v>Inv# 6021972</v>
      </c>
    </row>
    <row r="679" spans="1:9" x14ac:dyDescent="0.3">
      <c r="A679" t="str">
        <f>""</f>
        <v/>
      </c>
      <c r="F679" t="str">
        <f>""</f>
        <v/>
      </c>
      <c r="G679" t="str">
        <f>""</f>
        <v/>
      </c>
      <c r="I679" t="str">
        <f>"Inv# 5010305"</f>
        <v>Inv# 5010305</v>
      </c>
    </row>
    <row r="680" spans="1:9" x14ac:dyDescent="0.3">
      <c r="A680" t="str">
        <f>""</f>
        <v/>
      </c>
      <c r="F680" t="str">
        <f>""</f>
        <v/>
      </c>
      <c r="G680" t="str">
        <f>""</f>
        <v/>
      </c>
      <c r="I680" t="str">
        <f>"Inv# 4010360"</f>
        <v>Inv# 4010360</v>
      </c>
    </row>
    <row r="681" spans="1:9" x14ac:dyDescent="0.3">
      <c r="A681" t="str">
        <f>""</f>
        <v/>
      </c>
      <c r="F681" t="str">
        <f>""</f>
        <v/>
      </c>
      <c r="G681" t="str">
        <f>""</f>
        <v/>
      </c>
      <c r="I681" t="str">
        <f>"Inv# 13425"</f>
        <v>Inv# 13425</v>
      </c>
    </row>
    <row r="682" spans="1:9" x14ac:dyDescent="0.3">
      <c r="A682" t="str">
        <f>""</f>
        <v/>
      </c>
      <c r="F682" t="str">
        <f>""</f>
        <v/>
      </c>
      <c r="G682" t="str">
        <f>""</f>
        <v/>
      </c>
      <c r="I682" t="str">
        <f>"Inv# 9013516"</f>
        <v>Inv# 9013516</v>
      </c>
    </row>
    <row r="683" spans="1:9" x14ac:dyDescent="0.3">
      <c r="A683" t="str">
        <f>""</f>
        <v/>
      </c>
      <c r="F683" t="str">
        <f>""</f>
        <v/>
      </c>
      <c r="G683" t="str">
        <f>""</f>
        <v/>
      </c>
      <c r="I683" t="str">
        <f>"Inv# 8024911"</f>
        <v>Inv# 8024911</v>
      </c>
    </row>
    <row r="684" spans="1:9" x14ac:dyDescent="0.3">
      <c r="A684" t="str">
        <f>""</f>
        <v/>
      </c>
      <c r="F684" t="str">
        <f>""</f>
        <v/>
      </c>
      <c r="G684" t="str">
        <f>""</f>
        <v/>
      </c>
      <c r="I684" t="str">
        <f>"Inv# 7025015"</f>
        <v>Inv# 7025015</v>
      </c>
    </row>
    <row r="685" spans="1:9" x14ac:dyDescent="0.3">
      <c r="A685" t="str">
        <f>""</f>
        <v/>
      </c>
      <c r="F685" t="str">
        <f>""</f>
        <v/>
      </c>
      <c r="G685" t="str">
        <f>""</f>
        <v/>
      </c>
      <c r="I685" t="str">
        <f>"Inv# 4020002"</f>
        <v>Inv# 4020002</v>
      </c>
    </row>
    <row r="686" spans="1:9" x14ac:dyDescent="0.3">
      <c r="A686" t="str">
        <f>""</f>
        <v/>
      </c>
      <c r="F686" t="str">
        <f>""</f>
        <v/>
      </c>
      <c r="G686" t="str">
        <f>""</f>
        <v/>
      </c>
      <c r="I686" t="str">
        <f>"Inv# 3021246"</f>
        <v>Inv# 3021246</v>
      </c>
    </row>
    <row r="687" spans="1:9" x14ac:dyDescent="0.3">
      <c r="A687" t="str">
        <f>""</f>
        <v/>
      </c>
      <c r="F687" t="str">
        <f>""</f>
        <v/>
      </c>
      <c r="G687" t="str">
        <f>""</f>
        <v/>
      </c>
      <c r="I687" t="str">
        <f>"Inv# 1021447"</f>
        <v>Inv# 1021447</v>
      </c>
    </row>
    <row r="688" spans="1:9" x14ac:dyDescent="0.3">
      <c r="A688" t="str">
        <f>""</f>
        <v/>
      </c>
      <c r="F688" t="str">
        <f>""</f>
        <v/>
      </c>
      <c r="G688" t="str">
        <f>""</f>
        <v/>
      </c>
      <c r="I688" t="str">
        <f>"Inv# 9592143"</f>
        <v>Inv# 9592143</v>
      </c>
    </row>
    <row r="689" spans="1:9" x14ac:dyDescent="0.3">
      <c r="A689" t="str">
        <f>""</f>
        <v/>
      </c>
      <c r="F689" t="str">
        <f>""</f>
        <v/>
      </c>
      <c r="G689" t="str">
        <f>""</f>
        <v/>
      </c>
      <c r="I689" t="str">
        <f>"Inv# 8717908"</f>
        <v>Inv# 8717908</v>
      </c>
    </row>
    <row r="690" spans="1:9" x14ac:dyDescent="0.3">
      <c r="A690" t="str">
        <f>""</f>
        <v/>
      </c>
      <c r="F690" t="str">
        <f>""</f>
        <v/>
      </c>
      <c r="G690" t="str">
        <f>""</f>
        <v/>
      </c>
      <c r="I690" t="str">
        <f>"Inv# 7863759"</f>
        <v>Inv# 7863759</v>
      </c>
    </row>
    <row r="691" spans="1:9" x14ac:dyDescent="0.3">
      <c r="A691" t="str">
        <f>""</f>
        <v/>
      </c>
      <c r="F691" t="str">
        <f>""</f>
        <v/>
      </c>
      <c r="G691" t="str">
        <f>""</f>
        <v/>
      </c>
      <c r="I691" t="str">
        <f>"Inv# 14425"</f>
        <v>Inv# 14425</v>
      </c>
    </row>
    <row r="692" spans="1:9" x14ac:dyDescent="0.3">
      <c r="A692" t="str">
        <f>""</f>
        <v/>
      </c>
      <c r="F692" t="str">
        <f>""</f>
        <v/>
      </c>
      <c r="G692" t="str">
        <f>""</f>
        <v/>
      </c>
      <c r="I692" t="str">
        <f>"Inv# 7654062"</f>
        <v>Inv# 7654062</v>
      </c>
    </row>
    <row r="693" spans="1:9" x14ac:dyDescent="0.3">
      <c r="A693" t="str">
        <f>""</f>
        <v/>
      </c>
      <c r="F693" t="str">
        <f>""</f>
        <v/>
      </c>
      <c r="G693" t="str">
        <f>""</f>
        <v/>
      </c>
      <c r="I693" t="str">
        <f>"Inv# 8024953"</f>
        <v>Inv# 8024953</v>
      </c>
    </row>
    <row r="694" spans="1:9" x14ac:dyDescent="0.3">
      <c r="A694" t="str">
        <f>""</f>
        <v/>
      </c>
      <c r="F694" t="str">
        <f>""</f>
        <v/>
      </c>
      <c r="G694" t="str">
        <f>""</f>
        <v/>
      </c>
      <c r="I694" t="str">
        <f>"Inv# 8970383"</f>
        <v>Inv# 8970383</v>
      </c>
    </row>
    <row r="695" spans="1:9" x14ac:dyDescent="0.3">
      <c r="A695" t="str">
        <f>""</f>
        <v/>
      </c>
      <c r="F695" t="str">
        <f>""</f>
        <v/>
      </c>
      <c r="G695" t="str">
        <f>""</f>
        <v/>
      </c>
      <c r="I695" t="str">
        <f>"Inv# 2014128"</f>
        <v>Inv# 2014128</v>
      </c>
    </row>
    <row r="696" spans="1:9" x14ac:dyDescent="0.3">
      <c r="A696" t="str">
        <f>""</f>
        <v/>
      </c>
      <c r="F696" t="str">
        <f>""</f>
        <v/>
      </c>
      <c r="G696" t="str">
        <f>""</f>
        <v/>
      </c>
      <c r="I696" t="str">
        <f>"Inv# 1014259"</f>
        <v>Inv# 1014259</v>
      </c>
    </row>
    <row r="697" spans="1:9" x14ac:dyDescent="0.3">
      <c r="A697" t="str">
        <f>""</f>
        <v/>
      </c>
      <c r="F697" t="str">
        <f>""</f>
        <v/>
      </c>
      <c r="G697" t="str">
        <f>""</f>
        <v/>
      </c>
      <c r="I697" t="str">
        <f>"Inv# 4021046"</f>
        <v>Inv# 4021046</v>
      </c>
    </row>
    <row r="698" spans="1:9" x14ac:dyDescent="0.3">
      <c r="A698" t="str">
        <f>""</f>
        <v/>
      </c>
      <c r="F698" t="str">
        <f>""</f>
        <v/>
      </c>
      <c r="G698" t="str">
        <f>""</f>
        <v/>
      </c>
      <c r="I698" t="str">
        <f>"Inv# 4022052"</f>
        <v>Inv# 4022052</v>
      </c>
    </row>
    <row r="699" spans="1:9" x14ac:dyDescent="0.3">
      <c r="A699" t="str">
        <f>""</f>
        <v/>
      </c>
      <c r="F699" t="str">
        <f>""</f>
        <v/>
      </c>
      <c r="G699" t="str">
        <f>""</f>
        <v/>
      </c>
      <c r="I699" t="str">
        <f>"Inv# 6753071"</f>
        <v>Inv# 6753071</v>
      </c>
    </row>
    <row r="700" spans="1:9" x14ac:dyDescent="0.3">
      <c r="A700" t="str">
        <f>""</f>
        <v/>
      </c>
      <c r="F700" t="str">
        <f>""</f>
        <v/>
      </c>
      <c r="G700" t="str">
        <f>""</f>
        <v/>
      </c>
      <c r="I700" t="str">
        <f>"Inv# 9024855"</f>
        <v>Inv# 9024855</v>
      </c>
    </row>
    <row r="701" spans="1:9" x14ac:dyDescent="0.3">
      <c r="A701" t="str">
        <f>""</f>
        <v/>
      </c>
      <c r="F701" t="str">
        <f>""</f>
        <v/>
      </c>
      <c r="G701" t="str">
        <f>""</f>
        <v/>
      </c>
      <c r="I701" t="str">
        <f>"Inv# 3014036"</f>
        <v>Inv# 3014036</v>
      </c>
    </row>
    <row r="702" spans="1:9" x14ac:dyDescent="0.3">
      <c r="A702" t="str">
        <f>""</f>
        <v/>
      </c>
      <c r="F702" t="str">
        <f>""</f>
        <v/>
      </c>
      <c r="G702" t="str">
        <f>""</f>
        <v/>
      </c>
      <c r="I702" t="str">
        <f>"Inv# 3591528"</f>
        <v>Inv# 3591528</v>
      </c>
    </row>
    <row r="703" spans="1:9" x14ac:dyDescent="0.3">
      <c r="A703" t="str">
        <f>""</f>
        <v/>
      </c>
      <c r="F703" t="str">
        <f>""</f>
        <v/>
      </c>
      <c r="G703" t="str">
        <f>""</f>
        <v/>
      </c>
      <c r="I703" t="str">
        <f>"Inv# 2020235"</f>
        <v>Inv# 2020235</v>
      </c>
    </row>
    <row r="704" spans="1:9" x14ac:dyDescent="0.3">
      <c r="A704" t="str">
        <f>""</f>
        <v/>
      </c>
      <c r="F704" t="str">
        <f>""</f>
        <v/>
      </c>
      <c r="G704" t="str">
        <f>""</f>
        <v/>
      </c>
      <c r="I704" t="str">
        <f>"Inv# 1014226"</f>
        <v>Inv# 1014226</v>
      </c>
    </row>
    <row r="705" spans="1:9" x14ac:dyDescent="0.3">
      <c r="A705" t="str">
        <f>""</f>
        <v/>
      </c>
      <c r="F705" t="str">
        <f>""</f>
        <v/>
      </c>
      <c r="G705" t="str">
        <f>""</f>
        <v/>
      </c>
      <c r="I705" t="str">
        <f>"Inv# 1092652"</f>
        <v>Inv# 1092652</v>
      </c>
    </row>
    <row r="706" spans="1:9" x14ac:dyDescent="0.3">
      <c r="A706" t="str">
        <f>""</f>
        <v/>
      </c>
      <c r="F706" t="str">
        <f>""</f>
        <v/>
      </c>
      <c r="G706" t="str">
        <f>""</f>
        <v/>
      </c>
      <c r="I706" t="str">
        <f>"Inv# 1565388"</f>
        <v>Inv# 1565388</v>
      </c>
    </row>
    <row r="707" spans="1:9" x14ac:dyDescent="0.3">
      <c r="A707" t="str">
        <f>""</f>
        <v/>
      </c>
      <c r="F707" t="str">
        <f>""</f>
        <v/>
      </c>
      <c r="G707" t="str">
        <f>""</f>
        <v/>
      </c>
      <c r="I707" t="str">
        <f>"Inv# 1723341"</f>
        <v>Inv# 1723341</v>
      </c>
    </row>
    <row r="708" spans="1:9" x14ac:dyDescent="0.3">
      <c r="A708" t="str">
        <f>""</f>
        <v/>
      </c>
      <c r="F708" t="str">
        <f>""</f>
        <v/>
      </c>
      <c r="G708" t="str">
        <f>""</f>
        <v/>
      </c>
      <c r="I708" t="str">
        <f>"Inv# 5565697"</f>
        <v>Inv# 5565697</v>
      </c>
    </row>
    <row r="709" spans="1:9" x14ac:dyDescent="0.3">
      <c r="A709" t="str">
        <f>""</f>
        <v/>
      </c>
      <c r="F709" t="str">
        <f>""</f>
        <v/>
      </c>
      <c r="G709" t="str">
        <f>""</f>
        <v/>
      </c>
      <c r="I709" t="str">
        <f>"Inv# 4565757"</f>
        <v>Inv# 4565757</v>
      </c>
    </row>
    <row r="710" spans="1:9" x14ac:dyDescent="0.3">
      <c r="A710" t="str">
        <f>"005210"</f>
        <v>005210</v>
      </c>
      <c r="B710" t="s">
        <v>239</v>
      </c>
      <c r="C710">
        <v>72749</v>
      </c>
      <c r="D710" s="2">
        <v>100</v>
      </c>
      <c r="E710" s="1">
        <v>43003</v>
      </c>
      <c r="F710" t="str">
        <f>"201709144878"</f>
        <v>201709144878</v>
      </c>
      <c r="G710" t="str">
        <f>"SUBDIVISION REVIEW FEE REFUND"</f>
        <v>SUBDIVISION REVIEW FEE REFUND</v>
      </c>
      <c r="H710" s="2">
        <v>100</v>
      </c>
      <c r="I710" t="str">
        <f>"SUBDIVISION REVIEW FEE REFUND"</f>
        <v>SUBDIVISION REVIEW FEE REFUND</v>
      </c>
    </row>
    <row r="711" spans="1:9" x14ac:dyDescent="0.3">
      <c r="A711" t="str">
        <f>"003653"</f>
        <v>003653</v>
      </c>
      <c r="B711" t="s">
        <v>240</v>
      </c>
      <c r="C711">
        <v>72640</v>
      </c>
      <c r="D711" s="2">
        <v>2308.23</v>
      </c>
      <c r="E711" s="1">
        <v>42993</v>
      </c>
      <c r="F711" t="str">
        <f>"S1709050001-00041"</f>
        <v>S1709050001-00041</v>
      </c>
      <c r="G711" t="str">
        <f>"ACCT #100402264 / 09052017"</f>
        <v>ACCT #100402264 / 09052017</v>
      </c>
      <c r="H711" s="2">
        <v>2308.23</v>
      </c>
      <c r="I711" t="str">
        <f>"HUDSON ENERGY CORP"</f>
        <v>HUDSON ENERGY CORP</v>
      </c>
    </row>
    <row r="712" spans="1:9" x14ac:dyDescent="0.3">
      <c r="A712" t="str">
        <f>""</f>
        <v/>
      </c>
      <c r="F712" t="str">
        <f>""</f>
        <v/>
      </c>
      <c r="G712" t="str">
        <f>""</f>
        <v/>
      </c>
      <c r="I712" t="str">
        <f>"HUDSON ENERGY CORP"</f>
        <v>HUDSON ENERGY CORP</v>
      </c>
    </row>
    <row r="713" spans="1:9" x14ac:dyDescent="0.3">
      <c r="A713" t="str">
        <f>""</f>
        <v/>
      </c>
      <c r="F713" t="str">
        <f>""</f>
        <v/>
      </c>
      <c r="G713" t="str">
        <f>""</f>
        <v/>
      </c>
      <c r="I713" t="str">
        <f>"HUDSON ENERGY CORP"</f>
        <v>HUDSON ENERGY CORP</v>
      </c>
    </row>
    <row r="714" spans="1:9" x14ac:dyDescent="0.3">
      <c r="A714" t="str">
        <f>"003545"</f>
        <v>003545</v>
      </c>
      <c r="B714" t="s">
        <v>241</v>
      </c>
      <c r="C714">
        <v>72519</v>
      </c>
      <c r="D714" s="2">
        <v>587.59</v>
      </c>
      <c r="E714" s="1">
        <v>42989</v>
      </c>
      <c r="F714" t="str">
        <f>"100360"</f>
        <v>100360</v>
      </c>
      <c r="G714" t="str">
        <f>"HOSE/FLUID/PCT#3"</f>
        <v>HOSE/FLUID/PCT#3</v>
      </c>
      <c r="H714" s="2">
        <v>80.8</v>
      </c>
      <c r="I714" t="str">
        <f>"HOSE/FLUID/PCT#3"</f>
        <v>HOSE/FLUID/PCT#3</v>
      </c>
    </row>
    <row r="715" spans="1:9" x14ac:dyDescent="0.3">
      <c r="A715" t="str">
        <f>""</f>
        <v/>
      </c>
      <c r="F715" t="str">
        <f>"100442"</f>
        <v>100442</v>
      </c>
      <c r="G715" t="str">
        <f>"CYL REPAIR/PCT#3"</f>
        <v>CYL REPAIR/PCT#3</v>
      </c>
      <c r="H715" s="2">
        <v>506.79</v>
      </c>
      <c r="I715" t="str">
        <f>"CYL REPAIR/PCT#3"</f>
        <v>CYL REPAIR/PCT#3</v>
      </c>
    </row>
    <row r="716" spans="1:9" x14ac:dyDescent="0.3">
      <c r="A716" t="str">
        <f>"003545"</f>
        <v>003545</v>
      </c>
      <c r="B716" t="s">
        <v>241</v>
      </c>
      <c r="C716">
        <v>999999</v>
      </c>
      <c r="D716" s="2">
        <v>708.67</v>
      </c>
      <c r="E716" s="1">
        <v>43004</v>
      </c>
      <c r="F716" t="str">
        <f>"100497"</f>
        <v>100497</v>
      </c>
      <c r="G716" t="str">
        <f>"HYDRAULIC CYL REPAIR/PCT#3"</f>
        <v>HYDRAULIC CYL REPAIR/PCT#3</v>
      </c>
      <c r="H716" s="2">
        <v>708.67</v>
      </c>
      <c r="I716" t="str">
        <f>"HYDRAULIC CYL REPAIR/PCT#3"</f>
        <v>HYDRAULIC CYL REPAIR/PCT#3</v>
      </c>
    </row>
    <row r="717" spans="1:9" x14ac:dyDescent="0.3">
      <c r="A717" t="str">
        <f>"T11576"</f>
        <v>T11576</v>
      </c>
      <c r="B717" t="s">
        <v>242</v>
      </c>
      <c r="C717">
        <v>999999</v>
      </c>
      <c r="D717" s="2">
        <v>2430</v>
      </c>
      <c r="E717" s="1">
        <v>43004</v>
      </c>
      <c r="F717" t="str">
        <f>"64633"</f>
        <v>64633</v>
      </c>
      <c r="G717" t="str">
        <f>"PROFESSIONAL SVCS FOR OCT 2017"</f>
        <v>PROFESSIONAL SVCS FOR OCT 2017</v>
      </c>
      <c r="H717" s="2">
        <v>2430</v>
      </c>
      <c r="I717" t="str">
        <f>"PROFESSIONAL SVCS FOR OCT 2017"</f>
        <v>PROFESSIONAL SVCS FOR OCT 2017</v>
      </c>
    </row>
    <row r="718" spans="1:9" x14ac:dyDescent="0.3">
      <c r="A718" t="str">
        <f>""</f>
        <v/>
      </c>
      <c r="F718" t="str">
        <f>""</f>
        <v/>
      </c>
      <c r="G718" t="str">
        <f>""</f>
        <v/>
      </c>
      <c r="I718" t="str">
        <f>"PROFESSIONAL SVCS FOR OCT 2017"</f>
        <v>PROFESSIONAL SVCS FOR OCT 2017</v>
      </c>
    </row>
    <row r="719" spans="1:9" x14ac:dyDescent="0.3">
      <c r="A719" t="str">
        <f>"IRON"</f>
        <v>IRON</v>
      </c>
      <c r="B719" t="s">
        <v>243</v>
      </c>
      <c r="C719">
        <v>72750</v>
      </c>
      <c r="D719" s="2">
        <v>66.12</v>
      </c>
      <c r="E719" s="1">
        <v>43003</v>
      </c>
      <c r="F719" t="str">
        <f>"PDB1455"</f>
        <v>PDB1455</v>
      </c>
      <c r="G719" t="str">
        <f>"CUST ID#AX773/COUNTY CLERK"</f>
        <v>CUST ID#AX773/COUNTY CLERK</v>
      </c>
      <c r="H719" s="2">
        <v>66.12</v>
      </c>
      <c r="I719" t="str">
        <f>"CUST ID#AX773/COUNTY CLERK"</f>
        <v>CUST ID#AX773/COUNTY CLERK</v>
      </c>
    </row>
    <row r="720" spans="1:9" x14ac:dyDescent="0.3">
      <c r="A720" t="str">
        <f>"T7585"</f>
        <v>T7585</v>
      </c>
      <c r="B720" t="s">
        <v>244</v>
      </c>
      <c r="C720">
        <v>72520</v>
      </c>
      <c r="D720" s="2">
        <v>260</v>
      </c>
      <c r="E720" s="1">
        <v>42989</v>
      </c>
      <c r="F720" t="str">
        <f>"143541"</f>
        <v>143541</v>
      </c>
      <c r="G720" t="str">
        <f>"UNIT RENTAL/5540 FM 535"</f>
        <v>UNIT RENTAL/5540 FM 535</v>
      </c>
      <c r="H720" s="2">
        <v>260</v>
      </c>
      <c r="I720" t="str">
        <f>"UNIT RENTAL/5540 FM 535"</f>
        <v>UNIT RENTAL/5540 FM 535</v>
      </c>
    </row>
    <row r="721" spans="1:10" x14ac:dyDescent="0.3">
      <c r="A721" t="str">
        <f>"004219"</f>
        <v>004219</v>
      </c>
      <c r="B721" t="s">
        <v>245</v>
      </c>
      <c r="C721">
        <v>72751</v>
      </c>
      <c r="D721" s="2">
        <v>75</v>
      </c>
      <c r="E721" s="1">
        <v>43003</v>
      </c>
      <c r="F721" t="str">
        <f>"12451"</f>
        <v>12451</v>
      </c>
      <c r="G721" t="str">
        <f>"SERVICE  6/14/17"</f>
        <v>SERVICE  6/14/17</v>
      </c>
      <c r="H721" s="2">
        <v>75</v>
      </c>
      <c r="I721" t="str">
        <f>"SERVICE  6/14/17"</f>
        <v>SERVICE  6/14/17</v>
      </c>
    </row>
    <row r="722" spans="1:10" x14ac:dyDescent="0.3">
      <c r="A722" t="str">
        <f>"005135"</f>
        <v>005135</v>
      </c>
      <c r="B722" t="s">
        <v>246</v>
      </c>
      <c r="C722">
        <v>72522</v>
      </c>
      <c r="D722" s="2">
        <v>93.88</v>
      </c>
      <c r="E722" s="1">
        <v>42989</v>
      </c>
      <c r="F722" t="str">
        <f>"201709064570"</f>
        <v>201709064570</v>
      </c>
      <c r="G722" t="str">
        <f>"VISITING JUDGE-MILEAGE"</f>
        <v>VISITING JUDGE-MILEAGE</v>
      </c>
      <c r="H722" s="2">
        <v>93.88</v>
      </c>
      <c r="I722" t="str">
        <f>"VISITING JUDGE-MILEAGE/RATE"</f>
        <v>VISITING JUDGE-MILEAGE/RATE</v>
      </c>
    </row>
    <row r="723" spans="1:10" x14ac:dyDescent="0.3">
      <c r="A723" t="str">
        <f>"EAGLE"</f>
        <v>EAGLE</v>
      </c>
      <c r="B723" t="s">
        <v>247</v>
      </c>
      <c r="C723">
        <v>72521</v>
      </c>
      <c r="D723" s="2">
        <v>1060</v>
      </c>
      <c r="E723" s="1">
        <v>42989</v>
      </c>
      <c r="F723" t="str">
        <f>"201709014487"</f>
        <v>201709014487</v>
      </c>
      <c r="G723" t="str">
        <f>"PEST CONTROL"</f>
        <v>PEST CONTROL</v>
      </c>
      <c r="H723" s="2">
        <v>1060</v>
      </c>
      <c r="I723" t="str">
        <f>"PEST CONTROL"</f>
        <v>PEST CONTROL</v>
      </c>
    </row>
    <row r="724" spans="1:10" x14ac:dyDescent="0.3">
      <c r="A724" t="str">
        <f>"EAGLE"</f>
        <v>EAGLE</v>
      </c>
      <c r="B724" t="s">
        <v>247</v>
      </c>
      <c r="C724">
        <v>72752</v>
      </c>
      <c r="D724" s="2">
        <v>1404</v>
      </c>
      <c r="E724" s="1">
        <v>43003</v>
      </c>
      <c r="F724" t="str">
        <f>"201709144917"</f>
        <v>201709144917</v>
      </c>
      <c r="G724" t="str">
        <f>"PEST SVCS"</f>
        <v>PEST SVCS</v>
      </c>
      <c r="H724" s="2">
        <v>1404</v>
      </c>
      <c r="I724" t="str">
        <f>"PEST SVCS"</f>
        <v>PEST SVCS</v>
      </c>
    </row>
    <row r="725" spans="1:10" x14ac:dyDescent="0.3">
      <c r="A725" t="str">
        <f>"005229"</f>
        <v>005229</v>
      </c>
      <c r="B725" t="s">
        <v>248</v>
      </c>
      <c r="C725">
        <v>72888</v>
      </c>
      <c r="D725" s="2">
        <v>500</v>
      </c>
      <c r="E725" s="1">
        <v>43005</v>
      </c>
      <c r="F725" t="str">
        <f>"201709275130"</f>
        <v>201709275130</v>
      </c>
      <c r="G725" t="str">
        <f>"WITNESS RETAINER / CAUSE 16015"</f>
        <v>WITNESS RETAINER / CAUSE 16015</v>
      </c>
      <c r="H725" s="2">
        <v>500</v>
      </c>
      <c r="I725" t="str">
        <f>"JAMES M. BURRIS"</f>
        <v>JAMES M. BURRIS</v>
      </c>
    </row>
    <row r="726" spans="1:10" x14ac:dyDescent="0.3">
      <c r="A726" t="str">
        <f>"T13801"</f>
        <v>T13801</v>
      </c>
      <c r="B726" t="s">
        <v>249</v>
      </c>
      <c r="C726">
        <v>72523</v>
      </c>
      <c r="D726" s="2">
        <v>210.31</v>
      </c>
      <c r="E726" s="1">
        <v>42989</v>
      </c>
      <c r="F726" t="str">
        <f>"201709064615"</f>
        <v>201709064615</v>
      </c>
      <c r="G726" t="str">
        <f>"INDIGENT HEALTH"</f>
        <v>INDIGENT HEALTH</v>
      </c>
      <c r="H726" s="2">
        <v>210.31</v>
      </c>
      <c r="I726" t="str">
        <f>"INDIGENT HEALTH"</f>
        <v>INDIGENT HEALTH</v>
      </c>
    </row>
    <row r="727" spans="1:10" x14ac:dyDescent="0.3">
      <c r="A727" t="str">
        <f>""</f>
        <v/>
      </c>
      <c r="F727" t="str">
        <f>""</f>
        <v/>
      </c>
      <c r="G727" t="str">
        <f>""</f>
        <v/>
      </c>
      <c r="I727" t="str">
        <f>"INDIGENT HEALTH"</f>
        <v>INDIGENT HEALTH</v>
      </c>
    </row>
    <row r="728" spans="1:10" x14ac:dyDescent="0.3">
      <c r="A728" t="str">
        <f>"T7860"</f>
        <v>T7860</v>
      </c>
      <c r="B728" t="s">
        <v>250</v>
      </c>
      <c r="C728">
        <v>72524</v>
      </c>
      <c r="D728" s="2">
        <v>1925</v>
      </c>
      <c r="E728" s="1">
        <v>42989</v>
      </c>
      <c r="F728" t="s">
        <v>93</v>
      </c>
      <c r="G728" t="s">
        <v>94</v>
      </c>
      <c r="H728" s="2" t="str">
        <f>"AD LITEM FEE 6/14/17"</f>
        <v>AD LITEM FEE 6/14/17</v>
      </c>
      <c r="I728" t="str">
        <f>"995-4110"</f>
        <v>995-4110</v>
      </c>
      <c r="J728">
        <v>150</v>
      </c>
    </row>
    <row r="729" spans="1:10" x14ac:dyDescent="0.3">
      <c r="A729" t="str">
        <f>""</f>
        <v/>
      </c>
      <c r="F729" t="s">
        <v>95</v>
      </c>
      <c r="G729" t="s">
        <v>251</v>
      </c>
      <c r="H729" s="2" t="str">
        <f>"AD LITEM FEE 6/14/17"</f>
        <v>AD LITEM FEE 6/14/17</v>
      </c>
      <c r="I729" t="str">
        <f>"995-4110"</f>
        <v>995-4110</v>
      </c>
      <c r="J729">
        <v>150</v>
      </c>
    </row>
    <row r="730" spans="1:10" x14ac:dyDescent="0.3">
      <c r="A730" t="str">
        <f>""</f>
        <v/>
      </c>
      <c r="F730" t="s">
        <v>95</v>
      </c>
      <c r="G730" t="s">
        <v>97</v>
      </c>
      <c r="H730" s="2" t="str">
        <f>"AD LITEM FEE  6/14/17"</f>
        <v>AD LITEM FEE  6/14/17</v>
      </c>
      <c r="I730" t="str">
        <f>"995-4110"</f>
        <v>995-4110</v>
      </c>
      <c r="J730">
        <v>150</v>
      </c>
    </row>
    <row r="731" spans="1:10" x14ac:dyDescent="0.3">
      <c r="A731" t="str">
        <f>""</f>
        <v/>
      </c>
      <c r="F731" t="str">
        <f>"12480"</f>
        <v>12480</v>
      </c>
      <c r="G731" t="str">
        <f>"AD LITEM FEE 6/14/17"</f>
        <v>AD LITEM FEE 6/14/17</v>
      </c>
      <c r="H731" s="2">
        <v>150</v>
      </c>
      <c r="I731" t="str">
        <f>"AD LITEM FEE 6/14/17"</f>
        <v>AD LITEM FEE 6/14/17</v>
      </c>
    </row>
    <row r="732" spans="1:10" x14ac:dyDescent="0.3">
      <c r="A732" t="str">
        <f>""</f>
        <v/>
      </c>
      <c r="F732" t="str">
        <f>"12488"</f>
        <v>12488</v>
      </c>
      <c r="G732" t="str">
        <f>"AD LITEM FEE 6/14/17"</f>
        <v>AD LITEM FEE 6/14/17</v>
      </c>
      <c r="H732" s="2">
        <v>150</v>
      </c>
      <c r="I732" t="str">
        <f>"AD LITEM FEE 6/14/17"</f>
        <v>AD LITEM FEE 6/14/17</v>
      </c>
    </row>
    <row r="733" spans="1:10" x14ac:dyDescent="0.3">
      <c r="A733" t="str">
        <f>""</f>
        <v/>
      </c>
      <c r="F733" t="str">
        <f>"201709064585"</f>
        <v>201709064585</v>
      </c>
      <c r="G733" t="str">
        <f>"54 974"</f>
        <v>54 974</v>
      </c>
      <c r="H733" s="2">
        <v>250</v>
      </c>
      <c r="I733" t="str">
        <f>"54 974"</f>
        <v>54 974</v>
      </c>
    </row>
    <row r="734" spans="1:10" x14ac:dyDescent="0.3">
      <c r="A734" t="str">
        <f>""</f>
        <v/>
      </c>
      <c r="F734" t="str">
        <f>"201709064586"</f>
        <v>201709064586</v>
      </c>
      <c r="G734" t="str">
        <f>"17-18579"</f>
        <v>17-18579</v>
      </c>
      <c r="H734" s="2">
        <v>100</v>
      </c>
      <c r="I734" t="str">
        <f>"17-18579"</f>
        <v>17-18579</v>
      </c>
    </row>
    <row r="735" spans="1:10" x14ac:dyDescent="0.3">
      <c r="A735" t="str">
        <f>""</f>
        <v/>
      </c>
      <c r="F735" t="str">
        <f>"201709064587"</f>
        <v>201709064587</v>
      </c>
      <c r="G735" t="str">
        <f>"17-18461"</f>
        <v>17-18461</v>
      </c>
      <c r="H735" s="2">
        <v>100</v>
      </c>
      <c r="I735" t="str">
        <f>"17-18461"</f>
        <v>17-18461</v>
      </c>
    </row>
    <row r="736" spans="1:10" x14ac:dyDescent="0.3">
      <c r="A736" t="str">
        <f>""</f>
        <v/>
      </c>
      <c r="F736" t="str">
        <f>"201709064588"</f>
        <v>201709064588</v>
      </c>
      <c r="G736" t="str">
        <f>"16-18067"</f>
        <v>16-18067</v>
      </c>
      <c r="H736" s="2">
        <v>100</v>
      </c>
      <c r="I736" t="str">
        <f>"16-18067"</f>
        <v>16-18067</v>
      </c>
    </row>
    <row r="737" spans="1:10" x14ac:dyDescent="0.3">
      <c r="A737" t="str">
        <f>""</f>
        <v/>
      </c>
      <c r="F737" t="str">
        <f>"201709064589"</f>
        <v>201709064589</v>
      </c>
      <c r="G737" t="str">
        <f>"55 279"</f>
        <v>55 279</v>
      </c>
      <c r="H737" s="2">
        <v>250</v>
      </c>
      <c r="I737" t="str">
        <f>"55 279"</f>
        <v>55 279</v>
      </c>
    </row>
    <row r="738" spans="1:10" x14ac:dyDescent="0.3">
      <c r="A738" t="str">
        <f>""</f>
        <v/>
      </c>
      <c r="F738" t="str">
        <f>"201709064590"</f>
        <v>201709064590</v>
      </c>
      <c r="G738" t="str">
        <f>"53 711  54 574"</f>
        <v>53 711  54 574</v>
      </c>
      <c r="H738" s="2">
        <v>375</v>
      </c>
      <c r="I738" t="str">
        <f>"53 711  54 574"</f>
        <v>53 711  54 574</v>
      </c>
    </row>
    <row r="739" spans="1:10" x14ac:dyDescent="0.3">
      <c r="A739" t="str">
        <f>"T7860"</f>
        <v>T7860</v>
      </c>
      <c r="B739" t="s">
        <v>250</v>
      </c>
      <c r="C739">
        <v>999999</v>
      </c>
      <c r="D739" s="2">
        <v>700</v>
      </c>
      <c r="E739" s="1">
        <v>43004</v>
      </c>
      <c r="F739" t="s">
        <v>93</v>
      </c>
      <c r="G739" t="s">
        <v>100</v>
      </c>
      <c r="H739" s="2" t="str">
        <f>"AD LITEM FEE  6/14/17"</f>
        <v>AD LITEM FEE  6/14/17</v>
      </c>
      <c r="I739" t="str">
        <f>"995-4110"</f>
        <v>995-4110</v>
      </c>
      <c r="J739">
        <v>150</v>
      </c>
    </row>
    <row r="740" spans="1:10" x14ac:dyDescent="0.3">
      <c r="A740" t="str">
        <f>""</f>
        <v/>
      </c>
      <c r="F740" t="s">
        <v>93</v>
      </c>
      <c r="G740" t="s">
        <v>101</v>
      </c>
      <c r="H740" s="2" t="str">
        <f>"AD LITEM FEE  6/14/17"</f>
        <v>AD LITEM FEE  6/14/17</v>
      </c>
      <c r="I740" t="str">
        <f>"995-4110"</f>
        <v>995-4110</v>
      </c>
      <c r="J740">
        <v>150</v>
      </c>
    </row>
    <row r="741" spans="1:10" x14ac:dyDescent="0.3">
      <c r="A741" t="str">
        <f>""</f>
        <v/>
      </c>
      <c r="F741" t="str">
        <f>"12446"</f>
        <v>12446</v>
      </c>
      <c r="G741" t="str">
        <f>"AD LITEM FEE  6/14/17"</f>
        <v>AD LITEM FEE  6/14/17</v>
      </c>
      <c r="H741" s="2">
        <v>150</v>
      </c>
      <c r="I741" t="str">
        <f>"AD LITEM FEE"</f>
        <v>AD LITEM FEE</v>
      </c>
    </row>
    <row r="742" spans="1:10" x14ac:dyDescent="0.3">
      <c r="A742" t="str">
        <f>""</f>
        <v/>
      </c>
      <c r="F742" t="str">
        <f>"12451"</f>
        <v>12451</v>
      </c>
      <c r="G742" t="str">
        <f>"AD LITEM FEE  6/14/17"</f>
        <v>AD LITEM FEE  6/14/17</v>
      </c>
      <c r="H742" s="2">
        <v>150</v>
      </c>
      <c r="I742" t="str">
        <f>"AD LITEM FEE  6/14/17"</f>
        <v>AD LITEM FEE  6/14/17</v>
      </c>
    </row>
    <row r="743" spans="1:10" x14ac:dyDescent="0.3">
      <c r="A743" t="str">
        <f>""</f>
        <v/>
      </c>
      <c r="F743" t="str">
        <f>"201709205078"</f>
        <v>201709205078</v>
      </c>
      <c r="G743" t="str">
        <f>"17-18493"</f>
        <v>17-18493</v>
      </c>
      <c r="H743" s="2">
        <v>100</v>
      </c>
      <c r="I743" t="str">
        <f>"17-18493"</f>
        <v>17-18493</v>
      </c>
    </row>
    <row r="744" spans="1:10" x14ac:dyDescent="0.3">
      <c r="A744" t="str">
        <f>"004891"</f>
        <v>004891</v>
      </c>
      <c r="B744" t="s">
        <v>252</v>
      </c>
      <c r="C744">
        <v>72525</v>
      </c>
      <c r="D744" s="2">
        <v>50</v>
      </c>
      <c r="E744" s="1">
        <v>42989</v>
      </c>
      <c r="F744" t="s">
        <v>253</v>
      </c>
      <c r="G744" t="s">
        <v>254</v>
      </c>
      <c r="H744" s="2" t="str">
        <f>"RESTITUTION-M. ALMS"</f>
        <v>RESTITUTION-M. ALMS</v>
      </c>
      <c r="I744" t="str">
        <f>"210-0000"</f>
        <v>210-0000</v>
      </c>
      <c r="J744">
        <v>50</v>
      </c>
    </row>
    <row r="745" spans="1:10" x14ac:dyDescent="0.3">
      <c r="A745" t="str">
        <f>"003848"</f>
        <v>003848</v>
      </c>
      <c r="B745" t="s">
        <v>255</v>
      </c>
      <c r="C745">
        <v>72526</v>
      </c>
      <c r="D745" s="2">
        <v>400</v>
      </c>
      <c r="E745" s="1">
        <v>42989</v>
      </c>
      <c r="F745" t="str">
        <f>"201709014499"</f>
        <v>201709014499</v>
      </c>
      <c r="G745" t="str">
        <f>"16 336"</f>
        <v>16 336</v>
      </c>
      <c r="H745" s="2">
        <v>400</v>
      </c>
      <c r="I745" t="str">
        <f>"16 336"</f>
        <v>16 336</v>
      </c>
    </row>
    <row r="746" spans="1:10" x14ac:dyDescent="0.3">
      <c r="A746" t="str">
        <f>"004675"</f>
        <v>004675</v>
      </c>
      <c r="B746" t="s">
        <v>256</v>
      </c>
      <c r="C746">
        <v>72527</v>
      </c>
      <c r="D746" s="2">
        <v>100</v>
      </c>
      <c r="E746" s="1">
        <v>42989</v>
      </c>
      <c r="F746" t="s">
        <v>127</v>
      </c>
      <c r="G746" t="s">
        <v>257</v>
      </c>
      <c r="H746" s="2" t="str">
        <f>"RESTITUTION-P. MILLER"</f>
        <v>RESTITUTION-P. MILLER</v>
      </c>
      <c r="I746" t="str">
        <f>"210-0000"</f>
        <v>210-0000</v>
      </c>
      <c r="J746">
        <v>100</v>
      </c>
    </row>
    <row r="747" spans="1:10" x14ac:dyDescent="0.3">
      <c r="A747" t="str">
        <f>"001889"</f>
        <v>001889</v>
      </c>
      <c r="B747" t="s">
        <v>258</v>
      </c>
      <c r="C747">
        <v>72528</v>
      </c>
      <c r="D747" s="2">
        <v>200</v>
      </c>
      <c r="E747" s="1">
        <v>42989</v>
      </c>
      <c r="F747" t="str">
        <f>"426539"</f>
        <v>426539</v>
      </c>
      <c r="G747" t="str">
        <f>"LANDSCAPE MAINT/BAST/WATTERSON"</f>
        <v>LANDSCAPE MAINT/BAST/WATTERSON</v>
      </c>
      <c r="H747" s="2">
        <v>200</v>
      </c>
      <c r="I747" t="str">
        <f>"LANDSCAPE MAINT/BAST/WATTERSON"</f>
        <v>LANDSCAPE MAINT/BAST/WATTERSON</v>
      </c>
    </row>
    <row r="748" spans="1:10" x14ac:dyDescent="0.3">
      <c r="A748" t="str">
        <f>"001889"</f>
        <v>001889</v>
      </c>
      <c r="B748" t="s">
        <v>258</v>
      </c>
      <c r="C748">
        <v>72754</v>
      </c>
      <c r="D748" s="2">
        <v>200</v>
      </c>
      <c r="E748" s="1">
        <v>43003</v>
      </c>
      <c r="F748" t="str">
        <f>"426540"</f>
        <v>426540</v>
      </c>
      <c r="G748" t="str">
        <f>"LANDSCAPE MAINT/OEM"</f>
        <v>LANDSCAPE MAINT/OEM</v>
      </c>
      <c r="H748" s="2">
        <v>200</v>
      </c>
      <c r="I748" t="str">
        <f>"LANDSCAPE MAINT/OEM"</f>
        <v>LANDSCAPE MAINT/OEM</v>
      </c>
    </row>
    <row r="749" spans="1:10" x14ac:dyDescent="0.3">
      <c r="A749" t="str">
        <f>"T14548"</f>
        <v>T14548</v>
      </c>
      <c r="B749" t="s">
        <v>259</v>
      </c>
      <c r="C749">
        <v>72529</v>
      </c>
      <c r="D749" s="2">
        <v>975</v>
      </c>
      <c r="E749" s="1">
        <v>42989</v>
      </c>
      <c r="F749" t="str">
        <f>"201709014500"</f>
        <v>201709014500</v>
      </c>
      <c r="G749" t="str">
        <f>"DCPC-17-072"</f>
        <v>DCPC-17-072</v>
      </c>
      <c r="H749" s="2">
        <v>400</v>
      </c>
      <c r="I749" t="str">
        <f>"DCPC-17-072"</f>
        <v>DCPC-17-072</v>
      </c>
    </row>
    <row r="750" spans="1:10" x14ac:dyDescent="0.3">
      <c r="A750" t="str">
        <f>""</f>
        <v/>
      </c>
      <c r="F750" t="str">
        <f>"201709014501"</f>
        <v>201709014501</v>
      </c>
      <c r="G750" t="str">
        <f>"423-2898"</f>
        <v>423-2898</v>
      </c>
      <c r="H750" s="2">
        <v>200</v>
      </c>
      <c r="I750" t="str">
        <f>"423-2898"</f>
        <v>423-2898</v>
      </c>
    </row>
    <row r="751" spans="1:10" x14ac:dyDescent="0.3">
      <c r="A751" t="str">
        <f>""</f>
        <v/>
      </c>
      <c r="F751" t="str">
        <f>"201709064593"</f>
        <v>201709064593</v>
      </c>
      <c r="G751" t="str">
        <f>"DCPC-17-017  55270"</f>
        <v>DCPC-17-017  55270</v>
      </c>
      <c r="H751" s="2">
        <v>375</v>
      </c>
      <c r="I751" t="str">
        <f>"DCPC-17-017  55270"</f>
        <v>DCPC-17-017  55270</v>
      </c>
    </row>
    <row r="752" spans="1:10" x14ac:dyDescent="0.3">
      <c r="A752" t="str">
        <f>"T14548"</f>
        <v>T14548</v>
      </c>
      <c r="B752" t="s">
        <v>259</v>
      </c>
      <c r="C752">
        <v>999999</v>
      </c>
      <c r="D752" s="2">
        <v>2400</v>
      </c>
      <c r="E752" s="1">
        <v>43004</v>
      </c>
      <c r="F752" t="str">
        <f>"201709134859"</f>
        <v>201709134859</v>
      </c>
      <c r="G752" t="str">
        <f>"14530"</f>
        <v>14530</v>
      </c>
      <c r="H752" s="2">
        <v>900</v>
      </c>
      <c r="I752" t="str">
        <f>"14530"</f>
        <v>14530</v>
      </c>
    </row>
    <row r="753" spans="1:10" x14ac:dyDescent="0.3">
      <c r="A753" t="str">
        <f>""</f>
        <v/>
      </c>
      <c r="F753" t="str">
        <f>"201709134860"</f>
        <v>201709134860</v>
      </c>
      <c r="G753" t="str">
        <f>"CH-20161109B"</f>
        <v>CH-20161109B</v>
      </c>
      <c r="H753" s="2">
        <v>400</v>
      </c>
      <c r="I753" t="str">
        <f>"CH-20161109B"</f>
        <v>CH-20161109B</v>
      </c>
    </row>
    <row r="754" spans="1:10" x14ac:dyDescent="0.3">
      <c r="A754" t="str">
        <f>""</f>
        <v/>
      </c>
      <c r="F754" t="str">
        <f>"201709134861"</f>
        <v>201709134861</v>
      </c>
      <c r="G754" t="str">
        <f>"409265.2MW  408155.1MW"</f>
        <v>409265.2MW  408155.1MW</v>
      </c>
      <c r="H754" s="2">
        <v>600</v>
      </c>
      <c r="I754" t="str">
        <f>"409265.2MW  408155.1MW"</f>
        <v>409265.2MW  408155.1MW</v>
      </c>
    </row>
    <row r="755" spans="1:10" x14ac:dyDescent="0.3">
      <c r="A755" t="str">
        <f>""</f>
        <v/>
      </c>
      <c r="F755" t="str">
        <f>"201709194963"</f>
        <v>201709194963</v>
      </c>
      <c r="G755" t="str">
        <f>"UNFILED/EPD 2017-034-16"</f>
        <v>UNFILED/EPD 2017-034-16</v>
      </c>
      <c r="H755" s="2">
        <v>250</v>
      </c>
      <c r="I755" t="str">
        <f>"UNFILED/EPD 2017-034-16"</f>
        <v>UNFILED/EPD 2017-034-16</v>
      </c>
    </row>
    <row r="756" spans="1:10" x14ac:dyDescent="0.3">
      <c r="A756" t="str">
        <f>""</f>
        <v/>
      </c>
      <c r="F756" t="str">
        <f>"201709194964"</f>
        <v>201709194964</v>
      </c>
      <c r="G756" t="str">
        <f>"UNFILED/EPD 2017-034-36"</f>
        <v>UNFILED/EPD 2017-034-36</v>
      </c>
      <c r="H756" s="2">
        <v>250</v>
      </c>
      <c r="I756" t="str">
        <f>"UNFILED/EPD 2017-034-36"</f>
        <v>UNFILED/EPD 2017-034-36</v>
      </c>
    </row>
    <row r="757" spans="1:10" x14ac:dyDescent="0.3">
      <c r="A757" t="str">
        <f>"004892"</f>
        <v>004892</v>
      </c>
      <c r="B757" t="s">
        <v>260</v>
      </c>
      <c r="C757">
        <v>72530</v>
      </c>
      <c r="D757" s="2">
        <v>25</v>
      </c>
      <c r="E757" s="1">
        <v>42989</v>
      </c>
      <c r="F757" t="s">
        <v>261</v>
      </c>
      <c r="G757" t="s">
        <v>262</v>
      </c>
      <c r="H757" s="2" t="str">
        <f>"RESTITUTION-J. HOFFMAN"</f>
        <v>RESTITUTION-J. HOFFMAN</v>
      </c>
      <c r="I757" t="str">
        <f>"210-0000"</f>
        <v>210-0000</v>
      </c>
      <c r="J757">
        <v>25</v>
      </c>
    </row>
    <row r="758" spans="1:10" x14ac:dyDescent="0.3">
      <c r="A758" t="str">
        <f>"003677"</f>
        <v>003677</v>
      </c>
      <c r="B758" t="s">
        <v>263</v>
      </c>
      <c r="C758">
        <v>72531</v>
      </c>
      <c r="D758" s="2">
        <v>25</v>
      </c>
      <c r="E758" s="1">
        <v>42989</v>
      </c>
      <c r="F758" t="s">
        <v>135</v>
      </c>
      <c r="G758" t="s">
        <v>264</v>
      </c>
      <c r="H758" s="2" t="str">
        <f>"RESTITUTION-D. SPURK"</f>
        <v>RESTITUTION-D. SPURK</v>
      </c>
      <c r="I758" t="str">
        <f>"210-0000"</f>
        <v>210-0000</v>
      </c>
      <c r="J758">
        <v>25</v>
      </c>
    </row>
    <row r="759" spans="1:10" x14ac:dyDescent="0.3">
      <c r="A759" t="str">
        <f>"004042"</f>
        <v>004042</v>
      </c>
      <c r="B759" t="s">
        <v>265</v>
      </c>
      <c r="C759">
        <v>72533</v>
      </c>
      <c r="D759" s="2">
        <v>295</v>
      </c>
      <c r="E759" s="1">
        <v>42989</v>
      </c>
      <c r="F759" t="str">
        <f>"336503"</f>
        <v>336503</v>
      </c>
      <c r="G759" t="str">
        <f>"LAND CARE"</f>
        <v>LAND CARE</v>
      </c>
      <c r="H759" s="2">
        <v>295</v>
      </c>
      <c r="I759" t="str">
        <f>"LAND CARE"</f>
        <v>LAND CARE</v>
      </c>
    </row>
    <row r="760" spans="1:10" x14ac:dyDescent="0.3">
      <c r="A760" t="str">
        <f>"KBTRI"</f>
        <v>KBTRI</v>
      </c>
      <c r="B760" t="s">
        <v>266</v>
      </c>
      <c r="C760">
        <v>72534</v>
      </c>
      <c r="D760" s="2">
        <v>2617</v>
      </c>
      <c r="E760" s="1">
        <v>42989</v>
      </c>
      <c r="F760" t="str">
        <f>"84 8/27/17"</f>
        <v>84 8/27/17</v>
      </c>
      <c r="G760" t="str">
        <f>"TOWER RENT SEPTEMBER '17"</f>
        <v>TOWER RENT SEPTEMBER '17</v>
      </c>
      <c r="H760" s="2">
        <v>2617</v>
      </c>
      <c r="I760" t="str">
        <f>"TOWER RENT SEPTEMBER '17"</f>
        <v>TOWER RENT SEPTEMBER '17</v>
      </c>
    </row>
    <row r="761" spans="1:10" x14ac:dyDescent="0.3">
      <c r="A761" t="str">
        <f>"KFT"</f>
        <v>KFT</v>
      </c>
      <c r="B761" t="s">
        <v>267</v>
      </c>
      <c r="C761">
        <v>72755</v>
      </c>
      <c r="D761" s="2">
        <v>802.37</v>
      </c>
      <c r="E761" s="1">
        <v>43003</v>
      </c>
      <c r="F761" t="str">
        <f>"245139"</f>
        <v>245139</v>
      </c>
      <c r="G761" t="str">
        <f>"ACCT#BASCO3/PCT#3"</f>
        <v>ACCT#BASCO3/PCT#3</v>
      </c>
      <c r="H761" s="2">
        <v>802.37</v>
      </c>
      <c r="I761" t="str">
        <f>"ACCT#BASCO3/PCT#3"</f>
        <v>ACCT#BASCO3/PCT#3</v>
      </c>
    </row>
    <row r="762" spans="1:10" x14ac:dyDescent="0.3">
      <c r="A762" t="str">
        <f>"001722"</f>
        <v>001722</v>
      </c>
      <c r="B762" t="s">
        <v>268</v>
      </c>
      <c r="C762">
        <v>72535</v>
      </c>
      <c r="D762" s="2">
        <v>3127.17</v>
      </c>
      <c r="E762" s="1">
        <v>42989</v>
      </c>
      <c r="F762" t="str">
        <f>"08234893 08301209"</f>
        <v>08234893 08301209</v>
      </c>
      <c r="G762" t="str">
        <f>"INV 08234893  08301209"</f>
        <v>INV 08234893  08301209</v>
      </c>
      <c r="H762" s="2">
        <v>3127.17</v>
      </c>
      <c r="I762" t="str">
        <f>"INV 08234893"</f>
        <v>INV 08234893</v>
      </c>
    </row>
    <row r="763" spans="1:10" x14ac:dyDescent="0.3">
      <c r="A763" t="str">
        <f>""</f>
        <v/>
      </c>
      <c r="F763" t="str">
        <f>""</f>
        <v/>
      </c>
      <c r="G763" t="str">
        <f>""</f>
        <v/>
      </c>
      <c r="I763" t="str">
        <f>"INV 08301209"</f>
        <v>INV 08301209</v>
      </c>
    </row>
    <row r="764" spans="1:10" x14ac:dyDescent="0.3">
      <c r="A764" t="str">
        <f>"001722"</f>
        <v>001722</v>
      </c>
      <c r="B764" t="s">
        <v>268</v>
      </c>
      <c r="C764">
        <v>72756</v>
      </c>
      <c r="D764" s="2">
        <v>2207.89</v>
      </c>
      <c r="E764" s="1">
        <v>43003</v>
      </c>
      <c r="F764" t="str">
        <f>"09137497/09068571"</f>
        <v>09137497/09068571</v>
      </c>
      <c r="G764" t="str">
        <f>"INV 09137497"</f>
        <v>INV 09137497</v>
      </c>
      <c r="H764" s="2">
        <v>2207.89</v>
      </c>
      <c r="I764" t="str">
        <f>"INV 09137497"</f>
        <v>INV 09137497</v>
      </c>
    </row>
    <row r="765" spans="1:10" x14ac:dyDescent="0.3">
      <c r="A765" t="str">
        <f>""</f>
        <v/>
      </c>
      <c r="F765" t="str">
        <f>""</f>
        <v/>
      </c>
      <c r="G765" t="str">
        <f>""</f>
        <v/>
      </c>
      <c r="I765" t="str">
        <f>"INV 09068571"</f>
        <v>INV 09068571</v>
      </c>
    </row>
    <row r="766" spans="1:10" x14ac:dyDescent="0.3">
      <c r="A766" t="str">
        <f>"002420"</f>
        <v>002420</v>
      </c>
      <c r="B766" t="s">
        <v>269</v>
      </c>
      <c r="C766">
        <v>0</v>
      </c>
      <c r="D766" s="2">
        <v>3895</v>
      </c>
      <c r="E766" s="1">
        <v>42989</v>
      </c>
      <c r="F766" t="str">
        <f>"201709064638"</f>
        <v>201709064638</v>
      </c>
      <c r="G766" t="str">
        <f>"16-17760"</f>
        <v>16-17760</v>
      </c>
      <c r="H766" s="2">
        <v>150</v>
      </c>
      <c r="I766" t="str">
        <f>"16-17760"</f>
        <v>16-17760</v>
      </c>
    </row>
    <row r="767" spans="1:10" x14ac:dyDescent="0.3">
      <c r="A767" t="str">
        <f>""</f>
        <v/>
      </c>
      <c r="F767" t="str">
        <f>"201709064639"</f>
        <v>201709064639</v>
      </c>
      <c r="G767" t="str">
        <f>"17-18493"</f>
        <v>17-18493</v>
      </c>
      <c r="H767" s="2">
        <v>240</v>
      </c>
      <c r="I767" t="str">
        <f>"17-18493"</f>
        <v>17-18493</v>
      </c>
    </row>
    <row r="768" spans="1:10" x14ac:dyDescent="0.3">
      <c r="A768" t="str">
        <f>""</f>
        <v/>
      </c>
      <c r="F768" t="str">
        <f>"201709064640"</f>
        <v>201709064640</v>
      </c>
      <c r="G768" t="str">
        <f>"08-13005"</f>
        <v>08-13005</v>
      </c>
      <c r="H768" s="2">
        <v>360</v>
      </c>
      <c r="I768" t="str">
        <f>"08-13005"</f>
        <v>08-13005</v>
      </c>
    </row>
    <row r="769" spans="1:9" x14ac:dyDescent="0.3">
      <c r="A769" t="str">
        <f>""</f>
        <v/>
      </c>
      <c r="F769" t="str">
        <f>"201709064641"</f>
        <v>201709064641</v>
      </c>
      <c r="G769" t="str">
        <f>"17-18250"</f>
        <v>17-18250</v>
      </c>
      <c r="H769" s="2">
        <v>1022.5</v>
      </c>
      <c r="I769" t="str">
        <f>"17-18250"</f>
        <v>17-18250</v>
      </c>
    </row>
    <row r="770" spans="1:9" x14ac:dyDescent="0.3">
      <c r="A770" t="str">
        <f>""</f>
        <v/>
      </c>
      <c r="F770" t="str">
        <f>"201709064642"</f>
        <v>201709064642</v>
      </c>
      <c r="G770" t="str">
        <f>"17-18525"</f>
        <v>17-18525</v>
      </c>
      <c r="H770" s="2">
        <v>1152.5</v>
      </c>
      <c r="I770" t="str">
        <f>"17-18525"</f>
        <v>17-18525</v>
      </c>
    </row>
    <row r="771" spans="1:9" x14ac:dyDescent="0.3">
      <c r="A771" t="str">
        <f>""</f>
        <v/>
      </c>
      <c r="F771" t="str">
        <f>"201709064643"</f>
        <v>201709064643</v>
      </c>
      <c r="G771" t="str">
        <f>"16-18067"</f>
        <v>16-18067</v>
      </c>
      <c r="H771" s="2">
        <v>437.5</v>
      </c>
      <c r="I771" t="str">
        <f>"16-18067"</f>
        <v>16-18067</v>
      </c>
    </row>
    <row r="772" spans="1:9" x14ac:dyDescent="0.3">
      <c r="A772" t="str">
        <f>""</f>
        <v/>
      </c>
      <c r="F772" t="str">
        <f>"201709064644"</f>
        <v>201709064644</v>
      </c>
      <c r="G772" t="str">
        <f>"14-16754"</f>
        <v>14-16754</v>
      </c>
      <c r="H772" s="2">
        <v>532.5</v>
      </c>
      <c r="I772" t="str">
        <f>"14-16754"</f>
        <v>14-16754</v>
      </c>
    </row>
    <row r="773" spans="1:9" x14ac:dyDescent="0.3">
      <c r="A773" t="str">
        <f>"002420"</f>
        <v>002420</v>
      </c>
      <c r="B773" t="s">
        <v>269</v>
      </c>
      <c r="C773">
        <v>999999</v>
      </c>
      <c r="D773" s="2">
        <v>2467.5</v>
      </c>
      <c r="E773" s="1">
        <v>43004</v>
      </c>
      <c r="F773" t="str">
        <f>"201709194958"</f>
        <v>201709194958</v>
      </c>
      <c r="G773" t="str">
        <f>"03-12875"</f>
        <v>03-12875</v>
      </c>
      <c r="H773" s="2">
        <v>75</v>
      </c>
      <c r="I773" t="str">
        <f>"03-12875"</f>
        <v>03-12875</v>
      </c>
    </row>
    <row r="774" spans="1:9" x14ac:dyDescent="0.3">
      <c r="A774" t="str">
        <f>""</f>
        <v/>
      </c>
      <c r="F774" t="str">
        <f>"201709205035"</f>
        <v>201709205035</v>
      </c>
      <c r="G774" t="str">
        <f>"08-13005"</f>
        <v>08-13005</v>
      </c>
      <c r="H774" s="2">
        <v>452.5</v>
      </c>
      <c r="I774" t="str">
        <f>"08-13005"</f>
        <v>08-13005</v>
      </c>
    </row>
    <row r="775" spans="1:9" x14ac:dyDescent="0.3">
      <c r="A775" t="str">
        <f>""</f>
        <v/>
      </c>
      <c r="F775" t="str">
        <f>"201709205036"</f>
        <v>201709205036</v>
      </c>
      <c r="G775" t="str">
        <f>"16-17944"</f>
        <v>16-17944</v>
      </c>
      <c r="H775" s="2">
        <v>315</v>
      </c>
      <c r="I775" t="str">
        <f>"16-17944"</f>
        <v>16-17944</v>
      </c>
    </row>
    <row r="776" spans="1:9" x14ac:dyDescent="0.3">
      <c r="A776" t="str">
        <f>""</f>
        <v/>
      </c>
      <c r="F776" t="str">
        <f>"201709205037"</f>
        <v>201709205037</v>
      </c>
      <c r="G776" t="str">
        <f>"17-18525"</f>
        <v>17-18525</v>
      </c>
      <c r="H776" s="2">
        <v>247.5</v>
      </c>
      <c r="I776" t="str">
        <f>"17-18525"</f>
        <v>17-18525</v>
      </c>
    </row>
    <row r="777" spans="1:9" x14ac:dyDescent="0.3">
      <c r="A777" t="str">
        <f>""</f>
        <v/>
      </c>
      <c r="F777" t="str">
        <f>"201709205038"</f>
        <v>201709205038</v>
      </c>
      <c r="G777" t="str">
        <f>"14-16754"</f>
        <v>14-16754</v>
      </c>
      <c r="H777" s="2">
        <v>390</v>
      </c>
      <c r="I777" t="str">
        <f>"14-16754"</f>
        <v>14-16754</v>
      </c>
    </row>
    <row r="778" spans="1:9" x14ac:dyDescent="0.3">
      <c r="A778" t="str">
        <f>""</f>
        <v/>
      </c>
      <c r="F778" t="str">
        <f>"201709205039"</f>
        <v>201709205039</v>
      </c>
      <c r="G778" t="str">
        <f>"16-17760"</f>
        <v>16-17760</v>
      </c>
      <c r="H778" s="2">
        <v>310</v>
      </c>
      <c r="I778" t="str">
        <f>"16-17760"</f>
        <v>16-17760</v>
      </c>
    </row>
    <row r="779" spans="1:9" x14ac:dyDescent="0.3">
      <c r="A779" t="str">
        <f>""</f>
        <v/>
      </c>
      <c r="F779" t="str">
        <f>"201709205040"</f>
        <v>201709205040</v>
      </c>
      <c r="G779" t="str">
        <f>"16-18067"</f>
        <v>16-18067</v>
      </c>
      <c r="H779" s="2">
        <v>97.5</v>
      </c>
      <c r="I779" t="str">
        <f>"16-18067"</f>
        <v>16-18067</v>
      </c>
    </row>
    <row r="780" spans="1:9" x14ac:dyDescent="0.3">
      <c r="A780" t="str">
        <f>""</f>
        <v/>
      </c>
      <c r="F780" t="str">
        <f>"201709205041"</f>
        <v>201709205041</v>
      </c>
      <c r="G780" t="str">
        <f>"17-18493"</f>
        <v>17-18493</v>
      </c>
      <c r="H780" s="2">
        <v>452.5</v>
      </c>
      <c r="I780" t="str">
        <f>"17-18493"</f>
        <v>17-18493</v>
      </c>
    </row>
    <row r="781" spans="1:9" x14ac:dyDescent="0.3">
      <c r="A781" t="str">
        <f>""</f>
        <v/>
      </c>
      <c r="F781" t="str">
        <f>"201709205042"</f>
        <v>201709205042</v>
      </c>
      <c r="G781" t="str">
        <f>"08-12875"</f>
        <v>08-12875</v>
      </c>
      <c r="H781" s="2">
        <v>67.5</v>
      </c>
      <c r="I781" t="str">
        <f>"08-12875"</f>
        <v>08-12875</v>
      </c>
    </row>
    <row r="782" spans="1:9" x14ac:dyDescent="0.3">
      <c r="A782" t="str">
        <f>""</f>
        <v/>
      </c>
      <c r="F782" t="str">
        <f>"201709205043"</f>
        <v>201709205043</v>
      </c>
      <c r="G782" t="str">
        <f>"17-18250"</f>
        <v>17-18250</v>
      </c>
      <c r="H782" s="2">
        <v>60</v>
      </c>
      <c r="I782" t="str">
        <f>"17-18250"</f>
        <v>17-18250</v>
      </c>
    </row>
    <row r="783" spans="1:9" x14ac:dyDescent="0.3">
      <c r="A783" t="str">
        <f>"T11826"</f>
        <v>T11826</v>
      </c>
      <c r="B783" t="s">
        <v>270</v>
      </c>
      <c r="C783">
        <v>72757</v>
      </c>
      <c r="D783" s="2">
        <v>67</v>
      </c>
      <c r="E783" s="1">
        <v>43003</v>
      </c>
      <c r="F783" t="str">
        <f>"201709144911"</f>
        <v>201709144911</v>
      </c>
      <c r="G783" t="str">
        <f>"TIRE SERVICES/PCT#4"</f>
        <v>TIRE SERVICES/PCT#4</v>
      </c>
      <c r="H783" s="2">
        <v>67</v>
      </c>
      <c r="I783" t="str">
        <f>"TIRE SERVICES/PCT#4"</f>
        <v>TIRE SERVICES/PCT#4</v>
      </c>
    </row>
    <row r="784" spans="1:9" x14ac:dyDescent="0.3">
      <c r="A784" t="str">
        <f>"T9279"</f>
        <v>T9279</v>
      </c>
      <c r="B784" t="s">
        <v>271</v>
      </c>
      <c r="C784">
        <v>72413</v>
      </c>
      <c r="D784" s="2">
        <v>100.5</v>
      </c>
      <c r="E784" s="1">
        <v>42985</v>
      </c>
      <c r="F784" t="str">
        <f>"201709074703"</f>
        <v>201709074703</v>
      </c>
      <c r="G784" t="str">
        <f>"ACCT#109-00072-02 / 08242017"</f>
        <v>ACCT#109-00072-02 / 08242017</v>
      </c>
      <c r="H784" s="2">
        <v>50.25</v>
      </c>
      <c r="I784" t="str">
        <f>"LEE COUNTY WATER SUPPLY CORP"</f>
        <v>LEE COUNTY WATER SUPPLY CORP</v>
      </c>
    </row>
    <row r="785" spans="1:9" x14ac:dyDescent="0.3">
      <c r="A785" t="str">
        <f>""</f>
        <v/>
      </c>
      <c r="F785" t="str">
        <f>"201709074704"</f>
        <v>201709074704</v>
      </c>
      <c r="G785" t="str">
        <f>"ACCT#3-09-00175-03 / 08242017"</f>
        <v>ACCT#3-09-00175-03 / 08242017</v>
      </c>
      <c r="H785" s="2">
        <v>50.25</v>
      </c>
      <c r="I785" t="str">
        <f>"ACCT#3-09-00175-03 / 08242017"</f>
        <v>ACCT#3-09-00175-03 / 08242017</v>
      </c>
    </row>
    <row r="786" spans="1:9" x14ac:dyDescent="0.3">
      <c r="A786" t="str">
        <f>"004095"</f>
        <v>004095</v>
      </c>
      <c r="B786" t="s">
        <v>272</v>
      </c>
      <c r="C786">
        <v>72758</v>
      </c>
      <c r="D786" s="2">
        <v>7250.65</v>
      </c>
      <c r="E786" s="1">
        <v>43003</v>
      </c>
      <c r="F786" t="str">
        <f>"1430"</f>
        <v>1430</v>
      </c>
      <c r="G786" t="str">
        <f>"WATER MGMT SVCS/JOB 170/PCT#2"</f>
        <v>WATER MGMT SVCS/JOB 170/PCT#2</v>
      </c>
      <c r="H786" s="2">
        <v>7250.65</v>
      </c>
      <c r="I786" t="str">
        <f>"WATER MGMT SVCS/JOB 170/PCT#2"</f>
        <v>WATER MGMT SVCS/JOB 170/PCT#2</v>
      </c>
    </row>
    <row r="787" spans="1:9" x14ac:dyDescent="0.3">
      <c r="A787" t="str">
        <f>"002900"</f>
        <v>002900</v>
      </c>
      <c r="B787" t="s">
        <v>273</v>
      </c>
      <c r="C787">
        <v>72536</v>
      </c>
      <c r="D787" s="2">
        <v>394.34</v>
      </c>
      <c r="E787" s="1">
        <v>42989</v>
      </c>
      <c r="F787" t="str">
        <f>"552670310"</f>
        <v>552670310</v>
      </c>
      <c r="G787" t="str">
        <f>"INV 552670310"</f>
        <v>INV 552670310</v>
      </c>
      <c r="H787" s="2">
        <v>394.34</v>
      </c>
      <c r="I787" t="str">
        <f>"INV 552670310"</f>
        <v>INV 552670310</v>
      </c>
    </row>
    <row r="788" spans="1:9" x14ac:dyDescent="0.3">
      <c r="A788" t="str">
        <f>"001530"</f>
        <v>001530</v>
      </c>
      <c r="B788" t="s">
        <v>274</v>
      </c>
      <c r="C788">
        <v>72759</v>
      </c>
      <c r="D788" s="2">
        <v>647.45000000000005</v>
      </c>
      <c r="E788" s="1">
        <v>43003</v>
      </c>
      <c r="F788" t="str">
        <f>"1211621-20170831"</f>
        <v>1211621-20170831</v>
      </c>
      <c r="G788" t="str">
        <f>"BILLING ID#1211621/HLTH &amp; SANI"</f>
        <v>BILLING ID#1211621/HLTH &amp; SANI</v>
      </c>
      <c r="H788" s="2">
        <v>50</v>
      </c>
      <c r="I788" t="str">
        <f>"BILLING ID#1211621/HLTH &amp; SANI"</f>
        <v>BILLING ID#1211621/HLTH &amp; SANI</v>
      </c>
    </row>
    <row r="789" spans="1:9" x14ac:dyDescent="0.3">
      <c r="A789" t="str">
        <f>""</f>
        <v/>
      </c>
      <c r="F789" t="str">
        <f>"1361725-20170831"</f>
        <v>1361725-20170831</v>
      </c>
      <c r="G789" t="str">
        <f>"ACCT#1799905/INDIGENT HEALTH"</f>
        <v>ACCT#1799905/INDIGENT HEALTH</v>
      </c>
      <c r="H789" s="2">
        <v>107.95</v>
      </c>
      <c r="I789" t="str">
        <f>"ACCT#1799905/INDIGENT HEALTH"</f>
        <v>ACCT#1799905/INDIGENT HEALTH</v>
      </c>
    </row>
    <row r="790" spans="1:9" x14ac:dyDescent="0.3">
      <c r="A790" t="str">
        <f>""</f>
        <v/>
      </c>
      <c r="F790" t="str">
        <f>"1394645-20170831"</f>
        <v>1394645-20170831</v>
      </c>
      <c r="G790" t="str">
        <f>"BILLING#1394645/COUNTY CLERK"</f>
        <v>BILLING#1394645/COUNTY CLERK</v>
      </c>
      <c r="H790" s="2">
        <v>57.5</v>
      </c>
      <c r="I790" t="str">
        <f>"BILLING#1394645/COUNTY CLERK"</f>
        <v>BILLING#1394645/COUNTY CLERK</v>
      </c>
    </row>
    <row r="791" spans="1:9" x14ac:dyDescent="0.3">
      <c r="A791" t="str">
        <f>""</f>
        <v/>
      </c>
      <c r="F791" t="str">
        <f>"1420944-20170831"</f>
        <v>1420944-20170831</v>
      </c>
      <c r="G791" t="str">
        <f>"BILLING#1420944"</f>
        <v>BILLING#1420944</v>
      </c>
      <c r="H791" s="2">
        <v>299.5</v>
      </c>
      <c r="I791" t="str">
        <f>"BILLING#1420944"</f>
        <v>BILLING#1420944</v>
      </c>
    </row>
    <row r="792" spans="1:9" x14ac:dyDescent="0.3">
      <c r="A792" t="str">
        <f>""</f>
        <v/>
      </c>
      <c r="F792" t="str">
        <f>"1489870-20170831"</f>
        <v>1489870-20170831</v>
      </c>
      <c r="G792" t="str">
        <f>"BILLING#1489870/DISTRICT CLERK"</f>
        <v>BILLING#1489870/DISTRICT CLERK</v>
      </c>
      <c r="H792" s="2">
        <v>132.5</v>
      </c>
      <c r="I792" t="str">
        <f>"BILLING#1489870/DISTRICT CLERK"</f>
        <v>BILLING#1489870/DISTRICT CLERK</v>
      </c>
    </row>
    <row r="793" spans="1:9" x14ac:dyDescent="0.3">
      <c r="A793" t="str">
        <f>"000874"</f>
        <v>000874</v>
      </c>
      <c r="B793" t="s">
        <v>275</v>
      </c>
      <c r="C793">
        <v>72760</v>
      </c>
      <c r="D793" s="2">
        <v>1514.2</v>
      </c>
      <c r="E793" s="1">
        <v>43003</v>
      </c>
      <c r="F793" t="str">
        <f>"26613"</f>
        <v>26613</v>
      </c>
      <c r="G793" t="str">
        <f>"INV 26613"</f>
        <v>INV 26613</v>
      </c>
      <c r="H793" s="2">
        <v>1214.5999999999999</v>
      </c>
      <c r="I793" t="str">
        <f>"INV 26613"</f>
        <v>INV 26613</v>
      </c>
    </row>
    <row r="794" spans="1:9" x14ac:dyDescent="0.3">
      <c r="A794" t="str">
        <f>""</f>
        <v/>
      </c>
      <c r="F794" t="str">
        <f>"26622"</f>
        <v>26622</v>
      </c>
      <c r="G794" t="str">
        <f>"INV 26622"</f>
        <v>INV 26622</v>
      </c>
      <c r="H794" s="2">
        <v>299.60000000000002</v>
      </c>
      <c r="I794" t="str">
        <f>"INV 26622"</f>
        <v>INV 26622</v>
      </c>
    </row>
    <row r="795" spans="1:9" x14ac:dyDescent="0.3">
      <c r="A795" t="str">
        <f>"000684"</f>
        <v>000684</v>
      </c>
      <c r="B795" t="s">
        <v>276</v>
      </c>
      <c r="C795">
        <v>72537</v>
      </c>
      <c r="D795" s="2">
        <v>1321.73</v>
      </c>
      <c r="E795" s="1">
        <v>42989</v>
      </c>
      <c r="F795" t="str">
        <f>"1196833"</f>
        <v>1196833</v>
      </c>
      <c r="G795" t="str">
        <f>"ACCT#15717/TIRE SVCS"</f>
        <v>ACCT#15717/TIRE SVCS</v>
      </c>
      <c r="H795" s="2">
        <v>1321.73</v>
      </c>
      <c r="I795" t="str">
        <f>"ACCT#15717/TIRE SVCS"</f>
        <v>ACCT#15717/TIRE SVCS</v>
      </c>
    </row>
    <row r="796" spans="1:9" x14ac:dyDescent="0.3">
      <c r="A796" t="str">
        <f>"000684"</f>
        <v>000684</v>
      </c>
      <c r="B796" t="s">
        <v>276</v>
      </c>
      <c r="C796">
        <v>72761</v>
      </c>
      <c r="D796" s="2">
        <v>367.76</v>
      </c>
      <c r="E796" s="1">
        <v>43003</v>
      </c>
      <c r="F796" t="str">
        <f>"1205747"</f>
        <v>1205747</v>
      </c>
      <c r="G796" t="str">
        <f>"ACCT#15717/WO#0004049671"</f>
        <v>ACCT#15717/WO#0004049671</v>
      </c>
      <c r="H796" s="2">
        <v>367.76</v>
      </c>
      <c r="I796" t="str">
        <f>"ACCT#15717/WO#0004049671"</f>
        <v>ACCT#15717/WO#0004049671</v>
      </c>
    </row>
    <row r="797" spans="1:9" x14ac:dyDescent="0.3">
      <c r="A797" t="str">
        <f>"004771"</f>
        <v>004771</v>
      </c>
      <c r="B797" t="s">
        <v>277</v>
      </c>
      <c r="C797">
        <v>999999</v>
      </c>
      <c r="D797" s="2">
        <v>5631.25</v>
      </c>
      <c r="E797" s="1">
        <v>43004</v>
      </c>
      <c r="F797" t="str">
        <f>"201709144915"</f>
        <v>201709144915</v>
      </c>
      <c r="G797" t="str">
        <f>"15934"</f>
        <v>15934</v>
      </c>
      <c r="H797" s="2">
        <v>5631.25</v>
      </c>
      <c r="I797" t="str">
        <f>"15934"</f>
        <v>15934</v>
      </c>
    </row>
    <row r="798" spans="1:9" x14ac:dyDescent="0.3">
      <c r="A798" t="str">
        <f>"T11113"</f>
        <v>T11113</v>
      </c>
      <c r="B798" t="s">
        <v>278</v>
      </c>
      <c r="C798">
        <v>0</v>
      </c>
      <c r="D798" s="2">
        <v>7.5</v>
      </c>
      <c r="E798" s="1">
        <v>42989</v>
      </c>
      <c r="F798" t="str">
        <f>"201709014527"</f>
        <v>201709014527</v>
      </c>
      <c r="G798" t="str">
        <f>"REG 1999 FORD PK/HABITAT CONSE"</f>
        <v>REG 1999 FORD PK/HABITAT CONSE</v>
      </c>
      <c r="H798" s="2">
        <v>7.5</v>
      </c>
      <c r="I798" t="str">
        <f>"REG 1999 FORD PK/HABITAT CONSE"</f>
        <v>REG 1999 FORD PK/HABITAT CONSE</v>
      </c>
    </row>
    <row r="799" spans="1:9" x14ac:dyDescent="0.3">
      <c r="A799" t="str">
        <f>"T11113"</f>
        <v>T11113</v>
      </c>
      <c r="B799" t="s">
        <v>278</v>
      </c>
      <c r="C799">
        <v>999999</v>
      </c>
      <c r="D799" s="2">
        <v>22.5</v>
      </c>
      <c r="E799" s="1">
        <v>43004</v>
      </c>
      <c r="F799" t="str">
        <f>"201709154938"</f>
        <v>201709154938</v>
      </c>
      <c r="G799" t="str">
        <f>"VEHICLE REGISTRATIONS/PCT#3"</f>
        <v>VEHICLE REGISTRATIONS/PCT#3</v>
      </c>
      <c r="H799" s="2">
        <v>15</v>
      </c>
      <c r="I799" t="str">
        <f>"VEHICLE REGISTRATIONS/PCT#3"</f>
        <v>VEHICLE REGISTRATIONS/PCT#3</v>
      </c>
    </row>
    <row r="800" spans="1:9" x14ac:dyDescent="0.3">
      <c r="A800" t="str">
        <f>""</f>
        <v/>
      </c>
      <c r="F800" t="str">
        <f>"201709154939"</f>
        <v>201709154939</v>
      </c>
      <c r="G800" t="str">
        <f>"VEHICLE REGISTRATION/PCT#2"</f>
        <v>VEHICLE REGISTRATION/PCT#2</v>
      </c>
      <c r="H800" s="2">
        <v>7.5</v>
      </c>
      <c r="I800" t="str">
        <f>"VEHICLE REGISTRATION/PCT#2"</f>
        <v>VEHICLE REGISTRATION/PCT#2</v>
      </c>
    </row>
    <row r="801" spans="1:9" x14ac:dyDescent="0.3">
      <c r="A801" t="str">
        <f>"005223"</f>
        <v>005223</v>
      </c>
      <c r="B801" t="s">
        <v>279</v>
      </c>
      <c r="C801">
        <v>72762</v>
      </c>
      <c r="D801" s="2">
        <v>15</v>
      </c>
      <c r="E801" s="1">
        <v>43003</v>
      </c>
      <c r="F801" t="str">
        <f>"JAIL KITCHEN COURS"</f>
        <v>JAIL KITCHEN COURS</v>
      </c>
      <c r="G801" t="str">
        <f>"REIMBURSEMENT"</f>
        <v>REIMBURSEMENT</v>
      </c>
      <c r="H801" s="2">
        <v>15</v>
      </c>
      <c r="I801" t="str">
        <f>"REIMBURSEMENT"</f>
        <v>REIMBURSEMENT</v>
      </c>
    </row>
    <row r="802" spans="1:9" x14ac:dyDescent="0.3">
      <c r="A802" t="str">
        <f>"T12652"</f>
        <v>T12652</v>
      </c>
      <c r="B802" t="s">
        <v>280</v>
      </c>
      <c r="C802">
        <v>72763</v>
      </c>
      <c r="D802" s="2">
        <v>787.5</v>
      </c>
      <c r="E802" s="1">
        <v>43003</v>
      </c>
      <c r="F802" t="str">
        <f>"201709194959"</f>
        <v>201709194959</v>
      </c>
      <c r="G802" t="str">
        <f>"15-17205  07/18/17"</f>
        <v>15-17205  07/18/17</v>
      </c>
      <c r="H802" s="2">
        <v>200</v>
      </c>
      <c r="I802" t="str">
        <f>"15-17205  07/18/17"</f>
        <v>15-17205  07/18/17</v>
      </c>
    </row>
    <row r="803" spans="1:9" x14ac:dyDescent="0.3">
      <c r="A803" t="str">
        <f>""</f>
        <v/>
      </c>
      <c r="F803" t="str">
        <f>"201709194960"</f>
        <v>201709194960</v>
      </c>
      <c r="G803" t="str">
        <f>"14-16590  6/6/17"</f>
        <v>14-16590  6/6/17</v>
      </c>
      <c r="H803" s="2">
        <v>137.5</v>
      </c>
      <c r="I803" t="str">
        <f>"14-16590  6/6/17"</f>
        <v>14-16590  6/6/17</v>
      </c>
    </row>
    <row r="804" spans="1:9" x14ac:dyDescent="0.3">
      <c r="A804" t="str">
        <f>""</f>
        <v/>
      </c>
      <c r="F804" t="str">
        <f>"201709194961"</f>
        <v>201709194961</v>
      </c>
      <c r="G804" t="str">
        <f>"09-13361  07/17/17"</f>
        <v>09-13361  07/17/17</v>
      </c>
      <c r="H804" s="2">
        <v>100</v>
      </c>
      <c r="I804" t="str">
        <f>"09-13361  07/17/17"</f>
        <v>09-13361  07/17/17</v>
      </c>
    </row>
    <row r="805" spans="1:9" x14ac:dyDescent="0.3">
      <c r="A805" t="str">
        <f>""</f>
        <v/>
      </c>
      <c r="F805" t="str">
        <f>"201709194962"</f>
        <v>201709194962</v>
      </c>
      <c r="G805" t="str">
        <f>"04-9068  6/20/17"</f>
        <v>04-9068  6/20/17</v>
      </c>
      <c r="H805" s="2">
        <v>100</v>
      </c>
      <c r="I805" t="str">
        <f>"04-9068  6/20/17"</f>
        <v>04-9068  6/20/17</v>
      </c>
    </row>
    <row r="806" spans="1:9" x14ac:dyDescent="0.3">
      <c r="A806" t="str">
        <f>""</f>
        <v/>
      </c>
      <c r="F806" t="str">
        <f>"201709194966"</f>
        <v>201709194966</v>
      </c>
      <c r="G806" t="str">
        <f>"55 089"</f>
        <v>55 089</v>
      </c>
      <c r="H806" s="2">
        <v>250</v>
      </c>
      <c r="I806" t="str">
        <f>"55 089"</f>
        <v>55 089</v>
      </c>
    </row>
    <row r="807" spans="1:9" x14ac:dyDescent="0.3">
      <c r="A807" t="str">
        <f>"004851"</f>
        <v>004851</v>
      </c>
      <c r="B807" t="s">
        <v>281</v>
      </c>
      <c r="C807">
        <v>72764</v>
      </c>
      <c r="D807" s="2">
        <v>33.270000000000003</v>
      </c>
      <c r="E807" s="1">
        <v>43003</v>
      </c>
      <c r="F807" t="str">
        <f>"201709194985"</f>
        <v>201709194985</v>
      </c>
      <c r="G807" t="str">
        <f>"INDIGENT HEALTH"</f>
        <v>INDIGENT HEALTH</v>
      </c>
      <c r="H807" s="2">
        <v>33.270000000000003</v>
      </c>
      <c r="I807" t="str">
        <f>"INDIGENT HEALTH"</f>
        <v>INDIGENT HEALTH</v>
      </c>
    </row>
    <row r="808" spans="1:9" x14ac:dyDescent="0.3">
      <c r="A808" t="str">
        <f>"004557"</f>
        <v>004557</v>
      </c>
      <c r="B808" t="s">
        <v>282</v>
      </c>
      <c r="C808">
        <v>72765</v>
      </c>
      <c r="D808" s="2">
        <v>949.55</v>
      </c>
      <c r="E808" s="1">
        <v>43003</v>
      </c>
      <c r="F808" t="str">
        <f>"487-VSF"</f>
        <v>487-VSF</v>
      </c>
      <c r="G808" t="str">
        <f>"INV 487-VSF"</f>
        <v>INV 487-VSF</v>
      </c>
      <c r="H808" s="2">
        <v>749.55</v>
      </c>
      <c r="I808" t="str">
        <f>"INV 487-VSF"</f>
        <v>INV 487-VSF</v>
      </c>
    </row>
    <row r="809" spans="1:9" x14ac:dyDescent="0.3">
      <c r="A809" t="str">
        <f>""</f>
        <v/>
      </c>
      <c r="F809" t="str">
        <f>"PAINT HOOD"</f>
        <v>PAINT HOOD</v>
      </c>
      <c r="G809" t="str">
        <f>"VEHICLE 1FCLE49572HA59626"</f>
        <v>VEHICLE 1FCLE49572HA59626</v>
      </c>
      <c r="H809" s="2">
        <v>200</v>
      </c>
      <c r="I809" t="str">
        <f>"VEHICLE 1FCLE49572HA59626"</f>
        <v>VEHICLE 1FCLE49572HA59626</v>
      </c>
    </row>
    <row r="810" spans="1:9" x14ac:dyDescent="0.3">
      <c r="A810" t="str">
        <f>"004109"</f>
        <v>004109</v>
      </c>
      <c r="B810" t="s">
        <v>283</v>
      </c>
      <c r="C810">
        <v>72538</v>
      </c>
      <c r="D810" s="2">
        <v>240.96</v>
      </c>
      <c r="E810" s="1">
        <v>42989</v>
      </c>
      <c r="F810" t="str">
        <f>"201709064617"</f>
        <v>201709064617</v>
      </c>
      <c r="G810" t="str">
        <f>"INDIGENT HEALTH"</f>
        <v>INDIGENT HEALTH</v>
      </c>
      <c r="H810" s="2">
        <v>240.96</v>
      </c>
      <c r="I810" t="str">
        <f>"INDIGENT HEALTH"</f>
        <v>INDIGENT HEALTH</v>
      </c>
    </row>
    <row r="811" spans="1:9" x14ac:dyDescent="0.3">
      <c r="A811" t="str">
        <f>"004109"</f>
        <v>004109</v>
      </c>
      <c r="B811" t="s">
        <v>283</v>
      </c>
      <c r="C811">
        <v>72766</v>
      </c>
      <c r="D811" s="2">
        <v>233.01</v>
      </c>
      <c r="E811" s="1">
        <v>43003</v>
      </c>
      <c r="F811" t="str">
        <f>"201709194986"</f>
        <v>201709194986</v>
      </c>
      <c r="G811" t="str">
        <f>"INDIGENT HEALTH"</f>
        <v>INDIGENT HEALTH</v>
      </c>
      <c r="H811" s="2">
        <v>233.01</v>
      </c>
      <c r="I811" t="str">
        <f>"INDIGENT HEALTH"</f>
        <v>INDIGENT HEALTH</v>
      </c>
    </row>
    <row r="812" spans="1:9" x14ac:dyDescent="0.3">
      <c r="A812" t="str">
        <f>"LIE"</f>
        <v>LIE</v>
      </c>
      <c r="B812" t="s">
        <v>284</v>
      </c>
      <c r="C812">
        <v>72539</v>
      </c>
      <c r="D812" s="2">
        <v>589.29</v>
      </c>
      <c r="E812" s="1">
        <v>42989</v>
      </c>
      <c r="F812" t="str">
        <f>"313790"</f>
        <v>313790</v>
      </c>
      <c r="G812" t="str">
        <f>"BRAKE SVCS/PCT#1"</f>
        <v>BRAKE SVCS/PCT#1</v>
      </c>
      <c r="H812" s="2">
        <v>589.29</v>
      </c>
      <c r="I812" t="str">
        <f>"BRAKE SVCS/PCT#1"</f>
        <v>BRAKE SVCS/PCT#1</v>
      </c>
    </row>
    <row r="813" spans="1:9" x14ac:dyDescent="0.3">
      <c r="A813" t="str">
        <f>"T13085"</f>
        <v>T13085</v>
      </c>
      <c r="B813" t="s">
        <v>285</v>
      </c>
      <c r="C813">
        <v>999999</v>
      </c>
      <c r="D813" s="2">
        <v>320</v>
      </c>
      <c r="E813" s="1">
        <v>43004</v>
      </c>
      <c r="F813" t="str">
        <f>"AUGUST CAR WASHES"</f>
        <v>AUGUST CAR WASHES</v>
      </c>
      <c r="G813" t="str">
        <f>"AUGUST BILLING"</f>
        <v>AUGUST BILLING</v>
      </c>
      <c r="H813" s="2">
        <v>320</v>
      </c>
      <c r="I813" t="str">
        <f>"AUGUST BILLING"</f>
        <v>AUGUST BILLING</v>
      </c>
    </row>
    <row r="814" spans="1:9" x14ac:dyDescent="0.3">
      <c r="A814" t="str">
        <f>""</f>
        <v/>
      </c>
      <c r="F814" t="str">
        <f>""</f>
        <v/>
      </c>
      <c r="G814" t="str">
        <f>""</f>
        <v/>
      </c>
      <c r="I814" t="str">
        <f>"AUGUST BILLING - 2ND"</f>
        <v>AUGUST BILLING - 2ND</v>
      </c>
    </row>
    <row r="815" spans="1:9" x14ac:dyDescent="0.3">
      <c r="A815" t="str">
        <f>"000888"</f>
        <v>000888</v>
      </c>
      <c r="B815" t="s">
        <v>286</v>
      </c>
      <c r="C815">
        <v>72767</v>
      </c>
      <c r="D815" s="2">
        <v>836.32</v>
      </c>
      <c r="E815" s="1">
        <v>43003</v>
      </c>
      <c r="F815" t="str">
        <f>"ACCT#8692"</f>
        <v>ACCT#8692</v>
      </c>
      <c r="G815" t="str">
        <f>"Acct# 99006938692"</f>
        <v>Acct# 99006938692</v>
      </c>
      <c r="H815" s="2">
        <v>836.32</v>
      </c>
      <c r="I815" t="str">
        <f>"Inv# 914955"</f>
        <v>Inv# 914955</v>
      </c>
    </row>
    <row r="816" spans="1:9" x14ac:dyDescent="0.3">
      <c r="A816" t="str">
        <f>""</f>
        <v/>
      </c>
      <c r="F816" t="str">
        <f>""</f>
        <v/>
      </c>
      <c r="G816" t="str">
        <f>""</f>
        <v/>
      </c>
      <c r="I816" t="str">
        <f>"Inv# 914966"</f>
        <v>Inv# 914966</v>
      </c>
    </row>
    <row r="817" spans="1:9" x14ac:dyDescent="0.3">
      <c r="A817" t="str">
        <f>""</f>
        <v/>
      </c>
      <c r="F817" t="str">
        <f>""</f>
        <v/>
      </c>
      <c r="G817" t="str">
        <f>""</f>
        <v/>
      </c>
      <c r="I817" t="str">
        <f>"Inv# 901378"</f>
        <v>Inv# 901378</v>
      </c>
    </row>
    <row r="818" spans="1:9" x14ac:dyDescent="0.3">
      <c r="A818" t="str">
        <f>""</f>
        <v/>
      </c>
      <c r="F818" t="str">
        <f>""</f>
        <v/>
      </c>
      <c r="G818" t="str">
        <f>""</f>
        <v/>
      </c>
      <c r="I818" t="str">
        <f>"Inv# 902657"</f>
        <v>Inv# 902657</v>
      </c>
    </row>
    <row r="819" spans="1:9" x14ac:dyDescent="0.3">
      <c r="A819" t="str">
        <f>""</f>
        <v/>
      </c>
      <c r="F819" t="str">
        <f>""</f>
        <v/>
      </c>
      <c r="G819" t="str">
        <f>""</f>
        <v/>
      </c>
      <c r="I819" t="str">
        <f>"Inv# 914740"</f>
        <v>Inv# 914740</v>
      </c>
    </row>
    <row r="820" spans="1:9" x14ac:dyDescent="0.3">
      <c r="A820" t="str">
        <f>""</f>
        <v/>
      </c>
      <c r="F820" t="str">
        <f>""</f>
        <v/>
      </c>
      <c r="G820" t="str">
        <f>""</f>
        <v/>
      </c>
      <c r="I820" t="str">
        <f>"Inv# 901349"</f>
        <v>Inv# 901349</v>
      </c>
    </row>
    <row r="821" spans="1:9" x14ac:dyDescent="0.3">
      <c r="A821" t="str">
        <f>""</f>
        <v/>
      </c>
      <c r="F821" t="str">
        <f>""</f>
        <v/>
      </c>
      <c r="G821" t="str">
        <f>""</f>
        <v/>
      </c>
      <c r="I821" t="str">
        <f>"Inv# 901716"</f>
        <v>Inv# 901716</v>
      </c>
    </row>
    <row r="822" spans="1:9" x14ac:dyDescent="0.3">
      <c r="A822" t="str">
        <f>""</f>
        <v/>
      </c>
      <c r="F822" t="str">
        <f>""</f>
        <v/>
      </c>
      <c r="G822" t="str">
        <f>""</f>
        <v/>
      </c>
      <c r="I822" t="str">
        <f>"Inv# 914163"</f>
        <v>Inv# 914163</v>
      </c>
    </row>
    <row r="823" spans="1:9" x14ac:dyDescent="0.3">
      <c r="A823" t="str">
        <f>""</f>
        <v/>
      </c>
      <c r="F823" t="str">
        <f>""</f>
        <v/>
      </c>
      <c r="G823" t="str">
        <f>""</f>
        <v/>
      </c>
      <c r="I823" t="str">
        <f>"Inv# 901300"</f>
        <v>Inv# 901300</v>
      </c>
    </row>
    <row r="824" spans="1:9" x14ac:dyDescent="0.3">
      <c r="A824" t="str">
        <f>""</f>
        <v/>
      </c>
      <c r="F824" t="str">
        <f>""</f>
        <v/>
      </c>
      <c r="G824" t="str">
        <f>""</f>
        <v/>
      </c>
      <c r="I824" t="str">
        <f>"Inv# 910725"</f>
        <v>Inv# 910725</v>
      </c>
    </row>
    <row r="825" spans="1:9" x14ac:dyDescent="0.3">
      <c r="A825" t="str">
        <f>""</f>
        <v/>
      </c>
      <c r="F825" t="str">
        <f>""</f>
        <v/>
      </c>
      <c r="G825" t="str">
        <f>""</f>
        <v/>
      </c>
      <c r="I825" t="str">
        <f>"Inv# 914140"</f>
        <v>Inv# 914140</v>
      </c>
    </row>
    <row r="826" spans="1:9" x14ac:dyDescent="0.3">
      <c r="A826" t="str">
        <f>"004036"</f>
        <v>004036</v>
      </c>
      <c r="B826" t="s">
        <v>287</v>
      </c>
      <c r="C826">
        <v>72768</v>
      </c>
      <c r="D826" s="2">
        <v>2995.11</v>
      </c>
      <c r="E826" s="1">
        <v>43003</v>
      </c>
      <c r="F826" t="str">
        <f>"10416/29/56/67"</f>
        <v>10416/29/56/67</v>
      </c>
      <c r="G826" t="str">
        <f>"MAGIC TOUGH CLEANING SYSTEMS L"</f>
        <v>MAGIC TOUGH CLEANING SYSTEMS L</v>
      </c>
      <c r="H826" s="2">
        <v>2995.11</v>
      </c>
      <c r="I826" t="str">
        <f>"AGRLIFE"</f>
        <v>AGRLIFE</v>
      </c>
    </row>
    <row r="827" spans="1:9" x14ac:dyDescent="0.3">
      <c r="A827" t="str">
        <f>""</f>
        <v/>
      </c>
      <c r="F827" t="str">
        <f>""</f>
        <v/>
      </c>
      <c r="G827" t="str">
        <f>""</f>
        <v/>
      </c>
      <c r="I827" t="str">
        <f>"HISTORIC JAIL"</f>
        <v>HISTORIC JAIL</v>
      </c>
    </row>
    <row r="828" spans="1:9" x14ac:dyDescent="0.3">
      <c r="A828" t="str">
        <f>""</f>
        <v/>
      </c>
      <c r="F828" t="str">
        <f>""</f>
        <v/>
      </c>
      <c r="G828" t="str">
        <f>""</f>
        <v/>
      </c>
      <c r="I828" t="str">
        <f>"OEM"</f>
        <v>OEM</v>
      </c>
    </row>
    <row r="829" spans="1:9" x14ac:dyDescent="0.3">
      <c r="A829" t="str">
        <f>""</f>
        <v/>
      </c>
      <c r="F829" t="str">
        <f>""</f>
        <v/>
      </c>
      <c r="G829" t="str">
        <f>""</f>
        <v/>
      </c>
      <c r="I829" t="str">
        <f>"JAIL COURTHOUSE"</f>
        <v>JAIL COURTHOUSE</v>
      </c>
    </row>
    <row r="830" spans="1:9" x14ac:dyDescent="0.3">
      <c r="A830" t="str">
        <f>"MARIA"</f>
        <v>MARIA</v>
      </c>
      <c r="B830" t="s">
        <v>288</v>
      </c>
      <c r="C830">
        <v>72540</v>
      </c>
      <c r="D830" s="2">
        <v>1471.52</v>
      </c>
      <c r="E830" s="1">
        <v>42989</v>
      </c>
      <c r="F830" t="str">
        <f>"201709014502"</f>
        <v>201709014502</v>
      </c>
      <c r="G830" t="str">
        <f>"423-4720"</f>
        <v>423-4720</v>
      </c>
      <c r="H830" s="2">
        <v>325.67</v>
      </c>
      <c r="I830" t="str">
        <f>"423-4720"</f>
        <v>423-4720</v>
      </c>
    </row>
    <row r="831" spans="1:9" x14ac:dyDescent="0.3">
      <c r="A831" t="str">
        <f>""</f>
        <v/>
      </c>
      <c r="F831" t="str">
        <f>"201709014505"</f>
        <v>201709014505</v>
      </c>
      <c r="G831" t="str">
        <f>"CRIMINAL 8/23/17"</f>
        <v>CRIMINAL 8/23/17</v>
      </c>
      <c r="H831" s="2">
        <v>233.17</v>
      </c>
      <c r="I831" t="str">
        <f>"CRIMINAL 8/23/17"</f>
        <v>CRIMINAL 8/23/17</v>
      </c>
    </row>
    <row r="832" spans="1:9" x14ac:dyDescent="0.3">
      <c r="A832" t="str">
        <f>""</f>
        <v/>
      </c>
      <c r="F832" t="str">
        <f>"201709064594"</f>
        <v>201709064594</v>
      </c>
      <c r="G832" t="str">
        <f>"17-18525"</f>
        <v>17-18525</v>
      </c>
      <c r="H832" s="2">
        <v>183.17</v>
      </c>
      <c r="I832" t="str">
        <f>"17-18525"</f>
        <v>17-18525</v>
      </c>
    </row>
    <row r="833" spans="1:9" x14ac:dyDescent="0.3">
      <c r="A833" t="str">
        <f>""</f>
        <v/>
      </c>
      <c r="F833" t="str">
        <f>"201709064595"</f>
        <v>201709064595</v>
      </c>
      <c r="G833" t="str">
        <f>"CRIMINAL 8/24/17"</f>
        <v>CRIMINAL 8/24/17</v>
      </c>
      <c r="H833" s="2">
        <v>183.17</v>
      </c>
      <c r="I833" t="str">
        <f>"CRIMINAL 8/24/17"</f>
        <v>CRIMINAL 8/24/17</v>
      </c>
    </row>
    <row r="834" spans="1:9" x14ac:dyDescent="0.3">
      <c r="A834" t="str">
        <f>""</f>
        <v/>
      </c>
      <c r="F834" t="str">
        <f>"201709064596"</f>
        <v>201709064596</v>
      </c>
      <c r="G834" t="str">
        <f>"17-18525"</f>
        <v>17-18525</v>
      </c>
      <c r="H834" s="2">
        <v>150</v>
      </c>
      <c r="I834" t="str">
        <f>"17-18525"</f>
        <v>17-18525</v>
      </c>
    </row>
    <row r="835" spans="1:9" x14ac:dyDescent="0.3">
      <c r="A835" t="str">
        <f>""</f>
        <v/>
      </c>
      <c r="F835" t="str">
        <f>"201709064597"</f>
        <v>201709064597</v>
      </c>
      <c r="G835" t="str">
        <f>"CRIMINAL 8/31/17"</f>
        <v>CRIMINAL 8/31/17</v>
      </c>
      <c r="H835" s="2">
        <v>183.17</v>
      </c>
      <c r="I835" t="str">
        <f>"CRIMINAL 8/31/17"</f>
        <v>CRIMINAL 8/31/17</v>
      </c>
    </row>
    <row r="836" spans="1:9" x14ac:dyDescent="0.3">
      <c r="A836" t="str">
        <f>""</f>
        <v/>
      </c>
      <c r="F836" t="str">
        <f>"201709064598"</f>
        <v>201709064598</v>
      </c>
      <c r="G836" t="str">
        <f>"14-16563"</f>
        <v>14-16563</v>
      </c>
      <c r="H836" s="2">
        <v>50</v>
      </c>
      <c r="I836" t="str">
        <f>"14-16563"</f>
        <v>14-16563</v>
      </c>
    </row>
    <row r="837" spans="1:9" x14ac:dyDescent="0.3">
      <c r="A837" t="str">
        <f>""</f>
        <v/>
      </c>
      <c r="F837" t="str">
        <f>"201709064599"</f>
        <v>201709064599</v>
      </c>
      <c r="G837" t="str">
        <f>"423-5075"</f>
        <v>423-5075</v>
      </c>
      <c r="H837" s="2">
        <v>98.17</v>
      </c>
      <c r="I837" t="str">
        <f>"423-5075"</f>
        <v>423-5075</v>
      </c>
    </row>
    <row r="838" spans="1:9" x14ac:dyDescent="0.3">
      <c r="A838" t="str">
        <f>""</f>
        <v/>
      </c>
      <c r="F838" t="str">
        <f>"201709064600"</f>
        <v>201709064600</v>
      </c>
      <c r="G838" t="str">
        <f>"423-4853"</f>
        <v>423-4853</v>
      </c>
      <c r="H838" s="2">
        <v>65</v>
      </c>
      <c r="I838" t="str">
        <f>"423-4853"</f>
        <v>423-4853</v>
      </c>
    </row>
    <row r="839" spans="1:9" x14ac:dyDescent="0.3">
      <c r="A839" t="str">
        <f>"MARIA"</f>
        <v>MARIA</v>
      </c>
      <c r="B839" t="s">
        <v>288</v>
      </c>
      <c r="C839">
        <v>999999</v>
      </c>
      <c r="D839" s="2">
        <v>759.51</v>
      </c>
      <c r="E839" s="1">
        <v>43004</v>
      </c>
      <c r="F839" t="str">
        <f>"201709154936"</f>
        <v>201709154936</v>
      </c>
      <c r="G839" t="str">
        <f>"14645"</f>
        <v>14645</v>
      </c>
      <c r="H839" s="2">
        <v>378.17</v>
      </c>
      <c r="I839" t="str">
        <f>"14645"</f>
        <v>14645</v>
      </c>
    </row>
    <row r="840" spans="1:9" x14ac:dyDescent="0.3">
      <c r="A840" t="str">
        <f>""</f>
        <v/>
      </c>
      <c r="F840" t="str">
        <f>"201709205032"</f>
        <v>201709205032</v>
      </c>
      <c r="G840" t="str">
        <f>"423-5075"</f>
        <v>423-5075</v>
      </c>
      <c r="H840" s="2">
        <v>65</v>
      </c>
      <c r="I840" t="str">
        <f>"423-5075"</f>
        <v>423-5075</v>
      </c>
    </row>
    <row r="841" spans="1:9" x14ac:dyDescent="0.3">
      <c r="A841" t="str">
        <f>""</f>
        <v/>
      </c>
      <c r="F841" t="str">
        <f>"201709205079"</f>
        <v>201709205079</v>
      </c>
      <c r="G841" t="str">
        <f>"CRIMINAL CCL 9/18/17"</f>
        <v>CRIMINAL CCL 9/18/17</v>
      </c>
      <c r="H841" s="2">
        <v>183.17</v>
      </c>
      <c r="I841" t="str">
        <f>"CRIMINAL CCL 9/18/17"</f>
        <v>CRIMINAL CCL 9/18/17</v>
      </c>
    </row>
    <row r="842" spans="1:9" x14ac:dyDescent="0.3">
      <c r="A842" t="str">
        <f>""</f>
        <v/>
      </c>
      <c r="F842" t="str">
        <f>"201709205080"</f>
        <v>201709205080</v>
      </c>
      <c r="G842" t="str">
        <f>"17-18472"</f>
        <v>17-18472</v>
      </c>
      <c r="H842" s="2">
        <v>83.17</v>
      </c>
      <c r="I842" t="str">
        <f>"17-18472"</f>
        <v>17-18472</v>
      </c>
    </row>
    <row r="843" spans="1:9" x14ac:dyDescent="0.3">
      <c r="A843" t="str">
        <f>""</f>
        <v/>
      </c>
      <c r="F843" t="str">
        <f>"201709205081"</f>
        <v>201709205081</v>
      </c>
      <c r="G843" t="str">
        <f>"16-17999"</f>
        <v>16-17999</v>
      </c>
      <c r="H843" s="2">
        <v>50</v>
      </c>
      <c r="I843" t="str">
        <f>"16-17999"</f>
        <v>16-17999</v>
      </c>
    </row>
    <row r="844" spans="1:9" x14ac:dyDescent="0.3">
      <c r="A844" t="str">
        <f>"004909"</f>
        <v>004909</v>
      </c>
      <c r="B844" t="s">
        <v>289</v>
      </c>
      <c r="C844">
        <v>999999</v>
      </c>
      <c r="D844" s="2">
        <v>173.85</v>
      </c>
      <c r="E844" s="1">
        <v>42985</v>
      </c>
      <c r="F844" t="str">
        <f>"201709064532"</f>
        <v>201709064532</v>
      </c>
      <c r="G844" t="str">
        <f>"REIMBURSEMENT"</f>
        <v>REIMBURSEMENT</v>
      </c>
      <c r="H844" s="2">
        <v>173.85</v>
      </c>
      <c r="I844" t="str">
        <f>"REIMBURSEMENT"</f>
        <v>REIMBURSEMENT</v>
      </c>
    </row>
    <row r="845" spans="1:9" x14ac:dyDescent="0.3">
      <c r="A845" t="str">
        <f>"T13936"</f>
        <v>T13936</v>
      </c>
      <c r="B845" t="s">
        <v>290</v>
      </c>
      <c r="C845">
        <v>72541</v>
      </c>
      <c r="D845" s="2">
        <v>731.79</v>
      </c>
      <c r="E845" s="1">
        <v>42989</v>
      </c>
      <c r="F845" t="str">
        <f>"201709064618"</f>
        <v>201709064618</v>
      </c>
      <c r="G845" t="str">
        <f>"INDIGENT HEALTH"</f>
        <v>INDIGENT HEALTH</v>
      </c>
      <c r="H845" s="2">
        <v>731.79</v>
      </c>
      <c r="I845" t="str">
        <f>"INDIGENT HEALTH"</f>
        <v>INDIGENT HEALTH</v>
      </c>
    </row>
    <row r="846" spans="1:9" x14ac:dyDescent="0.3">
      <c r="A846" t="str">
        <f>""</f>
        <v/>
      </c>
      <c r="F846" t="str">
        <f>""</f>
        <v/>
      </c>
      <c r="G846" t="str">
        <f>""</f>
        <v/>
      </c>
      <c r="I846" t="str">
        <f>"INDIGENT HEALTH"</f>
        <v>INDIGENT HEALTH</v>
      </c>
    </row>
    <row r="847" spans="1:9" x14ac:dyDescent="0.3">
      <c r="A847" t="str">
        <f>"T13936"</f>
        <v>T13936</v>
      </c>
      <c r="B847" t="s">
        <v>290</v>
      </c>
      <c r="C847">
        <v>72769</v>
      </c>
      <c r="D847" s="2">
        <v>581.79999999999995</v>
      </c>
      <c r="E847" s="1">
        <v>43003</v>
      </c>
      <c r="F847" t="str">
        <f>"201709194987"</f>
        <v>201709194987</v>
      </c>
      <c r="G847" t="str">
        <f>"INDIGENT HEALTH"</f>
        <v>INDIGENT HEALTH</v>
      </c>
      <c r="H847" s="2">
        <v>581.79999999999995</v>
      </c>
      <c r="I847" t="str">
        <f>"INDIGENT HEALTH"</f>
        <v>INDIGENT HEALTH</v>
      </c>
    </row>
    <row r="848" spans="1:9" x14ac:dyDescent="0.3">
      <c r="A848" t="str">
        <f>"003786"</f>
        <v>003786</v>
      </c>
      <c r="B848" t="s">
        <v>291</v>
      </c>
      <c r="C848">
        <v>72542</v>
      </c>
      <c r="D848" s="2">
        <v>60</v>
      </c>
      <c r="E848" s="1">
        <v>42989</v>
      </c>
      <c r="F848" t="str">
        <f>"REIMBURSEMENT"</f>
        <v>REIMBURSEMENT</v>
      </c>
      <c r="G848" t="str">
        <f>"REIMBURSEMENT"</f>
        <v>REIMBURSEMENT</v>
      </c>
      <c r="H848" s="2">
        <v>60</v>
      </c>
      <c r="I848" t="str">
        <f>"REIMBURSEMENT"</f>
        <v>REIMBURSEMENT</v>
      </c>
    </row>
    <row r="849" spans="1:9" x14ac:dyDescent="0.3">
      <c r="A849" t="str">
        <f>"T12624"</f>
        <v>T12624</v>
      </c>
      <c r="B849" t="s">
        <v>292</v>
      </c>
      <c r="C849">
        <v>72770</v>
      </c>
      <c r="D849" s="2">
        <v>155.37</v>
      </c>
      <c r="E849" s="1">
        <v>43003</v>
      </c>
      <c r="F849" t="str">
        <f>"001645958"</f>
        <v>001645958</v>
      </c>
      <c r="G849" t="str">
        <f>"INV001645958"</f>
        <v>INV001645958</v>
      </c>
      <c r="H849" s="2">
        <v>155.37</v>
      </c>
      <c r="I849" t="str">
        <f>"INV001645958"</f>
        <v>INV001645958</v>
      </c>
    </row>
    <row r="850" spans="1:9" x14ac:dyDescent="0.3">
      <c r="A850" t="str">
        <f>"004144"</f>
        <v>004144</v>
      </c>
      <c r="B850" t="s">
        <v>293</v>
      </c>
      <c r="C850">
        <v>72543</v>
      </c>
      <c r="D850" s="2">
        <v>662.5</v>
      </c>
      <c r="E850" s="1">
        <v>42989</v>
      </c>
      <c r="F850" t="str">
        <f>"201709064592"</f>
        <v>201709064592</v>
      </c>
      <c r="G850" t="str">
        <f>"55 229"</f>
        <v>55 229</v>
      </c>
      <c r="H850" s="2">
        <v>250</v>
      </c>
      <c r="I850" t="str">
        <f>"55 229"</f>
        <v>55 229</v>
      </c>
    </row>
    <row r="851" spans="1:9" x14ac:dyDescent="0.3">
      <c r="A851" t="str">
        <f>""</f>
        <v/>
      </c>
      <c r="F851" t="str">
        <f>"201709064601"</f>
        <v>201709064601</v>
      </c>
      <c r="G851" t="str">
        <f>"16 18016"</f>
        <v>16 18016</v>
      </c>
      <c r="H851" s="2">
        <v>100</v>
      </c>
      <c r="I851" t="str">
        <f>"16 18016"</f>
        <v>16 18016</v>
      </c>
    </row>
    <row r="852" spans="1:9" x14ac:dyDescent="0.3">
      <c r="A852" t="str">
        <f>""</f>
        <v/>
      </c>
      <c r="F852" t="str">
        <f>"201709064602"</f>
        <v>201709064602</v>
      </c>
      <c r="G852" t="str">
        <f>"16 17969"</f>
        <v>16 17969</v>
      </c>
      <c r="H852" s="2">
        <v>212.5</v>
      </c>
      <c r="I852" t="str">
        <f>"16 17969"</f>
        <v>16 17969</v>
      </c>
    </row>
    <row r="853" spans="1:9" x14ac:dyDescent="0.3">
      <c r="A853" t="str">
        <f>""</f>
        <v/>
      </c>
      <c r="F853" t="str">
        <f>"201709064603"</f>
        <v>201709064603</v>
      </c>
      <c r="G853" t="str">
        <f>"16 18067"</f>
        <v>16 18067</v>
      </c>
      <c r="H853" s="2">
        <v>100</v>
      </c>
      <c r="I853" t="str">
        <f>"16 18067"</f>
        <v>16 18067</v>
      </c>
    </row>
    <row r="854" spans="1:9" x14ac:dyDescent="0.3">
      <c r="A854" t="str">
        <f>"004144"</f>
        <v>004144</v>
      </c>
      <c r="B854" t="s">
        <v>293</v>
      </c>
      <c r="C854">
        <v>999999</v>
      </c>
      <c r="D854" s="2">
        <v>1075</v>
      </c>
      <c r="E854" s="1">
        <v>43004</v>
      </c>
      <c r="F854" t="str">
        <f>"201709194957"</f>
        <v>201709194957</v>
      </c>
      <c r="G854" t="str">
        <f>"17 18525"</f>
        <v>17 18525</v>
      </c>
      <c r="H854" s="2">
        <v>200</v>
      </c>
      <c r="I854" t="str">
        <f>"17 18525"</f>
        <v>17 18525</v>
      </c>
    </row>
    <row r="855" spans="1:9" x14ac:dyDescent="0.3">
      <c r="A855" t="str">
        <f>""</f>
        <v/>
      </c>
      <c r="F855" t="str">
        <f>"201709194967"</f>
        <v>201709194967</v>
      </c>
      <c r="G855" t="str">
        <f>"1VP18117AB/925-346-4356 (TRN)"</f>
        <v>1VP18117AB/925-346-4356 (TRN)</v>
      </c>
      <c r="H855" s="2">
        <v>250</v>
      </c>
      <c r="I855" t="str">
        <f>"1VP18117AB/925-346-4356 (TRN)"</f>
        <v>1VP18117AB/925-346-4356 (TRN)</v>
      </c>
    </row>
    <row r="856" spans="1:9" x14ac:dyDescent="0.3">
      <c r="A856" t="str">
        <f>""</f>
        <v/>
      </c>
      <c r="F856" t="str">
        <f>"201709205086"</f>
        <v>201709205086</v>
      </c>
      <c r="G856" t="str">
        <f>"CH-20170213B/925344 6749 A002"</f>
        <v>CH-20170213B/925344 6749 A002</v>
      </c>
      <c r="H856" s="2">
        <v>125</v>
      </c>
      <c r="I856" t="str">
        <f>"CH-20170213B/925344 6749 A002"</f>
        <v>CH-20170213B/925344 6749 A002</v>
      </c>
    </row>
    <row r="857" spans="1:9" x14ac:dyDescent="0.3">
      <c r="A857" t="str">
        <f>""</f>
        <v/>
      </c>
      <c r="F857" t="str">
        <f>"201709205087"</f>
        <v>201709205087</v>
      </c>
      <c r="G857" t="str">
        <f>"CH-20170213D/925 344 6749 A004"</f>
        <v>CH-20170213D/925 344 6749 A004</v>
      </c>
      <c r="H857" s="2">
        <v>125</v>
      </c>
      <c r="I857" t="str">
        <f>"CH-20170213D/925 344 6749 A004"</f>
        <v>CH-20170213D/925 344 6749 A004</v>
      </c>
    </row>
    <row r="858" spans="1:9" x14ac:dyDescent="0.3">
      <c r="A858" t="str">
        <f>""</f>
        <v/>
      </c>
      <c r="F858" t="str">
        <f>"201709205088"</f>
        <v>201709205088</v>
      </c>
      <c r="G858" t="str">
        <f>"CH-20170213C/925 344 6749 A005"</f>
        <v>CH-20170213C/925 344 6749 A005</v>
      </c>
      <c r="H858" s="2">
        <v>125</v>
      </c>
      <c r="I858" t="str">
        <f>"CH-20170213C/925 344 6749 A005"</f>
        <v>CH-20170213C/925 344 6749 A005</v>
      </c>
    </row>
    <row r="859" spans="1:9" x14ac:dyDescent="0.3">
      <c r="A859" t="str">
        <f>""</f>
        <v/>
      </c>
      <c r="F859" t="str">
        <f>"201709205089"</f>
        <v>201709205089</v>
      </c>
      <c r="G859" t="str">
        <f>"CH-20170213A/925 344 6749 A003"</f>
        <v>CH-20170213A/925 344 6749 A003</v>
      </c>
      <c r="H859" s="2">
        <v>250</v>
      </c>
      <c r="I859" t="str">
        <f>"CH-20170213A/925 344 6749 A003"</f>
        <v>CH-20170213A/925 344 6749 A003</v>
      </c>
    </row>
    <row r="860" spans="1:9" x14ac:dyDescent="0.3">
      <c r="A860" t="str">
        <f>"TRIGA"</f>
        <v>TRIGA</v>
      </c>
      <c r="B860" t="s">
        <v>294</v>
      </c>
      <c r="C860">
        <v>72544</v>
      </c>
      <c r="D860" s="2">
        <v>134.11000000000001</v>
      </c>
      <c r="E860" s="1">
        <v>42989</v>
      </c>
      <c r="F860" t="str">
        <f>"15971866"</f>
        <v>15971866</v>
      </c>
      <c r="G860" t="str">
        <f>"ACCT#S9549/PCT#1"</f>
        <v>ACCT#S9549/PCT#1</v>
      </c>
      <c r="H860" s="2">
        <v>134.11000000000001</v>
      </c>
      <c r="I860" t="str">
        <f>"ACCT#S9549/PCT#1"</f>
        <v>ACCT#S9549/PCT#1</v>
      </c>
    </row>
    <row r="861" spans="1:9" x14ac:dyDescent="0.3">
      <c r="A861" t="str">
        <f>"TRIGA"</f>
        <v>TRIGA</v>
      </c>
      <c r="B861" t="s">
        <v>294</v>
      </c>
      <c r="C861">
        <v>72771</v>
      </c>
      <c r="D861" s="2">
        <v>201.08</v>
      </c>
      <c r="E861" s="1">
        <v>43003</v>
      </c>
      <c r="F861" t="str">
        <f>"16066694"</f>
        <v>16066694</v>
      </c>
      <c r="G861" t="str">
        <f>"CUST#41472/PCT#1"</f>
        <v>CUST#41472/PCT#1</v>
      </c>
      <c r="H861" s="2">
        <v>22.23</v>
      </c>
      <c r="I861" t="str">
        <f>"CUST#41472/PCT#1"</f>
        <v>CUST#41472/PCT#1</v>
      </c>
    </row>
    <row r="862" spans="1:9" x14ac:dyDescent="0.3">
      <c r="A862" t="str">
        <f>""</f>
        <v/>
      </c>
      <c r="F862" t="str">
        <f>"16066801"</f>
        <v>16066801</v>
      </c>
      <c r="G862" t="str">
        <f>"CUST#45057/PCT#4"</f>
        <v>CUST#45057/PCT#4</v>
      </c>
      <c r="H862" s="2">
        <v>39.729999999999997</v>
      </c>
      <c r="I862" t="str">
        <f>"CUST#45057/PCT#4"</f>
        <v>CUST#45057/PCT#4</v>
      </c>
    </row>
    <row r="863" spans="1:9" x14ac:dyDescent="0.3">
      <c r="A863" t="str">
        <f>""</f>
        <v/>
      </c>
      <c r="F863" t="str">
        <f>"16066867"</f>
        <v>16066867</v>
      </c>
      <c r="G863" t="str">
        <f>"INV 16066867"</f>
        <v>INV 16066867</v>
      </c>
      <c r="H863" s="2">
        <v>49.12</v>
      </c>
      <c r="I863" t="str">
        <f>"INV 16066867"</f>
        <v>INV 16066867</v>
      </c>
    </row>
    <row r="864" spans="1:9" x14ac:dyDescent="0.3">
      <c r="A864" t="str">
        <f>""</f>
        <v/>
      </c>
      <c r="F864" t="str">
        <f>"16075169"</f>
        <v>16075169</v>
      </c>
      <c r="G864" t="str">
        <f>"CUST#S9547/PCT#1"</f>
        <v>CUST#S9547/PCT#1</v>
      </c>
      <c r="H864" s="2">
        <v>90</v>
      </c>
      <c r="I864" t="str">
        <f>"CUST#S9547/PCT#1"</f>
        <v>CUST#S9547/PCT#1</v>
      </c>
    </row>
    <row r="865" spans="1:10" x14ac:dyDescent="0.3">
      <c r="A865" t="str">
        <f>"005177"</f>
        <v>005177</v>
      </c>
      <c r="B865" t="s">
        <v>295</v>
      </c>
      <c r="C865">
        <v>72545</v>
      </c>
      <c r="D865" s="2">
        <v>175</v>
      </c>
      <c r="E865" s="1">
        <v>42989</v>
      </c>
      <c r="F865" t="str">
        <f>"REIMBURSE TCOLE"</f>
        <v>REIMBURSE TCOLE</v>
      </c>
      <c r="G865" t="str">
        <f>"REIMBURSE FOR TCOLE"</f>
        <v>REIMBURSE FOR TCOLE</v>
      </c>
      <c r="H865" s="2">
        <v>175</v>
      </c>
      <c r="I865" t="str">
        <f>"REIMBURSE FOR TCOLE"</f>
        <v>REIMBURSE FOR TCOLE</v>
      </c>
    </row>
    <row r="866" spans="1:10" x14ac:dyDescent="0.3">
      <c r="A866" t="str">
        <f>"005222"</f>
        <v>005222</v>
      </c>
      <c r="B866" t="s">
        <v>296</v>
      </c>
      <c r="C866">
        <v>72772</v>
      </c>
      <c r="D866" s="2">
        <v>25</v>
      </c>
      <c r="E866" s="1">
        <v>43003</v>
      </c>
      <c r="F866" t="str">
        <f>"201709184950"</f>
        <v>201709184950</v>
      </c>
      <c r="G866" t="str">
        <f>"REFUND FOR EXCESS COLLECTION"</f>
        <v>REFUND FOR EXCESS COLLECTION</v>
      </c>
      <c r="H866" s="2">
        <v>25</v>
      </c>
      <c r="I866" t="str">
        <f>"REFUND FOR EXCESS COLLECTION"</f>
        <v>REFUND FOR EXCESS COLLECTION</v>
      </c>
    </row>
    <row r="867" spans="1:10" x14ac:dyDescent="0.3">
      <c r="A867" t="str">
        <f>"MC COY"</f>
        <v>MC COY</v>
      </c>
      <c r="B867" t="s">
        <v>297</v>
      </c>
      <c r="C867">
        <v>72546</v>
      </c>
      <c r="D867" s="2">
        <v>226.46</v>
      </c>
      <c r="E867" s="1">
        <v>42989</v>
      </c>
      <c r="F867" t="str">
        <f>"643330"</f>
        <v>643330</v>
      </c>
      <c r="G867" t="str">
        <f>"ACCT#0900-98011130-001/SEALANT"</f>
        <v>ACCT#0900-98011130-001/SEALANT</v>
      </c>
      <c r="H867" s="2">
        <v>5.69</v>
      </c>
      <c r="I867" t="str">
        <f>"ACCT#0900-98011130-001/SEALANT"</f>
        <v>ACCT#0900-98011130-001/SEALANT</v>
      </c>
    </row>
    <row r="868" spans="1:10" x14ac:dyDescent="0.3">
      <c r="A868" t="str">
        <f>""</f>
        <v/>
      </c>
      <c r="F868" t="str">
        <f>"643436"</f>
        <v>643436</v>
      </c>
      <c r="G868" t="str">
        <f>"ACCT#0900-98011130-001/PCT#1"</f>
        <v>ACCT#0900-98011130-001/PCT#1</v>
      </c>
      <c r="H868" s="2">
        <v>148.27000000000001</v>
      </c>
      <c r="I868" t="str">
        <f>"ACCT#0900-98011130-001"</f>
        <v>ACCT#0900-98011130-001</v>
      </c>
    </row>
    <row r="869" spans="1:10" x14ac:dyDescent="0.3">
      <c r="A869" t="str">
        <f>""</f>
        <v/>
      </c>
      <c r="F869" t="str">
        <f>"643456"</f>
        <v>643456</v>
      </c>
      <c r="G869" t="str">
        <f>"ACCT#0900-98011130-001/PCT#3"</f>
        <v>ACCT#0900-98011130-001/PCT#3</v>
      </c>
      <c r="H869" s="2">
        <v>39.979999999999997</v>
      </c>
      <c r="I869" t="str">
        <f>"ACCT#0900-98011130-001/PCT#3"</f>
        <v>ACCT#0900-98011130-001/PCT#3</v>
      </c>
    </row>
    <row r="870" spans="1:10" x14ac:dyDescent="0.3">
      <c r="A870" t="str">
        <f>""</f>
        <v/>
      </c>
      <c r="F870" t="str">
        <f>"643641"</f>
        <v>643641</v>
      </c>
      <c r="G870" t="str">
        <f>"ACCT#0900-98011130-001/PCT#3"</f>
        <v>ACCT#0900-98011130-001/PCT#3</v>
      </c>
      <c r="H870" s="2">
        <v>32.520000000000003</v>
      </c>
      <c r="I870" t="str">
        <f>"ACCT#0900-98011130-001/PCT#3"</f>
        <v>ACCT#0900-98011130-001/PCT#3</v>
      </c>
    </row>
    <row r="871" spans="1:10" x14ac:dyDescent="0.3">
      <c r="A871" t="str">
        <f>"MC COY"</f>
        <v>MC COY</v>
      </c>
      <c r="B871" t="s">
        <v>297</v>
      </c>
      <c r="C871">
        <v>999999</v>
      </c>
      <c r="D871" s="2">
        <v>24.88</v>
      </c>
      <c r="E871" s="1">
        <v>43004</v>
      </c>
      <c r="F871" t="str">
        <f>"644098"</f>
        <v>644098</v>
      </c>
      <c r="G871" t="str">
        <f>"ACCT#0900-98011130-001"</f>
        <v>ACCT#0900-98011130-001</v>
      </c>
      <c r="H871" s="2">
        <v>24.88</v>
      </c>
      <c r="I871" t="str">
        <f>"ACCT#0900-98011130-001"</f>
        <v>ACCT#0900-98011130-001</v>
      </c>
    </row>
    <row r="872" spans="1:10" x14ac:dyDescent="0.3">
      <c r="A872" t="str">
        <f>"MC CRE"</f>
        <v>MC CRE</v>
      </c>
      <c r="B872" t="s">
        <v>298</v>
      </c>
      <c r="C872">
        <v>72547</v>
      </c>
      <c r="D872" s="2">
        <v>33554.85</v>
      </c>
      <c r="E872" s="1">
        <v>42989</v>
      </c>
      <c r="F872" t="s">
        <v>93</v>
      </c>
      <c r="G872" t="s">
        <v>299</v>
      </c>
      <c r="H872" s="2" t="str">
        <f>"SERVICE ON SOS 6/14/17"</f>
        <v>SERVICE ON SOS 6/14/17</v>
      </c>
      <c r="I872" t="str">
        <f>"995-4110"</f>
        <v>995-4110</v>
      </c>
      <c r="J872">
        <v>55</v>
      </c>
    </row>
    <row r="873" spans="1:10" x14ac:dyDescent="0.3">
      <c r="A873" t="str">
        <f>""</f>
        <v/>
      </c>
      <c r="F873" t="s">
        <v>93</v>
      </c>
      <c r="G873" t="s">
        <v>300</v>
      </c>
      <c r="H873" s="2" t="str">
        <f>"SERVICE 7/21/17"</f>
        <v>SERVICE 7/21/17</v>
      </c>
      <c r="I873" t="str">
        <f>"995-4110"</f>
        <v>995-4110</v>
      </c>
      <c r="J873">
        <v>175</v>
      </c>
    </row>
    <row r="874" spans="1:10" x14ac:dyDescent="0.3">
      <c r="A874" t="str">
        <f>""</f>
        <v/>
      </c>
      <c r="F874" t="s">
        <v>93</v>
      </c>
      <c r="G874" t="s">
        <v>94</v>
      </c>
      <c r="H874" s="2" t="str">
        <f>"ABST FEE 6/14/17"</f>
        <v>ABST FEE 6/14/17</v>
      </c>
      <c r="I874" t="str">
        <f>"995-4110"</f>
        <v>995-4110</v>
      </c>
      <c r="J874">
        <v>175</v>
      </c>
    </row>
    <row r="875" spans="1:10" x14ac:dyDescent="0.3">
      <c r="A875" t="str">
        <f>""</f>
        <v/>
      </c>
      <c r="F875" t="str">
        <f>"11985"</f>
        <v>11985</v>
      </c>
      <c r="G875" t="str">
        <f>"ABST FEE 7/7/17"</f>
        <v>ABST FEE 7/7/17</v>
      </c>
      <c r="H875" s="2">
        <v>106</v>
      </c>
      <c r="I875" t="str">
        <f>"ABST FEE 7/7/17"</f>
        <v>ABST FEE 7/7/17</v>
      </c>
    </row>
    <row r="876" spans="1:10" x14ac:dyDescent="0.3">
      <c r="A876" t="str">
        <f>""</f>
        <v/>
      </c>
      <c r="F876" t="s">
        <v>95</v>
      </c>
      <c r="G876" t="s">
        <v>301</v>
      </c>
      <c r="H876" s="2" t="str">
        <f>"ABST FEE 7/25/17"</f>
        <v>ABST FEE 7/25/17</v>
      </c>
      <c r="I876" t="str">
        <f>"995-4110"</f>
        <v>995-4110</v>
      </c>
      <c r="J876">
        <v>38.630000000000003</v>
      </c>
    </row>
    <row r="877" spans="1:10" x14ac:dyDescent="0.3">
      <c r="A877" t="str">
        <f>""</f>
        <v/>
      </c>
      <c r="F877" t="s">
        <v>95</v>
      </c>
      <c r="G877" t="s">
        <v>97</v>
      </c>
      <c r="H877" s="2" t="str">
        <f>"ABST FEE  6/14/17"</f>
        <v>ABST FEE  6/14/17</v>
      </c>
      <c r="I877" t="str">
        <f>"995-4110"</f>
        <v>995-4110</v>
      </c>
      <c r="J877">
        <v>175</v>
      </c>
    </row>
    <row r="878" spans="1:10" x14ac:dyDescent="0.3">
      <c r="A878" t="str">
        <f>""</f>
        <v/>
      </c>
      <c r="F878" t="s">
        <v>95</v>
      </c>
      <c r="G878" t="s">
        <v>302</v>
      </c>
      <c r="H878" s="2" t="str">
        <f>"ABST FEE 7/28/17"</f>
        <v>ABST FEE 7/28/17</v>
      </c>
      <c r="I878" t="str">
        <f>"995-4110"</f>
        <v>995-4110</v>
      </c>
      <c r="J878">
        <v>119</v>
      </c>
    </row>
    <row r="879" spans="1:10" x14ac:dyDescent="0.3">
      <c r="A879" t="str">
        <f>""</f>
        <v/>
      </c>
      <c r="F879" t="s">
        <v>95</v>
      </c>
      <c r="G879" t="s">
        <v>303</v>
      </c>
      <c r="H879" s="2" t="str">
        <f>"ABST FEE 7/26/17"</f>
        <v>ABST FEE 7/26/17</v>
      </c>
      <c r="I879" t="str">
        <f>"995-4110"</f>
        <v>995-4110</v>
      </c>
      <c r="J879">
        <v>225</v>
      </c>
    </row>
    <row r="880" spans="1:10" x14ac:dyDescent="0.3">
      <c r="A880" t="str">
        <f>""</f>
        <v/>
      </c>
      <c r="F880" t="str">
        <f>"12480"</f>
        <v>12480</v>
      </c>
      <c r="G880" t="str">
        <f>"ABST FEE 6/14/17"</f>
        <v>ABST FEE 6/14/17</v>
      </c>
      <c r="H880" s="2">
        <v>175</v>
      </c>
      <c r="I880" t="str">
        <f>"ABST FEE 6/14/17"</f>
        <v>ABST FEE 6/14/17</v>
      </c>
    </row>
    <row r="881" spans="1:10" x14ac:dyDescent="0.3">
      <c r="A881" t="str">
        <f>""</f>
        <v/>
      </c>
      <c r="F881" t="str">
        <f>"12488"</f>
        <v>12488</v>
      </c>
      <c r="G881" t="str">
        <f>"ABST FEE 6/14/17"</f>
        <v>ABST FEE 6/14/17</v>
      </c>
      <c r="H881" s="2">
        <v>175</v>
      </c>
      <c r="I881" t="str">
        <f>"ABST FEE 6/14/17"</f>
        <v>ABST FEE 6/14/17</v>
      </c>
    </row>
    <row r="882" spans="1:10" x14ac:dyDescent="0.3">
      <c r="A882" t="str">
        <f>""</f>
        <v/>
      </c>
      <c r="F882" t="str">
        <f>"12683"</f>
        <v>12683</v>
      </c>
      <c r="G882" t="str">
        <f>"ABST FEE 7/11/17"</f>
        <v>ABST FEE 7/11/17</v>
      </c>
      <c r="H882" s="2">
        <v>225</v>
      </c>
      <c r="I882" t="str">
        <f>"ABST FEE 7/11/17"</f>
        <v>ABST FEE 7/11/17</v>
      </c>
    </row>
    <row r="883" spans="1:10" x14ac:dyDescent="0.3">
      <c r="A883" t="str">
        <f>""</f>
        <v/>
      </c>
      <c r="F883" t="str">
        <f>"12744"</f>
        <v>12744</v>
      </c>
      <c r="G883" t="str">
        <f>"ABST FEE 7/17/17"</f>
        <v>ABST FEE 7/17/17</v>
      </c>
      <c r="H883" s="2">
        <v>225</v>
      </c>
      <c r="I883" t="str">
        <f>"ABST FEE 7/17/17"</f>
        <v>ABST FEE 7/17/17</v>
      </c>
    </row>
    <row r="884" spans="1:10" x14ac:dyDescent="0.3">
      <c r="A884" t="str">
        <f>""</f>
        <v/>
      </c>
      <c r="F884" t="str">
        <f>"201709064559"</f>
        <v>201709064559</v>
      </c>
      <c r="G884" t="str">
        <f>"ATTORNEY FEES - AUGUST 2017"</f>
        <v>ATTORNEY FEES - AUGUST 2017</v>
      </c>
      <c r="H884" s="2">
        <v>31141.22</v>
      </c>
      <c r="I884" t="str">
        <f>"ATTORNEY FEES - AUGUST 2017"</f>
        <v>ATTORNEY FEES - AUGUST 2017</v>
      </c>
    </row>
    <row r="885" spans="1:10" x14ac:dyDescent="0.3">
      <c r="A885" t="str">
        <f>""</f>
        <v/>
      </c>
      <c r="F885" t="str">
        <f>"9754"</f>
        <v>9754</v>
      </c>
      <c r="G885" t="str">
        <f>"SERVICE - $370/ABST FEE - $175"</f>
        <v>SERVICE - $370/ABST FEE - $175</v>
      </c>
      <c r="H885" s="2">
        <v>545</v>
      </c>
      <c r="I885" t="str">
        <f>"SERVICE - $370/ABST FEE - $175"</f>
        <v>SERVICE - $370/ABST FEE - $175</v>
      </c>
    </row>
    <row r="886" spans="1:10" x14ac:dyDescent="0.3">
      <c r="A886" t="str">
        <f>"MC CRE"</f>
        <v>MC CRE</v>
      </c>
      <c r="B886" t="s">
        <v>298</v>
      </c>
      <c r="C886">
        <v>72773</v>
      </c>
      <c r="D886" s="2">
        <v>1570</v>
      </c>
      <c r="E886" s="1">
        <v>43003</v>
      </c>
      <c r="F886" t="s">
        <v>93</v>
      </c>
      <c r="G886" t="s">
        <v>304</v>
      </c>
      <c r="H886" s="2" t="str">
        <f>"SERVICE  7/31/17"</f>
        <v>SERVICE  7/31/17</v>
      </c>
      <c r="I886" t="str">
        <f>"995-4110"</f>
        <v>995-4110</v>
      </c>
      <c r="J886">
        <v>130</v>
      </c>
    </row>
    <row r="887" spans="1:10" x14ac:dyDescent="0.3">
      <c r="A887" t="str">
        <f>""</f>
        <v/>
      </c>
      <c r="F887" t="s">
        <v>93</v>
      </c>
      <c r="G887" t="s">
        <v>100</v>
      </c>
      <c r="H887" s="2" t="str">
        <f>"ABST FEE  6/14/17"</f>
        <v>ABST FEE  6/14/17</v>
      </c>
      <c r="I887" t="str">
        <f>"995-4110"</f>
        <v>995-4110</v>
      </c>
      <c r="J887">
        <v>175</v>
      </c>
    </row>
    <row r="888" spans="1:10" x14ac:dyDescent="0.3">
      <c r="A888" t="str">
        <f>""</f>
        <v/>
      </c>
      <c r="F888" t="s">
        <v>93</v>
      </c>
      <c r="G888" t="s">
        <v>101</v>
      </c>
      <c r="H888" s="2" t="str">
        <f>"ABST FEE $175 + SERVICE $165"</f>
        <v>ABST FEE $175 + SERVICE $165</v>
      </c>
      <c r="I888" t="str">
        <f>"995-4110"</f>
        <v>995-4110</v>
      </c>
      <c r="J888">
        <v>340</v>
      </c>
    </row>
    <row r="889" spans="1:10" x14ac:dyDescent="0.3">
      <c r="A889" t="str">
        <f>""</f>
        <v/>
      </c>
      <c r="F889" t="s">
        <v>95</v>
      </c>
      <c r="G889" t="s">
        <v>102</v>
      </c>
      <c r="H889" s="2" t="str">
        <f>"ABST FEE  7/31/17"</f>
        <v>ABST FEE  7/31/17</v>
      </c>
      <c r="I889" t="str">
        <f>"995-4110"</f>
        <v>995-4110</v>
      </c>
      <c r="J889">
        <v>175</v>
      </c>
    </row>
    <row r="890" spans="1:10" x14ac:dyDescent="0.3">
      <c r="A890" t="str">
        <f>""</f>
        <v/>
      </c>
      <c r="F890" t="str">
        <f>"12446"</f>
        <v>12446</v>
      </c>
      <c r="G890" t="str">
        <f>"ABST FEE  6/14/17"</f>
        <v>ABST FEE  6/14/17</v>
      </c>
      <c r="H890" s="2">
        <v>175</v>
      </c>
      <c r="I890" t="str">
        <f>"ABST FEE  6/14/17"</f>
        <v>ABST FEE  6/14/17</v>
      </c>
    </row>
    <row r="891" spans="1:10" x14ac:dyDescent="0.3">
      <c r="A891" t="str">
        <f>""</f>
        <v/>
      </c>
      <c r="F891" t="str">
        <f>"12451"</f>
        <v>12451</v>
      </c>
      <c r="G891" t="str">
        <f>"ABST FEE 6/14/17"</f>
        <v>ABST FEE 6/14/17</v>
      </c>
      <c r="H891" s="2">
        <v>175</v>
      </c>
      <c r="I891" t="str">
        <f>"ABST FEE 6/14/17"</f>
        <v>ABST FEE 6/14/17</v>
      </c>
    </row>
    <row r="892" spans="1:10" x14ac:dyDescent="0.3">
      <c r="A892" t="str">
        <f>""</f>
        <v/>
      </c>
      <c r="F892" t="str">
        <f>"12548"</f>
        <v>12548</v>
      </c>
      <c r="G892" t="str">
        <f>"AD LITEM FEE 8/3/17"</f>
        <v>AD LITEM FEE 8/3/17</v>
      </c>
      <c r="H892" s="2">
        <v>175</v>
      </c>
      <c r="I892" t="str">
        <f>"AD LITEM FEE 8/3/17"</f>
        <v>AD LITEM FEE 8/3/17</v>
      </c>
    </row>
    <row r="893" spans="1:10" x14ac:dyDescent="0.3">
      <c r="A893" t="str">
        <f>""</f>
        <v/>
      </c>
      <c r="F893" t="str">
        <f>"12742"</f>
        <v>12742</v>
      </c>
      <c r="G893" t="str">
        <f>"SERVICE 8/3/17"</f>
        <v>SERVICE 8/3/17</v>
      </c>
      <c r="H893" s="2">
        <v>225</v>
      </c>
      <c r="I893" t="str">
        <f>"SERVICE 8/3/17"</f>
        <v>SERVICE 8/3/17</v>
      </c>
    </row>
    <row r="894" spans="1:10" x14ac:dyDescent="0.3">
      <c r="A894" t="str">
        <f>"005196"</f>
        <v>005196</v>
      </c>
      <c r="B894" t="s">
        <v>305</v>
      </c>
      <c r="C894">
        <v>72548</v>
      </c>
      <c r="D894" s="2">
        <v>80</v>
      </c>
      <c r="E894" s="1">
        <v>42989</v>
      </c>
      <c r="F894" t="s">
        <v>93</v>
      </c>
      <c r="G894" t="s">
        <v>94</v>
      </c>
      <c r="H894" s="2" t="str">
        <f>"SERVICE 6/14/17"</f>
        <v>SERVICE 6/14/17</v>
      </c>
      <c r="I894" t="str">
        <f>"995-4110"</f>
        <v>995-4110</v>
      </c>
      <c r="J894">
        <v>80</v>
      </c>
    </row>
    <row r="895" spans="1:10" x14ac:dyDescent="0.3">
      <c r="A895" t="str">
        <f>"002271"</f>
        <v>002271</v>
      </c>
      <c r="B895" t="s">
        <v>306</v>
      </c>
      <c r="C895">
        <v>72549</v>
      </c>
      <c r="D895" s="2">
        <v>1032.53</v>
      </c>
      <c r="E895" s="1">
        <v>42989</v>
      </c>
      <c r="F895" t="str">
        <f>"201709064620"</f>
        <v>201709064620</v>
      </c>
      <c r="G895" t="str">
        <f>"INDIGENT HEALTH"</f>
        <v>INDIGENT HEALTH</v>
      </c>
      <c r="H895" s="2">
        <v>1032.53</v>
      </c>
      <c r="I895" t="str">
        <f>"INDIGENT HEALTH"</f>
        <v>INDIGENT HEALTH</v>
      </c>
    </row>
    <row r="896" spans="1:10" x14ac:dyDescent="0.3">
      <c r="A896" t="str">
        <f>"002271"</f>
        <v>002271</v>
      </c>
      <c r="B896" t="s">
        <v>306</v>
      </c>
      <c r="C896">
        <v>72774</v>
      </c>
      <c r="D896" s="2">
        <v>1275.47</v>
      </c>
      <c r="E896" s="1">
        <v>43003</v>
      </c>
      <c r="F896" t="str">
        <f>"201709194988"</f>
        <v>201709194988</v>
      </c>
      <c r="G896" t="str">
        <f>"INDIGENT HEALTH"</f>
        <v>INDIGENT HEALTH</v>
      </c>
      <c r="H896" s="2">
        <v>1275.47</v>
      </c>
      <c r="I896" t="str">
        <f>"INDIGENT HEALTH"</f>
        <v>INDIGENT HEALTH</v>
      </c>
    </row>
    <row r="897" spans="1:10" x14ac:dyDescent="0.3">
      <c r="A897" t="str">
        <f>"003745"</f>
        <v>003745</v>
      </c>
      <c r="B897" t="s">
        <v>307</v>
      </c>
      <c r="C897">
        <v>72550</v>
      </c>
      <c r="D897" s="2">
        <v>25</v>
      </c>
      <c r="E897" s="1">
        <v>42989</v>
      </c>
      <c r="F897" t="s">
        <v>135</v>
      </c>
      <c r="G897" t="s">
        <v>264</v>
      </c>
      <c r="H897" s="2" t="str">
        <f>"RESTITUTION-D. SPURK"</f>
        <v>RESTITUTION-D. SPURK</v>
      </c>
      <c r="I897" t="str">
        <f>"210-0000"</f>
        <v>210-0000</v>
      </c>
      <c r="J897">
        <v>25</v>
      </c>
    </row>
    <row r="898" spans="1:10" x14ac:dyDescent="0.3">
      <c r="A898" t="str">
        <f>"MF"</f>
        <v>MF</v>
      </c>
      <c r="B898" t="s">
        <v>308</v>
      </c>
      <c r="C898">
        <v>72551</v>
      </c>
      <c r="D898" s="2">
        <v>50</v>
      </c>
      <c r="E898" s="1">
        <v>42989</v>
      </c>
      <c r="F898" t="str">
        <f>"17-020"</f>
        <v>17-020</v>
      </c>
      <c r="G898" t="str">
        <f>"423-2101-EFILE OF THE ORDERS"</f>
        <v>423-2101-EFILE OF THE ORDERS</v>
      </c>
      <c r="H898" s="2">
        <v>50</v>
      </c>
      <c r="I898" t="str">
        <f>"423-2101-EFILE OF THE ORDERS"</f>
        <v>423-2101-EFILE OF THE ORDERS</v>
      </c>
    </row>
    <row r="899" spans="1:10" x14ac:dyDescent="0.3">
      <c r="A899" t="str">
        <f>"MF"</f>
        <v>MF</v>
      </c>
      <c r="B899" t="s">
        <v>308</v>
      </c>
      <c r="C899">
        <v>72775</v>
      </c>
      <c r="D899" s="2">
        <v>50</v>
      </c>
      <c r="E899" s="1">
        <v>43003</v>
      </c>
      <c r="F899" t="str">
        <f>"17-021"</f>
        <v>17-021</v>
      </c>
      <c r="G899" t="str">
        <f>"423-2157/COURT REPORTING SVCS"</f>
        <v>423-2157/COURT REPORTING SVCS</v>
      </c>
      <c r="H899" s="2">
        <v>50</v>
      </c>
      <c r="I899" t="str">
        <f>"423-2157"</f>
        <v>423-2157</v>
      </c>
    </row>
    <row r="900" spans="1:10" x14ac:dyDescent="0.3">
      <c r="A900" t="str">
        <f>"002312"</f>
        <v>002312</v>
      </c>
      <c r="B900" t="s">
        <v>309</v>
      </c>
      <c r="C900">
        <v>72552</v>
      </c>
      <c r="D900" s="2">
        <v>5315.43</v>
      </c>
      <c r="E900" s="1">
        <v>42989</v>
      </c>
      <c r="F900" t="str">
        <f>"15074"</f>
        <v>15074</v>
      </c>
      <c r="G900" t="str">
        <f>"FREIGHT SALES/PCT#2"</f>
        <v>FREIGHT SALES/PCT#2</v>
      </c>
      <c r="H900" s="2">
        <v>5315.43</v>
      </c>
      <c r="I900" t="str">
        <f>"FREIGHT SALES/PCT#2"</f>
        <v>FREIGHT SALES/PCT#2</v>
      </c>
    </row>
    <row r="901" spans="1:10" x14ac:dyDescent="0.3">
      <c r="A901" t="str">
        <f>"002312"</f>
        <v>002312</v>
      </c>
      <c r="B901" t="s">
        <v>309</v>
      </c>
      <c r="C901">
        <v>72776</v>
      </c>
      <c r="D901" s="2">
        <v>29103.57</v>
      </c>
      <c r="E901" s="1">
        <v>43003</v>
      </c>
      <c r="F901" t="str">
        <f>"1012"</f>
        <v>1012</v>
      </c>
      <c r="G901" t="str">
        <f>"PLANT GRASS SEED/PCT#2"</f>
        <v>PLANT GRASS SEED/PCT#2</v>
      </c>
      <c r="H901" s="2">
        <v>381.13</v>
      </c>
    </row>
    <row r="902" spans="1:10" x14ac:dyDescent="0.3">
      <c r="A902" t="str">
        <f>""</f>
        <v/>
      </c>
      <c r="F902" t="str">
        <f>"15126"</f>
        <v>15126</v>
      </c>
      <c r="G902" t="str">
        <f>"HARD STONE/SMITHVILLE YD/PCT2"</f>
        <v>HARD STONE/SMITHVILLE YD/PCT2</v>
      </c>
      <c r="H902" s="2">
        <v>285.18</v>
      </c>
    </row>
    <row r="903" spans="1:10" x14ac:dyDescent="0.3">
      <c r="A903" t="str">
        <f>""</f>
        <v/>
      </c>
      <c r="F903" t="str">
        <f>"15127"</f>
        <v>15127</v>
      </c>
      <c r="G903" t="str">
        <f>"FREIGHT SALES/PCT#2"</f>
        <v>FREIGHT SALES/PCT#2</v>
      </c>
      <c r="H903" s="2">
        <v>5881.31</v>
      </c>
    </row>
    <row r="904" spans="1:10" x14ac:dyDescent="0.3">
      <c r="A904" t="str">
        <f>""</f>
        <v/>
      </c>
      <c r="F904" t="str">
        <f>"15137"</f>
        <v>15137</v>
      </c>
      <c r="G904" t="str">
        <f>"FREIGHT SALES/PCT#2"</f>
        <v>FREIGHT SALES/PCT#2</v>
      </c>
      <c r="H904" s="2">
        <v>232.7</v>
      </c>
    </row>
    <row r="905" spans="1:10" x14ac:dyDescent="0.3">
      <c r="A905" t="str">
        <f>""</f>
        <v/>
      </c>
      <c r="F905" t="str">
        <f>"15138"</f>
        <v>15138</v>
      </c>
      <c r="G905" t="str">
        <f>"FREIGHT SALES/PCT#2"</f>
        <v>FREIGHT SALES/PCT#2</v>
      </c>
      <c r="H905" s="2">
        <v>9613.01</v>
      </c>
    </row>
    <row r="906" spans="1:10" x14ac:dyDescent="0.3">
      <c r="A906" t="str">
        <f>""</f>
        <v/>
      </c>
      <c r="F906" t="str">
        <f>"15139"</f>
        <v>15139</v>
      </c>
      <c r="G906" t="str">
        <f>"FREIGHT SALES/ PCT#2"</f>
        <v>FREIGHT SALES/ PCT#2</v>
      </c>
      <c r="H906" s="2">
        <v>938.66</v>
      </c>
    </row>
    <row r="907" spans="1:10" x14ac:dyDescent="0.3">
      <c r="A907" t="str">
        <f>""</f>
        <v/>
      </c>
      <c r="F907" t="str">
        <f>"15144"</f>
        <v>15144</v>
      </c>
      <c r="G907" t="str">
        <f t="shared" ref="G907:G913" si="6">"FREIGHT SALES/PCT#2"</f>
        <v>FREIGHT SALES/PCT#2</v>
      </c>
      <c r="H907" s="2">
        <v>605.04</v>
      </c>
    </row>
    <row r="908" spans="1:10" x14ac:dyDescent="0.3">
      <c r="A908" t="str">
        <f>""</f>
        <v/>
      </c>
      <c r="F908" t="str">
        <f>"15145"</f>
        <v>15145</v>
      </c>
      <c r="G908" t="str">
        <f t="shared" si="6"/>
        <v>FREIGHT SALES/PCT#2</v>
      </c>
      <c r="H908" s="2">
        <v>624.4</v>
      </c>
    </row>
    <row r="909" spans="1:10" x14ac:dyDescent="0.3">
      <c r="A909" t="str">
        <f>""</f>
        <v/>
      </c>
      <c r="F909" t="str">
        <f>"15151"</f>
        <v>15151</v>
      </c>
      <c r="G909" t="str">
        <f t="shared" si="6"/>
        <v>FREIGHT SALES/PCT#2</v>
      </c>
      <c r="H909" s="2">
        <v>2315.5300000000002</v>
      </c>
    </row>
    <row r="910" spans="1:10" x14ac:dyDescent="0.3">
      <c r="A910" t="str">
        <f>""</f>
        <v/>
      </c>
      <c r="F910" t="str">
        <f>"15152"</f>
        <v>15152</v>
      </c>
      <c r="G910" t="str">
        <f t="shared" si="6"/>
        <v>FREIGHT SALES/PCT#2</v>
      </c>
      <c r="H910" s="2">
        <v>1016.25</v>
      </c>
    </row>
    <row r="911" spans="1:10" x14ac:dyDescent="0.3">
      <c r="A911" t="str">
        <f>""</f>
        <v/>
      </c>
      <c r="F911" t="str">
        <f>"15153"</f>
        <v>15153</v>
      </c>
      <c r="G911" t="str">
        <f t="shared" si="6"/>
        <v>FREIGHT SALES/PCT#2</v>
      </c>
      <c r="H911" s="2">
        <v>1281.8800000000001</v>
      </c>
    </row>
    <row r="912" spans="1:10" x14ac:dyDescent="0.3">
      <c r="A912" t="str">
        <f>""</f>
        <v/>
      </c>
      <c r="F912" t="str">
        <f>"15154"</f>
        <v>15154</v>
      </c>
      <c r="G912" t="str">
        <f t="shared" si="6"/>
        <v>FREIGHT SALES/PCT#2</v>
      </c>
      <c r="H912" s="2">
        <v>576.79999999999995</v>
      </c>
    </row>
    <row r="913" spans="1:10" x14ac:dyDescent="0.3">
      <c r="A913" t="str">
        <f>""</f>
        <v/>
      </c>
      <c r="F913" t="str">
        <f>"15155"</f>
        <v>15155</v>
      </c>
      <c r="G913" t="str">
        <f t="shared" si="6"/>
        <v>FREIGHT SALES/PCT#2</v>
      </c>
      <c r="H913" s="2">
        <v>5351.68</v>
      </c>
    </row>
    <row r="914" spans="1:10" x14ac:dyDescent="0.3">
      <c r="A914" t="str">
        <f>"002312"</f>
        <v>002312</v>
      </c>
      <c r="B914" t="s">
        <v>309</v>
      </c>
      <c r="C914">
        <v>72776</v>
      </c>
      <c r="D914" s="2">
        <v>29103.57</v>
      </c>
      <c r="E914" s="1">
        <v>43003</v>
      </c>
      <c r="F914" t="str">
        <f>"CHECK"</f>
        <v>CHECK</v>
      </c>
      <c r="G914" t="str">
        <f>""</f>
        <v/>
      </c>
      <c r="H914" s="2">
        <v>29103.57</v>
      </c>
    </row>
    <row r="915" spans="1:10" x14ac:dyDescent="0.3">
      <c r="A915" t="str">
        <f>"002312"</f>
        <v>002312</v>
      </c>
      <c r="B915" t="s">
        <v>309</v>
      </c>
      <c r="C915">
        <v>72887</v>
      </c>
      <c r="D915" s="2">
        <v>28722.44</v>
      </c>
      <c r="E915" s="1">
        <v>43003</v>
      </c>
      <c r="F915" t="str">
        <f>"15126-R"</f>
        <v>15126-R</v>
      </c>
      <c r="G915" t="str">
        <f t="shared" ref="G915:G926" si="7">"FREIGHT/P2"</f>
        <v>FREIGHT/P2</v>
      </c>
      <c r="H915" s="2">
        <v>285.18</v>
      </c>
      <c r="I915" t="str">
        <f t="shared" ref="I915:I926" si="8">"FREIGHT/P2"</f>
        <v>FREIGHT/P2</v>
      </c>
    </row>
    <row r="916" spans="1:10" x14ac:dyDescent="0.3">
      <c r="A916" t="str">
        <f>""</f>
        <v/>
      </c>
      <c r="F916" t="str">
        <f>"15127-R"</f>
        <v>15127-R</v>
      </c>
      <c r="G916" t="str">
        <f t="shared" si="7"/>
        <v>FREIGHT/P2</v>
      </c>
      <c r="H916" s="2">
        <v>5881.31</v>
      </c>
      <c r="I916" t="str">
        <f t="shared" si="8"/>
        <v>FREIGHT/P2</v>
      </c>
    </row>
    <row r="917" spans="1:10" x14ac:dyDescent="0.3">
      <c r="A917" t="str">
        <f>""</f>
        <v/>
      </c>
      <c r="F917" t="str">
        <f>"15137-R"</f>
        <v>15137-R</v>
      </c>
      <c r="G917" t="str">
        <f t="shared" si="7"/>
        <v>FREIGHT/P2</v>
      </c>
      <c r="H917" s="2">
        <v>232.7</v>
      </c>
      <c r="I917" t="str">
        <f t="shared" si="8"/>
        <v>FREIGHT/P2</v>
      </c>
    </row>
    <row r="918" spans="1:10" x14ac:dyDescent="0.3">
      <c r="A918" t="str">
        <f>""</f>
        <v/>
      </c>
      <c r="F918" t="str">
        <f>"15138-R"</f>
        <v>15138-R</v>
      </c>
      <c r="G918" t="str">
        <f t="shared" si="7"/>
        <v>FREIGHT/P2</v>
      </c>
      <c r="H918" s="2">
        <v>9613.01</v>
      </c>
      <c r="I918" t="str">
        <f t="shared" si="8"/>
        <v>FREIGHT/P2</v>
      </c>
    </row>
    <row r="919" spans="1:10" x14ac:dyDescent="0.3">
      <c r="A919" t="str">
        <f>""</f>
        <v/>
      </c>
      <c r="F919" t="str">
        <f>"15139-R"</f>
        <v>15139-R</v>
      </c>
      <c r="G919" t="str">
        <f t="shared" si="7"/>
        <v>FREIGHT/P2</v>
      </c>
      <c r="H919" s="2">
        <v>938.66</v>
      </c>
      <c r="I919" t="str">
        <f t="shared" si="8"/>
        <v>FREIGHT/P2</v>
      </c>
    </row>
    <row r="920" spans="1:10" x14ac:dyDescent="0.3">
      <c r="A920" t="str">
        <f>""</f>
        <v/>
      </c>
      <c r="F920" t="str">
        <f>"15144-R"</f>
        <v>15144-R</v>
      </c>
      <c r="G920" t="str">
        <f t="shared" si="7"/>
        <v>FREIGHT/P2</v>
      </c>
      <c r="H920" s="2">
        <v>605.04</v>
      </c>
      <c r="I920" t="str">
        <f t="shared" si="8"/>
        <v>FREIGHT/P2</v>
      </c>
    </row>
    <row r="921" spans="1:10" x14ac:dyDescent="0.3">
      <c r="A921" t="str">
        <f>""</f>
        <v/>
      </c>
      <c r="F921" t="str">
        <f>"15145-R"</f>
        <v>15145-R</v>
      </c>
      <c r="G921" t="str">
        <f t="shared" si="7"/>
        <v>FREIGHT/P2</v>
      </c>
      <c r="H921" s="2">
        <v>624.4</v>
      </c>
      <c r="I921" t="str">
        <f t="shared" si="8"/>
        <v>FREIGHT/P2</v>
      </c>
    </row>
    <row r="922" spans="1:10" x14ac:dyDescent="0.3">
      <c r="A922" t="str">
        <f>""</f>
        <v/>
      </c>
      <c r="F922" t="str">
        <f>"15151-R"</f>
        <v>15151-R</v>
      </c>
      <c r="G922" t="str">
        <f t="shared" si="7"/>
        <v>FREIGHT/P2</v>
      </c>
      <c r="H922" s="2">
        <v>2315.5300000000002</v>
      </c>
      <c r="I922" t="str">
        <f t="shared" si="8"/>
        <v>FREIGHT/P2</v>
      </c>
    </row>
    <row r="923" spans="1:10" x14ac:dyDescent="0.3">
      <c r="A923" t="str">
        <f>""</f>
        <v/>
      </c>
      <c r="F923" t="str">
        <f>"15152-R"</f>
        <v>15152-R</v>
      </c>
      <c r="G923" t="str">
        <f t="shared" si="7"/>
        <v>FREIGHT/P2</v>
      </c>
      <c r="H923" s="2">
        <v>1016.25</v>
      </c>
      <c r="I923" t="str">
        <f t="shared" si="8"/>
        <v>FREIGHT/P2</v>
      </c>
    </row>
    <row r="924" spans="1:10" x14ac:dyDescent="0.3">
      <c r="A924" t="str">
        <f>""</f>
        <v/>
      </c>
      <c r="F924" t="str">
        <f>"15153-R"</f>
        <v>15153-R</v>
      </c>
      <c r="G924" t="str">
        <f t="shared" si="7"/>
        <v>FREIGHT/P2</v>
      </c>
      <c r="H924" s="2">
        <v>1281.8800000000001</v>
      </c>
      <c r="I924" t="str">
        <f t="shared" si="8"/>
        <v>FREIGHT/P2</v>
      </c>
    </row>
    <row r="925" spans="1:10" x14ac:dyDescent="0.3">
      <c r="A925" t="str">
        <f>""</f>
        <v/>
      </c>
      <c r="F925" t="str">
        <f>"15154-R"</f>
        <v>15154-R</v>
      </c>
      <c r="G925" t="str">
        <f t="shared" si="7"/>
        <v>FREIGHT/P2</v>
      </c>
      <c r="H925" s="2">
        <v>576.79999999999995</v>
      </c>
      <c r="I925" t="str">
        <f t="shared" si="8"/>
        <v>FREIGHT/P2</v>
      </c>
    </row>
    <row r="926" spans="1:10" x14ac:dyDescent="0.3">
      <c r="A926" t="str">
        <f>""</f>
        <v/>
      </c>
      <c r="F926" t="str">
        <f>"15155-R"</f>
        <v>15155-R</v>
      </c>
      <c r="G926" t="str">
        <f t="shared" si="7"/>
        <v>FREIGHT/P2</v>
      </c>
      <c r="H926" s="2">
        <v>5351.68</v>
      </c>
      <c r="I926" t="str">
        <f t="shared" si="8"/>
        <v>FREIGHT/P2</v>
      </c>
    </row>
    <row r="927" spans="1:10" x14ac:dyDescent="0.3">
      <c r="A927" t="str">
        <f>"002350"</f>
        <v>002350</v>
      </c>
      <c r="B927" t="s">
        <v>310</v>
      </c>
      <c r="C927">
        <v>72553</v>
      </c>
      <c r="D927" s="2">
        <v>100</v>
      </c>
      <c r="E927" s="1">
        <v>42989</v>
      </c>
      <c r="F927" t="s">
        <v>95</v>
      </c>
      <c r="G927" t="s">
        <v>97</v>
      </c>
      <c r="H927" s="2" t="str">
        <f>"SERVICE  6/14/17"</f>
        <v>SERVICE  6/14/17</v>
      </c>
      <c r="I927" t="str">
        <f>"995-4110"</f>
        <v>995-4110</v>
      </c>
      <c r="J927">
        <v>100</v>
      </c>
    </row>
    <row r="928" spans="1:10" x14ac:dyDescent="0.3">
      <c r="A928" t="str">
        <f>"MU&amp;E"</f>
        <v>MU&amp;E</v>
      </c>
      <c r="B928" t="s">
        <v>311</v>
      </c>
      <c r="C928">
        <v>72554</v>
      </c>
      <c r="D928" s="2">
        <v>442</v>
      </c>
      <c r="E928" s="1">
        <v>42989</v>
      </c>
      <c r="F928" t="str">
        <f>"81747 80251"</f>
        <v>81747 80251</v>
      </c>
      <c r="G928" t="str">
        <f>"INV 81747"</f>
        <v>INV 81747</v>
      </c>
      <c r="H928" s="2">
        <v>221</v>
      </c>
      <c r="I928" t="str">
        <f>"INV 81747"</f>
        <v>INV 81747</v>
      </c>
    </row>
    <row r="929" spans="1:9" x14ac:dyDescent="0.3">
      <c r="A929" t="str">
        <f>""</f>
        <v/>
      </c>
      <c r="F929" t="str">
        <f>""</f>
        <v/>
      </c>
      <c r="G929" t="str">
        <f>""</f>
        <v/>
      </c>
      <c r="I929" t="str">
        <f>"INV 80251"</f>
        <v>INV 80251</v>
      </c>
    </row>
    <row r="930" spans="1:9" x14ac:dyDescent="0.3">
      <c r="A930" t="str">
        <f>""</f>
        <v/>
      </c>
      <c r="F930" t="str">
        <f>"84347 81749"</f>
        <v>84347 81749</v>
      </c>
      <c r="G930" t="str">
        <f>"INV 84347"</f>
        <v>INV 84347</v>
      </c>
      <c r="H930" s="2">
        <v>221</v>
      </c>
      <c r="I930" t="str">
        <f>"INV 84347"</f>
        <v>INV 84347</v>
      </c>
    </row>
    <row r="931" spans="1:9" x14ac:dyDescent="0.3">
      <c r="A931" t="str">
        <f>""</f>
        <v/>
      </c>
      <c r="F931" t="str">
        <f>""</f>
        <v/>
      </c>
      <c r="G931" t="str">
        <f>""</f>
        <v/>
      </c>
      <c r="I931" t="str">
        <f>"INV 81749"</f>
        <v>INV 81749</v>
      </c>
    </row>
    <row r="932" spans="1:9" x14ac:dyDescent="0.3">
      <c r="A932" t="str">
        <f>"MU&amp;E"</f>
        <v>MU&amp;E</v>
      </c>
      <c r="B932" t="s">
        <v>311</v>
      </c>
      <c r="C932">
        <v>72777</v>
      </c>
      <c r="D932" s="2">
        <v>887.3</v>
      </c>
      <c r="E932" s="1">
        <v>43003</v>
      </c>
      <c r="F932" t="str">
        <f>"85065"</f>
        <v>85065</v>
      </c>
      <c r="G932" t="str">
        <f>"ACCT#892/PCT#4"</f>
        <v>ACCT#892/PCT#4</v>
      </c>
      <c r="H932" s="2">
        <v>70.39</v>
      </c>
      <c r="I932" t="str">
        <f>"ACCT#892/PCT#4"</f>
        <v>ACCT#892/PCT#4</v>
      </c>
    </row>
    <row r="933" spans="1:9" x14ac:dyDescent="0.3">
      <c r="A933" t="str">
        <f>""</f>
        <v/>
      </c>
      <c r="F933" t="str">
        <f>"85342"</f>
        <v>85342</v>
      </c>
      <c r="G933" t="str">
        <f>"INV 85342"</f>
        <v>INV 85342</v>
      </c>
      <c r="H933" s="2">
        <v>200</v>
      </c>
      <c r="I933" t="str">
        <f>"INV 85342"</f>
        <v>INV 85342</v>
      </c>
    </row>
    <row r="934" spans="1:9" x14ac:dyDescent="0.3">
      <c r="A934" t="str">
        <f>""</f>
        <v/>
      </c>
      <c r="F934" t="str">
        <f>"85343"</f>
        <v>85343</v>
      </c>
      <c r="G934" t="str">
        <f>"INV 85343"</f>
        <v>INV 85343</v>
      </c>
      <c r="H934" s="2">
        <v>25</v>
      </c>
      <c r="I934" t="str">
        <f>"INV 85343"</f>
        <v>INV 85343</v>
      </c>
    </row>
    <row r="935" spans="1:9" x14ac:dyDescent="0.3">
      <c r="A935" t="str">
        <f>""</f>
        <v/>
      </c>
      <c r="F935" t="str">
        <f>"85566"</f>
        <v>85566</v>
      </c>
      <c r="G935" t="str">
        <f>"INV 85566"</f>
        <v>INV 85566</v>
      </c>
      <c r="H935" s="2">
        <v>139</v>
      </c>
      <c r="I935" t="str">
        <f>"INV 85566"</f>
        <v>INV 85566</v>
      </c>
    </row>
    <row r="936" spans="1:9" x14ac:dyDescent="0.3">
      <c r="A936" t="str">
        <f>""</f>
        <v/>
      </c>
      <c r="F936" t="str">
        <f>"85834"</f>
        <v>85834</v>
      </c>
      <c r="G936" t="str">
        <f>"ACCT#34/BCAS"</f>
        <v>ACCT#34/BCAS</v>
      </c>
      <c r="H936" s="2">
        <v>452.91</v>
      </c>
      <c r="I936" t="str">
        <f>"ACCT#34/BCAS"</f>
        <v>ACCT#34/BCAS</v>
      </c>
    </row>
    <row r="937" spans="1:9" x14ac:dyDescent="0.3">
      <c r="A937" t="str">
        <f t="shared" ref="A937:A946" si="9">"1"</f>
        <v>1</v>
      </c>
      <c r="B937" t="s">
        <v>312</v>
      </c>
      <c r="C937">
        <v>72644</v>
      </c>
      <c r="D937" s="2">
        <v>40</v>
      </c>
      <c r="E937" s="1">
        <v>42998</v>
      </c>
      <c r="F937" t="str">
        <f>"201709205107"</f>
        <v>201709205107</v>
      </c>
      <c r="G937" t="str">
        <f>"Misce"</f>
        <v>Misce</v>
      </c>
      <c r="H937" s="2">
        <v>40</v>
      </c>
      <c r="I937" t="str">
        <f>"STEPHANIE REBER GOERTZ"</f>
        <v>STEPHANIE REBER GOERTZ</v>
      </c>
    </row>
    <row r="938" spans="1:9" x14ac:dyDescent="0.3">
      <c r="A938" t="str">
        <f t="shared" si="9"/>
        <v>1</v>
      </c>
      <c r="B938" t="s">
        <v>313</v>
      </c>
      <c r="C938">
        <v>72645</v>
      </c>
      <c r="D938" s="2">
        <v>40</v>
      </c>
      <c r="E938" s="1">
        <v>42998</v>
      </c>
      <c r="F938" t="str">
        <f>"201709205108"</f>
        <v>201709205108</v>
      </c>
      <c r="G938" t="str">
        <f>"Miscellane"</f>
        <v>Miscellane</v>
      </c>
      <c r="H938" s="2">
        <v>40</v>
      </c>
      <c r="I938" t="str">
        <f>"JOSHUA DEAN NIXON"</f>
        <v>JOSHUA DEAN NIXON</v>
      </c>
    </row>
    <row r="939" spans="1:9" x14ac:dyDescent="0.3">
      <c r="A939" t="str">
        <f t="shared" si="9"/>
        <v>1</v>
      </c>
      <c r="B939" t="s">
        <v>314</v>
      </c>
      <c r="C939">
        <v>72646</v>
      </c>
      <c r="D939" s="2">
        <v>40</v>
      </c>
      <c r="E939" s="1">
        <v>42998</v>
      </c>
      <c r="F939" t="str">
        <f>"201709205109"</f>
        <v>201709205109</v>
      </c>
      <c r="G939" t="str">
        <f>"Miscellaneous"</f>
        <v>Miscellaneous</v>
      </c>
      <c r="H939" s="2">
        <v>40</v>
      </c>
      <c r="I939" t="str">
        <f>"SOLEDAD SIERRA"</f>
        <v>SOLEDAD SIERRA</v>
      </c>
    </row>
    <row r="940" spans="1:9" x14ac:dyDescent="0.3">
      <c r="A940" t="str">
        <f t="shared" si="9"/>
        <v>1</v>
      </c>
      <c r="B940" t="s">
        <v>315</v>
      </c>
      <c r="C940">
        <v>72647</v>
      </c>
      <c r="D940" s="2">
        <v>40</v>
      </c>
      <c r="E940" s="1">
        <v>42998</v>
      </c>
      <c r="F940" t="str">
        <f>"201709205110"</f>
        <v>201709205110</v>
      </c>
      <c r="G940" t="str">
        <f>"Miscell"</f>
        <v>Miscell</v>
      </c>
      <c r="H940" s="2">
        <v>40</v>
      </c>
      <c r="I940" t="str">
        <f>"LORENE HELEN JOHNSON"</f>
        <v>LORENE HELEN JOHNSON</v>
      </c>
    </row>
    <row r="941" spans="1:9" x14ac:dyDescent="0.3">
      <c r="A941" t="str">
        <f t="shared" si="9"/>
        <v>1</v>
      </c>
      <c r="B941" t="s">
        <v>316</v>
      </c>
      <c r="C941">
        <v>72648</v>
      </c>
      <c r="D941" s="2">
        <v>40</v>
      </c>
      <c r="E941" s="1">
        <v>42998</v>
      </c>
      <c r="F941" t="str">
        <f>"201709205111"</f>
        <v>201709205111</v>
      </c>
      <c r="G941" t="str">
        <f>"Miscel"</f>
        <v>Miscel</v>
      </c>
      <c r="H941" s="2">
        <v>40</v>
      </c>
      <c r="I941" t="str">
        <f>"POLLYE ANITA HOFSTEDT"</f>
        <v>POLLYE ANITA HOFSTEDT</v>
      </c>
    </row>
    <row r="942" spans="1:9" x14ac:dyDescent="0.3">
      <c r="A942" t="str">
        <f t="shared" si="9"/>
        <v>1</v>
      </c>
      <c r="B942" t="s">
        <v>317</v>
      </c>
      <c r="C942">
        <v>72649</v>
      </c>
      <c r="D942" s="2">
        <v>40</v>
      </c>
      <c r="E942" s="1">
        <v>42998</v>
      </c>
      <c r="F942" t="str">
        <f>"201709205112"</f>
        <v>201709205112</v>
      </c>
      <c r="G942" t="str">
        <f>"Miscell"</f>
        <v>Miscell</v>
      </c>
      <c r="H942" s="2">
        <v>40</v>
      </c>
      <c r="I942" t="str">
        <f>"RANDY DALE GELTMEIER"</f>
        <v>RANDY DALE GELTMEIER</v>
      </c>
    </row>
    <row r="943" spans="1:9" x14ac:dyDescent="0.3">
      <c r="A943" t="str">
        <f t="shared" si="9"/>
        <v>1</v>
      </c>
      <c r="B943" t="s">
        <v>318</v>
      </c>
      <c r="C943">
        <v>72650</v>
      </c>
      <c r="D943" s="2">
        <v>40</v>
      </c>
      <c r="E943" s="1">
        <v>42998</v>
      </c>
      <c r="F943" t="str">
        <f>"201709205113"</f>
        <v>201709205113</v>
      </c>
      <c r="G943" t="str">
        <f>"Miscel"</f>
        <v>Miscel</v>
      </c>
      <c r="H943" s="2">
        <v>40</v>
      </c>
      <c r="I943" t="str">
        <f>"JEFFREY DONALD HARRIS"</f>
        <v>JEFFREY DONALD HARRIS</v>
      </c>
    </row>
    <row r="944" spans="1:9" x14ac:dyDescent="0.3">
      <c r="A944" t="str">
        <f t="shared" si="9"/>
        <v>1</v>
      </c>
      <c r="B944" t="s">
        <v>319</v>
      </c>
      <c r="C944">
        <v>72651</v>
      </c>
      <c r="D944" s="2">
        <v>40</v>
      </c>
      <c r="E944" s="1">
        <v>42998</v>
      </c>
      <c r="F944" t="str">
        <f>"201709205114"</f>
        <v>201709205114</v>
      </c>
      <c r="G944" t="str">
        <f>"Miscellaneo"</f>
        <v>Miscellaneo</v>
      </c>
      <c r="H944" s="2">
        <v>40</v>
      </c>
      <c r="I944" t="str">
        <f>"HAROLD DEE FLOYD"</f>
        <v>HAROLD DEE FLOYD</v>
      </c>
    </row>
    <row r="945" spans="1:10" x14ac:dyDescent="0.3">
      <c r="A945" t="str">
        <f t="shared" si="9"/>
        <v>1</v>
      </c>
      <c r="B945" t="s">
        <v>320</v>
      </c>
      <c r="C945">
        <v>72652</v>
      </c>
      <c r="D945" s="2">
        <v>40</v>
      </c>
      <c r="E945" s="1">
        <v>42998</v>
      </c>
      <c r="F945" t="str">
        <f>"201709205115"</f>
        <v>201709205115</v>
      </c>
      <c r="G945" t="str">
        <f>"Miscella"</f>
        <v>Miscella</v>
      </c>
      <c r="H945" s="2">
        <v>40</v>
      </c>
      <c r="I945" t="str">
        <f>"CHARLES WALTER FERS"</f>
        <v>CHARLES WALTER FERS</v>
      </c>
    </row>
    <row r="946" spans="1:10" x14ac:dyDescent="0.3">
      <c r="A946" t="str">
        <f t="shared" si="9"/>
        <v>1</v>
      </c>
      <c r="B946" t="s">
        <v>321</v>
      </c>
      <c r="C946">
        <v>72653</v>
      </c>
      <c r="D946" s="2">
        <v>40</v>
      </c>
      <c r="E946" s="1">
        <v>42998</v>
      </c>
      <c r="F946" t="str">
        <f>"201709205116"</f>
        <v>201709205116</v>
      </c>
      <c r="G946" t="str">
        <f>"Miscellan"</f>
        <v>Miscellan</v>
      </c>
      <c r="H946" s="2">
        <v>40</v>
      </c>
      <c r="I946" t="str">
        <f>"JOHN THOMAS ZINKER"</f>
        <v>JOHN THOMAS ZINKER</v>
      </c>
    </row>
    <row r="947" spans="1:10" x14ac:dyDescent="0.3">
      <c r="A947" t="str">
        <f>"002749"</f>
        <v>002749</v>
      </c>
      <c r="B947" t="s">
        <v>322</v>
      </c>
      <c r="C947">
        <v>72555</v>
      </c>
      <c r="D947" s="2">
        <v>75</v>
      </c>
      <c r="E947" s="1">
        <v>42989</v>
      </c>
      <c r="F947" t="s">
        <v>95</v>
      </c>
      <c r="G947" t="s">
        <v>97</v>
      </c>
      <c r="H947" s="2" t="str">
        <f>"SERVICE  6/14/17"</f>
        <v>SERVICE  6/14/17</v>
      </c>
      <c r="I947" t="str">
        <f>"995-4110"</f>
        <v>995-4110</v>
      </c>
      <c r="J947">
        <v>75</v>
      </c>
    </row>
    <row r="948" spans="1:10" x14ac:dyDescent="0.3">
      <c r="A948" t="str">
        <f>"004746"</f>
        <v>004746</v>
      </c>
      <c r="B948" t="s">
        <v>323</v>
      </c>
      <c r="C948">
        <v>72556</v>
      </c>
      <c r="D948" s="2">
        <v>150</v>
      </c>
      <c r="E948" s="1">
        <v>42989</v>
      </c>
      <c r="F948" t="str">
        <f>"12744"</f>
        <v>12744</v>
      </c>
      <c r="G948" t="str">
        <f>"SERVICE 7/17/17"</f>
        <v>SERVICE 7/17/17</v>
      </c>
      <c r="H948" s="2">
        <v>150</v>
      </c>
      <c r="I948" t="str">
        <f>"SERVICE 7/17/17"</f>
        <v>SERVICE 7/17/17</v>
      </c>
    </row>
    <row r="949" spans="1:10" x14ac:dyDescent="0.3">
      <c r="A949" t="str">
        <f>"MOORE"</f>
        <v>MOORE</v>
      </c>
      <c r="B949" t="s">
        <v>324</v>
      </c>
      <c r="C949">
        <v>72557</v>
      </c>
      <c r="D949" s="2">
        <v>2536.02</v>
      </c>
      <c r="E949" s="1">
        <v>42989</v>
      </c>
      <c r="F949" t="str">
        <f>"83349234"</f>
        <v>83349234</v>
      </c>
      <c r="G949" t="str">
        <f>"INV 83349234"</f>
        <v>INV 83349234</v>
      </c>
      <c r="H949" s="2">
        <v>1707.01</v>
      </c>
      <c r="I949" t="str">
        <f>"INV 83349234"</f>
        <v>INV 83349234</v>
      </c>
    </row>
    <row r="950" spans="1:10" x14ac:dyDescent="0.3">
      <c r="A950" t="str">
        <f>""</f>
        <v/>
      </c>
      <c r="F950" t="str">
        <f>"99604704"</f>
        <v>99604704</v>
      </c>
      <c r="G950" t="str">
        <f>"INV 99604704"</f>
        <v>INV 99604704</v>
      </c>
      <c r="H950" s="2">
        <v>829.01</v>
      </c>
      <c r="I950" t="str">
        <f>"INV 99604704"</f>
        <v>INV 99604704</v>
      </c>
    </row>
    <row r="951" spans="1:10" x14ac:dyDescent="0.3">
      <c r="A951" t="str">
        <f>"002776"</f>
        <v>002776</v>
      </c>
      <c r="B951" t="s">
        <v>325</v>
      </c>
      <c r="C951">
        <v>73795</v>
      </c>
      <c r="D951" s="2">
        <v>5850.98</v>
      </c>
      <c r="E951" s="1">
        <v>42991</v>
      </c>
      <c r="F951" t="str">
        <f>"13180829"</f>
        <v>13180829</v>
      </c>
      <c r="G951" t="str">
        <f>"MOTOROLA SOLUTIONS INC"</f>
        <v>MOTOROLA SOLUTIONS INC</v>
      </c>
      <c r="H951" s="2">
        <v>5850.98</v>
      </c>
    </row>
    <row r="952" spans="1:10" x14ac:dyDescent="0.3">
      <c r="A952" t="str">
        <f>"002776"</f>
        <v>002776</v>
      </c>
      <c r="B952" t="s">
        <v>325</v>
      </c>
      <c r="C952">
        <v>73795</v>
      </c>
      <c r="D952" s="2">
        <v>5850.98</v>
      </c>
      <c r="E952" s="1">
        <v>42991</v>
      </c>
      <c r="F952" t="str">
        <f>"CHECK"</f>
        <v>CHECK</v>
      </c>
      <c r="G952" t="str">
        <f>""</f>
        <v/>
      </c>
      <c r="H952" s="2">
        <v>5850.98</v>
      </c>
    </row>
    <row r="953" spans="1:10" x14ac:dyDescent="0.3">
      <c r="A953" t="str">
        <f>"004694"</f>
        <v>004694</v>
      </c>
      <c r="B953" t="s">
        <v>326</v>
      </c>
      <c r="C953">
        <v>72779</v>
      </c>
      <c r="D953" s="2">
        <v>795</v>
      </c>
      <c r="E953" s="1">
        <v>43003</v>
      </c>
      <c r="F953" t="str">
        <f>"86357999"</f>
        <v>86357999</v>
      </c>
      <c r="G953" t="str">
        <f>"PAYER#150344157"</f>
        <v>PAYER#150344157</v>
      </c>
      <c r="H953" s="2">
        <v>795</v>
      </c>
      <c r="I953" t="str">
        <f>"PAYER#150344157"</f>
        <v>PAYER#150344157</v>
      </c>
    </row>
    <row r="954" spans="1:10" x14ac:dyDescent="0.3">
      <c r="A954" t="str">
        <f>"002199"</f>
        <v>002199</v>
      </c>
      <c r="B954" t="s">
        <v>327</v>
      </c>
      <c r="C954">
        <v>72780</v>
      </c>
      <c r="D954" s="2">
        <v>50.33</v>
      </c>
      <c r="E954" s="1">
        <v>43003</v>
      </c>
      <c r="F954" t="str">
        <f>"201709194997"</f>
        <v>201709194997</v>
      </c>
      <c r="G954" t="str">
        <f>"ORD#999/OEM"</f>
        <v>ORD#999/OEM</v>
      </c>
      <c r="H954" s="2">
        <v>50.33</v>
      </c>
      <c r="I954" t="str">
        <f>"ORD#999/OEM"</f>
        <v>ORD#999/OEM</v>
      </c>
    </row>
    <row r="955" spans="1:10" x14ac:dyDescent="0.3">
      <c r="A955" t="str">
        <f>"000562"</f>
        <v>000562</v>
      </c>
      <c r="B955" t="s">
        <v>328</v>
      </c>
      <c r="C955">
        <v>72488</v>
      </c>
      <c r="D955" s="2">
        <v>6533.08</v>
      </c>
      <c r="E955" s="1">
        <v>42989</v>
      </c>
      <c r="F955" t="str">
        <f>"IN0784720"</f>
        <v>IN0784720</v>
      </c>
      <c r="G955" t="str">
        <f>"INV IN0784720"</f>
        <v>INV IN0784720</v>
      </c>
      <c r="H955" s="2">
        <v>1084.26</v>
      </c>
      <c r="I955" t="str">
        <f>"INV IN0784720"</f>
        <v>INV IN0784720</v>
      </c>
    </row>
    <row r="956" spans="1:10" x14ac:dyDescent="0.3">
      <c r="A956" t="str">
        <f>""</f>
        <v/>
      </c>
      <c r="F956" t="str">
        <f>"IN0787112"</f>
        <v>IN0787112</v>
      </c>
      <c r="G956" t="str">
        <f>"INV IN0787112"</f>
        <v>INV IN0787112</v>
      </c>
      <c r="H956" s="2">
        <v>5448.82</v>
      </c>
      <c r="I956" t="str">
        <f>"INV IN0787112"</f>
        <v>INV IN0787112</v>
      </c>
    </row>
    <row r="957" spans="1:10" x14ac:dyDescent="0.3">
      <c r="A957" t="str">
        <f>"000562"</f>
        <v>000562</v>
      </c>
      <c r="B957" t="s">
        <v>328</v>
      </c>
      <c r="C957">
        <v>999999</v>
      </c>
      <c r="D957" s="2">
        <v>6302.76</v>
      </c>
      <c r="E957" s="1">
        <v>43004</v>
      </c>
      <c r="F957" t="str">
        <f>"IN0788271"</f>
        <v>IN0788271</v>
      </c>
      <c r="G957" t="str">
        <f>"INV IN0788271"</f>
        <v>INV IN0788271</v>
      </c>
      <c r="H957" s="2">
        <v>6302.76</v>
      </c>
      <c r="I957" t="str">
        <f>"INV IN0788271"</f>
        <v>INV IN0788271</v>
      </c>
    </row>
    <row r="958" spans="1:10" x14ac:dyDescent="0.3">
      <c r="A958" t="str">
        <f>"002864"</f>
        <v>002864</v>
      </c>
      <c r="B958" t="s">
        <v>329</v>
      </c>
      <c r="C958">
        <v>72559</v>
      </c>
      <c r="D958" s="2">
        <v>395</v>
      </c>
      <c r="E958" s="1">
        <v>42989</v>
      </c>
      <c r="F958" t="str">
        <f>"I10538"</f>
        <v>I10538</v>
      </c>
      <c r="G958" t="str">
        <f>"PAGE GATE SUPPORT RENEWAL"</f>
        <v>PAGE GATE SUPPORT RENEWAL</v>
      </c>
      <c r="H958" s="2">
        <v>395</v>
      </c>
      <c r="I958" t="str">
        <f>"PAGE GATE SUPPORT RENEWAL"</f>
        <v>PAGE GATE SUPPORT RENEWAL</v>
      </c>
    </row>
    <row r="959" spans="1:10" x14ac:dyDescent="0.3">
      <c r="A959" t="str">
        <f>"T6614"</f>
        <v>T6614</v>
      </c>
      <c r="B959" t="s">
        <v>330</v>
      </c>
      <c r="C959">
        <v>72560</v>
      </c>
      <c r="D959" s="2">
        <v>738.38</v>
      </c>
      <c r="E959" s="1">
        <v>42989</v>
      </c>
      <c r="F959" t="str">
        <f>"201709064567"</f>
        <v>201709064567</v>
      </c>
      <c r="G959" t="str">
        <f>"CUST#99088/PCT#4"</f>
        <v>CUST#99088/PCT#4</v>
      </c>
      <c r="H959" s="2">
        <v>738.38</v>
      </c>
      <c r="I959" t="str">
        <f>"CUST#99088/PCT#4"</f>
        <v>CUST#99088/PCT#4</v>
      </c>
    </row>
    <row r="960" spans="1:10" x14ac:dyDescent="0.3">
      <c r="A960" t="str">
        <f>"001015"</f>
        <v>001015</v>
      </c>
      <c r="B960" t="s">
        <v>331</v>
      </c>
      <c r="C960">
        <v>72561</v>
      </c>
      <c r="D960" s="2">
        <v>924</v>
      </c>
      <c r="E960" s="1">
        <v>42989</v>
      </c>
      <c r="F960" t="str">
        <f>"960545"</f>
        <v>960545</v>
      </c>
      <c r="G960" t="str">
        <f>"INV 960545"</f>
        <v>INV 960545</v>
      </c>
      <c r="H960" s="2">
        <v>231</v>
      </c>
      <c r="I960" t="str">
        <f>"INV 960545"</f>
        <v>INV 960545</v>
      </c>
    </row>
    <row r="961" spans="1:9" x14ac:dyDescent="0.3">
      <c r="A961" t="str">
        <f>""</f>
        <v/>
      </c>
      <c r="F961" t="str">
        <f>"MILK INVOICES"</f>
        <v>MILK INVOICES</v>
      </c>
      <c r="G961" t="str">
        <f>"INV 122001711"</f>
        <v>INV 122001711</v>
      </c>
      <c r="H961" s="2">
        <v>693</v>
      </c>
      <c r="I961" t="str">
        <f>"INV 122001711"</f>
        <v>INV 122001711</v>
      </c>
    </row>
    <row r="962" spans="1:9" x14ac:dyDescent="0.3">
      <c r="A962" t="str">
        <f>""</f>
        <v/>
      </c>
      <c r="F962" t="str">
        <f>""</f>
        <v/>
      </c>
      <c r="G962" t="str">
        <f>""</f>
        <v/>
      </c>
      <c r="I962" t="str">
        <f>"INV 957637"</f>
        <v>INV 957637</v>
      </c>
    </row>
    <row r="963" spans="1:9" x14ac:dyDescent="0.3">
      <c r="A963" t="str">
        <f>""</f>
        <v/>
      </c>
      <c r="F963" t="str">
        <f>""</f>
        <v/>
      </c>
      <c r="G963" t="str">
        <f>""</f>
        <v/>
      </c>
      <c r="I963" t="str">
        <f>"INV 964689"</f>
        <v>INV 964689</v>
      </c>
    </row>
    <row r="964" spans="1:9" x14ac:dyDescent="0.3">
      <c r="A964" t="str">
        <f>"001015"</f>
        <v>001015</v>
      </c>
      <c r="B964" t="s">
        <v>331</v>
      </c>
      <c r="C964">
        <v>72781</v>
      </c>
      <c r="D964" s="2">
        <v>957</v>
      </c>
      <c r="E964" s="1">
        <v>43003</v>
      </c>
      <c r="F964" t="str">
        <f>"INVOICES FOR MILK"</f>
        <v>INVOICES FOR MILK</v>
      </c>
      <c r="G964" t="str">
        <f>"INV 967546"</f>
        <v>INV 967546</v>
      </c>
      <c r="H964" s="2">
        <v>957</v>
      </c>
      <c r="I964" t="str">
        <f>"INV 967546"</f>
        <v>INV 967546</v>
      </c>
    </row>
    <row r="965" spans="1:9" x14ac:dyDescent="0.3">
      <c r="A965" t="str">
        <f>""</f>
        <v/>
      </c>
      <c r="F965" t="str">
        <f>""</f>
        <v/>
      </c>
      <c r="G965" t="str">
        <f>""</f>
        <v/>
      </c>
      <c r="I965" t="str">
        <f>"INV 971706"</f>
        <v>INV 971706</v>
      </c>
    </row>
    <row r="966" spans="1:9" x14ac:dyDescent="0.3">
      <c r="A966" t="str">
        <f>""</f>
        <v/>
      </c>
      <c r="F966" t="str">
        <f>""</f>
        <v/>
      </c>
      <c r="G966" t="str">
        <f>""</f>
        <v/>
      </c>
      <c r="I966" t="str">
        <f>"INV 122000155"</f>
        <v>INV 122000155</v>
      </c>
    </row>
    <row r="967" spans="1:9" x14ac:dyDescent="0.3">
      <c r="A967" t="str">
        <f>""</f>
        <v/>
      </c>
      <c r="F967" t="str">
        <f>""</f>
        <v/>
      </c>
      <c r="G967" t="str">
        <f>""</f>
        <v/>
      </c>
      <c r="I967" t="str">
        <f>"INV 978967"</f>
        <v>INV 978967</v>
      </c>
    </row>
    <row r="968" spans="1:9" x14ac:dyDescent="0.3">
      <c r="A968" t="str">
        <f>"T5769"</f>
        <v>T5769</v>
      </c>
      <c r="B968" t="s">
        <v>332</v>
      </c>
      <c r="C968">
        <v>72562</v>
      </c>
      <c r="D968" s="2">
        <v>2921.89</v>
      </c>
      <c r="E968" s="1">
        <v>42989</v>
      </c>
      <c r="F968" t="str">
        <f>"8482075"</f>
        <v>8482075</v>
      </c>
      <c r="G968" t="str">
        <f>"Bill# 8482075"</f>
        <v>Bill# 8482075</v>
      </c>
      <c r="H968" s="2">
        <v>2921.89</v>
      </c>
      <c r="I968" t="str">
        <f>"Ord# 957379484001"</f>
        <v>Ord# 957379484001</v>
      </c>
    </row>
    <row r="969" spans="1:9" x14ac:dyDescent="0.3">
      <c r="A969" t="str">
        <f>""</f>
        <v/>
      </c>
      <c r="F969" t="str">
        <f>""</f>
        <v/>
      </c>
      <c r="G969" t="str">
        <f>""</f>
        <v/>
      </c>
      <c r="I969" t="str">
        <f>"Ord# 957379485001"</f>
        <v>Ord# 957379485001</v>
      </c>
    </row>
    <row r="970" spans="1:9" x14ac:dyDescent="0.3">
      <c r="A970" t="str">
        <f>""</f>
        <v/>
      </c>
      <c r="F970" t="str">
        <f>""</f>
        <v/>
      </c>
      <c r="G970" t="str">
        <f>""</f>
        <v/>
      </c>
      <c r="I970" t="str">
        <f>"Ord# 954859015001"</f>
        <v>Ord# 954859015001</v>
      </c>
    </row>
    <row r="971" spans="1:9" x14ac:dyDescent="0.3">
      <c r="A971" t="str">
        <f>""</f>
        <v/>
      </c>
      <c r="F971" t="str">
        <f>""</f>
        <v/>
      </c>
      <c r="G971" t="str">
        <f>""</f>
        <v/>
      </c>
      <c r="I971" t="str">
        <f>"Ord# 956191271001"</f>
        <v>Ord# 956191271001</v>
      </c>
    </row>
    <row r="972" spans="1:9" x14ac:dyDescent="0.3">
      <c r="A972" t="str">
        <f>""</f>
        <v/>
      </c>
      <c r="F972" t="str">
        <f>""</f>
        <v/>
      </c>
      <c r="G972" t="str">
        <f>""</f>
        <v/>
      </c>
      <c r="I972" t="str">
        <f>"Ord# 957278381001"</f>
        <v>Ord# 957278381001</v>
      </c>
    </row>
    <row r="973" spans="1:9" x14ac:dyDescent="0.3">
      <c r="A973" t="str">
        <f>""</f>
        <v/>
      </c>
      <c r="F973" t="str">
        <f>""</f>
        <v/>
      </c>
      <c r="G973" t="str">
        <f>""</f>
        <v/>
      </c>
      <c r="I973" t="str">
        <f>"Ord# 955071573001"</f>
        <v>Ord# 955071573001</v>
      </c>
    </row>
    <row r="974" spans="1:9" x14ac:dyDescent="0.3">
      <c r="A974" t="str">
        <f>""</f>
        <v/>
      </c>
      <c r="F974" t="str">
        <f>""</f>
        <v/>
      </c>
      <c r="G974" t="str">
        <f>""</f>
        <v/>
      </c>
      <c r="I974" t="str">
        <f>"Ord# 958559077001"</f>
        <v>Ord# 958559077001</v>
      </c>
    </row>
    <row r="975" spans="1:9" x14ac:dyDescent="0.3">
      <c r="A975" t="str">
        <f>""</f>
        <v/>
      </c>
      <c r="F975" t="str">
        <f>""</f>
        <v/>
      </c>
      <c r="G975" t="str">
        <f>""</f>
        <v/>
      </c>
      <c r="I975" t="str">
        <f>"Ord# 956155896001"</f>
        <v>Ord# 956155896001</v>
      </c>
    </row>
    <row r="976" spans="1:9" x14ac:dyDescent="0.3">
      <c r="A976" t="str">
        <f>""</f>
        <v/>
      </c>
      <c r="F976" t="str">
        <f>""</f>
        <v/>
      </c>
      <c r="G976" t="str">
        <f>""</f>
        <v/>
      </c>
      <c r="I976" t="str">
        <f>"Ord# 956155896002"</f>
        <v>Ord# 956155896002</v>
      </c>
    </row>
    <row r="977" spans="1:9" x14ac:dyDescent="0.3">
      <c r="A977" t="str">
        <f>""</f>
        <v/>
      </c>
      <c r="F977" t="str">
        <f>""</f>
        <v/>
      </c>
      <c r="G977" t="str">
        <f>""</f>
        <v/>
      </c>
      <c r="I977" t="str">
        <f>"Ord# 95680185001"</f>
        <v>Ord# 95680185001</v>
      </c>
    </row>
    <row r="978" spans="1:9" x14ac:dyDescent="0.3">
      <c r="A978" t="str">
        <f>""</f>
        <v/>
      </c>
      <c r="F978" t="str">
        <f>""</f>
        <v/>
      </c>
      <c r="G978" t="str">
        <f>""</f>
        <v/>
      </c>
      <c r="I978" t="str">
        <f>"Ord# 954746240001"</f>
        <v>Ord# 954746240001</v>
      </c>
    </row>
    <row r="979" spans="1:9" x14ac:dyDescent="0.3">
      <c r="A979" t="str">
        <f>""</f>
        <v/>
      </c>
      <c r="F979" t="str">
        <f>""</f>
        <v/>
      </c>
      <c r="G979" t="str">
        <f>""</f>
        <v/>
      </c>
      <c r="I979" t="str">
        <f>"Ord# 957395217001"</f>
        <v>Ord# 957395217001</v>
      </c>
    </row>
    <row r="980" spans="1:9" x14ac:dyDescent="0.3">
      <c r="A980" t="str">
        <f>""</f>
        <v/>
      </c>
      <c r="F980" t="str">
        <f>""</f>
        <v/>
      </c>
      <c r="G980" t="str">
        <f>""</f>
        <v/>
      </c>
      <c r="I980" t="str">
        <f>"Ord# 957394697001"</f>
        <v>Ord# 957394697001</v>
      </c>
    </row>
    <row r="981" spans="1:9" x14ac:dyDescent="0.3">
      <c r="A981" t="str">
        <f>""</f>
        <v/>
      </c>
      <c r="F981" t="str">
        <f>""</f>
        <v/>
      </c>
      <c r="G981" t="str">
        <f>""</f>
        <v/>
      </c>
      <c r="I981" t="str">
        <f>"Ord# 957394698001"</f>
        <v>Ord# 957394698001</v>
      </c>
    </row>
    <row r="982" spans="1:9" x14ac:dyDescent="0.3">
      <c r="A982" t="str">
        <f>""</f>
        <v/>
      </c>
      <c r="F982" t="str">
        <f>""</f>
        <v/>
      </c>
      <c r="G982" t="str">
        <f>""</f>
        <v/>
      </c>
      <c r="I982" t="str">
        <f>"Ord# 957394699001"</f>
        <v>Ord# 957394699001</v>
      </c>
    </row>
    <row r="983" spans="1:9" x14ac:dyDescent="0.3">
      <c r="A983" t="str">
        <f>""</f>
        <v/>
      </c>
      <c r="F983" t="str">
        <f>""</f>
        <v/>
      </c>
      <c r="G983" t="str">
        <f>""</f>
        <v/>
      </c>
      <c r="I983" t="str">
        <f>"Ord# 957256002001"</f>
        <v>Ord# 957256002001</v>
      </c>
    </row>
    <row r="984" spans="1:9" x14ac:dyDescent="0.3">
      <c r="A984" t="str">
        <f>""</f>
        <v/>
      </c>
      <c r="F984" t="str">
        <f>""</f>
        <v/>
      </c>
      <c r="G984" t="str">
        <f>""</f>
        <v/>
      </c>
      <c r="I984" t="str">
        <f>"Ord# 959262060001"</f>
        <v>Ord# 959262060001</v>
      </c>
    </row>
    <row r="985" spans="1:9" x14ac:dyDescent="0.3">
      <c r="A985" t="str">
        <f>""</f>
        <v/>
      </c>
      <c r="F985" t="str">
        <f>""</f>
        <v/>
      </c>
      <c r="G985" t="str">
        <f>""</f>
        <v/>
      </c>
      <c r="I985" t="str">
        <f>"Ord# 959264788001"</f>
        <v>Ord# 959264788001</v>
      </c>
    </row>
    <row r="986" spans="1:9" x14ac:dyDescent="0.3">
      <c r="A986" t="str">
        <f>""</f>
        <v/>
      </c>
      <c r="F986" t="str">
        <f>""</f>
        <v/>
      </c>
      <c r="G986" t="str">
        <f>""</f>
        <v/>
      </c>
      <c r="I986" t="str">
        <f>"Ord# 959264789001"</f>
        <v>Ord# 959264789001</v>
      </c>
    </row>
    <row r="987" spans="1:9" x14ac:dyDescent="0.3">
      <c r="A987" t="str">
        <f>""</f>
        <v/>
      </c>
      <c r="F987" t="str">
        <f>""</f>
        <v/>
      </c>
      <c r="G987" t="str">
        <f>""</f>
        <v/>
      </c>
      <c r="I987" t="str">
        <f>"Ord# 958559716001"</f>
        <v>Ord# 958559716001</v>
      </c>
    </row>
    <row r="988" spans="1:9" x14ac:dyDescent="0.3">
      <c r="A988" t="str">
        <f>""</f>
        <v/>
      </c>
      <c r="F988" t="str">
        <f>""</f>
        <v/>
      </c>
      <c r="G988" t="str">
        <f>""</f>
        <v/>
      </c>
      <c r="I988" t="str">
        <f>"Ord# 957375736001"</f>
        <v>Ord# 957375736001</v>
      </c>
    </row>
    <row r="989" spans="1:9" x14ac:dyDescent="0.3">
      <c r="A989" t="str">
        <f>""</f>
        <v/>
      </c>
      <c r="F989" t="str">
        <f>""</f>
        <v/>
      </c>
      <c r="G989" t="str">
        <f>""</f>
        <v/>
      </c>
      <c r="I989" t="str">
        <f>"Ord# 957375736001"</f>
        <v>Ord# 957375736001</v>
      </c>
    </row>
    <row r="990" spans="1:9" x14ac:dyDescent="0.3">
      <c r="A990" t="str">
        <f>"T5769"</f>
        <v>T5769</v>
      </c>
      <c r="B990" t="s">
        <v>332</v>
      </c>
      <c r="C990">
        <v>72782</v>
      </c>
      <c r="D990" s="2">
        <v>2923.5</v>
      </c>
      <c r="E990" s="1">
        <v>43003</v>
      </c>
      <c r="F990" t="str">
        <f>"MULTIPLE ORD#'S"</f>
        <v>MULTIPLE ORD#'S</v>
      </c>
      <c r="G990" t="str">
        <f>"Bill # 8522862"</f>
        <v>Bill # 8522862</v>
      </c>
      <c r="H990" s="2">
        <v>2923.5</v>
      </c>
      <c r="I990" t="str">
        <f>"Ord# 962180794001"</f>
        <v>Ord# 962180794001</v>
      </c>
    </row>
    <row r="991" spans="1:9" x14ac:dyDescent="0.3">
      <c r="A991" t="str">
        <f>""</f>
        <v/>
      </c>
      <c r="F991" t="str">
        <f>""</f>
        <v/>
      </c>
      <c r="G991" t="str">
        <f>""</f>
        <v/>
      </c>
      <c r="I991" t="str">
        <f>"Ord# 961019022001"</f>
        <v>Ord# 961019022001</v>
      </c>
    </row>
    <row r="992" spans="1:9" x14ac:dyDescent="0.3">
      <c r="A992" t="str">
        <f>""</f>
        <v/>
      </c>
      <c r="F992" t="str">
        <f>""</f>
        <v/>
      </c>
      <c r="G992" t="str">
        <f>""</f>
        <v/>
      </c>
      <c r="I992" t="str">
        <f>"Ord# 961019961001"</f>
        <v>Ord# 961019961001</v>
      </c>
    </row>
    <row r="993" spans="1:9" x14ac:dyDescent="0.3">
      <c r="A993" t="str">
        <f>""</f>
        <v/>
      </c>
      <c r="F993" t="str">
        <f>""</f>
        <v/>
      </c>
      <c r="G993" t="str">
        <f>""</f>
        <v/>
      </c>
      <c r="I993" t="str">
        <f>"Ord# 961019962001"</f>
        <v>Ord# 961019962001</v>
      </c>
    </row>
    <row r="994" spans="1:9" x14ac:dyDescent="0.3">
      <c r="A994" t="str">
        <f>""</f>
        <v/>
      </c>
      <c r="F994" t="str">
        <f>""</f>
        <v/>
      </c>
      <c r="G994" t="str">
        <f>""</f>
        <v/>
      </c>
      <c r="I994" t="str">
        <f>"Ord# 961836485001"</f>
        <v>Ord# 961836485001</v>
      </c>
    </row>
    <row r="995" spans="1:9" x14ac:dyDescent="0.3">
      <c r="A995" t="str">
        <f>""</f>
        <v/>
      </c>
      <c r="F995" t="str">
        <f>""</f>
        <v/>
      </c>
      <c r="G995" t="str">
        <f>""</f>
        <v/>
      </c>
      <c r="I995" t="str">
        <f>"Ord# 961836779001"</f>
        <v>Ord# 961836779001</v>
      </c>
    </row>
    <row r="996" spans="1:9" x14ac:dyDescent="0.3">
      <c r="A996" t="str">
        <f>""</f>
        <v/>
      </c>
      <c r="F996" t="str">
        <f>""</f>
        <v/>
      </c>
      <c r="G996" t="str">
        <f>""</f>
        <v/>
      </c>
      <c r="I996" t="str">
        <f>"Ord# 960325779001"</f>
        <v>Ord# 960325779001</v>
      </c>
    </row>
    <row r="997" spans="1:9" x14ac:dyDescent="0.3">
      <c r="A997" t="str">
        <f>""</f>
        <v/>
      </c>
      <c r="F997" t="str">
        <f>""</f>
        <v/>
      </c>
      <c r="G997" t="str">
        <f>""</f>
        <v/>
      </c>
      <c r="I997" t="str">
        <f>"Ord# 963072495001"</f>
        <v>Ord# 963072495001</v>
      </c>
    </row>
    <row r="998" spans="1:9" x14ac:dyDescent="0.3">
      <c r="A998" t="str">
        <f>""</f>
        <v/>
      </c>
      <c r="F998" t="str">
        <f>""</f>
        <v/>
      </c>
      <c r="G998" t="str">
        <f>""</f>
        <v/>
      </c>
      <c r="I998" t="str">
        <f>"Ord# 963073207001"</f>
        <v>Ord# 963073207001</v>
      </c>
    </row>
    <row r="999" spans="1:9" x14ac:dyDescent="0.3">
      <c r="A999" t="str">
        <f>""</f>
        <v/>
      </c>
      <c r="F999" t="str">
        <f>""</f>
        <v/>
      </c>
      <c r="G999" t="str">
        <f>""</f>
        <v/>
      </c>
      <c r="I999" t="str">
        <f>"Ord# 962521945001"</f>
        <v>Ord# 962521945001</v>
      </c>
    </row>
    <row r="1000" spans="1:9" x14ac:dyDescent="0.3">
      <c r="A1000" t="str">
        <f>""</f>
        <v/>
      </c>
      <c r="F1000" t="str">
        <f>""</f>
        <v/>
      </c>
      <c r="G1000" t="str">
        <f>""</f>
        <v/>
      </c>
      <c r="I1000" t="str">
        <f>"Ord# 960987819001"</f>
        <v>Ord# 960987819001</v>
      </c>
    </row>
    <row r="1001" spans="1:9" x14ac:dyDescent="0.3">
      <c r="A1001" t="str">
        <f>""</f>
        <v/>
      </c>
      <c r="F1001" t="str">
        <f>""</f>
        <v/>
      </c>
      <c r="G1001" t="str">
        <f>""</f>
        <v/>
      </c>
      <c r="I1001" t="str">
        <f>"Ord# 960989117001"</f>
        <v>Ord# 960989117001</v>
      </c>
    </row>
    <row r="1002" spans="1:9" x14ac:dyDescent="0.3">
      <c r="A1002" t="str">
        <f>""</f>
        <v/>
      </c>
      <c r="F1002" t="str">
        <f>""</f>
        <v/>
      </c>
      <c r="G1002" t="str">
        <f>""</f>
        <v/>
      </c>
      <c r="I1002" t="str">
        <f>"Ord# 963438302001"</f>
        <v>Ord# 963438302001</v>
      </c>
    </row>
    <row r="1003" spans="1:9" x14ac:dyDescent="0.3">
      <c r="A1003" t="str">
        <f>""</f>
        <v/>
      </c>
      <c r="F1003" t="str">
        <f>""</f>
        <v/>
      </c>
      <c r="G1003" t="str">
        <f>""</f>
        <v/>
      </c>
      <c r="I1003" t="str">
        <f>"Ord# 963438513001"</f>
        <v>Ord# 963438513001</v>
      </c>
    </row>
    <row r="1004" spans="1:9" x14ac:dyDescent="0.3">
      <c r="A1004" t="str">
        <f>""</f>
        <v/>
      </c>
      <c r="F1004" t="str">
        <f>""</f>
        <v/>
      </c>
      <c r="G1004" t="str">
        <f>""</f>
        <v/>
      </c>
      <c r="I1004" t="str">
        <f>"Ord# 960662588001"</f>
        <v>Ord# 960662588001</v>
      </c>
    </row>
    <row r="1005" spans="1:9" x14ac:dyDescent="0.3">
      <c r="A1005" t="str">
        <f>""</f>
        <v/>
      </c>
      <c r="F1005" t="str">
        <f>""</f>
        <v/>
      </c>
      <c r="G1005" t="str">
        <f>""</f>
        <v/>
      </c>
      <c r="I1005" t="str">
        <f>"Ord# 960662921001"</f>
        <v>Ord# 960662921001</v>
      </c>
    </row>
    <row r="1006" spans="1:9" x14ac:dyDescent="0.3">
      <c r="A1006" t="str">
        <f>""</f>
        <v/>
      </c>
      <c r="F1006" t="str">
        <f>""</f>
        <v/>
      </c>
      <c r="G1006" t="str">
        <f>""</f>
        <v/>
      </c>
      <c r="I1006" t="str">
        <f>"Ord# 960799378001"</f>
        <v>Ord# 960799378001</v>
      </c>
    </row>
    <row r="1007" spans="1:9" x14ac:dyDescent="0.3">
      <c r="A1007" t="str">
        <f>""</f>
        <v/>
      </c>
      <c r="F1007" t="str">
        <f>""</f>
        <v/>
      </c>
      <c r="G1007" t="str">
        <f>""</f>
        <v/>
      </c>
      <c r="I1007" t="str">
        <f>"Ord# 960802610001"</f>
        <v>Ord# 960802610001</v>
      </c>
    </row>
    <row r="1008" spans="1:9" x14ac:dyDescent="0.3">
      <c r="A1008" t="str">
        <f>""</f>
        <v/>
      </c>
      <c r="F1008" t="str">
        <f>""</f>
        <v/>
      </c>
      <c r="G1008" t="str">
        <f>""</f>
        <v/>
      </c>
      <c r="I1008" t="str">
        <f>"Ord# 962936811001"</f>
        <v>Ord# 962936811001</v>
      </c>
    </row>
    <row r="1009" spans="1:9" x14ac:dyDescent="0.3">
      <c r="A1009" t="str">
        <f>""</f>
        <v/>
      </c>
      <c r="F1009" t="str">
        <f>""</f>
        <v/>
      </c>
      <c r="G1009" t="str">
        <f>""</f>
        <v/>
      </c>
      <c r="I1009" t="str">
        <f>"Ord# 960827063001"</f>
        <v>Ord# 960827063001</v>
      </c>
    </row>
    <row r="1010" spans="1:9" x14ac:dyDescent="0.3">
      <c r="A1010" t="str">
        <f>""</f>
        <v/>
      </c>
      <c r="F1010" t="str">
        <f>""</f>
        <v/>
      </c>
      <c r="G1010" t="str">
        <f>""</f>
        <v/>
      </c>
      <c r="I1010" t="str">
        <f>"Ord# 960827063002"</f>
        <v>Ord# 960827063002</v>
      </c>
    </row>
    <row r="1011" spans="1:9" x14ac:dyDescent="0.3">
      <c r="A1011" t="str">
        <f>""</f>
        <v/>
      </c>
      <c r="F1011" t="str">
        <f>""</f>
        <v/>
      </c>
      <c r="G1011" t="str">
        <f>""</f>
        <v/>
      </c>
      <c r="I1011" t="str">
        <f>"Ord# 960993498001"</f>
        <v>Ord# 960993498001</v>
      </c>
    </row>
    <row r="1012" spans="1:9" x14ac:dyDescent="0.3">
      <c r="A1012" t="str">
        <f>""</f>
        <v/>
      </c>
      <c r="F1012" t="str">
        <f>""</f>
        <v/>
      </c>
      <c r="G1012" t="str">
        <f>""</f>
        <v/>
      </c>
      <c r="I1012" t="str">
        <f>"Ord# 963049066001"</f>
        <v>Ord# 963049066001</v>
      </c>
    </row>
    <row r="1013" spans="1:9" x14ac:dyDescent="0.3">
      <c r="A1013" t="str">
        <f>""</f>
        <v/>
      </c>
      <c r="F1013" t="str">
        <f>""</f>
        <v/>
      </c>
      <c r="G1013" t="str">
        <f>""</f>
        <v/>
      </c>
      <c r="I1013" t="str">
        <f>"Ord# 963049453001"</f>
        <v>Ord# 963049453001</v>
      </c>
    </row>
    <row r="1014" spans="1:9" x14ac:dyDescent="0.3">
      <c r="A1014" t="str">
        <f>""</f>
        <v/>
      </c>
      <c r="F1014" t="str">
        <f>""</f>
        <v/>
      </c>
      <c r="G1014" t="str">
        <f>""</f>
        <v/>
      </c>
      <c r="I1014" t="str">
        <f>"Ord# 963049454001"</f>
        <v>Ord# 963049454001</v>
      </c>
    </row>
    <row r="1015" spans="1:9" x14ac:dyDescent="0.3">
      <c r="A1015" t="str">
        <f>""</f>
        <v/>
      </c>
      <c r="F1015" t="str">
        <f>""</f>
        <v/>
      </c>
      <c r="G1015" t="str">
        <f>""</f>
        <v/>
      </c>
      <c r="I1015" t="str">
        <f>"Ord# 959783266001"</f>
        <v>Ord# 959783266001</v>
      </c>
    </row>
    <row r="1016" spans="1:9" x14ac:dyDescent="0.3">
      <c r="A1016" t="str">
        <f>"004879"</f>
        <v>004879</v>
      </c>
      <c r="B1016" t="s">
        <v>333</v>
      </c>
      <c r="C1016">
        <v>72783</v>
      </c>
      <c r="D1016" s="2">
        <v>9566.15</v>
      </c>
      <c r="E1016" s="1">
        <v>43003</v>
      </c>
      <c r="F1016" t="str">
        <f>"200610152"</f>
        <v>200610152</v>
      </c>
      <c r="G1016" t="str">
        <f>"CUST#255120/PCT#2"</f>
        <v>CUST#255120/PCT#2</v>
      </c>
      <c r="H1016" s="2">
        <v>9566.15</v>
      </c>
      <c r="I1016" t="str">
        <f>"CUST#255120/PCT#2"</f>
        <v>CUST#255120/PCT#2</v>
      </c>
    </row>
    <row r="1017" spans="1:9" x14ac:dyDescent="0.3">
      <c r="A1017" t="str">
        <f>"T13735"</f>
        <v>T13735</v>
      </c>
      <c r="B1017" t="s">
        <v>334</v>
      </c>
      <c r="C1017">
        <v>72784</v>
      </c>
      <c r="D1017" s="2">
        <v>487.6</v>
      </c>
      <c r="E1017" s="1">
        <v>43003</v>
      </c>
      <c r="F1017" t="str">
        <f>"17-18194"</f>
        <v>17-18194</v>
      </c>
      <c r="G1017" t="str">
        <f>"LODGING"</f>
        <v>LODGING</v>
      </c>
      <c r="H1017" s="2">
        <v>487.6</v>
      </c>
      <c r="I1017" t="str">
        <f>"LODGING"</f>
        <v>LODGING</v>
      </c>
    </row>
    <row r="1018" spans="1:9" x14ac:dyDescent="0.3">
      <c r="A1018" t="str">
        <f>"002822"</f>
        <v>002822</v>
      </c>
      <c r="B1018" t="s">
        <v>335</v>
      </c>
      <c r="C1018">
        <v>72785</v>
      </c>
      <c r="D1018" s="2">
        <v>149.97</v>
      </c>
      <c r="E1018" s="1">
        <v>43003</v>
      </c>
      <c r="F1018" t="str">
        <f>"ARIN154455"</f>
        <v>ARIN154455</v>
      </c>
      <c r="G1018" t="str">
        <f>"INV ARIN154455"</f>
        <v>INV ARIN154455</v>
      </c>
      <c r="H1018" s="2">
        <v>149.97</v>
      </c>
      <c r="I1018" t="str">
        <f>"INV ARIN154455"</f>
        <v>INV ARIN154455</v>
      </c>
    </row>
    <row r="1019" spans="1:9" x14ac:dyDescent="0.3">
      <c r="A1019" t="str">
        <f>"OP"</f>
        <v>OP</v>
      </c>
      <c r="B1019" t="s">
        <v>336</v>
      </c>
      <c r="C1019">
        <v>72563</v>
      </c>
      <c r="D1019" s="2">
        <v>1001.2</v>
      </c>
      <c r="E1019" s="1">
        <v>42989</v>
      </c>
      <c r="F1019" t="str">
        <f>"16441"</f>
        <v>16441</v>
      </c>
      <c r="G1019" t="str">
        <f>"PLUMBING SVCS/ADULT PROB"</f>
        <v>PLUMBING SVCS/ADULT PROB</v>
      </c>
      <c r="H1019" s="2">
        <v>757.2</v>
      </c>
      <c r="I1019" t="str">
        <f>"PLUMBING SVCS/ADULT PROB"</f>
        <v>PLUMBING SVCS/ADULT PROB</v>
      </c>
    </row>
    <row r="1020" spans="1:9" x14ac:dyDescent="0.3">
      <c r="A1020" t="str">
        <f>""</f>
        <v/>
      </c>
      <c r="F1020" t="str">
        <f>"16454"</f>
        <v>16454</v>
      </c>
      <c r="G1020" t="str">
        <f>"PLUMBING SVCS"</f>
        <v>PLUMBING SVCS</v>
      </c>
      <c r="H1020" s="2">
        <v>244</v>
      </c>
      <c r="I1020" t="str">
        <f>"PLUMBING SVCS"</f>
        <v>PLUMBING SVCS</v>
      </c>
    </row>
    <row r="1021" spans="1:9" x14ac:dyDescent="0.3">
      <c r="A1021" t="str">
        <f>"OP"</f>
        <v>OP</v>
      </c>
      <c r="B1021" t="s">
        <v>336</v>
      </c>
      <c r="C1021">
        <v>72786</v>
      </c>
      <c r="D1021" s="2">
        <v>1140</v>
      </c>
      <c r="E1021" s="1">
        <v>43003</v>
      </c>
      <c r="F1021" t="str">
        <f>"16451"</f>
        <v>16451</v>
      </c>
      <c r="G1021" t="str">
        <f>"PLUMBING SVCS/OLD CT HOUSE"</f>
        <v>PLUMBING SVCS/OLD CT HOUSE</v>
      </c>
      <c r="H1021" s="2">
        <v>255</v>
      </c>
      <c r="I1021" t="str">
        <f>"PLUMBING SVCS/OLD CT HOUSE"</f>
        <v>PLUMBING SVCS/OLD CT HOUSE</v>
      </c>
    </row>
    <row r="1022" spans="1:9" x14ac:dyDescent="0.3">
      <c r="A1022" t="str">
        <f>""</f>
        <v/>
      </c>
      <c r="F1022" t="str">
        <f>"16499"</f>
        <v>16499</v>
      </c>
      <c r="G1022" t="str">
        <f>"PLUMBING SVCS/OLD JAIL"</f>
        <v>PLUMBING SVCS/OLD JAIL</v>
      </c>
      <c r="H1022" s="2">
        <v>885</v>
      </c>
      <c r="I1022" t="str">
        <f>"PLUMBING SVCS/OLD JAIL"</f>
        <v>PLUMBING SVCS/OLD JAIL</v>
      </c>
    </row>
    <row r="1023" spans="1:9" x14ac:dyDescent="0.3">
      <c r="A1023" t="str">
        <f>"005152"</f>
        <v>005152</v>
      </c>
      <c r="B1023" t="s">
        <v>337</v>
      </c>
      <c r="C1023">
        <v>72564</v>
      </c>
      <c r="D1023" s="2">
        <v>378</v>
      </c>
      <c r="E1023" s="1">
        <v>42989</v>
      </c>
      <c r="F1023" t="str">
        <f>"244571"</f>
        <v>244571</v>
      </c>
      <c r="G1023" t="str">
        <f>"Materials"</f>
        <v>Materials</v>
      </c>
      <c r="H1023" s="2">
        <v>378</v>
      </c>
    </row>
    <row r="1024" spans="1:9" x14ac:dyDescent="0.3">
      <c r="A1024" t="str">
        <f>"005183"</f>
        <v>005183</v>
      </c>
      <c r="B1024" t="s">
        <v>338</v>
      </c>
      <c r="C1024">
        <v>72565</v>
      </c>
      <c r="D1024" s="2">
        <v>353</v>
      </c>
      <c r="E1024" s="1">
        <v>42989</v>
      </c>
      <c r="F1024" t="str">
        <f>"978371"</f>
        <v>978371</v>
      </c>
      <c r="G1024" t="str">
        <f>"INV 978371"</f>
        <v>INV 978371</v>
      </c>
      <c r="H1024" s="2">
        <v>353</v>
      </c>
      <c r="I1024" t="str">
        <f>"INV 978371"</f>
        <v>INV 978371</v>
      </c>
    </row>
    <row r="1025" spans="1:9" x14ac:dyDescent="0.3">
      <c r="A1025" t="str">
        <f>"PAIGE"</f>
        <v>PAIGE</v>
      </c>
      <c r="B1025" t="s">
        <v>339</v>
      </c>
      <c r="C1025">
        <v>72566</v>
      </c>
      <c r="D1025" s="2">
        <v>1036.07</v>
      </c>
      <c r="E1025" s="1">
        <v>42989</v>
      </c>
      <c r="F1025" t="str">
        <f>"56592"</f>
        <v>56592</v>
      </c>
      <c r="G1025" t="str">
        <f>"BW3093/BW3094/PCT#2"</f>
        <v>BW3093/BW3094/PCT#2</v>
      </c>
      <c r="H1025" s="2">
        <v>408.08</v>
      </c>
      <c r="I1025" t="str">
        <f>"BW3093/BW3094/PCT#2"</f>
        <v>BW3093/BW3094/PCT#2</v>
      </c>
    </row>
    <row r="1026" spans="1:9" x14ac:dyDescent="0.3">
      <c r="A1026" t="str">
        <f>""</f>
        <v/>
      </c>
      <c r="F1026" t="str">
        <f>"56897"</f>
        <v>56897</v>
      </c>
      <c r="G1026" t="s">
        <v>340</v>
      </c>
      <c r="H1026" s="2">
        <v>490</v>
      </c>
      <c r="I1026" t="s">
        <v>340</v>
      </c>
    </row>
    <row r="1027" spans="1:9" x14ac:dyDescent="0.3">
      <c r="A1027" t="str">
        <f>""</f>
        <v/>
      </c>
      <c r="F1027" t="str">
        <f>"56898"</f>
        <v>56898</v>
      </c>
      <c r="G1027" t="str">
        <f>"CHAIN/GAS CAN"</f>
        <v>CHAIN/GAS CAN</v>
      </c>
      <c r="H1027" s="2">
        <v>137.99</v>
      </c>
      <c r="I1027" t="str">
        <f>"CHAIN/GAS CAN"</f>
        <v>CHAIN/GAS CAN</v>
      </c>
    </row>
    <row r="1028" spans="1:9" x14ac:dyDescent="0.3">
      <c r="A1028" t="str">
        <f>"PAIGE"</f>
        <v>PAIGE</v>
      </c>
      <c r="B1028" t="s">
        <v>339</v>
      </c>
      <c r="C1028">
        <v>72787</v>
      </c>
      <c r="D1028" s="2">
        <v>1246.08</v>
      </c>
      <c r="E1028" s="1">
        <v>43003</v>
      </c>
      <c r="F1028" t="str">
        <f>"57301"</f>
        <v>57301</v>
      </c>
      <c r="G1028" t="str">
        <f>"BW3275/BW3276/FREIGHT/PCT#2"</f>
        <v>BW3275/BW3276/FREIGHT/PCT#2</v>
      </c>
      <c r="H1028" s="2">
        <v>1246.08</v>
      </c>
      <c r="I1028" t="str">
        <f>"BW3275/BW3276/FREIGHT/PCT#2"</f>
        <v>BW3275/BW3276/FREIGHT/PCT#2</v>
      </c>
    </row>
    <row r="1029" spans="1:9" x14ac:dyDescent="0.3">
      <c r="A1029" t="str">
        <f>"003566"</f>
        <v>003566</v>
      </c>
      <c r="B1029" t="s">
        <v>341</v>
      </c>
      <c r="C1029">
        <v>72788</v>
      </c>
      <c r="D1029" s="2">
        <v>252.28</v>
      </c>
      <c r="E1029" s="1">
        <v>43003</v>
      </c>
      <c r="F1029" t="str">
        <f>"201709144904"</f>
        <v>201709144904</v>
      </c>
      <c r="G1029" t="str">
        <f>"ACCT#1137/PCT#4"</f>
        <v>ACCT#1137/PCT#4</v>
      </c>
      <c r="H1029" s="2">
        <v>252.28</v>
      </c>
      <c r="I1029" t="str">
        <f>"ACCT#1137/PCT#4"</f>
        <v>ACCT#1137/PCT#4</v>
      </c>
    </row>
    <row r="1030" spans="1:9" x14ac:dyDescent="0.3">
      <c r="A1030" t="str">
        <f>"T5411"</f>
        <v>T5411</v>
      </c>
      <c r="B1030" t="s">
        <v>342</v>
      </c>
      <c r="C1030">
        <v>72789</v>
      </c>
      <c r="D1030" s="2">
        <v>298</v>
      </c>
      <c r="E1030" s="1">
        <v>43003</v>
      </c>
      <c r="F1030" t="str">
        <f>"024578"</f>
        <v>024578</v>
      </c>
      <c r="G1030" t="str">
        <f>"Materials"</f>
        <v>Materials</v>
      </c>
      <c r="H1030" s="2">
        <v>298</v>
      </c>
      <c r="I1030" t="str">
        <f>"6 1/2'X1.12#"</f>
        <v>6 1/2'X1.12#</v>
      </c>
    </row>
    <row r="1031" spans="1:9" x14ac:dyDescent="0.3">
      <c r="A1031" t="str">
        <f>"002370"</f>
        <v>002370</v>
      </c>
      <c r="B1031" t="s">
        <v>343</v>
      </c>
      <c r="C1031">
        <v>72790</v>
      </c>
      <c r="D1031" s="2">
        <v>2566.6</v>
      </c>
      <c r="E1031" s="1">
        <v>43003</v>
      </c>
      <c r="F1031" t="str">
        <f>"2008294"</f>
        <v>2008294</v>
      </c>
      <c r="G1031" t="str">
        <f>"ELEC SVCS/GEN SERV/OLD JAIL"</f>
        <v>ELEC SVCS/GEN SERV/OLD JAIL</v>
      </c>
      <c r="H1031" s="2">
        <v>1910.2</v>
      </c>
      <c r="I1031" t="str">
        <f>"ELEC SVCS/GEN SERV/OLD JAIL"</f>
        <v>ELEC SVCS/GEN SERV/OLD JAIL</v>
      </c>
    </row>
    <row r="1032" spans="1:9" x14ac:dyDescent="0.3">
      <c r="A1032" t="str">
        <f>""</f>
        <v/>
      </c>
      <c r="F1032" t="str">
        <f>"2008296"</f>
        <v>2008296</v>
      </c>
      <c r="G1032" t="str">
        <f>"ELEC SVC/GEN SVC/OLD CT HOUSE"</f>
        <v>ELEC SVC/GEN SVC/OLD CT HOUSE</v>
      </c>
      <c r="H1032" s="2">
        <v>656.4</v>
      </c>
      <c r="I1032" t="str">
        <f>"ELEC SVC/GEN SVC/OLD CT HOUSE"</f>
        <v>ELEC SVC/GEN SVC/OLD CT HOUSE</v>
      </c>
    </row>
    <row r="1033" spans="1:9" x14ac:dyDescent="0.3">
      <c r="A1033" t="str">
        <f>"001210"</f>
        <v>001210</v>
      </c>
      <c r="B1033" t="s">
        <v>344</v>
      </c>
      <c r="C1033">
        <v>72567</v>
      </c>
      <c r="D1033" s="2">
        <v>165</v>
      </c>
      <c r="E1033" s="1">
        <v>42989</v>
      </c>
      <c r="F1033" t="str">
        <f>"L0117"</f>
        <v>L0117</v>
      </c>
      <c r="G1033" t="str">
        <f>"INV L0117"</f>
        <v>INV L0117</v>
      </c>
      <c r="H1033" s="2">
        <v>165</v>
      </c>
      <c r="I1033" t="str">
        <f>"INV L0117"</f>
        <v>INV L0117</v>
      </c>
    </row>
    <row r="1034" spans="1:9" x14ac:dyDescent="0.3">
      <c r="A1034" t="str">
        <f>"WEBSTE"</f>
        <v>WEBSTE</v>
      </c>
      <c r="B1034" t="s">
        <v>345</v>
      </c>
      <c r="C1034">
        <v>72791</v>
      </c>
      <c r="D1034" s="2">
        <v>3624.66</v>
      </c>
      <c r="E1034" s="1">
        <v>43003</v>
      </c>
      <c r="F1034" t="str">
        <f>"201709144874"</f>
        <v>201709144874</v>
      </c>
      <c r="G1034" t="str">
        <f>"ACCT#0200140783/ANIMAL SHELTER"</f>
        <v>ACCT#0200140783/ANIMAL SHELTER</v>
      </c>
      <c r="H1034" s="2">
        <v>3624.66</v>
      </c>
      <c r="I1034" t="str">
        <f>"ACCT#0200140783/ANIMAL SHELTER"</f>
        <v>ACCT#0200140783/ANIMAL SHELTER</v>
      </c>
    </row>
    <row r="1035" spans="1:9" x14ac:dyDescent="0.3">
      <c r="A1035" t="str">
        <f>""</f>
        <v/>
      </c>
      <c r="F1035" t="str">
        <f>""</f>
        <v/>
      </c>
      <c r="G1035" t="str">
        <f>""</f>
        <v/>
      </c>
      <c r="I1035" t="str">
        <f>"ACCT#0200140783/ANIMAL SHELTER"</f>
        <v>ACCT#0200140783/ANIMAL SHELTER</v>
      </c>
    </row>
    <row r="1036" spans="1:9" x14ac:dyDescent="0.3">
      <c r="A1036" t="str">
        <f>"001854"</f>
        <v>001854</v>
      </c>
      <c r="B1036" t="s">
        <v>346</v>
      </c>
      <c r="C1036">
        <v>72568</v>
      </c>
      <c r="D1036" s="2">
        <v>299</v>
      </c>
      <c r="E1036" s="1">
        <v>42989</v>
      </c>
      <c r="F1036" t="str">
        <f>"201709064533"</f>
        <v>201709064533</v>
      </c>
      <c r="G1036" t="str">
        <f>"TRASH REMOVAL PCT#4/9-1 TO 9/7"</f>
        <v>TRASH REMOVAL PCT#4/9-1 TO 9/7</v>
      </c>
      <c r="H1036" s="2">
        <v>182</v>
      </c>
      <c r="I1036" t="str">
        <f>"TRASH REMOVAL PCT#4/9-1 TO 9/7"</f>
        <v>TRASH REMOVAL PCT#4/9-1 TO 9/7</v>
      </c>
    </row>
    <row r="1037" spans="1:9" x14ac:dyDescent="0.3">
      <c r="A1037" t="str">
        <f>""</f>
        <v/>
      </c>
      <c r="F1037" t="str">
        <f>"201709064534"</f>
        <v>201709064534</v>
      </c>
      <c r="G1037" t="str">
        <f>"TRASH REMOV PCT4/8-29 TO 8/30"</f>
        <v>TRASH REMOV PCT4/8-29 TO 8/30</v>
      </c>
      <c r="H1037" s="2">
        <v>117</v>
      </c>
      <c r="I1037" t="str">
        <f>"TRASH REMOV PCT4/8-29 TO 8/30"</f>
        <v>TRASH REMOV PCT4/8-29 TO 8/30</v>
      </c>
    </row>
    <row r="1038" spans="1:9" x14ac:dyDescent="0.3">
      <c r="A1038" t="str">
        <f>"001854"</f>
        <v>001854</v>
      </c>
      <c r="B1038" t="s">
        <v>346</v>
      </c>
      <c r="C1038">
        <v>72792</v>
      </c>
      <c r="D1038" s="2">
        <v>442</v>
      </c>
      <c r="E1038" s="1">
        <v>43003</v>
      </c>
      <c r="F1038" t="str">
        <f>"201709194971"</f>
        <v>201709194971</v>
      </c>
      <c r="G1038" t="str">
        <f>"TRASH REMOVAL/9-11 TO 9-22/P4"</f>
        <v>TRASH REMOVAL/9-11 TO 9-22/P4</v>
      </c>
      <c r="H1038" s="2">
        <v>442</v>
      </c>
      <c r="I1038" t="str">
        <f>"TRASH REMOVAL/9-11 TO 9-22/P4"</f>
        <v>TRASH REMOVAL/9-11 TO 9-22/P4</v>
      </c>
    </row>
    <row r="1039" spans="1:9" x14ac:dyDescent="0.3">
      <c r="A1039" t="str">
        <f>"PET"</f>
        <v>PET</v>
      </c>
      <c r="B1039" t="s">
        <v>347</v>
      </c>
      <c r="C1039">
        <v>72793</v>
      </c>
      <c r="D1039" s="2">
        <v>24.25</v>
      </c>
      <c r="E1039" s="1">
        <v>43003</v>
      </c>
      <c r="F1039" t="str">
        <f>"SIUN10591869"</f>
        <v>SIUN10591869</v>
      </c>
      <c r="G1039" t="str">
        <f>"CUST#CUN000000233/NON24PWR-ADO"</f>
        <v>CUST#CUN000000233/NON24PWR-ADO</v>
      </c>
      <c r="H1039" s="2">
        <v>24.25</v>
      </c>
      <c r="I1039" t="str">
        <f>"CUST#CUN000000233/NON24PWRADOP"</f>
        <v>CUST#CUN000000233/NON24PWRADOP</v>
      </c>
    </row>
    <row r="1040" spans="1:9" x14ac:dyDescent="0.3">
      <c r="A1040" t="str">
        <f>"PRD"</f>
        <v>PRD</v>
      </c>
      <c r="B1040" t="s">
        <v>348</v>
      </c>
      <c r="C1040">
        <v>72569</v>
      </c>
      <c r="D1040" s="2">
        <v>298</v>
      </c>
      <c r="E1040" s="1">
        <v>42989</v>
      </c>
      <c r="F1040" t="str">
        <f>"201709064635"</f>
        <v>201709064635</v>
      </c>
      <c r="G1040" t="str">
        <f>"16-17819"</f>
        <v>16-17819</v>
      </c>
      <c r="H1040" s="2">
        <v>198</v>
      </c>
      <c r="I1040" t="str">
        <f>"16-17819"</f>
        <v>16-17819</v>
      </c>
    </row>
    <row r="1041" spans="1:9" x14ac:dyDescent="0.3">
      <c r="A1041" t="str">
        <f>""</f>
        <v/>
      </c>
      <c r="F1041" t="str">
        <f>"201709064637"</f>
        <v>201709064637</v>
      </c>
      <c r="G1041" t="str">
        <f>"UNFILED 8/31/17"</f>
        <v>UNFILED 8/31/17</v>
      </c>
      <c r="H1041" s="2">
        <v>100</v>
      </c>
      <c r="I1041" t="str">
        <f>"UNFILED 8/31/17"</f>
        <v>UNFILED 8/31/17</v>
      </c>
    </row>
    <row r="1042" spans="1:9" x14ac:dyDescent="0.3">
      <c r="A1042" t="str">
        <f>"PRD"</f>
        <v>PRD</v>
      </c>
      <c r="B1042" t="s">
        <v>348</v>
      </c>
      <c r="C1042">
        <v>999999</v>
      </c>
      <c r="D1042" s="2">
        <v>2469</v>
      </c>
      <c r="E1042" s="1">
        <v>43004</v>
      </c>
      <c r="F1042" t="str">
        <f>"201709205094"</f>
        <v>201709205094</v>
      </c>
      <c r="G1042" t="str">
        <f>"17-18576"</f>
        <v>17-18576</v>
      </c>
      <c r="H1042" s="2">
        <v>325</v>
      </c>
      <c r="I1042" t="str">
        <f>"17-18576"</f>
        <v>17-18576</v>
      </c>
    </row>
    <row r="1043" spans="1:9" x14ac:dyDescent="0.3">
      <c r="A1043" t="str">
        <f>""</f>
        <v/>
      </c>
      <c r="F1043" t="str">
        <f>"201709205095"</f>
        <v>201709205095</v>
      </c>
      <c r="G1043" t="str">
        <f>"14-16916"</f>
        <v>14-16916</v>
      </c>
      <c r="H1043" s="2">
        <v>213</v>
      </c>
      <c r="I1043" t="str">
        <f>"14-16916"</f>
        <v>14-16916</v>
      </c>
    </row>
    <row r="1044" spans="1:9" x14ac:dyDescent="0.3">
      <c r="A1044" t="str">
        <f>""</f>
        <v/>
      </c>
      <c r="F1044" t="str">
        <f>"201709205096"</f>
        <v>201709205096</v>
      </c>
      <c r="G1044" t="str">
        <f>"J-3087"</f>
        <v>J-3087</v>
      </c>
      <c r="H1044" s="2">
        <v>250</v>
      </c>
      <c r="I1044" t="str">
        <f>"J-3087"</f>
        <v>J-3087</v>
      </c>
    </row>
    <row r="1045" spans="1:9" x14ac:dyDescent="0.3">
      <c r="A1045" t="str">
        <f>""</f>
        <v/>
      </c>
      <c r="F1045" t="str">
        <f>"201709205097"</f>
        <v>201709205097</v>
      </c>
      <c r="G1045" t="str">
        <f>"17-18493"</f>
        <v>17-18493</v>
      </c>
      <c r="H1045" s="2">
        <v>408</v>
      </c>
      <c r="I1045" t="str">
        <f>"17-18493"</f>
        <v>17-18493</v>
      </c>
    </row>
    <row r="1046" spans="1:9" x14ac:dyDescent="0.3">
      <c r="A1046" t="str">
        <f>""</f>
        <v/>
      </c>
      <c r="F1046" t="str">
        <f>"201709205098"</f>
        <v>201709205098</v>
      </c>
      <c r="G1046" t="str">
        <f>"15-17305"</f>
        <v>15-17305</v>
      </c>
      <c r="H1046" s="2">
        <v>460</v>
      </c>
      <c r="I1046" t="str">
        <f>"15-17305"</f>
        <v>15-17305</v>
      </c>
    </row>
    <row r="1047" spans="1:9" x14ac:dyDescent="0.3">
      <c r="A1047" t="str">
        <f>""</f>
        <v/>
      </c>
      <c r="F1047" t="str">
        <f>"201709205099"</f>
        <v>201709205099</v>
      </c>
      <c r="G1047" t="str">
        <f>"16-17760"</f>
        <v>16-17760</v>
      </c>
      <c r="H1047" s="2">
        <v>813</v>
      </c>
      <c r="I1047" t="str">
        <f>"16-17760"</f>
        <v>16-17760</v>
      </c>
    </row>
    <row r="1048" spans="1:9" x14ac:dyDescent="0.3">
      <c r="A1048" t="str">
        <f>"PB"</f>
        <v>PB</v>
      </c>
      <c r="B1048" t="s">
        <v>349</v>
      </c>
      <c r="C1048">
        <v>72794</v>
      </c>
      <c r="D1048" s="2">
        <v>1580.27</v>
      </c>
      <c r="E1048" s="1">
        <v>43003</v>
      </c>
      <c r="F1048" t="str">
        <f>"3304281056"</f>
        <v>3304281056</v>
      </c>
      <c r="G1048" t="str">
        <f>"ACCT#0017315717/TAX ASSESSOR"</f>
        <v>ACCT#0017315717/TAX ASSESSOR</v>
      </c>
      <c r="H1048" s="2">
        <v>1164</v>
      </c>
      <c r="I1048" t="str">
        <f>"ACCT#0017315717/TAX ASSESSOR"</f>
        <v>ACCT#0017315717/TAX ASSESSOR</v>
      </c>
    </row>
    <row r="1049" spans="1:9" x14ac:dyDescent="0.3">
      <c r="A1049" t="str">
        <f>""</f>
        <v/>
      </c>
      <c r="F1049" t="str">
        <f>"3304304261"</f>
        <v>3304304261</v>
      </c>
      <c r="G1049" t="str">
        <f>"ACCT#0017222715/SHERIFF'S DEPT"</f>
        <v>ACCT#0017222715/SHERIFF'S DEPT</v>
      </c>
      <c r="H1049" s="2">
        <v>416.27</v>
      </c>
      <c r="I1049" t="str">
        <f>"ACCT#0017222715/SHERIFF'S DEPT"</f>
        <v>ACCT#0017222715/SHERIFF'S DEPT</v>
      </c>
    </row>
    <row r="1050" spans="1:9" x14ac:dyDescent="0.3">
      <c r="A1050" t="str">
        <f>"003293"</f>
        <v>003293</v>
      </c>
      <c r="B1050" t="s">
        <v>350</v>
      </c>
      <c r="C1050">
        <v>72570</v>
      </c>
      <c r="D1050" s="2">
        <v>250</v>
      </c>
      <c r="E1050" s="1">
        <v>42989</v>
      </c>
      <c r="F1050" t="str">
        <f>"201709064657"</f>
        <v>201709064657</v>
      </c>
      <c r="G1050" t="str">
        <f>"55 259"</f>
        <v>55 259</v>
      </c>
      <c r="H1050" s="2">
        <v>250</v>
      </c>
      <c r="I1050" t="str">
        <f>"55 259"</f>
        <v>55 259</v>
      </c>
    </row>
    <row r="1051" spans="1:9" x14ac:dyDescent="0.3">
      <c r="A1051" t="str">
        <f>"003293"</f>
        <v>003293</v>
      </c>
      <c r="B1051" t="s">
        <v>350</v>
      </c>
      <c r="C1051">
        <v>72795</v>
      </c>
      <c r="D1051" s="2">
        <v>8301.5</v>
      </c>
      <c r="E1051" s="1">
        <v>43003</v>
      </c>
      <c r="F1051" t="str">
        <f>"201709205044"</f>
        <v>201709205044</v>
      </c>
      <c r="G1051" t="str">
        <f>"16-17944   MAY 1-JUNE 28  2017"</f>
        <v>16-17944   MAY 1-JUNE 28  2017</v>
      </c>
      <c r="H1051" s="2">
        <v>655</v>
      </c>
      <c r="I1051" t="str">
        <f>"16-17944"</f>
        <v>16-17944</v>
      </c>
    </row>
    <row r="1052" spans="1:9" x14ac:dyDescent="0.3">
      <c r="A1052" t="str">
        <f>""</f>
        <v/>
      </c>
      <c r="F1052" t="str">
        <f>"201709205045"</f>
        <v>201709205045</v>
      </c>
      <c r="G1052" t="str">
        <f>"16-17909   MAY 8-JUNE 19  2017"</f>
        <v>16-17909   MAY 8-JUNE 19  2017</v>
      </c>
      <c r="H1052" s="2">
        <v>381.25</v>
      </c>
      <c r="I1052" t="str">
        <f>"16-17909"</f>
        <v>16-17909</v>
      </c>
    </row>
    <row r="1053" spans="1:9" x14ac:dyDescent="0.3">
      <c r="A1053" t="str">
        <f>""</f>
        <v/>
      </c>
      <c r="F1053" t="str">
        <f>"201709205046"</f>
        <v>201709205046</v>
      </c>
      <c r="G1053" t="str">
        <f>"17-18120   MAY 1-JUNE 28  2017"</f>
        <v>17-18120   MAY 1-JUNE 28  2017</v>
      </c>
      <c r="H1053" s="2">
        <v>255</v>
      </c>
      <c r="I1053" t="str">
        <f>"17-18120"</f>
        <v>17-18120</v>
      </c>
    </row>
    <row r="1054" spans="1:9" x14ac:dyDescent="0.3">
      <c r="A1054" t="str">
        <f>""</f>
        <v/>
      </c>
      <c r="F1054" t="str">
        <f>"201709205047"</f>
        <v>201709205047</v>
      </c>
      <c r="G1054" t="str">
        <f>"16-17709  MAY 2-JUNE 26  2017"</f>
        <v>16-17709  MAY 2-JUNE 26  2017</v>
      </c>
      <c r="H1054" s="2">
        <v>130</v>
      </c>
      <c r="I1054" t="str">
        <f>"16-17709"</f>
        <v>16-17709</v>
      </c>
    </row>
    <row r="1055" spans="1:9" x14ac:dyDescent="0.3">
      <c r="A1055" t="str">
        <f>""</f>
        <v/>
      </c>
      <c r="F1055" t="str">
        <f>"201709205048"</f>
        <v>201709205048</v>
      </c>
      <c r="G1055" t="str">
        <f>"16-17760   APRIL 27  2017"</f>
        <v>16-17760   APRIL 27  2017</v>
      </c>
      <c r="H1055" s="2">
        <v>240</v>
      </c>
      <c r="I1055" t="str">
        <f>"16-17760"</f>
        <v>16-17760</v>
      </c>
    </row>
    <row r="1056" spans="1:9" x14ac:dyDescent="0.3">
      <c r="A1056" t="str">
        <f>""</f>
        <v/>
      </c>
      <c r="F1056" t="str">
        <f>"201709205049"</f>
        <v>201709205049</v>
      </c>
      <c r="G1056" t="str">
        <f>"16-17944   APRIL 2-27  2017"</f>
        <v>16-17944   APRIL 2-27  2017</v>
      </c>
      <c r="H1056" s="2">
        <v>60</v>
      </c>
      <c r="I1056" t="str">
        <f>"16-17944"</f>
        <v>16-17944</v>
      </c>
    </row>
    <row r="1057" spans="1:9" x14ac:dyDescent="0.3">
      <c r="A1057" t="str">
        <f>""</f>
        <v/>
      </c>
      <c r="F1057" t="str">
        <f>"201709205050"</f>
        <v>201709205050</v>
      </c>
      <c r="G1057" t="str">
        <f>"16-17709   APRIL 3-18  2017"</f>
        <v>16-17709   APRIL 3-18  2017</v>
      </c>
      <c r="H1057" s="2">
        <v>144</v>
      </c>
      <c r="I1057" t="str">
        <f>"16-17709"</f>
        <v>16-17709</v>
      </c>
    </row>
    <row r="1058" spans="1:9" x14ac:dyDescent="0.3">
      <c r="A1058" t="str">
        <f>""</f>
        <v/>
      </c>
      <c r="F1058" t="str">
        <f>"201709205051"</f>
        <v>201709205051</v>
      </c>
      <c r="G1058" t="str">
        <f>"17-18120   APRIL 3-20  2017"</f>
        <v>17-18120   APRIL 3-20  2017</v>
      </c>
      <c r="H1058" s="2">
        <v>137.25</v>
      </c>
      <c r="I1058" t="str">
        <f>"17-18120"</f>
        <v>17-18120</v>
      </c>
    </row>
    <row r="1059" spans="1:9" x14ac:dyDescent="0.3">
      <c r="A1059" t="str">
        <f>""</f>
        <v/>
      </c>
      <c r="F1059" t="str">
        <f>"201709205052"</f>
        <v>201709205052</v>
      </c>
      <c r="G1059" t="str">
        <f>"15-17400   APRIL 24-26  2017"</f>
        <v>15-17400   APRIL 24-26  2017</v>
      </c>
      <c r="H1059" s="2">
        <v>197.5</v>
      </c>
      <c r="I1059" t="str">
        <f>"15-17400"</f>
        <v>15-17400</v>
      </c>
    </row>
    <row r="1060" spans="1:9" x14ac:dyDescent="0.3">
      <c r="A1060" t="str">
        <f>""</f>
        <v/>
      </c>
      <c r="F1060" t="str">
        <f>"201709205053"</f>
        <v>201709205053</v>
      </c>
      <c r="G1060" t="str">
        <f>"16-17969   APRIL 28  2017"</f>
        <v>16-17969   APRIL 28  2017</v>
      </c>
      <c r="H1060" s="2">
        <v>52.5</v>
      </c>
      <c r="I1060" t="str">
        <f>"16-17969"</f>
        <v>16-17969</v>
      </c>
    </row>
    <row r="1061" spans="1:9" x14ac:dyDescent="0.3">
      <c r="A1061" t="str">
        <f>""</f>
        <v/>
      </c>
      <c r="F1061" t="str">
        <f>"201709205054"</f>
        <v>201709205054</v>
      </c>
      <c r="G1061" t="str">
        <f>"16-17969    MARCH 1-31  2017"</f>
        <v>16-17969    MARCH 1-31  2017</v>
      </c>
      <c r="H1061" s="2">
        <v>193.75</v>
      </c>
      <c r="I1061" t="str">
        <f>"16-17969"</f>
        <v>16-17969</v>
      </c>
    </row>
    <row r="1062" spans="1:9" x14ac:dyDescent="0.3">
      <c r="A1062" t="str">
        <f>""</f>
        <v/>
      </c>
      <c r="F1062" t="str">
        <f>"201709205055"</f>
        <v>201709205055</v>
      </c>
      <c r="G1062" t="str">
        <f>"16-17709   MARCH 8-30  2017"</f>
        <v>16-17709   MARCH 8-30  2017</v>
      </c>
      <c r="H1062" s="2">
        <v>570</v>
      </c>
      <c r="I1062" t="str">
        <f>"16-17709"</f>
        <v>16-17709</v>
      </c>
    </row>
    <row r="1063" spans="1:9" x14ac:dyDescent="0.3">
      <c r="A1063" t="str">
        <f>""</f>
        <v/>
      </c>
      <c r="F1063" t="str">
        <f>"201709205056"</f>
        <v>201709205056</v>
      </c>
      <c r="G1063" t="str">
        <f>"15-17400 FEBRUARY 20-MARCH 7"</f>
        <v>15-17400 FEBRUARY 20-MARCH 7</v>
      </c>
      <c r="H1063" s="2">
        <v>555</v>
      </c>
      <c r="I1063" t="str">
        <f>"15-17400"</f>
        <v>15-17400</v>
      </c>
    </row>
    <row r="1064" spans="1:9" x14ac:dyDescent="0.3">
      <c r="A1064" t="str">
        <f>""</f>
        <v/>
      </c>
      <c r="F1064" t="str">
        <f>"201709205057"</f>
        <v>201709205057</v>
      </c>
      <c r="G1064" t="str">
        <f>"16-17765   MAY 2-JUNE 28  2017"</f>
        <v>16-17765   MAY 2-JUNE 28  2017</v>
      </c>
      <c r="H1064" s="2">
        <v>762.25</v>
      </c>
      <c r="I1064" t="str">
        <f>"16-17765"</f>
        <v>16-17765</v>
      </c>
    </row>
    <row r="1065" spans="1:9" x14ac:dyDescent="0.3">
      <c r="A1065" t="str">
        <f>""</f>
        <v/>
      </c>
      <c r="F1065" t="str">
        <f>"201709205058"</f>
        <v>201709205058</v>
      </c>
      <c r="G1065" t="str">
        <f>"16-17909 MARCH 22-APRIL 17"</f>
        <v>16-17909 MARCH 22-APRIL 17</v>
      </c>
      <c r="H1065" s="2">
        <v>152.5</v>
      </c>
      <c r="I1065" t="str">
        <f>"16-17909"</f>
        <v>16-17909</v>
      </c>
    </row>
    <row r="1066" spans="1:9" x14ac:dyDescent="0.3">
      <c r="A1066" t="str">
        <f>""</f>
        <v/>
      </c>
      <c r="F1066" t="str">
        <f>"201709205059"</f>
        <v>201709205059</v>
      </c>
      <c r="G1066" t="str">
        <f>"16-17910  APRIL 17-26  2017"</f>
        <v>16-17910  APRIL 17-26  2017</v>
      </c>
      <c r="H1066" s="2">
        <v>257.5</v>
      </c>
      <c r="I1066" t="str">
        <f>"16-17910"</f>
        <v>16-17910</v>
      </c>
    </row>
    <row r="1067" spans="1:9" x14ac:dyDescent="0.3">
      <c r="A1067" t="str">
        <f>""</f>
        <v/>
      </c>
      <c r="F1067" t="str">
        <f>"201709205060"</f>
        <v>201709205060</v>
      </c>
      <c r="G1067" t="str">
        <f>"16-17760   MARCH 8  2017"</f>
        <v>16-17760   MARCH 8  2017</v>
      </c>
      <c r="H1067" s="2">
        <v>150</v>
      </c>
      <c r="I1067" t="str">
        <f>"16-17760"</f>
        <v>16-17760</v>
      </c>
    </row>
    <row r="1068" spans="1:9" x14ac:dyDescent="0.3">
      <c r="A1068" t="str">
        <f>""</f>
        <v/>
      </c>
      <c r="F1068" t="str">
        <f>"201709205061"</f>
        <v>201709205061</v>
      </c>
      <c r="G1068" t="str">
        <f>"16-17698 MARCH 2-21  2017"</f>
        <v>16-17698 MARCH 2-21  2017</v>
      </c>
      <c r="H1068" s="2">
        <v>67.5</v>
      </c>
      <c r="I1068" t="str">
        <f>"16-17698 MARCH 2-21  2017"</f>
        <v>16-17698 MARCH 2-21  2017</v>
      </c>
    </row>
    <row r="1069" spans="1:9" x14ac:dyDescent="0.3">
      <c r="A1069" t="str">
        <f>""</f>
        <v/>
      </c>
      <c r="F1069" t="str">
        <f>"201709205062"</f>
        <v>201709205062</v>
      </c>
      <c r="G1069" t="str">
        <f>"16-17944   MARCH 1-21  2017"</f>
        <v>16-17944   MARCH 1-21  2017</v>
      </c>
      <c r="H1069" s="2">
        <v>45</v>
      </c>
      <c r="I1069" t="str">
        <f>"16-17944   MARCH 1-21  2017"</f>
        <v>16-17944   MARCH 1-21  2017</v>
      </c>
    </row>
    <row r="1070" spans="1:9" x14ac:dyDescent="0.3">
      <c r="A1070" t="str">
        <f>""</f>
        <v/>
      </c>
      <c r="F1070" t="str">
        <f>"201709205063"</f>
        <v>201709205063</v>
      </c>
      <c r="G1070" t="str">
        <f>"17-18120   MARCH 6-27  2017"</f>
        <v>17-18120   MARCH 6-27  2017</v>
      </c>
      <c r="H1070" s="2">
        <v>265</v>
      </c>
      <c r="I1070" t="str">
        <f>"17-18120   MARCH 6-27  2017"</f>
        <v>17-18120   MARCH 6-27  2017</v>
      </c>
    </row>
    <row r="1071" spans="1:9" x14ac:dyDescent="0.3">
      <c r="A1071" t="str">
        <f>""</f>
        <v/>
      </c>
      <c r="F1071" t="str">
        <f>"201709205064"</f>
        <v>201709205064</v>
      </c>
      <c r="G1071" t="str">
        <f>"16-17894   MARCH 14 2017"</f>
        <v>16-17894   MARCH 14 2017</v>
      </c>
      <c r="H1071" s="2">
        <v>7.5</v>
      </c>
      <c r="I1071" t="str">
        <f>"16-17894"</f>
        <v>16-17894</v>
      </c>
    </row>
    <row r="1072" spans="1:9" x14ac:dyDescent="0.3">
      <c r="A1072" t="str">
        <f>""</f>
        <v/>
      </c>
      <c r="F1072" t="str">
        <f>"201709205065"</f>
        <v>201709205065</v>
      </c>
      <c r="G1072" t="str">
        <f>"16-17765   MARCH 1-28  2017"</f>
        <v>16-17765   MARCH 1-28  2017</v>
      </c>
      <c r="H1072" s="2">
        <v>165</v>
      </c>
      <c r="I1072" t="str">
        <f>"16-17765   MARCH 1-28  2017"</f>
        <v>16-17765   MARCH 1-28  2017</v>
      </c>
    </row>
    <row r="1073" spans="1:9" x14ac:dyDescent="0.3">
      <c r="A1073" t="str">
        <f>""</f>
        <v/>
      </c>
      <c r="F1073" t="str">
        <f>"201709205066"</f>
        <v>201709205066</v>
      </c>
      <c r="G1073" t="str">
        <f>"16-17910   MAY 12-JUNE 27  201"</f>
        <v>16-17910   MAY 12-JUNE 27  201</v>
      </c>
      <c r="H1073" s="2">
        <v>447.5</v>
      </c>
      <c r="I1073" t="str">
        <f>"16-17910   MAY 12-JUNE 27  201"</f>
        <v>16-17910   MAY 12-JUNE 27  201</v>
      </c>
    </row>
    <row r="1074" spans="1:9" x14ac:dyDescent="0.3">
      <c r="A1074" t="str">
        <f>""</f>
        <v/>
      </c>
      <c r="F1074" t="str">
        <f>"201709205067"</f>
        <v>201709205067</v>
      </c>
      <c r="G1074" t="str">
        <f>"16-17894   MAY 5-JUNE 19  2017"</f>
        <v>16-17894   MAY 5-JUNE 19  2017</v>
      </c>
      <c r="H1074" s="2">
        <v>565</v>
      </c>
      <c r="I1074" t="str">
        <f>"16-17894   MAY 5-JUNE 19  2017"</f>
        <v>16-17894   MAY 5-JUNE 19  2017</v>
      </c>
    </row>
    <row r="1075" spans="1:9" x14ac:dyDescent="0.3">
      <c r="A1075" t="str">
        <f>""</f>
        <v/>
      </c>
      <c r="F1075" t="str">
        <f>"201709205100"</f>
        <v>201709205100</v>
      </c>
      <c r="G1075" t="str">
        <f>"16-17969   MAY 8-JUNE 27  2017"</f>
        <v>16-17969   MAY 8-JUNE 27  2017</v>
      </c>
      <c r="H1075" s="2">
        <v>490</v>
      </c>
      <c r="I1075" t="str">
        <f>"16-17969   MAY 8-JUNE 27  2017"</f>
        <v>16-17969   MAY 8-JUNE 27  2017</v>
      </c>
    </row>
    <row r="1076" spans="1:9" x14ac:dyDescent="0.3">
      <c r="A1076" t="str">
        <f>""</f>
        <v/>
      </c>
      <c r="F1076" t="str">
        <f>"201709205103"</f>
        <v>201709205103</v>
      </c>
      <c r="G1076" t="str">
        <f>"16-17760  MAY 2-28  2017"</f>
        <v>16-17760  MAY 2-28  2017</v>
      </c>
      <c r="H1076" s="2">
        <v>123.75</v>
      </c>
      <c r="I1076" t="str">
        <f>"16-17760  MAY 2-28  2017"</f>
        <v>16-17760  MAY 2-28  2017</v>
      </c>
    </row>
    <row r="1077" spans="1:9" x14ac:dyDescent="0.3">
      <c r="A1077" t="str">
        <f>""</f>
        <v/>
      </c>
      <c r="F1077" t="str">
        <f>"201709205105"</f>
        <v>201709205105</v>
      </c>
      <c r="G1077" t="str">
        <f>"16-17765  APRIL 4-28  2017"</f>
        <v>16-17765  APRIL 4-28  2017</v>
      </c>
      <c r="H1077" s="2">
        <v>1231.75</v>
      </c>
      <c r="I1077" t="str">
        <f>"16-17765  APRIL 4-28  2017"</f>
        <v>16-17765  APRIL 4-28  2017</v>
      </c>
    </row>
    <row r="1078" spans="1:9" x14ac:dyDescent="0.3">
      <c r="A1078" t="str">
        <f>"PM"</f>
        <v>PM</v>
      </c>
      <c r="B1078" t="s">
        <v>351</v>
      </c>
      <c r="C1078">
        <v>72571</v>
      </c>
      <c r="D1078" s="2">
        <v>225</v>
      </c>
      <c r="E1078" s="1">
        <v>42989</v>
      </c>
      <c r="F1078" t="str">
        <f>"201708314475"</f>
        <v>201708314475</v>
      </c>
      <c r="G1078" t="str">
        <f>"FIRST CLASS PRESORT MAIL"</f>
        <v>FIRST CLASS PRESORT MAIL</v>
      </c>
      <c r="H1078" s="2">
        <v>225</v>
      </c>
      <c r="I1078" t="str">
        <f>"FIRST CLASS PRESORT MAIL"</f>
        <v>FIRST CLASS PRESORT MAIL</v>
      </c>
    </row>
    <row r="1079" spans="1:9" x14ac:dyDescent="0.3">
      <c r="A1079" t="str">
        <f>"WOSC"</f>
        <v>WOSC</v>
      </c>
      <c r="B1079" t="s">
        <v>352</v>
      </c>
      <c r="C1079">
        <v>72796</v>
      </c>
      <c r="D1079" s="2">
        <v>28.47</v>
      </c>
      <c r="E1079" s="1">
        <v>43003</v>
      </c>
      <c r="F1079" t="str">
        <f>"78803574"</f>
        <v>78803574</v>
      </c>
      <c r="G1079" t="str">
        <f>"CUST#71745122/PCT#4"</f>
        <v>CUST#71745122/PCT#4</v>
      </c>
      <c r="H1079" s="2">
        <v>28.47</v>
      </c>
      <c r="I1079" t="str">
        <f>"CUST#71745122/PCT#4"</f>
        <v>CUST#71745122/PCT#4</v>
      </c>
    </row>
    <row r="1080" spans="1:9" x14ac:dyDescent="0.3">
      <c r="A1080" t="str">
        <f>"005162"</f>
        <v>005162</v>
      </c>
      <c r="B1080" t="s">
        <v>353</v>
      </c>
      <c r="C1080">
        <v>72572</v>
      </c>
      <c r="D1080" s="2">
        <v>4778.6099999999997</v>
      </c>
      <c r="E1080" s="1">
        <v>42989</v>
      </c>
      <c r="F1080" t="str">
        <f>"29541"</f>
        <v>29541</v>
      </c>
      <c r="G1080" t="str">
        <f>"Inv# 29541"</f>
        <v>Inv# 29541</v>
      </c>
      <c r="H1080" s="2">
        <v>4778.6099999999997</v>
      </c>
      <c r="I1080" t="str">
        <f>"Pump"</f>
        <v>Pump</v>
      </c>
    </row>
    <row r="1081" spans="1:9" x14ac:dyDescent="0.3">
      <c r="A1081" t="str">
        <f>""</f>
        <v/>
      </c>
      <c r="F1081" t="str">
        <f>""</f>
        <v/>
      </c>
      <c r="G1081" t="str">
        <f>""</f>
        <v/>
      </c>
      <c r="I1081" t="str">
        <f>"Shipping"</f>
        <v>Shipping</v>
      </c>
    </row>
    <row r="1082" spans="1:9" x14ac:dyDescent="0.3">
      <c r="A1082" t="str">
        <f>"T8663"</f>
        <v>T8663</v>
      </c>
      <c r="B1082" t="s">
        <v>354</v>
      </c>
      <c r="C1082">
        <v>72573</v>
      </c>
      <c r="D1082" s="2">
        <v>1890</v>
      </c>
      <c r="E1082" s="1">
        <v>42989</v>
      </c>
      <c r="F1082" t="str">
        <f>"BCSD00781717"</f>
        <v>BCSD00781717</v>
      </c>
      <c r="G1082" t="str">
        <f>"TCLEDDS SUBSCRIPTION"</f>
        <v>TCLEDDS SUBSCRIPTION</v>
      </c>
      <c r="H1082" s="2">
        <v>1890</v>
      </c>
      <c r="I1082" t="str">
        <f>"TCLEDDS SUBSCRIPTION"</f>
        <v>TCLEDDS SUBSCRIPTION</v>
      </c>
    </row>
    <row r="1083" spans="1:9" x14ac:dyDescent="0.3">
      <c r="A1083" t="str">
        <f>"002297"</f>
        <v>002297</v>
      </c>
      <c r="B1083" t="s">
        <v>355</v>
      </c>
      <c r="C1083">
        <v>72574</v>
      </c>
      <c r="D1083" s="2">
        <v>880</v>
      </c>
      <c r="E1083" s="1">
        <v>42989</v>
      </c>
      <c r="F1083" t="str">
        <f>"2017063"</f>
        <v>2017063</v>
      </c>
      <c r="G1083" t="str">
        <f>"TRANSPORT-T. MILLER"</f>
        <v>TRANSPORT-T. MILLER</v>
      </c>
      <c r="H1083" s="2">
        <v>345</v>
      </c>
      <c r="I1083" t="str">
        <f>"TRANSPORT-T. MILLER"</f>
        <v>TRANSPORT-T. MILLER</v>
      </c>
    </row>
    <row r="1084" spans="1:9" x14ac:dyDescent="0.3">
      <c r="A1084" t="str">
        <f>""</f>
        <v/>
      </c>
      <c r="F1084" t="str">
        <f>"2017074"</f>
        <v>2017074</v>
      </c>
      <c r="G1084" t="str">
        <f>"TRANSPORT-J.N. OTT"</f>
        <v>TRANSPORT-J.N. OTT</v>
      </c>
      <c r="H1084" s="2">
        <v>535</v>
      </c>
      <c r="I1084" t="str">
        <f>"TRANSPORT-J.N. OTT"</f>
        <v>TRANSPORT-J.N. OTT</v>
      </c>
    </row>
    <row r="1085" spans="1:9" x14ac:dyDescent="0.3">
      <c r="A1085" t="str">
        <f>"004709"</f>
        <v>004709</v>
      </c>
      <c r="B1085" t="s">
        <v>356</v>
      </c>
      <c r="C1085">
        <v>72575</v>
      </c>
      <c r="D1085" s="2">
        <v>325</v>
      </c>
      <c r="E1085" s="1">
        <v>42989</v>
      </c>
      <c r="F1085" t="str">
        <f>"TRAINING-C.BROWN"</f>
        <v>TRAINING-C.BROWN</v>
      </c>
      <c r="G1085" t="str">
        <f>"TRAINING"</f>
        <v>TRAINING</v>
      </c>
      <c r="H1085" s="2">
        <v>325</v>
      </c>
      <c r="I1085" t="str">
        <f>"TRAINING"</f>
        <v>TRAINING</v>
      </c>
    </row>
    <row r="1086" spans="1:9" x14ac:dyDescent="0.3">
      <c r="A1086" t="str">
        <f>"004709"</f>
        <v>004709</v>
      </c>
      <c r="B1086" t="s">
        <v>356</v>
      </c>
      <c r="C1086">
        <v>72797</v>
      </c>
      <c r="D1086" s="2">
        <v>325</v>
      </c>
      <c r="E1086" s="1">
        <v>43003</v>
      </c>
      <c r="F1086" t="str">
        <f>"221551"</f>
        <v>221551</v>
      </c>
      <c r="G1086" t="str">
        <f>"INV 221551"</f>
        <v>INV 221551</v>
      </c>
      <c r="H1086" s="2">
        <v>325</v>
      </c>
      <c r="I1086" t="str">
        <f>"INV 221551"</f>
        <v>INV 221551</v>
      </c>
    </row>
    <row r="1087" spans="1:9" x14ac:dyDescent="0.3">
      <c r="A1087" t="str">
        <f>"001263"</f>
        <v>001263</v>
      </c>
      <c r="B1087" t="s">
        <v>357</v>
      </c>
      <c r="C1087">
        <v>72576</v>
      </c>
      <c r="D1087" s="2">
        <v>305</v>
      </c>
      <c r="E1087" s="1">
        <v>42989</v>
      </c>
      <c r="F1087" t="str">
        <f>"11790"</f>
        <v>11790</v>
      </c>
      <c r="G1087" t="str">
        <f>"Yearly Inspection"</f>
        <v>Yearly Inspection</v>
      </c>
      <c r="H1087" s="2">
        <v>305</v>
      </c>
      <c r="I1087" t="str">
        <f>"Fee"</f>
        <v>Fee</v>
      </c>
    </row>
    <row r="1088" spans="1:9" x14ac:dyDescent="0.3">
      <c r="A1088" t="str">
        <f>"T11156"</f>
        <v>T11156</v>
      </c>
      <c r="B1088" t="s">
        <v>358</v>
      </c>
      <c r="C1088">
        <v>72577</v>
      </c>
      <c r="D1088" s="2">
        <v>73.47</v>
      </c>
      <c r="E1088" s="1">
        <v>42989</v>
      </c>
      <c r="F1088" t="str">
        <f>"201709064622"</f>
        <v>201709064622</v>
      </c>
      <c r="G1088" t="str">
        <f>"INDIGENT HEALTH"</f>
        <v>INDIGENT HEALTH</v>
      </c>
      <c r="H1088" s="2">
        <v>73.47</v>
      </c>
      <c r="I1088" t="str">
        <f>"INDIGENT HEALTH"</f>
        <v>INDIGENT HEALTH</v>
      </c>
    </row>
    <row r="1089" spans="1:9" x14ac:dyDescent="0.3">
      <c r="A1089" t="str">
        <f>""</f>
        <v/>
      </c>
      <c r="F1089" t="str">
        <f>""</f>
        <v/>
      </c>
      <c r="G1089" t="str">
        <f>""</f>
        <v/>
      </c>
      <c r="I1089" t="str">
        <f>"INDIGENT HEALTH"</f>
        <v>INDIGENT HEALTH</v>
      </c>
    </row>
    <row r="1090" spans="1:9" x14ac:dyDescent="0.3">
      <c r="A1090" t="str">
        <f>"T11156"</f>
        <v>T11156</v>
      </c>
      <c r="B1090" t="s">
        <v>358</v>
      </c>
      <c r="C1090">
        <v>72798</v>
      </c>
      <c r="D1090" s="2">
        <v>116.92</v>
      </c>
      <c r="E1090" s="1">
        <v>43003</v>
      </c>
      <c r="F1090" t="str">
        <f>"201709194989"</f>
        <v>201709194989</v>
      </c>
      <c r="G1090" t="str">
        <f>"INDIGENT HEALTH"</f>
        <v>INDIGENT HEALTH</v>
      </c>
      <c r="H1090" s="2">
        <v>116.92</v>
      </c>
      <c r="I1090" t="str">
        <f>"INDIGENT HEALTH"</f>
        <v>INDIGENT HEALTH</v>
      </c>
    </row>
    <row r="1091" spans="1:9" x14ac:dyDescent="0.3">
      <c r="A1091" t="str">
        <f>"T3233"</f>
        <v>T3233</v>
      </c>
      <c r="B1091" t="s">
        <v>359</v>
      </c>
      <c r="C1091">
        <v>72578</v>
      </c>
      <c r="D1091" s="2">
        <v>189.97</v>
      </c>
      <c r="E1091" s="1">
        <v>42989</v>
      </c>
      <c r="F1091" t="str">
        <f>"105784456"</f>
        <v>105784456</v>
      </c>
      <c r="G1091" t="str">
        <f>"ACCT#C6796564/OFFICE SUPPLIES"</f>
        <v>ACCT#C6796564/OFFICE SUPPLIES</v>
      </c>
      <c r="H1091" s="2">
        <v>189.97</v>
      </c>
      <c r="I1091" t="str">
        <f>"ACCT#C6796564/OFFICE SUPPLIES"</f>
        <v>ACCT#C6796564/OFFICE SUPPLIES</v>
      </c>
    </row>
    <row r="1092" spans="1:9" x14ac:dyDescent="0.3">
      <c r="A1092" t="str">
        <f>"T3233"</f>
        <v>T3233</v>
      </c>
      <c r="B1092" t="s">
        <v>359</v>
      </c>
      <c r="C1092">
        <v>72799</v>
      </c>
      <c r="D1092" s="2">
        <v>1315.73</v>
      </c>
      <c r="E1092" s="1">
        <v>43003</v>
      </c>
      <c r="F1092" t="str">
        <f>"9780688/9782565"</f>
        <v>9780688/9782565</v>
      </c>
      <c r="G1092" t="str">
        <f>"Acct# C6796564"</f>
        <v>Acct# C6796564</v>
      </c>
      <c r="H1092" s="2">
        <v>184.01</v>
      </c>
      <c r="I1092" t="str">
        <f>"Inv# 9780688"</f>
        <v>Inv# 9780688</v>
      </c>
    </row>
    <row r="1093" spans="1:9" x14ac:dyDescent="0.3">
      <c r="A1093" t="str">
        <f>""</f>
        <v/>
      </c>
      <c r="F1093" t="str">
        <f>""</f>
        <v/>
      </c>
      <c r="G1093" t="str">
        <f>""</f>
        <v/>
      </c>
      <c r="I1093" t="str">
        <f>"Inv# 9782565"</f>
        <v>Inv# 9782565</v>
      </c>
    </row>
    <row r="1094" spans="1:9" x14ac:dyDescent="0.3">
      <c r="A1094" t="str">
        <f>""</f>
        <v/>
      </c>
      <c r="F1094" t="str">
        <f>"MULTIPLE INV#'S"</f>
        <v>MULTIPLE INV#'S</v>
      </c>
      <c r="G1094" t="str">
        <f>"Acct# 6853458"</f>
        <v>Acct# 6853458</v>
      </c>
      <c r="H1094" s="2">
        <v>1131.72</v>
      </c>
      <c r="I1094" t="str">
        <f>"Inv# 9314058"</f>
        <v>Inv# 9314058</v>
      </c>
    </row>
    <row r="1095" spans="1:9" x14ac:dyDescent="0.3">
      <c r="A1095" t="str">
        <f>""</f>
        <v/>
      </c>
      <c r="F1095" t="str">
        <f>""</f>
        <v/>
      </c>
      <c r="G1095" t="str">
        <f>""</f>
        <v/>
      </c>
      <c r="I1095" t="str">
        <f>"Inv# 9314059"</f>
        <v>Inv# 9314059</v>
      </c>
    </row>
    <row r="1096" spans="1:9" x14ac:dyDescent="0.3">
      <c r="A1096" t="str">
        <f>""</f>
        <v/>
      </c>
      <c r="F1096" t="str">
        <f>""</f>
        <v/>
      </c>
      <c r="G1096" t="str">
        <f>""</f>
        <v/>
      </c>
      <c r="I1096" t="str">
        <f>"Inv# 9314025"</f>
        <v>Inv# 9314025</v>
      </c>
    </row>
    <row r="1097" spans="1:9" x14ac:dyDescent="0.3">
      <c r="A1097" t="str">
        <f>""</f>
        <v/>
      </c>
      <c r="F1097" t="str">
        <f>""</f>
        <v/>
      </c>
      <c r="G1097" t="str">
        <f>""</f>
        <v/>
      </c>
      <c r="I1097" t="str">
        <f>"Inv# 9314026"</f>
        <v>Inv# 9314026</v>
      </c>
    </row>
    <row r="1098" spans="1:9" x14ac:dyDescent="0.3">
      <c r="A1098" t="str">
        <f>""</f>
        <v/>
      </c>
      <c r="F1098" t="str">
        <f>""</f>
        <v/>
      </c>
      <c r="G1098" t="str">
        <f>""</f>
        <v/>
      </c>
      <c r="I1098" t="str">
        <f>"Inv# 9314027"</f>
        <v>Inv# 9314027</v>
      </c>
    </row>
    <row r="1099" spans="1:9" x14ac:dyDescent="0.3">
      <c r="A1099" t="str">
        <f>""</f>
        <v/>
      </c>
      <c r="F1099" t="str">
        <f>""</f>
        <v/>
      </c>
      <c r="G1099" t="str">
        <f>""</f>
        <v/>
      </c>
      <c r="I1099" t="str">
        <f>"Inv# 9314033"</f>
        <v>Inv# 9314033</v>
      </c>
    </row>
    <row r="1100" spans="1:9" x14ac:dyDescent="0.3">
      <c r="A1100" t="str">
        <f>""</f>
        <v/>
      </c>
      <c r="F1100" t="str">
        <f>""</f>
        <v/>
      </c>
      <c r="G1100" t="str">
        <f>""</f>
        <v/>
      </c>
      <c r="I1100" t="str">
        <f>"Inv# 9314036"</f>
        <v>Inv# 9314036</v>
      </c>
    </row>
    <row r="1101" spans="1:9" x14ac:dyDescent="0.3">
      <c r="A1101" t="str">
        <f>""</f>
        <v/>
      </c>
      <c r="F1101" t="str">
        <f>""</f>
        <v/>
      </c>
      <c r="G1101" t="str">
        <f>""</f>
        <v/>
      </c>
      <c r="I1101" t="str">
        <f>"Inv# 9314030"</f>
        <v>Inv# 9314030</v>
      </c>
    </row>
    <row r="1102" spans="1:9" x14ac:dyDescent="0.3">
      <c r="A1102" t="str">
        <f>""</f>
        <v/>
      </c>
      <c r="F1102" t="str">
        <f>""</f>
        <v/>
      </c>
      <c r="G1102" t="str">
        <f>""</f>
        <v/>
      </c>
      <c r="I1102" t="str">
        <f>"Inv# 9314037"</f>
        <v>Inv# 9314037</v>
      </c>
    </row>
    <row r="1103" spans="1:9" x14ac:dyDescent="0.3">
      <c r="A1103" t="str">
        <f>""</f>
        <v/>
      </c>
      <c r="F1103" t="str">
        <f>""</f>
        <v/>
      </c>
      <c r="G1103" t="str">
        <f>""</f>
        <v/>
      </c>
      <c r="I1103" t="str">
        <f>"Inv# 9314035"</f>
        <v>Inv# 9314035</v>
      </c>
    </row>
    <row r="1104" spans="1:9" x14ac:dyDescent="0.3">
      <c r="A1104" t="str">
        <f>""</f>
        <v/>
      </c>
      <c r="F1104" t="str">
        <f>""</f>
        <v/>
      </c>
      <c r="G1104" t="str">
        <f>""</f>
        <v/>
      </c>
      <c r="I1104" t="str">
        <f>"Inv# 9314034"</f>
        <v>Inv# 9314034</v>
      </c>
    </row>
    <row r="1105" spans="1:9" x14ac:dyDescent="0.3">
      <c r="A1105" t="str">
        <f>""</f>
        <v/>
      </c>
      <c r="F1105" t="str">
        <f>""</f>
        <v/>
      </c>
      <c r="G1105" t="str">
        <f>""</f>
        <v/>
      </c>
      <c r="I1105" t="str">
        <f>"Inv# 9314032"</f>
        <v>Inv# 9314032</v>
      </c>
    </row>
    <row r="1106" spans="1:9" x14ac:dyDescent="0.3">
      <c r="A1106" t="str">
        <f>""</f>
        <v/>
      </c>
      <c r="F1106" t="str">
        <f>""</f>
        <v/>
      </c>
      <c r="G1106" t="str">
        <f>""</f>
        <v/>
      </c>
      <c r="I1106" t="str">
        <f>"Inv# 9314031"</f>
        <v>Inv# 9314031</v>
      </c>
    </row>
    <row r="1107" spans="1:9" x14ac:dyDescent="0.3">
      <c r="A1107" t="str">
        <f>""</f>
        <v/>
      </c>
      <c r="F1107" t="str">
        <f>""</f>
        <v/>
      </c>
      <c r="G1107" t="str">
        <f>""</f>
        <v/>
      </c>
      <c r="I1107" t="str">
        <f>"Inv# 9314029"</f>
        <v>Inv# 9314029</v>
      </c>
    </row>
    <row r="1108" spans="1:9" x14ac:dyDescent="0.3">
      <c r="A1108" t="str">
        <f>""</f>
        <v/>
      </c>
      <c r="F1108" t="str">
        <f>""</f>
        <v/>
      </c>
      <c r="G1108" t="str">
        <f>""</f>
        <v/>
      </c>
      <c r="I1108" t="str">
        <f>"Inv# 9314028"</f>
        <v>Inv# 9314028</v>
      </c>
    </row>
    <row r="1109" spans="1:9" x14ac:dyDescent="0.3">
      <c r="A1109" t="str">
        <f>"T7235"</f>
        <v>T7235</v>
      </c>
      <c r="B1109" t="s">
        <v>360</v>
      </c>
      <c r="C1109">
        <v>72800</v>
      </c>
      <c r="D1109" s="2">
        <v>740</v>
      </c>
      <c r="E1109" s="1">
        <v>43003</v>
      </c>
      <c r="F1109" t="str">
        <f>"29911"</f>
        <v>29911</v>
      </c>
      <c r="G1109" t="str">
        <f>"RAY'S CRANE SERVICE INC"</f>
        <v>RAY'S CRANE SERVICE INC</v>
      </c>
      <c r="H1109" s="2">
        <v>740</v>
      </c>
      <c r="I1109" t="str">
        <f>"35T Crane"</f>
        <v>35T Crane</v>
      </c>
    </row>
    <row r="1110" spans="1:9" x14ac:dyDescent="0.3">
      <c r="A1110" t="str">
        <f>""</f>
        <v/>
      </c>
      <c r="F1110" t="str">
        <f>""</f>
        <v/>
      </c>
      <c r="G1110" t="str">
        <f>""</f>
        <v/>
      </c>
      <c r="I1110" t="str">
        <f>"Rigger"</f>
        <v>Rigger</v>
      </c>
    </row>
    <row r="1111" spans="1:9" x14ac:dyDescent="0.3">
      <c r="A1111" t="str">
        <f>"T5804"</f>
        <v>T5804</v>
      </c>
      <c r="B1111" t="s">
        <v>361</v>
      </c>
      <c r="C1111">
        <v>72801</v>
      </c>
      <c r="D1111" s="2">
        <v>100</v>
      </c>
      <c r="E1111" s="1">
        <v>43003</v>
      </c>
      <c r="F1111" t="str">
        <f>"E30612"</f>
        <v>E30612</v>
      </c>
      <c r="G1111" t="str">
        <f>"ACCT#7205008/PCT#1"</f>
        <v>ACCT#7205008/PCT#1</v>
      </c>
      <c r="H1111" s="2">
        <v>100</v>
      </c>
      <c r="I1111" t="str">
        <f>"ACCT#7205008/PCT#1"</f>
        <v>ACCT#7205008/PCT#1</v>
      </c>
    </row>
    <row r="1112" spans="1:9" x14ac:dyDescent="0.3">
      <c r="A1112" t="str">
        <f>"000591"</f>
        <v>000591</v>
      </c>
      <c r="B1112" t="s">
        <v>362</v>
      </c>
      <c r="C1112">
        <v>72579</v>
      </c>
      <c r="D1112" s="2">
        <v>162.68</v>
      </c>
      <c r="E1112" s="1">
        <v>42989</v>
      </c>
      <c r="F1112" t="str">
        <f>"07H0121569859"</f>
        <v>07H0121569859</v>
      </c>
      <c r="G1112" t="str">
        <f>"ACCT#0121569859/JP#4"</f>
        <v>ACCT#0121569859/JP#4</v>
      </c>
      <c r="H1112" s="2">
        <v>45.86</v>
      </c>
      <c r="I1112" t="str">
        <f>"ACCT#0121569859/JP#4"</f>
        <v>ACCT#0121569859/JP#4</v>
      </c>
    </row>
    <row r="1113" spans="1:9" x14ac:dyDescent="0.3">
      <c r="A1113" t="str">
        <f>""</f>
        <v/>
      </c>
      <c r="F1113" t="str">
        <f>"07H0121587851"</f>
        <v>07H0121587851</v>
      </c>
      <c r="G1113" t="str">
        <f>"ACCT#0121587851/PCT#4"</f>
        <v>ACCT#0121587851/PCT#4</v>
      </c>
      <c r="H1113" s="2">
        <v>116.82</v>
      </c>
      <c r="I1113" t="str">
        <f>"ACCT#0121587851/PCT#4"</f>
        <v>ACCT#0121587851/PCT#4</v>
      </c>
    </row>
    <row r="1114" spans="1:9" x14ac:dyDescent="0.3">
      <c r="A1114" t="str">
        <f>"T14113"</f>
        <v>T14113</v>
      </c>
      <c r="B1114" t="s">
        <v>363</v>
      </c>
      <c r="C1114">
        <v>72580</v>
      </c>
      <c r="D1114" s="2">
        <v>35.01</v>
      </c>
      <c r="E1114" s="1">
        <v>42989</v>
      </c>
      <c r="F1114" t="str">
        <f>"233353"</f>
        <v>233353</v>
      </c>
      <c r="G1114" t="str">
        <f>"GAS/PCT#3"</f>
        <v>GAS/PCT#3</v>
      </c>
      <c r="H1114" s="2">
        <v>35.01</v>
      </c>
      <c r="I1114" t="str">
        <f>"GAS/PCT#3"</f>
        <v>GAS/PCT#3</v>
      </c>
    </row>
    <row r="1115" spans="1:9" x14ac:dyDescent="0.3">
      <c r="A1115" t="str">
        <f>"T14113"</f>
        <v>T14113</v>
      </c>
      <c r="B1115" t="s">
        <v>363</v>
      </c>
      <c r="C1115">
        <v>72802</v>
      </c>
      <c r="D1115" s="2">
        <v>47.26</v>
      </c>
      <c r="E1115" s="1">
        <v>43003</v>
      </c>
      <c r="F1115" t="str">
        <f>"0794-39"</f>
        <v>0794-39</v>
      </c>
      <c r="G1115" t="str">
        <f>"SODA/WATER/GAS/PCT#3"</f>
        <v>SODA/WATER/GAS/PCT#3</v>
      </c>
      <c r="H1115" s="2">
        <v>47.26</v>
      </c>
      <c r="I1115" t="str">
        <f>"SODA/WATER/GAS/PCT#3"</f>
        <v>SODA/WATER/GAS/PCT#3</v>
      </c>
    </row>
    <row r="1116" spans="1:9" x14ac:dyDescent="0.3">
      <c r="A1116" t="str">
        <f>"003737"</f>
        <v>003737</v>
      </c>
      <c r="B1116" t="s">
        <v>364</v>
      </c>
      <c r="C1116">
        <v>72581</v>
      </c>
      <c r="D1116" s="2">
        <v>280.74</v>
      </c>
      <c r="E1116" s="1">
        <v>42989</v>
      </c>
      <c r="F1116" t="str">
        <f>"0843-001369788"</f>
        <v>0843-001369788</v>
      </c>
      <c r="G1116" t="str">
        <f>"WASTE CONTAINER/ANIMAL SVCS"</f>
        <v>WASTE CONTAINER/ANIMAL SVCS</v>
      </c>
      <c r="H1116" s="2">
        <v>280.74</v>
      </c>
      <c r="I1116" t="str">
        <f>"WASTE CONTAINER/ANIMAL SVCS"</f>
        <v>WASTE CONTAINER/ANIMAL SVCS</v>
      </c>
    </row>
    <row r="1117" spans="1:9" x14ac:dyDescent="0.3">
      <c r="A1117" t="str">
        <f>"003737"</f>
        <v>003737</v>
      </c>
      <c r="B1117" t="s">
        <v>364</v>
      </c>
      <c r="C1117">
        <v>72641</v>
      </c>
      <c r="D1117" s="2">
        <v>2578.1</v>
      </c>
      <c r="E1117" s="1">
        <v>42993</v>
      </c>
      <c r="F1117" t="str">
        <f>"0843-001371055"</f>
        <v>0843-001371055</v>
      </c>
      <c r="G1117" t="str">
        <f>"ACCT #3-0843-0017094 / 083117"</f>
        <v>ACCT #3-0843-0017094 / 083117</v>
      </c>
      <c r="H1117" s="2">
        <v>1961.28</v>
      </c>
      <c r="I1117" t="str">
        <f>"ACCT #3-0843-0017094 / 083117"</f>
        <v>ACCT #3-0843-0017094 / 083117</v>
      </c>
    </row>
    <row r="1118" spans="1:9" x14ac:dyDescent="0.3">
      <c r="A1118" t="str">
        <f>""</f>
        <v/>
      </c>
      <c r="F1118" t="str">
        <f>"0843-001371738"</f>
        <v>0843-001371738</v>
      </c>
      <c r="G1118" t="str">
        <f>"ACCT #3-0843-0041813 / 083117"</f>
        <v>ACCT #3-0843-0041813 / 083117</v>
      </c>
      <c r="H1118" s="2">
        <v>616.82000000000005</v>
      </c>
      <c r="I1118" t="str">
        <f>"ACCT #3-0843-0041813 / 083117"</f>
        <v>ACCT #3-0843-0041813 / 083117</v>
      </c>
    </row>
    <row r="1119" spans="1:9" x14ac:dyDescent="0.3">
      <c r="A1119" t="str">
        <f>"RESERV"</f>
        <v>RESERV</v>
      </c>
      <c r="B1119" t="s">
        <v>365</v>
      </c>
      <c r="C1119">
        <v>72582</v>
      </c>
      <c r="D1119" s="2">
        <v>3000.42</v>
      </c>
      <c r="E1119" s="1">
        <v>42989</v>
      </c>
      <c r="F1119" t="str">
        <f>"201709064568"</f>
        <v>201709064568</v>
      </c>
      <c r="G1119" t="str">
        <f>"ACCT#34549337/POSTAGE"</f>
        <v>ACCT#34549337/POSTAGE</v>
      </c>
      <c r="H1119" s="2">
        <v>3000.42</v>
      </c>
      <c r="I1119" t="str">
        <f>"ACCT#34549337/POSTAGE"</f>
        <v>ACCT#34549337/POSTAGE</v>
      </c>
    </row>
    <row r="1120" spans="1:9" x14ac:dyDescent="0.3">
      <c r="A1120" t="str">
        <f>"RESERV"</f>
        <v>RESERV</v>
      </c>
      <c r="B1120" t="s">
        <v>365</v>
      </c>
      <c r="C1120">
        <v>72803</v>
      </c>
      <c r="D1120" s="2">
        <v>6000</v>
      </c>
      <c r="E1120" s="1">
        <v>43003</v>
      </c>
      <c r="F1120" t="str">
        <f>"201709144885"</f>
        <v>201709144885</v>
      </c>
      <c r="G1120" t="str">
        <f>"ACCT#34549337"</f>
        <v>ACCT#34549337</v>
      </c>
      <c r="H1120" s="2">
        <v>6000</v>
      </c>
      <c r="I1120" t="str">
        <f>"ACCT#34549337"</f>
        <v>ACCT#34549337</v>
      </c>
    </row>
    <row r="1121" spans="1:9" x14ac:dyDescent="0.3">
      <c r="A1121" t="str">
        <f>"T11385"</f>
        <v>T11385</v>
      </c>
      <c r="B1121" t="s">
        <v>366</v>
      </c>
      <c r="C1121">
        <v>72583</v>
      </c>
      <c r="D1121" s="2">
        <v>750</v>
      </c>
      <c r="E1121" s="1">
        <v>42989</v>
      </c>
      <c r="F1121" t="str">
        <f>"201709064654"</f>
        <v>201709064654</v>
      </c>
      <c r="G1121" t="str">
        <f>"402247-3  55 170"</f>
        <v>402247-3  55 170</v>
      </c>
      <c r="H1121" s="2">
        <v>250</v>
      </c>
      <c r="I1121" t="str">
        <f>"402247-3  55 170"</f>
        <v>402247-3  55 170</v>
      </c>
    </row>
    <row r="1122" spans="1:9" x14ac:dyDescent="0.3">
      <c r="A1122" t="str">
        <f>""</f>
        <v/>
      </c>
      <c r="F1122" t="str">
        <f>"201709064655"</f>
        <v>201709064655</v>
      </c>
      <c r="G1122" t="str">
        <f>"302152017E  55 215"</f>
        <v>302152017E  55 215</v>
      </c>
      <c r="H1122" s="2">
        <v>250</v>
      </c>
      <c r="I1122" t="str">
        <f>"302152017E  55 215"</f>
        <v>302152017E  55 215</v>
      </c>
    </row>
    <row r="1123" spans="1:9" x14ac:dyDescent="0.3">
      <c r="A1123" t="str">
        <f>""</f>
        <v/>
      </c>
      <c r="F1123" t="str">
        <f>"201709064656"</f>
        <v>201709064656</v>
      </c>
      <c r="G1123" t="str">
        <f>"CH-20170124B  55 172"</f>
        <v>CH-20170124B  55 172</v>
      </c>
      <c r="H1123" s="2">
        <v>250</v>
      </c>
      <c r="I1123" t="str">
        <f>"CH-20170124B  55 172"</f>
        <v>CH-20170124B  55 172</v>
      </c>
    </row>
    <row r="1124" spans="1:9" x14ac:dyDescent="0.3">
      <c r="A1124" t="str">
        <f>"T10310"</f>
        <v>T10310</v>
      </c>
      <c r="B1124" t="s">
        <v>367</v>
      </c>
      <c r="C1124">
        <v>72584</v>
      </c>
      <c r="D1124" s="2">
        <v>115.12</v>
      </c>
      <c r="E1124" s="1">
        <v>42989</v>
      </c>
      <c r="F1124" t="str">
        <f>"75053"</f>
        <v>75053</v>
      </c>
      <c r="G1124" t="str">
        <f>"ACCT#3510/PCT#4"</f>
        <v>ACCT#3510/PCT#4</v>
      </c>
      <c r="H1124" s="2">
        <v>115.12</v>
      </c>
      <c r="I1124" t="str">
        <f>"ACCT#3510/PCT#4"</f>
        <v>ACCT#3510/PCT#4</v>
      </c>
    </row>
    <row r="1125" spans="1:9" x14ac:dyDescent="0.3">
      <c r="A1125" t="str">
        <f>"T10310"</f>
        <v>T10310</v>
      </c>
      <c r="B1125" t="s">
        <v>367</v>
      </c>
      <c r="C1125">
        <v>72804</v>
      </c>
      <c r="D1125" s="2">
        <v>42.12</v>
      </c>
      <c r="E1125" s="1">
        <v>43003</v>
      </c>
      <c r="F1125" t="str">
        <f>"75789"</f>
        <v>75789</v>
      </c>
      <c r="G1125" t="str">
        <f>"ACCT#3510/PCT#4"</f>
        <v>ACCT#3510/PCT#4</v>
      </c>
      <c r="H1125" s="2">
        <v>42.12</v>
      </c>
      <c r="I1125" t="str">
        <f>"ACCT#3510/PCT#4"</f>
        <v>ACCT#3510/PCT#4</v>
      </c>
    </row>
    <row r="1126" spans="1:9" x14ac:dyDescent="0.3">
      <c r="A1126" t="str">
        <f>"002590"</f>
        <v>002590</v>
      </c>
      <c r="B1126" t="s">
        <v>368</v>
      </c>
      <c r="C1126">
        <v>72805</v>
      </c>
      <c r="D1126" s="2">
        <v>4.4000000000000004</v>
      </c>
      <c r="E1126" s="1">
        <v>43003</v>
      </c>
      <c r="F1126" t="str">
        <f>"99368375"</f>
        <v>99368375</v>
      </c>
      <c r="G1126" t="str">
        <f>"ACCT#1437799-378856/SHERIFF"</f>
        <v>ACCT#1437799-378856/SHERIFF</v>
      </c>
      <c r="H1126" s="2">
        <v>4.4000000000000004</v>
      </c>
      <c r="I1126" t="str">
        <f>"ACCT#1437799-378856/SHERIFF"</f>
        <v>ACCT#1437799-378856/SHERIFF</v>
      </c>
    </row>
    <row r="1127" spans="1:9" x14ac:dyDescent="0.3">
      <c r="A1127" t="str">
        <f>"001322"</f>
        <v>001322</v>
      </c>
      <c r="B1127" t="s">
        <v>369</v>
      </c>
      <c r="C1127">
        <v>72585</v>
      </c>
      <c r="D1127" s="2">
        <v>1736.63</v>
      </c>
      <c r="E1127" s="1">
        <v>42989</v>
      </c>
      <c r="F1127" t="str">
        <f>"5049955799"</f>
        <v>5049955799</v>
      </c>
      <c r="G1127" t="str">
        <f>"CUST#12847097"</f>
        <v>CUST#12847097</v>
      </c>
      <c r="H1127" s="2">
        <v>1635.9</v>
      </c>
      <c r="I1127" t="str">
        <f t="shared" ref="I1127:I1144" si="10">"CUST#12847097"</f>
        <v>CUST#12847097</v>
      </c>
    </row>
    <row r="1128" spans="1:9" x14ac:dyDescent="0.3">
      <c r="A1128" t="str">
        <f>""</f>
        <v/>
      </c>
      <c r="F1128" t="str">
        <f>""</f>
        <v/>
      </c>
      <c r="G1128" t="str">
        <f>""</f>
        <v/>
      </c>
      <c r="I1128" t="str">
        <f t="shared" si="10"/>
        <v>CUST#12847097</v>
      </c>
    </row>
    <row r="1129" spans="1:9" x14ac:dyDescent="0.3">
      <c r="A1129" t="str">
        <f>""</f>
        <v/>
      </c>
      <c r="F1129" t="str">
        <f>""</f>
        <v/>
      </c>
      <c r="G1129" t="str">
        <f>""</f>
        <v/>
      </c>
      <c r="I1129" t="str">
        <f t="shared" si="10"/>
        <v>CUST#12847097</v>
      </c>
    </row>
    <row r="1130" spans="1:9" x14ac:dyDescent="0.3">
      <c r="A1130" t="str">
        <f>""</f>
        <v/>
      </c>
      <c r="F1130" t="str">
        <f>""</f>
        <v/>
      </c>
      <c r="G1130" t="str">
        <f>""</f>
        <v/>
      </c>
      <c r="I1130" t="str">
        <f t="shared" si="10"/>
        <v>CUST#12847097</v>
      </c>
    </row>
    <row r="1131" spans="1:9" x14ac:dyDescent="0.3">
      <c r="A1131" t="str">
        <f>""</f>
        <v/>
      </c>
      <c r="F1131" t="str">
        <f>""</f>
        <v/>
      </c>
      <c r="G1131" t="str">
        <f>""</f>
        <v/>
      </c>
      <c r="I1131" t="str">
        <f t="shared" si="10"/>
        <v>CUST#12847097</v>
      </c>
    </row>
    <row r="1132" spans="1:9" x14ac:dyDescent="0.3">
      <c r="A1132" t="str">
        <f>""</f>
        <v/>
      </c>
      <c r="F1132" t="str">
        <f>""</f>
        <v/>
      </c>
      <c r="G1132" t="str">
        <f>""</f>
        <v/>
      </c>
      <c r="I1132" t="str">
        <f t="shared" si="10"/>
        <v>CUST#12847097</v>
      </c>
    </row>
    <row r="1133" spans="1:9" x14ac:dyDescent="0.3">
      <c r="A1133" t="str">
        <f>""</f>
        <v/>
      </c>
      <c r="F1133" t="str">
        <f>""</f>
        <v/>
      </c>
      <c r="G1133" t="str">
        <f>""</f>
        <v/>
      </c>
      <c r="I1133" t="str">
        <f t="shared" si="10"/>
        <v>CUST#12847097</v>
      </c>
    </row>
    <row r="1134" spans="1:9" x14ac:dyDescent="0.3">
      <c r="A1134" t="str">
        <f>""</f>
        <v/>
      </c>
      <c r="F1134" t="str">
        <f>""</f>
        <v/>
      </c>
      <c r="G1134" t="str">
        <f>""</f>
        <v/>
      </c>
      <c r="I1134" t="str">
        <f t="shared" si="10"/>
        <v>CUST#12847097</v>
      </c>
    </row>
    <row r="1135" spans="1:9" x14ac:dyDescent="0.3">
      <c r="A1135" t="str">
        <f>""</f>
        <v/>
      </c>
      <c r="F1135" t="str">
        <f>""</f>
        <v/>
      </c>
      <c r="G1135" t="str">
        <f>""</f>
        <v/>
      </c>
      <c r="I1135" t="str">
        <f t="shared" si="10"/>
        <v>CUST#12847097</v>
      </c>
    </row>
    <row r="1136" spans="1:9" x14ac:dyDescent="0.3">
      <c r="A1136" t="str">
        <f>""</f>
        <v/>
      </c>
      <c r="F1136" t="str">
        <f>""</f>
        <v/>
      </c>
      <c r="G1136" t="str">
        <f>""</f>
        <v/>
      </c>
      <c r="I1136" t="str">
        <f t="shared" si="10"/>
        <v>CUST#12847097</v>
      </c>
    </row>
    <row r="1137" spans="1:9" x14ac:dyDescent="0.3">
      <c r="A1137" t="str">
        <f>""</f>
        <v/>
      </c>
      <c r="F1137" t="str">
        <f>""</f>
        <v/>
      </c>
      <c r="G1137" t="str">
        <f>""</f>
        <v/>
      </c>
      <c r="I1137" t="str">
        <f t="shared" si="10"/>
        <v>CUST#12847097</v>
      </c>
    </row>
    <row r="1138" spans="1:9" x14ac:dyDescent="0.3">
      <c r="A1138" t="str">
        <f>""</f>
        <v/>
      </c>
      <c r="F1138" t="str">
        <f>""</f>
        <v/>
      </c>
      <c r="G1138" t="str">
        <f>""</f>
        <v/>
      </c>
      <c r="I1138" t="str">
        <f t="shared" si="10"/>
        <v>CUST#12847097</v>
      </c>
    </row>
    <row r="1139" spans="1:9" x14ac:dyDescent="0.3">
      <c r="A1139" t="str">
        <f>""</f>
        <v/>
      </c>
      <c r="F1139" t="str">
        <f>""</f>
        <v/>
      </c>
      <c r="G1139" t="str">
        <f>""</f>
        <v/>
      </c>
      <c r="I1139" t="str">
        <f t="shared" si="10"/>
        <v>CUST#12847097</v>
      </c>
    </row>
    <row r="1140" spans="1:9" x14ac:dyDescent="0.3">
      <c r="A1140" t="str">
        <f>""</f>
        <v/>
      </c>
      <c r="F1140" t="str">
        <f>""</f>
        <v/>
      </c>
      <c r="G1140" t="str">
        <f>""</f>
        <v/>
      </c>
      <c r="I1140" t="str">
        <f t="shared" si="10"/>
        <v>CUST#12847097</v>
      </c>
    </row>
    <row r="1141" spans="1:9" x14ac:dyDescent="0.3">
      <c r="A1141" t="str">
        <f>""</f>
        <v/>
      </c>
      <c r="F1141" t="str">
        <f>""</f>
        <v/>
      </c>
      <c r="G1141" t="str">
        <f>""</f>
        <v/>
      </c>
      <c r="I1141" t="str">
        <f t="shared" si="10"/>
        <v>CUST#12847097</v>
      </c>
    </row>
    <row r="1142" spans="1:9" x14ac:dyDescent="0.3">
      <c r="A1142" t="str">
        <f>""</f>
        <v/>
      </c>
      <c r="F1142" t="str">
        <f>""</f>
        <v/>
      </c>
      <c r="G1142" t="str">
        <f>""</f>
        <v/>
      </c>
      <c r="I1142" t="str">
        <f t="shared" si="10"/>
        <v>CUST#12847097</v>
      </c>
    </row>
    <row r="1143" spans="1:9" x14ac:dyDescent="0.3">
      <c r="A1143" t="str">
        <f>""</f>
        <v/>
      </c>
      <c r="F1143" t="str">
        <f>""</f>
        <v/>
      </c>
      <c r="G1143" t="str">
        <f>""</f>
        <v/>
      </c>
      <c r="I1143" t="str">
        <f t="shared" si="10"/>
        <v>CUST#12847097</v>
      </c>
    </row>
    <row r="1144" spans="1:9" x14ac:dyDescent="0.3">
      <c r="A1144" t="str">
        <f>""</f>
        <v/>
      </c>
      <c r="F1144" t="str">
        <f>""</f>
        <v/>
      </c>
      <c r="G1144" t="str">
        <f>""</f>
        <v/>
      </c>
      <c r="I1144" t="str">
        <f t="shared" si="10"/>
        <v>CUST#12847097</v>
      </c>
    </row>
    <row r="1145" spans="1:9" x14ac:dyDescent="0.3">
      <c r="A1145" t="str">
        <f>""</f>
        <v/>
      </c>
      <c r="F1145" t="str">
        <f>"5049975913"</f>
        <v>5049975913</v>
      </c>
      <c r="G1145" t="str">
        <f>"CUST#5049975913/CONT#4457471"</f>
        <v>CUST#5049975913/CONT#4457471</v>
      </c>
      <c r="H1145" s="2">
        <v>100.73</v>
      </c>
      <c r="I1145" t="str">
        <f>"CUST#5049975913/CONT#4457471"</f>
        <v>CUST#5049975913/CONT#4457471</v>
      </c>
    </row>
    <row r="1146" spans="1:9" x14ac:dyDescent="0.3">
      <c r="A1146" t="str">
        <f>"001322"</f>
        <v>001322</v>
      </c>
      <c r="B1146" t="s">
        <v>369</v>
      </c>
      <c r="C1146">
        <v>999999</v>
      </c>
      <c r="D1146" s="2">
        <v>1141.9100000000001</v>
      </c>
      <c r="E1146" s="1">
        <v>43004</v>
      </c>
      <c r="F1146" t="str">
        <f>"5050328832"</f>
        <v>5050328832</v>
      </c>
      <c r="G1146" t="str">
        <f>"CUST#12847097/COPIER RENTAL"</f>
        <v>CUST#12847097/COPIER RENTAL</v>
      </c>
      <c r="H1146" s="2">
        <v>1085.3499999999999</v>
      </c>
      <c r="I1146" t="str">
        <f t="shared" ref="I1146:I1162" si="11">"CUST#12847097/COPIER RENTAL"</f>
        <v>CUST#12847097/COPIER RENTAL</v>
      </c>
    </row>
    <row r="1147" spans="1:9" x14ac:dyDescent="0.3">
      <c r="A1147" t="str">
        <f>""</f>
        <v/>
      </c>
      <c r="F1147" t="str">
        <f>""</f>
        <v/>
      </c>
      <c r="G1147" t="str">
        <f>""</f>
        <v/>
      </c>
      <c r="I1147" t="str">
        <f t="shared" si="11"/>
        <v>CUST#12847097/COPIER RENTAL</v>
      </c>
    </row>
    <row r="1148" spans="1:9" x14ac:dyDescent="0.3">
      <c r="A1148" t="str">
        <f>""</f>
        <v/>
      </c>
      <c r="F1148" t="str">
        <f>""</f>
        <v/>
      </c>
      <c r="G1148" t="str">
        <f>""</f>
        <v/>
      </c>
      <c r="I1148" t="str">
        <f t="shared" si="11"/>
        <v>CUST#12847097/COPIER RENTAL</v>
      </c>
    </row>
    <row r="1149" spans="1:9" x14ac:dyDescent="0.3">
      <c r="A1149" t="str">
        <f>""</f>
        <v/>
      </c>
      <c r="F1149" t="str">
        <f>""</f>
        <v/>
      </c>
      <c r="G1149" t="str">
        <f>""</f>
        <v/>
      </c>
      <c r="I1149" t="str">
        <f t="shared" si="11"/>
        <v>CUST#12847097/COPIER RENTAL</v>
      </c>
    </row>
    <row r="1150" spans="1:9" x14ac:dyDescent="0.3">
      <c r="A1150" t="str">
        <f>""</f>
        <v/>
      </c>
      <c r="F1150" t="str">
        <f>""</f>
        <v/>
      </c>
      <c r="G1150" t="str">
        <f>""</f>
        <v/>
      </c>
      <c r="I1150" t="str">
        <f t="shared" si="11"/>
        <v>CUST#12847097/COPIER RENTAL</v>
      </c>
    </row>
    <row r="1151" spans="1:9" x14ac:dyDescent="0.3">
      <c r="A1151" t="str">
        <f>""</f>
        <v/>
      </c>
      <c r="F1151" t="str">
        <f>""</f>
        <v/>
      </c>
      <c r="G1151" t="str">
        <f>""</f>
        <v/>
      </c>
      <c r="I1151" t="str">
        <f t="shared" si="11"/>
        <v>CUST#12847097/COPIER RENTAL</v>
      </c>
    </row>
    <row r="1152" spans="1:9" x14ac:dyDescent="0.3">
      <c r="A1152" t="str">
        <f>""</f>
        <v/>
      </c>
      <c r="F1152" t="str">
        <f>""</f>
        <v/>
      </c>
      <c r="G1152" t="str">
        <f>""</f>
        <v/>
      </c>
      <c r="I1152" t="str">
        <f t="shared" si="11"/>
        <v>CUST#12847097/COPIER RENTAL</v>
      </c>
    </row>
    <row r="1153" spans="1:9" x14ac:dyDescent="0.3">
      <c r="A1153" t="str">
        <f>""</f>
        <v/>
      </c>
      <c r="F1153" t="str">
        <f>""</f>
        <v/>
      </c>
      <c r="G1153" t="str">
        <f>""</f>
        <v/>
      </c>
      <c r="I1153" t="str">
        <f t="shared" si="11"/>
        <v>CUST#12847097/COPIER RENTAL</v>
      </c>
    </row>
    <row r="1154" spans="1:9" x14ac:dyDescent="0.3">
      <c r="A1154" t="str">
        <f>""</f>
        <v/>
      </c>
      <c r="F1154" t="str">
        <f>""</f>
        <v/>
      </c>
      <c r="G1154" t="str">
        <f>""</f>
        <v/>
      </c>
      <c r="I1154" t="str">
        <f t="shared" si="11"/>
        <v>CUST#12847097/COPIER RENTAL</v>
      </c>
    </row>
    <row r="1155" spans="1:9" x14ac:dyDescent="0.3">
      <c r="A1155" t="str">
        <f>""</f>
        <v/>
      </c>
      <c r="F1155" t="str">
        <f>""</f>
        <v/>
      </c>
      <c r="G1155" t="str">
        <f>""</f>
        <v/>
      </c>
      <c r="I1155" t="str">
        <f t="shared" si="11"/>
        <v>CUST#12847097/COPIER RENTAL</v>
      </c>
    </row>
    <row r="1156" spans="1:9" x14ac:dyDescent="0.3">
      <c r="A1156" t="str">
        <f>""</f>
        <v/>
      </c>
      <c r="F1156" t="str">
        <f>""</f>
        <v/>
      </c>
      <c r="G1156" t="str">
        <f>""</f>
        <v/>
      </c>
      <c r="I1156" t="str">
        <f t="shared" si="11"/>
        <v>CUST#12847097/COPIER RENTAL</v>
      </c>
    </row>
    <row r="1157" spans="1:9" x14ac:dyDescent="0.3">
      <c r="A1157" t="str">
        <f>""</f>
        <v/>
      </c>
      <c r="F1157" t="str">
        <f>""</f>
        <v/>
      </c>
      <c r="G1157" t="str">
        <f>""</f>
        <v/>
      </c>
      <c r="I1157" t="str">
        <f t="shared" si="11"/>
        <v>CUST#12847097/COPIER RENTAL</v>
      </c>
    </row>
    <row r="1158" spans="1:9" x14ac:dyDescent="0.3">
      <c r="A1158" t="str">
        <f>""</f>
        <v/>
      </c>
      <c r="F1158" t="str">
        <f>""</f>
        <v/>
      </c>
      <c r="G1158" t="str">
        <f>""</f>
        <v/>
      </c>
      <c r="I1158" t="str">
        <f t="shared" si="11"/>
        <v>CUST#12847097/COPIER RENTAL</v>
      </c>
    </row>
    <row r="1159" spans="1:9" x14ac:dyDescent="0.3">
      <c r="A1159" t="str">
        <f>""</f>
        <v/>
      </c>
      <c r="F1159" t="str">
        <f>""</f>
        <v/>
      </c>
      <c r="G1159" t="str">
        <f>""</f>
        <v/>
      </c>
      <c r="I1159" t="str">
        <f t="shared" si="11"/>
        <v>CUST#12847097/COPIER RENTAL</v>
      </c>
    </row>
    <row r="1160" spans="1:9" x14ac:dyDescent="0.3">
      <c r="A1160" t="str">
        <f>""</f>
        <v/>
      </c>
      <c r="F1160" t="str">
        <f>""</f>
        <v/>
      </c>
      <c r="G1160" t="str">
        <f>""</f>
        <v/>
      </c>
      <c r="I1160" t="str">
        <f t="shared" si="11"/>
        <v>CUST#12847097/COPIER RENTAL</v>
      </c>
    </row>
    <row r="1161" spans="1:9" x14ac:dyDescent="0.3">
      <c r="A1161" t="str">
        <f>""</f>
        <v/>
      </c>
      <c r="F1161" t="str">
        <f>""</f>
        <v/>
      </c>
      <c r="G1161" t="str">
        <f>""</f>
        <v/>
      </c>
      <c r="I1161" t="str">
        <f t="shared" si="11"/>
        <v>CUST#12847097/COPIER RENTAL</v>
      </c>
    </row>
    <row r="1162" spans="1:9" x14ac:dyDescent="0.3">
      <c r="A1162" t="str">
        <f>""</f>
        <v/>
      </c>
      <c r="F1162" t="str">
        <f>""</f>
        <v/>
      </c>
      <c r="G1162" t="str">
        <f>""</f>
        <v/>
      </c>
      <c r="I1162" t="str">
        <f t="shared" si="11"/>
        <v>CUST#12847097/COPIER RENTAL</v>
      </c>
    </row>
    <row r="1163" spans="1:9" x14ac:dyDescent="0.3">
      <c r="A1163" t="str">
        <f>""</f>
        <v/>
      </c>
      <c r="F1163" t="str">
        <f>"5050328832 A"</f>
        <v>5050328832 A</v>
      </c>
      <c r="G1163" t="str">
        <f>"CUST#12847097/COPIER LEASE"</f>
        <v>CUST#12847097/COPIER LEASE</v>
      </c>
      <c r="H1163" s="2">
        <v>56.56</v>
      </c>
      <c r="I1163" t="str">
        <f>"CUST#12847097/COPIER LEASE"</f>
        <v>CUST#12847097/COPIER LEASE</v>
      </c>
    </row>
    <row r="1164" spans="1:9" x14ac:dyDescent="0.3">
      <c r="A1164" t="str">
        <f>"000972"</f>
        <v>000972</v>
      </c>
      <c r="B1164" t="s">
        <v>370</v>
      </c>
      <c r="C1164">
        <v>72806</v>
      </c>
      <c r="D1164" s="2">
        <v>7159.58</v>
      </c>
      <c r="E1164" s="1">
        <v>43003</v>
      </c>
      <c r="F1164" t="str">
        <f>"30742344"</f>
        <v>30742344</v>
      </c>
      <c r="G1164" t="str">
        <f>"CUST#2000172616/COPIER"</f>
        <v>CUST#2000172616/COPIER</v>
      </c>
      <c r="H1164" s="2">
        <v>7159.58</v>
      </c>
      <c r="I1164" t="str">
        <f t="shared" ref="I1164:I1185" si="12">"CUST#2000172616/COPIER"</f>
        <v>CUST#2000172616/COPIER</v>
      </c>
    </row>
    <row r="1165" spans="1:9" x14ac:dyDescent="0.3">
      <c r="A1165" t="str">
        <f>""</f>
        <v/>
      </c>
      <c r="F1165" t="str">
        <f>""</f>
        <v/>
      </c>
      <c r="G1165" t="str">
        <f>""</f>
        <v/>
      </c>
      <c r="I1165" t="str">
        <f t="shared" si="12"/>
        <v>CUST#2000172616/COPIER</v>
      </c>
    </row>
    <row r="1166" spans="1:9" x14ac:dyDescent="0.3">
      <c r="A1166" t="str">
        <f>""</f>
        <v/>
      </c>
      <c r="F1166" t="str">
        <f>""</f>
        <v/>
      </c>
      <c r="G1166" t="str">
        <f>""</f>
        <v/>
      </c>
      <c r="I1166" t="str">
        <f t="shared" si="12"/>
        <v>CUST#2000172616/COPIER</v>
      </c>
    </row>
    <row r="1167" spans="1:9" x14ac:dyDescent="0.3">
      <c r="A1167" t="str">
        <f>""</f>
        <v/>
      </c>
      <c r="F1167" t="str">
        <f>""</f>
        <v/>
      </c>
      <c r="G1167" t="str">
        <f>""</f>
        <v/>
      </c>
      <c r="I1167" t="str">
        <f t="shared" si="12"/>
        <v>CUST#2000172616/COPIER</v>
      </c>
    </row>
    <row r="1168" spans="1:9" x14ac:dyDescent="0.3">
      <c r="A1168" t="str">
        <f>""</f>
        <v/>
      </c>
      <c r="F1168" t="str">
        <f>""</f>
        <v/>
      </c>
      <c r="G1168" t="str">
        <f>""</f>
        <v/>
      </c>
      <c r="I1168" t="str">
        <f t="shared" si="12"/>
        <v>CUST#2000172616/COPIER</v>
      </c>
    </row>
    <row r="1169" spans="1:9" x14ac:dyDescent="0.3">
      <c r="A1169" t="str">
        <f>""</f>
        <v/>
      </c>
      <c r="F1169" t="str">
        <f>""</f>
        <v/>
      </c>
      <c r="G1169" t="str">
        <f>""</f>
        <v/>
      </c>
      <c r="I1169" t="str">
        <f t="shared" si="12"/>
        <v>CUST#2000172616/COPIER</v>
      </c>
    </row>
    <row r="1170" spans="1:9" x14ac:dyDescent="0.3">
      <c r="A1170" t="str">
        <f>""</f>
        <v/>
      </c>
      <c r="F1170" t="str">
        <f>""</f>
        <v/>
      </c>
      <c r="G1170" t="str">
        <f>""</f>
        <v/>
      </c>
      <c r="I1170" t="str">
        <f t="shared" si="12"/>
        <v>CUST#2000172616/COPIER</v>
      </c>
    </row>
    <row r="1171" spans="1:9" x14ac:dyDescent="0.3">
      <c r="A1171" t="str">
        <f>""</f>
        <v/>
      </c>
      <c r="F1171" t="str">
        <f>""</f>
        <v/>
      </c>
      <c r="G1171" t="str">
        <f>""</f>
        <v/>
      </c>
      <c r="I1171" t="str">
        <f t="shared" si="12"/>
        <v>CUST#2000172616/COPIER</v>
      </c>
    </row>
    <row r="1172" spans="1:9" x14ac:dyDescent="0.3">
      <c r="A1172" t="str">
        <f>""</f>
        <v/>
      </c>
      <c r="F1172" t="str">
        <f>""</f>
        <v/>
      </c>
      <c r="G1172" t="str">
        <f>""</f>
        <v/>
      </c>
      <c r="I1172" t="str">
        <f t="shared" si="12"/>
        <v>CUST#2000172616/COPIER</v>
      </c>
    </row>
    <row r="1173" spans="1:9" x14ac:dyDescent="0.3">
      <c r="A1173" t="str">
        <f>""</f>
        <v/>
      </c>
      <c r="F1173" t="str">
        <f>""</f>
        <v/>
      </c>
      <c r="G1173" t="str">
        <f>""</f>
        <v/>
      </c>
      <c r="I1173" t="str">
        <f t="shared" si="12"/>
        <v>CUST#2000172616/COPIER</v>
      </c>
    </row>
    <row r="1174" spans="1:9" x14ac:dyDescent="0.3">
      <c r="A1174" t="str">
        <f>""</f>
        <v/>
      </c>
      <c r="F1174" t="str">
        <f>""</f>
        <v/>
      </c>
      <c r="G1174" t="str">
        <f>""</f>
        <v/>
      </c>
      <c r="I1174" t="str">
        <f t="shared" si="12"/>
        <v>CUST#2000172616/COPIER</v>
      </c>
    </row>
    <row r="1175" spans="1:9" x14ac:dyDescent="0.3">
      <c r="A1175" t="str">
        <f>""</f>
        <v/>
      </c>
      <c r="F1175" t="str">
        <f>""</f>
        <v/>
      </c>
      <c r="G1175" t="str">
        <f>""</f>
        <v/>
      </c>
      <c r="I1175" t="str">
        <f t="shared" si="12"/>
        <v>CUST#2000172616/COPIER</v>
      </c>
    </row>
    <row r="1176" spans="1:9" x14ac:dyDescent="0.3">
      <c r="A1176" t="str">
        <f>""</f>
        <v/>
      </c>
      <c r="F1176" t="str">
        <f>""</f>
        <v/>
      </c>
      <c r="G1176" t="str">
        <f>""</f>
        <v/>
      </c>
      <c r="I1176" t="str">
        <f t="shared" si="12"/>
        <v>CUST#2000172616/COPIER</v>
      </c>
    </row>
    <row r="1177" spans="1:9" x14ac:dyDescent="0.3">
      <c r="A1177" t="str">
        <f>""</f>
        <v/>
      </c>
      <c r="F1177" t="str">
        <f>""</f>
        <v/>
      </c>
      <c r="G1177" t="str">
        <f>""</f>
        <v/>
      </c>
      <c r="I1177" t="str">
        <f t="shared" si="12"/>
        <v>CUST#2000172616/COPIER</v>
      </c>
    </row>
    <row r="1178" spans="1:9" x14ac:dyDescent="0.3">
      <c r="A1178" t="str">
        <f>""</f>
        <v/>
      </c>
      <c r="F1178" t="str">
        <f>""</f>
        <v/>
      </c>
      <c r="G1178" t="str">
        <f>""</f>
        <v/>
      </c>
      <c r="I1178" t="str">
        <f t="shared" si="12"/>
        <v>CUST#2000172616/COPIER</v>
      </c>
    </row>
    <row r="1179" spans="1:9" x14ac:dyDescent="0.3">
      <c r="A1179" t="str">
        <f>""</f>
        <v/>
      </c>
      <c r="F1179" t="str">
        <f>""</f>
        <v/>
      </c>
      <c r="G1179" t="str">
        <f>""</f>
        <v/>
      </c>
      <c r="I1179" t="str">
        <f t="shared" si="12"/>
        <v>CUST#2000172616/COPIER</v>
      </c>
    </row>
    <row r="1180" spans="1:9" x14ac:dyDescent="0.3">
      <c r="A1180" t="str">
        <f>""</f>
        <v/>
      </c>
      <c r="F1180" t="str">
        <f>""</f>
        <v/>
      </c>
      <c r="G1180" t="str">
        <f>""</f>
        <v/>
      </c>
      <c r="I1180" t="str">
        <f t="shared" si="12"/>
        <v>CUST#2000172616/COPIER</v>
      </c>
    </row>
    <row r="1181" spans="1:9" x14ac:dyDescent="0.3">
      <c r="A1181" t="str">
        <f>""</f>
        <v/>
      </c>
      <c r="F1181" t="str">
        <f>""</f>
        <v/>
      </c>
      <c r="G1181" t="str">
        <f>""</f>
        <v/>
      </c>
      <c r="I1181" t="str">
        <f t="shared" si="12"/>
        <v>CUST#2000172616/COPIER</v>
      </c>
    </row>
    <row r="1182" spans="1:9" x14ac:dyDescent="0.3">
      <c r="A1182" t="str">
        <f>""</f>
        <v/>
      </c>
      <c r="F1182" t="str">
        <f>""</f>
        <v/>
      </c>
      <c r="G1182" t="str">
        <f>""</f>
        <v/>
      </c>
      <c r="I1182" t="str">
        <f t="shared" si="12"/>
        <v>CUST#2000172616/COPIER</v>
      </c>
    </row>
    <row r="1183" spans="1:9" x14ac:dyDescent="0.3">
      <c r="A1183" t="str">
        <f>""</f>
        <v/>
      </c>
      <c r="F1183" t="str">
        <f>""</f>
        <v/>
      </c>
      <c r="G1183" t="str">
        <f>""</f>
        <v/>
      </c>
      <c r="I1183" t="str">
        <f t="shared" si="12"/>
        <v>CUST#2000172616/COPIER</v>
      </c>
    </row>
    <row r="1184" spans="1:9" x14ac:dyDescent="0.3">
      <c r="A1184" t="str">
        <f>""</f>
        <v/>
      </c>
      <c r="F1184" t="str">
        <f>""</f>
        <v/>
      </c>
      <c r="G1184" t="str">
        <f>""</f>
        <v/>
      </c>
      <c r="I1184" t="str">
        <f t="shared" si="12"/>
        <v>CUST#2000172616/COPIER</v>
      </c>
    </row>
    <row r="1185" spans="1:9" x14ac:dyDescent="0.3">
      <c r="A1185" t="str">
        <f>""</f>
        <v/>
      </c>
      <c r="F1185" t="str">
        <f>""</f>
        <v/>
      </c>
      <c r="G1185" t="str">
        <f>""</f>
        <v/>
      </c>
      <c r="I1185" t="str">
        <f t="shared" si="12"/>
        <v>CUST#2000172616/COPIER</v>
      </c>
    </row>
    <row r="1186" spans="1:9" x14ac:dyDescent="0.3">
      <c r="A1186" t="str">
        <f>"004549"</f>
        <v>004549</v>
      </c>
      <c r="B1186" t="s">
        <v>371</v>
      </c>
      <c r="C1186">
        <v>72807</v>
      </c>
      <c r="D1186" s="2">
        <v>275</v>
      </c>
      <c r="E1186" s="1">
        <v>43003</v>
      </c>
      <c r="F1186" t="str">
        <f>"004549"</f>
        <v>004549</v>
      </c>
      <c r="G1186" t="str">
        <f>"LANDSCAPING SVCS/PCT#4"</f>
        <v>LANDSCAPING SVCS/PCT#4</v>
      </c>
      <c r="H1186" s="2">
        <v>150</v>
      </c>
      <c r="I1186" t="str">
        <f>"LANDSCAPING SVCS/PCT#4"</f>
        <v>LANDSCAPING SVCS/PCT#4</v>
      </c>
    </row>
    <row r="1187" spans="1:9" x14ac:dyDescent="0.3">
      <c r="A1187" t="str">
        <f>""</f>
        <v/>
      </c>
      <c r="F1187" t="str">
        <f>"721173"</f>
        <v>721173</v>
      </c>
      <c r="G1187" t="str">
        <f>"LANDSCAPING SVCS/PCT#4"</f>
        <v>LANDSCAPING SVCS/PCT#4</v>
      </c>
      <c r="H1187" s="2">
        <v>125</v>
      </c>
      <c r="I1187" t="str">
        <f>"LANDSCAPING SVCS/PCT#4"</f>
        <v>LANDSCAPING SVCS/PCT#4</v>
      </c>
    </row>
    <row r="1188" spans="1:9" x14ac:dyDescent="0.3">
      <c r="A1188" t="str">
        <f>"000374"</f>
        <v>000374</v>
      </c>
      <c r="B1188" t="s">
        <v>372</v>
      </c>
      <c r="C1188">
        <v>72586</v>
      </c>
      <c r="D1188" s="2">
        <v>428.51</v>
      </c>
      <c r="E1188" s="1">
        <v>42989</v>
      </c>
      <c r="F1188" t="str">
        <f>"I010692"</f>
        <v>I010692</v>
      </c>
      <c r="G1188" t="str">
        <f>"MIRROR MASTIC/PCT#3"</f>
        <v>MIRROR MASTIC/PCT#3</v>
      </c>
      <c r="H1188" s="2">
        <v>12.5</v>
      </c>
      <c r="I1188" t="str">
        <f>"MIRROR MASTIC/PCT#3"</f>
        <v>MIRROR MASTIC/PCT#3</v>
      </c>
    </row>
    <row r="1189" spans="1:9" x14ac:dyDescent="0.3">
      <c r="A1189" t="str">
        <f>""</f>
        <v/>
      </c>
      <c r="F1189" t="str">
        <f>"I010846"</f>
        <v>I010846</v>
      </c>
      <c r="G1189" t="str">
        <f>"GLASS SVCS/PCT#3"</f>
        <v>GLASS SVCS/PCT#3</v>
      </c>
      <c r="H1189" s="2">
        <v>25</v>
      </c>
      <c r="I1189" t="str">
        <f>"GLASS SVCS/PCT#3"</f>
        <v>GLASS SVCS/PCT#3</v>
      </c>
    </row>
    <row r="1190" spans="1:9" x14ac:dyDescent="0.3">
      <c r="A1190" t="str">
        <f>""</f>
        <v/>
      </c>
      <c r="F1190" t="str">
        <f>"I011030"</f>
        <v>I011030</v>
      </c>
      <c r="G1190" t="str">
        <f>"INSTALLATION/GLASS/PCT#3"</f>
        <v>INSTALLATION/GLASS/PCT#3</v>
      </c>
      <c r="H1190" s="2">
        <v>200</v>
      </c>
      <c r="I1190" t="str">
        <f>"INSTALLATION/GLASS/PCT#3"</f>
        <v>INSTALLATION/GLASS/PCT#3</v>
      </c>
    </row>
    <row r="1191" spans="1:9" x14ac:dyDescent="0.3">
      <c r="A1191" t="str">
        <f>""</f>
        <v/>
      </c>
      <c r="F1191" t="str">
        <f>"I011220 BALANCE"</f>
        <v>I011220 BALANCE</v>
      </c>
      <c r="G1191" t="str">
        <f>"INV I011220"</f>
        <v>INV I011220</v>
      </c>
      <c r="H1191" s="2">
        <v>16.010000000000002</v>
      </c>
      <c r="I1191" t="str">
        <f>"INV I011220"</f>
        <v>INV I011220</v>
      </c>
    </row>
    <row r="1192" spans="1:9" x14ac:dyDescent="0.3">
      <c r="A1192" t="str">
        <f>""</f>
        <v/>
      </c>
      <c r="F1192" t="str">
        <f>"I011299"</f>
        <v>I011299</v>
      </c>
      <c r="G1192" t="str">
        <f>"INSTALLATION/PCT#3"</f>
        <v>INSTALLATION/PCT#3</v>
      </c>
      <c r="H1192" s="2">
        <v>175</v>
      </c>
      <c r="I1192" t="str">
        <f>"INSTALLATION/PCT#3"</f>
        <v>INSTALLATION/PCT#3</v>
      </c>
    </row>
    <row r="1193" spans="1:9" x14ac:dyDescent="0.3">
      <c r="A1193" t="str">
        <f>"000374"</f>
        <v>000374</v>
      </c>
      <c r="B1193" t="s">
        <v>372</v>
      </c>
      <c r="C1193">
        <v>999999</v>
      </c>
      <c r="D1193" s="2">
        <v>36.99</v>
      </c>
      <c r="E1193" s="1">
        <v>43004</v>
      </c>
      <c r="F1193" t="str">
        <f>"I019543"</f>
        <v>I019543</v>
      </c>
      <c r="G1193" t="str">
        <f>"MULTI FOLD TOWELS/PCT#3"</f>
        <v>MULTI FOLD TOWELS/PCT#3</v>
      </c>
      <c r="H1193" s="2">
        <v>36.99</v>
      </c>
      <c r="I1193" t="str">
        <f>"MULTI FOLD TOWELS/PCT#3"</f>
        <v>MULTI FOLD TOWELS/PCT#3</v>
      </c>
    </row>
    <row r="1194" spans="1:9" x14ac:dyDescent="0.3">
      <c r="A1194" t="str">
        <f>"004417"</f>
        <v>004417</v>
      </c>
      <c r="B1194" t="s">
        <v>373</v>
      </c>
      <c r="C1194">
        <v>999999</v>
      </c>
      <c r="D1194" s="2">
        <v>1450</v>
      </c>
      <c r="E1194" s="1">
        <v>43004</v>
      </c>
      <c r="F1194" t="str">
        <f>"BCSOAUG17"</f>
        <v>BCSOAUG17</v>
      </c>
      <c r="G1194" t="str">
        <f>"INV BCSOAUG17"</f>
        <v>INV BCSOAUG17</v>
      </c>
      <c r="H1194" s="2">
        <v>1450</v>
      </c>
      <c r="I1194" t="str">
        <f>"INV BCSOAUG17"</f>
        <v>INV BCSOAUG17</v>
      </c>
    </row>
    <row r="1195" spans="1:9" x14ac:dyDescent="0.3">
      <c r="A1195" t="str">
        <f>"005209"</f>
        <v>005209</v>
      </c>
      <c r="B1195" t="s">
        <v>374</v>
      </c>
      <c r="C1195">
        <v>72808</v>
      </c>
      <c r="D1195" s="2">
        <v>80</v>
      </c>
      <c r="E1195" s="1">
        <v>43003</v>
      </c>
      <c r="F1195" t="str">
        <f>"12446"</f>
        <v>12446</v>
      </c>
      <c r="G1195" t="str">
        <f>"SERVICE  6/14/17"</f>
        <v>SERVICE  6/14/17</v>
      </c>
      <c r="H1195" s="2">
        <v>80</v>
      </c>
      <c r="I1195" t="str">
        <f>"SERVICE  6/14/17"</f>
        <v>SERVICE  6/14/17</v>
      </c>
    </row>
    <row r="1196" spans="1:9" x14ac:dyDescent="0.3">
      <c r="A1196" t="str">
        <f>"T8555"</f>
        <v>T8555</v>
      </c>
      <c r="B1196" t="s">
        <v>375</v>
      </c>
      <c r="C1196">
        <v>72809</v>
      </c>
      <c r="D1196" s="2">
        <v>7</v>
      </c>
      <c r="E1196" s="1">
        <v>43003</v>
      </c>
      <c r="F1196" t="str">
        <f>"18297"</f>
        <v>18297</v>
      </c>
      <c r="G1196" t="str">
        <f>"INSPECTION UNIT#2006/PCT#2"</f>
        <v>INSPECTION UNIT#2006/PCT#2</v>
      </c>
      <c r="H1196" s="2">
        <v>7</v>
      </c>
      <c r="I1196" t="str">
        <f>"INSPECTION UNIT#2006/PCT#2"</f>
        <v>INSPECTION UNIT#2006/PCT#2</v>
      </c>
    </row>
    <row r="1197" spans="1:9" x14ac:dyDescent="0.3">
      <c r="A1197" t="str">
        <f>"004991"</f>
        <v>004991</v>
      </c>
      <c r="B1197" t="s">
        <v>376</v>
      </c>
      <c r="C1197">
        <v>72587</v>
      </c>
      <c r="D1197" s="2">
        <v>108</v>
      </c>
      <c r="E1197" s="1">
        <v>42989</v>
      </c>
      <c r="F1197" t="str">
        <f>"201709064555"</f>
        <v>201709064555</v>
      </c>
      <c r="G1197" t="str">
        <f>"LPHCP RECORDING FEES"</f>
        <v>LPHCP RECORDING FEES</v>
      </c>
      <c r="H1197" s="2">
        <v>108</v>
      </c>
      <c r="I1197" t="str">
        <f>"LPHCP RECORDING FEES"</f>
        <v>LPHCP RECORDING FEES</v>
      </c>
    </row>
    <row r="1198" spans="1:9" x14ac:dyDescent="0.3">
      <c r="A1198" t="str">
        <f>"RP-CC"</f>
        <v>RP-CC</v>
      </c>
      <c r="B1198" t="s">
        <v>376</v>
      </c>
      <c r="C1198">
        <v>72588</v>
      </c>
      <c r="D1198" s="2">
        <v>183</v>
      </c>
      <c r="E1198" s="1">
        <v>42989</v>
      </c>
      <c r="F1198" t="str">
        <f>"201709064558"</f>
        <v>201709064558</v>
      </c>
      <c r="G1198" t="str">
        <f>"DEVELOP. SVCS FEE"</f>
        <v>DEVELOP. SVCS FEE</v>
      </c>
      <c r="H1198" s="2">
        <v>183</v>
      </c>
      <c r="I1198" t="str">
        <f>"DEVELOP. SVCS FEE"</f>
        <v>DEVELOP. SVCS FEE</v>
      </c>
    </row>
    <row r="1199" spans="1:9" x14ac:dyDescent="0.3">
      <c r="A1199" t="str">
        <f>"004991"</f>
        <v>004991</v>
      </c>
      <c r="B1199" t="s">
        <v>376</v>
      </c>
      <c r="C1199">
        <v>72810</v>
      </c>
      <c r="D1199" s="2">
        <v>178</v>
      </c>
      <c r="E1199" s="1">
        <v>43003</v>
      </c>
      <c r="F1199" t="str">
        <f>"201709205007"</f>
        <v>201709205007</v>
      </c>
      <c r="G1199" t="str">
        <f>"LPHCP RECORDING FEES"</f>
        <v>LPHCP RECORDING FEES</v>
      </c>
      <c r="H1199" s="2">
        <v>178</v>
      </c>
      <c r="I1199" t="str">
        <f>"LPHCP RECORDING FEES"</f>
        <v>LPHCP RECORDING FEES</v>
      </c>
    </row>
    <row r="1200" spans="1:9" x14ac:dyDescent="0.3">
      <c r="A1200" t="str">
        <f>"RP-CC"</f>
        <v>RP-CC</v>
      </c>
      <c r="B1200" t="s">
        <v>376</v>
      </c>
      <c r="C1200">
        <v>72811</v>
      </c>
      <c r="D1200" s="2">
        <v>61</v>
      </c>
      <c r="E1200" s="1">
        <v>43003</v>
      </c>
      <c r="F1200" t="str">
        <f>"201709205033"</f>
        <v>201709205033</v>
      </c>
      <c r="G1200" t="str">
        <f>"DEVELOPMENT SERVICES REC FEE"</f>
        <v>DEVELOPMENT SERVICES REC FEE</v>
      </c>
      <c r="H1200" s="2">
        <v>61</v>
      </c>
      <c r="I1200" t="str">
        <f>"DEVELOPMENT SERVICES REC FEE"</f>
        <v>DEVELOPMENT SERVICES REC FEE</v>
      </c>
    </row>
    <row r="1201" spans="1:10" x14ac:dyDescent="0.3">
      <c r="A1201" t="str">
        <f>"005202"</f>
        <v>005202</v>
      </c>
      <c r="B1201" t="s">
        <v>377</v>
      </c>
      <c r="C1201">
        <v>72589</v>
      </c>
      <c r="D1201" s="2">
        <v>0.37</v>
      </c>
      <c r="E1201" s="1">
        <v>42989</v>
      </c>
      <c r="F1201" t="s">
        <v>95</v>
      </c>
      <c r="G1201" t="s">
        <v>378</v>
      </c>
      <c r="H1201" s="2" t="str">
        <f>"REFUND FOR OVERPMT OF ABS. FEE"</f>
        <v>REFUND FOR OVERPMT OF ABS. FEE</v>
      </c>
      <c r="I1201" t="str">
        <f>"995-4110"</f>
        <v>995-4110</v>
      </c>
      <c r="J1201">
        <v>0.37</v>
      </c>
    </row>
    <row r="1202" spans="1:10" x14ac:dyDescent="0.3">
      <c r="A1202" t="str">
        <f>"002601"</f>
        <v>002601</v>
      </c>
      <c r="B1202" t="s">
        <v>379</v>
      </c>
      <c r="C1202">
        <v>72812</v>
      </c>
      <c r="D1202" s="2">
        <v>38.380000000000003</v>
      </c>
      <c r="E1202" s="1">
        <v>43003</v>
      </c>
      <c r="F1202" t="str">
        <f>"REIMBURSE-FUEL"</f>
        <v>REIMBURSE-FUEL</v>
      </c>
      <c r="G1202" t="str">
        <f>"REIMBURSMENT"</f>
        <v>REIMBURSMENT</v>
      </c>
      <c r="H1202" s="2">
        <v>38.380000000000003</v>
      </c>
      <c r="I1202" t="str">
        <f>"REIMBURSMENT"</f>
        <v>REIMBURSMENT</v>
      </c>
    </row>
    <row r="1203" spans="1:10" x14ac:dyDescent="0.3">
      <c r="A1203" t="str">
        <f>"T11973"</f>
        <v>T11973</v>
      </c>
      <c r="B1203" t="s">
        <v>380</v>
      </c>
      <c r="C1203">
        <v>72590</v>
      </c>
      <c r="D1203" s="2">
        <v>152.66</v>
      </c>
      <c r="E1203" s="1">
        <v>42989</v>
      </c>
      <c r="F1203" t="str">
        <f>"201709064623"</f>
        <v>201709064623</v>
      </c>
      <c r="G1203" t="str">
        <f>"INDIGENT HEALTH"</f>
        <v>INDIGENT HEALTH</v>
      </c>
      <c r="H1203" s="2">
        <v>152.66</v>
      </c>
      <c r="I1203" t="str">
        <f>"INDIGENT HEALTH"</f>
        <v>INDIGENT HEALTH</v>
      </c>
    </row>
    <row r="1204" spans="1:10" x14ac:dyDescent="0.3">
      <c r="A1204" t="str">
        <f>"T11973"</f>
        <v>T11973</v>
      </c>
      <c r="B1204" t="s">
        <v>380</v>
      </c>
      <c r="C1204">
        <v>999999</v>
      </c>
      <c r="D1204" s="2">
        <v>309.35000000000002</v>
      </c>
      <c r="E1204" s="1">
        <v>43004</v>
      </c>
      <c r="F1204" t="str">
        <f>"201709194990"</f>
        <v>201709194990</v>
      </c>
      <c r="G1204" t="str">
        <f>"INDIGENT HEALTH"</f>
        <v>INDIGENT HEALTH</v>
      </c>
      <c r="H1204" s="2">
        <v>309.35000000000002</v>
      </c>
      <c r="I1204" t="str">
        <f>"INDIGENT HEALTH"</f>
        <v>INDIGENT HEALTH</v>
      </c>
    </row>
    <row r="1205" spans="1:10" x14ac:dyDescent="0.3">
      <c r="A1205" t="str">
        <f>""</f>
        <v/>
      </c>
      <c r="F1205" t="str">
        <f>""</f>
        <v/>
      </c>
      <c r="G1205" t="str">
        <f>""</f>
        <v/>
      </c>
      <c r="I1205" t="str">
        <f>"INDIGENT HEALTH"</f>
        <v>INDIGENT HEALTH</v>
      </c>
    </row>
    <row r="1206" spans="1:10" x14ac:dyDescent="0.3">
      <c r="A1206" t="str">
        <f>"004167"</f>
        <v>004167</v>
      </c>
      <c r="B1206" t="s">
        <v>381</v>
      </c>
      <c r="C1206">
        <v>72813</v>
      </c>
      <c r="D1206" s="2">
        <v>90</v>
      </c>
      <c r="E1206" s="1">
        <v>43003</v>
      </c>
      <c r="F1206" t="str">
        <f>"12451"</f>
        <v>12451</v>
      </c>
      <c r="G1206" t="str">
        <f>"SERVICE / CAUSE 12451 06/14/17"</f>
        <v>SERVICE / CAUSE 12451 06/14/17</v>
      </c>
      <c r="H1206" s="2">
        <v>90</v>
      </c>
      <c r="I1206" t="str">
        <f>"SERVICE / CAUSE 12451 06/14/17"</f>
        <v>SERVICE / CAUSE 12451 06/14/17</v>
      </c>
    </row>
    <row r="1207" spans="1:10" x14ac:dyDescent="0.3">
      <c r="A1207" t="str">
        <f>"T13173"</f>
        <v>T13173</v>
      </c>
      <c r="B1207" t="s">
        <v>382</v>
      </c>
      <c r="C1207">
        <v>72814</v>
      </c>
      <c r="D1207" s="2">
        <v>3613.9</v>
      </c>
      <c r="E1207" s="1">
        <v>43003</v>
      </c>
      <c r="F1207" t="str">
        <f>"060115"</f>
        <v>060115</v>
      </c>
      <c r="G1207" t="str">
        <f>"CASEBINDERS/DIST CLERK"</f>
        <v>CASEBINDERS/DIST CLERK</v>
      </c>
      <c r="H1207" s="2">
        <v>505.1</v>
      </c>
      <c r="I1207" t="str">
        <f>"CASEBINDERS/DIST CLERK"</f>
        <v>CASEBINDERS/DIST CLERK</v>
      </c>
    </row>
    <row r="1208" spans="1:10" x14ac:dyDescent="0.3">
      <c r="A1208" t="str">
        <f>""</f>
        <v/>
      </c>
      <c r="F1208" t="str">
        <f>"060253"</f>
        <v>060253</v>
      </c>
      <c r="G1208" t="str">
        <f>"LASER JURY SUMMONS/DIST CLERK"</f>
        <v>LASER JURY SUMMONS/DIST CLERK</v>
      </c>
      <c r="H1208" s="2">
        <v>3108.8</v>
      </c>
      <c r="I1208" t="str">
        <f>"LASER JURY SUMMONS/DIST CLERK"</f>
        <v>LASER JURY SUMMONS/DIST CLERK</v>
      </c>
    </row>
    <row r="1209" spans="1:10" x14ac:dyDescent="0.3">
      <c r="A1209" t="str">
        <f>"003183"</f>
        <v>003183</v>
      </c>
      <c r="B1209" t="s">
        <v>383</v>
      </c>
      <c r="C1209">
        <v>72591</v>
      </c>
      <c r="D1209" s="2">
        <v>5359.11</v>
      </c>
      <c r="E1209" s="1">
        <v>42989</v>
      </c>
      <c r="F1209" t="str">
        <f>"201709064626"</f>
        <v>201709064626</v>
      </c>
      <c r="G1209" t="str">
        <f>"INDIGENT HEALTH"</f>
        <v>INDIGENT HEALTH</v>
      </c>
      <c r="H1209" s="2">
        <v>5359.11</v>
      </c>
      <c r="I1209" t="str">
        <f>"INDIGENT HEALTH"</f>
        <v>INDIGENT HEALTH</v>
      </c>
    </row>
    <row r="1210" spans="1:10" x14ac:dyDescent="0.3">
      <c r="A1210" t="str">
        <f>"003183"</f>
        <v>003183</v>
      </c>
      <c r="B1210" t="s">
        <v>383</v>
      </c>
      <c r="C1210">
        <v>72815</v>
      </c>
      <c r="D1210" s="2">
        <v>13421.71</v>
      </c>
      <c r="E1210" s="1">
        <v>43003</v>
      </c>
      <c r="F1210" t="str">
        <f>"201709194991"</f>
        <v>201709194991</v>
      </c>
      <c r="G1210" t="str">
        <f>"INDIGENT HEALTH"</f>
        <v>INDIGENT HEALTH</v>
      </c>
      <c r="H1210" s="2">
        <v>13421.71</v>
      </c>
      <c r="I1210" t="str">
        <f>"INDIGENT HEALTH"</f>
        <v>INDIGENT HEALTH</v>
      </c>
    </row>
    <row r="1211" spans="1:10" x14ac:dyDescent="0.3">
      <c r="A1211" t="str">
        <f>"003086"</f>
        <v>003086</v>
      </c>
      <c r="B1211" t="s">
        <v>384</v>
      </c>
      <c r="C1211">
        <v>72592</v>
      </c>
      <c r="D1211" s="2">
        <v>566.38</v>
      </c>
      <c r="E1211" s="1">
        <v>42989</v>
      </c>
      <c r="F1211" t="str">
        <f>"201709064627"</f>
        <v>201709064627</v>
      </c>
      <c r="G1211" t="str">
        <f>"INDIGENT HEALTH"</f>
        <v>INDIGENT HEALTH</v>
      </c>
      <c r="H1211" s="2">
        <v>566.38</v>
      </c>
      <c r="I1211" t="str">
        <f>"INDIGENT HEALTH"</f>
        <v>INDIGENT HEALTH</v>
      </c>
    </row>
    <row r="1212" spans="1:10" x14ac:dyDescent="0.3">
      <c r="A1212" t="str">
        <f>"003086"</f>
        <v>003086</v>
      </c>
      <c r="B1212" t="s">
        <v>384</v>
      </c>
      <c r="C1212">
        <v>72816</v>
      </c>
      <c r="D1212" s="2">
        <v>3969.11</v>
      </c>
      <c r="E1212" s="1">
        <v>43003</v>
      </c>
      <c r="F1212" t="str">
        <f>"201709194992"</f>
        <v>201709194992</v>
      </c>
      <c r="G1212" t="str">
        <f>"INDIGENT HEALTH"</f>
        <v>INDIGENT HEALTH</v>
      </c>
      <c r="H1212" s="2">
        <v>3969.11</v>
      </c>
      <c r="I1212" t="str">
        <f>"INDIGENT HEALTH"</f>
        <v>INDIGENT HEALTH</v>
      </c>
    </row>
    <row r="1213" spans="1:10" x14ac:dyDescent="0.3">
      <c r="A1213" t="str">
        <f>""</f>
        <v/>
      </c>
      <c r="F1213" t="str">
        <f>""</f>
        <v/>
      </c>
      <c r="G1213" t="str">
        <f>""</f>
        <v/>
      </c>
      <c r="I1213" t="str">
        <f>"INDIGENT HEALTH"</f>
        <v>INDIGENT HEALTH</v>
      </c>
    </row>
    <row r="1214" spans="1:10" x14ac:dyDescent="0.3">
      <c r="A1214" t="str">
        <f>"004521"</f>
        <v>004521</v>
      </c>
      <c r="B1214" t="s">
        <v>385</v>
      </c>
      <c r="C1214">
        <v>72593</v>
      </c>
      <c r="D1214" s="2">
        <v>60</v>
      </c>
      <c r="E1214" s="1">
        <v>42989</v>
      </c>
      <c r="F1214" t="s">
        <v>253</v>
      </c>
      <c r="G1214" t="s">
        <v>386</v>
      </c>
      <c r="H1214" s="2" t="str">
        <f>"RESTITUTION-D. MCCOMB"</f>
        <v>RESTITUTION-D. MCCOMB</v>
      </c>
      <c r="I1214" t="str">
        <f>"210-0000"</f>
        <v>210-0000</v>
      </c>
      <c r="J1214">
        <v>60</v>
      </c>
    </row>
    <row r="1215" spans="1:10" x14ac:dyDescent="0.3">
      <c r="A1215" t="str">
        <f>"005081"</f>
        <v>005081</v>
      </c>
      <c r="B1215" t="s">
        <v>387</v>
      </c>
      <c r="C1215">
        <v>72594</v>
      </c>
      <c r="D1215" s="2">
        <v>42.18</v>
      </c>
      <c r="E1215" s="1">
        <v>42989</v>
      </c>
      <c r="F1215" t="str">
        <f>"201709064554"</f>
        <v>201709064554</v>
      </c>
      <c r="G1215" t="str">
        <f>"ACCT#20147/ANIMAL SERVICES"</f>
        <v>ACCT#20147/ANIMAL SERVICES</v>
      </c>
      <c r="H1215" s="2">
        <v>42.18</v>
      </c>
      <c r="I1215" t="str">
        <f>"ACCT#20147/ANIMAL SERVICES"</f>
        <v>ACCT#20147/ANIMAL SERVICES</v>
      </c>
    </row>
    <row r="1216" spans="1:10" x14ac:dyDescent="0.3">
      <c r="A1216" t="str">
        <f>"T10195"</f>
        <v>T10195</v>
      </c>
      <c r="B1216" t="s">
        <v>388</v>
      </c>
      <c r="C1216">
        <v>72595</v>
      </c>
      <c r="D1216" s="2">
        <v>19616.46</v>
      </c>
      <c r="E1216" s="1">
        <v>42989</v>
      </c>
      <c r="F1216" t="str">
        <f>"13981652"</f>
        <v>13981652</v>
      </c>
      <c r="G1216" t="str">
        <f>"Quote#13981652"</f>
        <v>Quote#13981652</v>
      </c>
      <c r="H1216" s="2">
        <v>9964.8799999999992</v>
      </c>
      <c r="I1216" t="str">
        <f>"Part# MAINT-BL-ENT"</f>
        <v>Part# MAINT-BL-ENT</v>
      </c>
    </row>
    <row r="1217" spans="1:9" x14ac:dyDescent="0.3">
      <c r="A1217" t="str">
        <f>""</f>
        <v/>
      </c>
      <c r="F1217" t="str">
        <f>""</f>
        <v/>
      </c>
      <c r="G1217" t="str">
        <f>""</f>
        <v/>
      </c>
      <c r="I1217" t="str">
        <f>"Part#SDPE"</f>
        <v>Part#SDPE</v>
      </c>
    </row>
    <row r="1218" spans="1:9" x14ac:dyDescent="0.3">
      <c r="A1218" t="str">
        <f>""</f>
        <v/>
      </c>
      <c r="F1218" t="str">
        <f>""</f>
        <v/>
      </c>
      <c r="G1218" t="str">
        <f>""</f>
        <v/>
      </c>
      <c r="I1218" t="str">
        <f>"Part#npn-bomga-qustb"</f>
        <v>Part#npn-bomga-qustb</v>
      </c>
    </row>
    <row r="1219" spans="1:9" x14ac:dyDescent="0.3">
      <c r="A1219" t="str">
        <f>""</f>
        <v/>
      </c>
      <c r="F1219" t="str">
        <f>""</f>
        <v/>
      </c>
      <c r="G1219" t="str">
        <f>""</f>
        <v/>
      </c>
      <c r="I1219" t="str">
        <f>"Part# MAINT-BL-ENT"</f>
        <v>Part# MAINT-BL-ENT</v>
      </c>
    </row>
    <row r="1220" spans="1:9" x14ac:dyDescent="0.3">
      <c r="A1220" t="str">
        <f>""</f>
        <v/>
      </c>
      <c r="F1220" t="str">
        <f>"14027314"</f>
        <v>14027314</v>
      </c>
      <c r="G1220" t="str">
        <f>"Quote# 14027314"</f>
        <v>Quote# 14027314</v>
      </c>
      <c r="H1220" s="2">
        <v>9651.58</v>
      </c>
      <c r="I1220" t="str">
        <f>"Part# S-PREM-23"</f>
        <v>Part# S-PREM-23</v>
      </c>
    </row>
    <row r="1221" spans="1:9" x14ac:dyDescent="0.3">
      <c r="A1221" t="str">
        <f>""</f>
        <v/>
      </c>
      <c r="F1221" t="str">
        <f>""</f>
        <v/>
      </c>
      <c r="G1221" t="str">
        <f>""</f>
        <v/>
      </c>
      <c r="I1221" t="str">
        <f>"Part# SB-MSIM-A-A"</f>
        <v>Part# SB-MSIM-A-A</v>
      </c>
    </row>
    <row r="1222" spans="1:9" x14ac:dyDescent="0.3">
      <c r="A1222" t="str">
        <f>""</f>
        <v/>
      </c>
      <c r="F1222" t="str">
        <f>""</f>
        <v/>
      </c>
      <c r="G1222" t="str">
        <f>""</f>
        <v/>
      </c>
      <c r="I1222" t="str">
        <f>"Part# S-PREM-23"</f>
        <v>Part# S-PREM-23</v>
      </c>
    </row>
    <row r="1223" spans="1:9" x14ac:dyDescent="0.3">
      <c r="A1223" t="str">
        <f>"T10195"</f>
        <v>T10195</v>
      </c>
      <c r="B1223" t="s">
        <v>388</v>
      </c>
      <c r="C1223">
        <v>72817</v>
      </c>
      <c r="D1223" s="2">
        <v>21233.32</v>
      </c>
      <c r="E1223" s="1">
        <v>43003</v>
      </c>
      <c r="F1223" t="str">
        <f>"14016200"</f>
        <v>14016200</v>
      </c>
      <c r="G1223" t="str">
        <f>"Quote: 14016200"</f>
        <v>Quote: 14016200</v>
      </c>
      <c r="H1223" s="2">
        <v>7350</v>
      </c>
      <c r="I1223" t="str">
        <f>"Quote: 14016200"</f>
        <v>Quote: 14016200</v>
      </c>
    </row>
    <row r="1224" spans="1:9" x14ac:dyDescent="0.3">
      <c r="A1224" t="str">
        <f>""</f>
        <v/>
      </c>
      <c r="F1224" t="str">
        <f>"GB00251113"</f>
        <v>GB00251113</v>
      </c>
      <c r="G1224" t="str">
        <f>"Quote# 14011912"</f>
        <v>Quote# 14011912</v>
      </c>
      <c r="H1224" s="2">
        <v>6443.32</v>
      </c>
      <c r="I1224" t="str">
        <f>"Quote# 14011912"</f>
        <v>Quote# 14011912</v>
      </c>
    </row>
    <row r="1225" spans="1:9" x14ac:dyDescent="0.3">
      <c r="A1225" t="str">
        <f>""</f>
        <v/>
      </c>
      <c r="F1225" t="str">
        <f>""</f>
        <v/>
      </c>
      <c r="G1225" t="str">
        <f>""</f>
        <v/>
      </c>
      <c r="I1225" t="str">
        <f>"Quote# 14011912"</f>
        <v>Quote# 14011912</v>
      </c>
    </row>
    <row r="1226" spans="1:9" x14ac:dyDescent="0.3">
      <c r="A1226" t="str">
        <f>""</f>
        <v/>
      </c>
      <c r="F1226" t="str">
        <f>"GB002513252"</f>
        <v>GB002513252</v>
      </c>
      <c r="G1226" t="str">
        <f>"Quote# 14044514"</f>
        <v>Quote# 14044514</v>
      </c>
      <c r="H1226" s="2">
        <v>7440</v>
      </c>
      <c r="I1226" t="str">
        <f>"Quote# 14044514"</f>
        <v>Quote# 14044514</v>
      </c>
    </row>
    <row r="1227" spans="1:9" x14ac:dyDescent="0.3">
      <c r="A1227" t="str">
        <f>"004840"</f>
        <v>004840</v>
      </c>
      <c r="B1227" t="s">
        <v>389</v>
      </c>
      <c r="C1227">
        <v>72596</v>
      </c>
      <c r="D1227" s="2">
        <v>43.28</v>
      </c>
      <c r="E1227" s="1">
        <v>42989</v>
      </c>
      <c r="F1227" t="str">
        <f>"733375"</f>
        <v>733375</v>
      </c>
      <c r="G1227" t="str">
        <f>"ACCT#550615/PCT#3"</f>
        <v>ACCT#550615/PCT#3</v>
      </c>
      <c r="H1227" s="2">
        <v>43.28</v>
      </c>
      <c r="I1227" t="str">
        <f>"ACCT#550615/PCT#3"</f>
        <v>ACCT#550615/PCT#3</v>
      </c>
    </row>
    <row r="1228" spans="1:9" x14ac:dyDescent="0.3">
      <c r="A1228" t="str">
        <f>"004840"</f>
        <v>004840</v>
      </c>
      <c r="B1228" t="s">
        <v>389</v>
      </c>
      <c r="C1228">
        <v>72818</v>
      </c>
      <c r="D1228" s="2">
        <v>3399.8</v>
      </c>
      <c r="E1228" s="1">
        <v>43003</v>
      </c>
      <c r="F1228" t="str">
        <f>"727030"</f>
        <v>727030</v>
      </c>
      <c r="G1228" t="str">
        <f>"ACCT#550615/PCT#3"</f>
        <v>ACCT#550615/PCT#3</v>
      </c>
      <c r="H1228" s="2">
        <v>3399.8</v>
      </c>
    </row>
    <row r="1229" spans="1:9" x14ac:dyDescent="0.3">
      <c r="A1229" t="str">
        <f>"004840"</f>
        <v>004840</v>
      </c>
      <c r="B1229" t="s">
        <v>389</v>
      </c>
      <c r="C1229">
        <v>72818</v>
      </c>
      <c r="D1229" s="2">
        <v>3399.8</v>
      </c>
      <c r="E1229" s="1">
        <v>43003</v>
      </c>
      <c r="F1229" t="str">
        <f>"CHECK"</f>
        <v>CHECK</v>
      </c>
      <c r="G1229" t="str">
        <f>""</f>
        <v/>
      </c>
      <c r="H1229" s="2">
        <v>3399.8</v>
      </c>
    </row>
    <row r="1230" spans="1:9" x14ac:dyDescent="0.3">
      <c r="A1230" t="str">
        <f>"001260"</f>
        <v>001260</v>
      </c>
      <c r="B1230" t="s">
        <v>390</v>
      </c>
      <c r="C1230">
        <v>72597</v>
      </c>
      <c r="D1230" s="2">
        <v>101.94</v>
      </c>
      <c r="E1230" s="1">
        <v>42989</v>
      </c>
      <c r="F1230" t="str">
        <f>"201709064629"</f>
        <v>201709064629</v>
      </c>
      <c r="G1230" t="str">
        <f>"INDIGENT HEALTH"</f>
        <v>INDIGENT HEALTH</v>
      </c>
      <c r="H1230" s="2">
        <v>101.94</v>
      </c>
      <c r="I1230" t="str">
        <f>"INDIGENT HEALTH"</f>
        <v>INDIGENT HEALTH</v>
      </c>
    </row>
    <row r="1231" spans="1:9" x14ac:dyDescent="0.3">
      <c r="A1231" t="str">
        <f>"001260"</f>
        <v>001260</v>
      </c>
      <c r="B1231" t="s">
        <v>390</v>
      </c>
      <c r="C1231">
        <v>72819</v>
      </c>
      <c r="D1231" s="2">
        <v>171.66</v>
      </c>
      <c r="E1231" s="1">
        <v>43003</v>
      </c>
      <c r="F1231" t="str">
        <f>"201709194993"</f>
        <v>201709194993</v>
      </c>
      <c r="G1231" t="str">
        <f>"INDIGENT HEALTH"</f>
        <v>INDIGENT HEALTH</v>
      </c>
      <c r="H1231" s="2">
        <v>171.66</v>
      </c>
      <c r="I1231" t="str">
        <f>"INDIGENT HEALTH"</f>
        <v>INDIGENT HEALTH</v>
      </c>
    </row>
    <row r="1232" spans="1:9" x14ac:dyDescent="0.3">
      <c r="A1232" t="str">
        <f>"SEI"</f>
        <v>SEI</v>
      </c>
      <c r="B1232" t="s">
        <v>391</v>
      </c>
      <c r="C1232">
        <v>72820</v>
      </c>
      <c r="D1232" s="2">
        <v>145</v>
      </c>
      <c r="E1232" s="1">
        <v>43003</v>
      </c>
      <c r="F1232" t="str">
        <f>"69226"</f>
        <v>69226</v>
      </c>
      <c r="G1232" t="str">
        <f>"INV 69226"</f>
        <v>INV 69226</v>
      </c>
      <c r="H1232" s="2">
        <v>145</v>
      </c>
      <c r="I1232" t="str">
        <f>"INV 69226"</f>
        <v>INV 69226</v>
      </c>
    </row>
    <row r="1233" spans="1:9" x14ac:dyDescent="0.3">
      <c r="A1233" t="str">
        <f>"SS"</f>
        <v>SS</v>
      </c>
      <c r="B1233" t="s">
        <v>392</v>
      </c>
      <c r="C1233">
        <v>72821</v>
      </c>
      <c r="D1233" s="2">
        <v>1111.57</v>
      </c>
      <c r="E1233" s="1">
        <v>43003</v>
      </c>
      <c r="F1233" t="str">
        <f>"201709144893"</f>
        <v>201709144893</v>
      </c>
      <c r="G1233" t="str">
        <f>"STATEMENT#25230/PCT#2"</f>
        <v>STATEMENT#25230/PCT#2</v>
      </c>
      <c r="H1233" s="2">
        <v>221.17</v>
      </c>
      <c r="I1233" t="str">
        <f>"STATEMENT#25230/PCT#2"</f>
        <v>STATEMENT#25230/PCT#2</v>
      </c>
    </row>
    <row r="1234" spans="1:9" x14ac:dyDescent="0.3">
      <c r="A1234" t="str">
        <f>""</f>
        <v/>
      </c>
      <c r="F1234" t="str">
        <f>"25229"</f>
        <v>25229</v>
      </c>
      <c r="G1234" t="str">
        <f>"347891 347892 349693 350500"</f>
        <v>347891 347892 349693 350500</v>
      </c>
      <c r="H1234" s="2">
        <v>890.4</v>
      </c>
      <c r="I1234" t="str">
        <f>"347891 347892 349693 350500"</f>
        <v>347891 347892 349693 350500</v>
      </c>
    </row>
    <row r="1235" spans="1:9" x14ac:dyDescent="0.3">
      <c r="A1235" t="str">
        <f>"SAP"</f>
        <v>SAP</v>
      </c>
      <c r="B1235" t="s">
        <v>393</v>
      </c>
      <c r="C1235">
        <v>72822</v>
      </c>
      <c r="D1235" s="2">
        <v>1124.07</v>
      </c>
      <c r="E1235" s="1">
        <v>43003</v>
      </c>
      <c r="F1235" t="str">
        <f>"201709144892"</f>
        <v>201709144892</v>
      </c>
      <c r="G1235" t="str">
        <f>"ACCT#260/PCT#2"</f>
        <v>ACCT#260/PCT#2</v>
      </c>
      <c r="H1235" s="2">
        <v>1124.07</v>
      </c>
      <c r="I1235" t="str">
        <f>"ACCT#260/PCT#2"</f>
        <v>ACCT#260/PCT#2</v>
      </c>
    </row>
    <row r="1236" spans="1:9" x14ac:dyDescent="0.3">
      <c r="A1236" t="str">
        <f>"002694"</f>
        <v>002694</v>
      </c>
      <c r="B1236" t="s">
        <v>394</v>
      </c>
      <c r="C1236">
        <v>72823</v>
      </c>
      <c r="D1236" s="2">
        <v>2145</v>
      </c>
      <c r="E1236" s="1">
        <v>43003</v>
      </c>
      <c r="F1236" t="str">
        <f>"IN342999"</f>
        <v>IN342999</v>
      </c>
      <c r="G1236" t="str">
        <f>"Solarwinds Orion Renewal"</f>
        <v>Solarwinds Orion Renewal</v>
      </c>
      <c r="H1236" s="2">
        <v>2145</v>
      </c>
      <c r="I1236" t="str">
        <f>"SKU# 17184"</f>
        <v>SKU# 17184</v>
      </c>
    </row>
    <row r="1237" spans="1:9" x14ac:dyDescent="0.3">
      <c r="A1237" t="str">
        <f>""</f>
        <v/>
      </c>
      <c r="F1237" t="str">
        <f>""</f>
        <v/>
      </c>
      <c r="G1237" t="str">
        <f>""</f>
        <v/>
      </c>
      <c r="I1237" t="str">
        <f>"SKU# 17178"</f>
        <v>SKU# 17178</v>
      </c>
    </row>
    <row r="1238" spans="1:9" x14ac:dyDescent="0.3">
      <c r="A1238" t="str">
        <f>""</f>
        <v/>
      </c>
      <c r="F1238" t="str">
        <f>""</f>
        <v/>
      </c>
      <c r="G1238" t="str">
        <f>""</f>
        <v/>
      </c>
      <c r="I1238" t="str">
        <f>"SKU# 17271"</f>
        <v>SKU# 17271</v>
      </c>
    </row>
    <row r="1239" spans="1:9" x14ac:dyDescent="0.3">
      <c r="A1239" t="str">
        <f>""</f>
        <v/>
      </c>
      <c r="F1239" t="str">
        <f>""</f>
        <v/>
      </c>
      <c r="G1239" t="str">
        <f>""</f>
        <v/>
      </c>
      <c r="I1239" t="str">
        <f>"SKU# 17164"</f>
        <v>SKU# 17164</v>
      </c>
    </row>
    <row r="1240" spans="1:9" x14ac:dyDescent="0.3">
      <c r="A1240" t="str">
        <f>"STM"</f>
        <v>STM</v>
      </c>
      <c r="B1240" t="s">
        <v>395</v>
      </c>
      <c r="C1240">
        <v>72598</v>
      </c>
      <c r="D1240" s="2">
        <v>4553.4799999999996</v>
      </c>
      <c r="E1240" s="1">
        <v>42989</v>
      </c>
      <c r="F1240" t="str">
        <f>"0063221783"</f>
        <v>0063221783</v>
      </c>
      <c r="G1240" t="str">
        <f>"ACCT#52157/PCT#3"</f>
        <v>ACCT#52157/PCT#3</v>
      </c>
      <c r="H1240" s="2">
        <v>4553.4799999999996</v>
      </c>
      <c r="I1240" t="str">
        <f>"ACCT#52157/PCT#3"</f>
        <v>ACCT#52157/PCT#3</v>
      </c>
    </row>
    <row r="1241" spans="1:9" x14ac:dyDescent="0.3">
      <c r="A1241" t="str">
        <f>"STM"</f>
        <v>STM</v>
      </c>
      <c r="B1241" t="s">
        <v>395</v>
      </c>
      <c r="C1241">
        <v>72824</v>
      </c>
      <c r="D1241" s="2">
        <v>1782.42</v>
      </c>
      <c r="E1241" s="1">
        <v>43003</v>
      </c>
      <c r="F1241" t="str">
        <f>"63224797"</f>
        <v>63224797</v>
      </c>
      <c r="G1241" t="str">
        <f>"SERVICE/TIRES/P3"</f>
        <v>SERVICE/TIRES/P3</v>
      </c>
      <c r="H1241" s="2">
        <v>1782.42</v>
      </c>
      <c r="I1241" t="str">
        <f>"SERVICE/TIRES/P3"</f>
        <v>SERVICE/TIRES/P3</v>
      </c>
    </row>
    <row r="1242" spans="1:9" x14ac:dyDescent="0.3">
      <c r="A1242" t="str">
        <f>"004843"</f>
        <v>004843</v>
      </c>
      <c r="B1242" t="s">
        <v>396</v>
      </c>
      <c r="C1242">
        <v>72825</v>
      </c>
      <c r="D1242" s="2">
        <v>82.93</v>
      </c>
      <c r="E1242" s="1">
        <v>43003</v>
      </c>
      <c r="F1242" t="str">
        <f>"661776"</f>
        <v>661776</v>
      </c>
      <c r="G1242" t="str">
        <f>"ACCT#114382/PRAZIQUANTEL/BCAS"</f>
        <v>ACCT#114382/PRAZIQUANTEL/BCAS</v>
      </c>
      <c r="H1242" s="2">
        <v>82.93</v>
      </c>
      <c r="I1242" t="str">
        <f>"ACCT#114382/PRAZIQUANTEL/BCAS"</f>
        <v>ACCT#114382/PRAZIQUANTEL/BCAS</v>
      </c>
    </row>
    <row r="1243" spans="1:9" x14ac:dyDescent="0.3">
      <c r="A1243" t="str">
        <f>"003747"</f>
        <v>003747</v>
      </c>
      <c r="B1243" t="s">
        <v>397</v>
      </c>
      <c r="C1243">
        <v>72826</v>
      </c>
      <c r="D1243" s="2">
        <v>10.62</v>
      </c>
      <c r="E1243" s="1">
        <v>43003</v>
      </c>
      <c r="F1243" t="str">
        <f>"A0698356U"</f>
        <v>A0698356U</v>
      </c>
      <c r="G1243" t="str">
        <f>"ACCT#0698356-3"</f>
        <v>ACCT#0698356-3</v>
      </c>
      <c r="H1243" s="2">
        <v>10.62</v>
      </c>
      <c r="I1243" t="str">
        <f>"ACCT#0698356-3"</f>
        <v>ACCT#0698356-3</v>
      </c>
    </row>
    <row r="1244" spans="1:9" x14ac:dyDescent="0.3">
      <c r="A1244" t="str">
        <f>"SDHCS"</f>
        <v>SDHCS</v>
      </c>
      <c r="B1244" t="s">
        <v>398</v>
      </c>
      <c r="C1244">
        <v>72827</v>
      </c>
      <c r="D1244" s="2">
        <v>293.29000000000002</v>
      </c>
      <c r="E1244" s="1">
        <v>43003</v>
      </c>
      <c r="F1244" t="str">
        <f>"201709194994"</f>
        <v>201709194994</v>
      </c>
      <c r="G1244" t="str">
        <f>"INDIGENT HEALTH"</f>
        <v>INDIGENT HEALTH</v>
      </c>
      <c r="H1244" s="2">
        <v>104.22</v>
      </c>
      <c r="I1244" t="str">
        <f>"INDIGENT HEALTH"</f>
        <v>INDIGENT HEALTH</v>
      </c>
    </row>
    <row r="1245" spans="1:9" x14ac:dyDescent="0.3">
      <c r="A1245" t="str">
        <f>""</f>
        <v/>
      </c>
      <c r="F1245" t="str">
        <f>"201709195004"</f>
        <v>201709195004</v>
      </c>
      <c r="G1245" t="str">
        <f>"OUPATIENT SVCS/INDIGENT HEALTH"</f>
        <v>OUPATIENT SVCS/INDIGENT HEALTH</v>
      </c>
      <c r="H1245" s="2">
        <v>100.71</v>
      </c>
      <c r="I1245" t="str">
        <f>"OUPATIENT SVCS/INDIGENT HEALTH"</f>
        <v>OUPATIENT SVCS/INDIGENT HEALTH</v>
      </c>
    </row>
    <row r="1246" spans="1:9" x14ac:dyDescent="0.3">
      <c r="A1246" t="str">
        <f>""</f>
        <v/>
      </c>
      <c r="F1246" t="str">
        <f>"201709195005"</f>
        <v>201709195005</v>
      </c>
      <c r="G1246" t="str">
        <f>"OUTPATIENT SVCS/INDIGENT HEALT"</f>
        <v>OUTPATIENT SVCS/INDIGENT HEALT</v>
      </c>
      <c r="H1246" s="2">
        <v>88.36</v>
      </c>
      <c r="I1246" t="str">
        <f>"OUTPATIENT SVCS/INDIGENT HEALT"</f>
        <v>OUTPATIENT SVCS/INDIGENT HEALT</v>
      </c>
    </row>
    <row r="1247" spans="1:9" x14ac:dyDescent="0.3">
      <c r="A1247" t="str">
        <f>"003508"</f>
        <v>003508</v>
      </c>
      <c r="B1247" t="s">
        <v>399</v>
      </c>
      <c r="C1247">
        <v>72599</v>
      </c>
      <c r="D1247" s="2">
        <v>2526.1999999999998</v>
      </c>
      <c r="E1247" s="1">
        <v>42989</v>
      </c>
      <c r="F1247" t="str">
        <f>"8045943179"</f>
        <v>8045943179</v>
      </c>
      <c r="G1247" t="str">
        <f>"Sum Inv. 8045943179"</f>
        <v>Sum Inv. 8045943179</v>
      </c>
      <c r="H1247" s="2">
        <v>2526.1999999999998</v>
      </c>
      <c r="I1247" t="str">
        <f>"Inv# 3349387874"</f>
        <v>Inv# 3349387874</v>
      </c>
    </row>
    <row r="1248" spans="1:9" x14ac:dyDescent="0.3">
      <c r="A1248" t="str">
        <f>""</f>
        <v/>
      </c>
      <c r="F1248" t="str">
        <f>""</f>
        <v/>
      </c>
      <c r="G1248" t="str">
        <f>""</f>
        <v/>
      </c>
      <c r="I1248" t="str">
        <f>"Inv# 3349387875"</f>
        <v>Inv# 3349387875</v>
      </c>
    </row>
    <row r="1249" spans="1:9" x14ac:dyDescent="0.3">
      <c r="A1249" t="str">
        <f>""</f>
        <v/>
      </c>
      <c r="F1249" t="str">
        <f>""</f>
        <v/>
      </c>
      <c r="G1249" t="str">
        <f>""</f>
        <v/>
      </c>
      <c r="I1249" t="str">
        <f>"Inv# 3349387874"</f>
        <v>Inv# 3349387874</v>
      </c>
    </row>
    <row r="1250" spans="1:9" x14ac:dyDescent="0.3">
      <c r="A1250" t="str">
        <f>""</f>
        <v/>
      </c>
      <c r="F1250" t="str">
        <f>""</f>
        <v/>
      </c>
      <c r="G1250" t="str">
        <f>""</f>
        <v/>
      </c>
      <c r="I1250" t="str">
        <f>"Inv# 3349387874"</f>
        <v>Inv# 3349387874</v>
      </c>
    </row>
    <row r="1251" spans="1:9" x14ac:dyDescent="0.3">
      <c r="A1251" t="str">
        <f>""</f>
        <v/>
      </c>
      <c r="F1251" t="str">
        <f>""</f>
        <v/>
      </c>
      <c r="G1251" t="str">
        <f>""</f>
        <v/>
      </c>
      <c r="I1251" t="str">
        <f>"Inv# 3349387869"</f>
        <v>Inv# 3349387869</v>
      </c>
    </row>
    <row r="1252" spans="1:9" x14ac:dyDescent="0.3">
      <c r="A1252" t="str">
        <f>""</f>
        <v/>
      </c>
      <c r="F1252" t="str">
        <f>""</f>
        <v/>
      </c>
      <c r="G1252" t="str">
        <f>""</f>
        <v/>
      </c>
      <c r="I1252" t="str">
        <f>"Inv# 3349387865"</f>
        <v>Inv# 3349387865</v>
      </c>
    </row>
    <row r="1253" spans="1:9" x14ac:dyDescent="0.3">
      <c r="A1253" t="str">
        <f>""</f>
        <v/>
      </c>
      <c r="F1253" t="str">
        <f>""</f>
        <v/>
      </c>
      <c r="G1253" t="str">
        <f>""</f>
        <v/>
      </c>
      <c r="I1253" t="str">
        <f>"Inv# 3349387866"</f>
        <v>Inv# 3349387866</v>
      </c>
    </row>
    <row r="1254" spans="1:9" x14ac:dyDescent="0.3">
      <c r="A1254" t="str">
        <f>""</f>
        <v/>
      </c>
      <c r="F1254" t="str">
        <f>""</f>
        <v/>
      </c>
      <c r="G1254" t="str">
        <f>""</f>
        <v/>
      </c>
      <c r="I1254" t="str">
        <f>"Inv# 3349387867"</f>
        <v>Inv# 3349387867</v>
      </c>
    </row>
    <row r="1255" spans="1:9" x14ac:dyDescent="0.3">
      <c r="A1255" t="str">
        <f>""</f>
        <v/>
      </c>
      <c r="F1255" t="str">
        <f>""</f>
        <v/>
      </c>
      <c r="G1255" t="str">
        <f>""</f>
        <v/>
      </c>
      <c r="I1255" t="str">
        <f>"Inv# 3349387868"</f>
        <v>Inv# 3349387868</v>
      </c>
    </row>
    <row r="1256" spans="1:9" x14ac:dyDescent="0.3">
      <c r="A1256" t="str">
        <f>""</f>
        <v/>
      </c>
      <c r="F1256" t="str">
        <f>""</f>
        <v/>
      </c>
      <c r="G1256" t="str">
        <f>""</f>
        <v/>
      </c>
      <c r="I1256" t="str">
        <f>"Inv# 3349387872"</f>
        <v>Inv# 3349387872</v>
      </c>
    </row>
    <row r="1257" spans="1:9" x14ac:dyDescent="0.3">
      <c r="A1257" t="str">
        <f>""</f>
        <v/>
      </c>
      <c r="F1257" t="str">
        <f>""</f>
        <v/>
      </c>
      <c r="G1257" t="str">
        <f>""</f>
        <v/>
      </c>
      <c r="I1257" t="str">
        <f>"Inv# 3349387873"</f>
        <v>Inv# 3349387873</v>
      </c>
    </row>
    <row r="1258" spans="1:9" x14ac:dyDescent="0.3">
      <c r="A1258" t="str">
        <f>""</f>
        <v/>
      </c>
      <c r="F1258" t="str">
        <f>""</f>
        <v/>
      </c>
      <c r="G1258" t="str">
        <f>""</f>
        <v/>
      </c>
      <c r="I1258" t="str">
        <f>"Inv# 3349387871"</f>
        <v>Inv# 3349387871</v>
      </c>
    </row>
    <row r="1259" spans="1:9" x14ac:dyDescent="0.3">
      <c r="A1259" t="str">
        <f>""</f>
        <v/>
      </c>
      <c r="F1259" t="str">
        <f>""</f>
        <v/>
      </c>
      <c r="G1259" t="str">
        <f>""</f>
        <v/>
      </c>
      <c r="I1259" t="str">
        <f>"Inv# 3349387870"</f>
        <v>Inv# 3349387870</v>
      </c>
    </row>
    <row r="1260" spans="1:9" x14ac:dyDescent="0.3">
      <c r="A1260" t="str">
        <f>""</f>
        <v/>
      </c>
      <c r="F1260" t="str">
        <f>""</f>
        <v/>
      </c>
      <c r="G1260" t="str">
        <f>""</f>
        <v/>
      </c>
      <c r="I1260" t="str">
        <f>"Inv# 3349387858"</f>
        <v>Inv# 3349387858</v>
      </c>
    </row>
    <row r="1261" spans="1:9" x14ac:dyDescent="0.3">
      <c r="A1261" t="str">
        <f>""</f>
        <v/>
      </c>
      <c r="F1261" t="str">
        <f>""</f>
        <v/>
      </c>
      <c r="G1261" t="str">
        <f>""</f>
        <v/>
      </c>
      <c r="I1261" t="str">
        <f>"Inv# 3349387859"</f>
        <v>Inv# 3349387859</v>
      </c>
    </row>
    <row r="1262" spans="1:9" x14ac:dyDescent="0.3">
      <c r="A1262" t="str">
        <f>""</f>
        <v/>
      </c>
      <c r="F1262" t="str">
        <f>""</f>
        <v/>
      </c>
      <c r="G1262" t="str">
        <f>""</f>
        <v/>
      </c>
      <c r="I1262" t="str">
        <f>"Inv# 3349387860"</f>
        <v>Inv# 3349387860</v>
      </c>
    </row>
    <row r="1263" spans="1:9" x14ac:dyDescent="0.3">
      <c r="A1263" t="str">
        <f>""</f>
        <v/>
      </c>
      <c r="F1263" t="str">
        <f>""</f>
        <v/>
      </c>
      <c r="G1263" t="str">
        <f>""</f>
        <v/>
      </c>
      <c r="I1263" t="str">
        <f>"Inv# 3349387862"</f>
        <v>Inv# 3349387862</v>
      </c>
    </row>
    <row r="1264" spans="1:9" x14ac:dyDescent="0.3">
      <c r="A1264" t="str">
        <f>""</f>
        <v/>
      </c>
      <c r="F1264" t="str">
        <f>""</f>
        <v/>
      </c>
      <c r="G1264" t="str">
        <f>""</f>
        <v/>
      </c>
      <c r="I1264" t="str">
        <f>"Inv# 3349387864"</f>
        <v>Inv# 3349387864</v>
      </c>
    </row>
    <row r="1265" spans="1:9" x14ac:dyDescent="0.3">
      <c r="A1265" t="str">
        <f>"003508"</f>
        <v>003508</v>
      </c>
      <c r="B1265" t="s">
        <v>399</v>
      </c>
      <c r="C1265">
        <v>72828</v>
      </c>
      <c r="D1265" s="2">
        <v>1673.69</v>
      </c>
      <c r="E1265" s="1">
        <v>43003</v>
      </c>
      <c r="F1265" t="str">
        <f>"8046204173"</f>
        <v>8046204173</v>
      </c>
      <c r="G1265" t="str">
        <f>"Sum Inv# 8046204173"</f>
        <v>Sum Inv# 8046204173</v>
      </c>
      <c r="H1265" s="2">
        <v>1673.69</v>
      </c>
      <c r="I1265" t="str">
        <f>"Inv# 3351502037"</f>
        <v>Inv# 3351502037</v>
      </c>
    </row>
    <row r="1266" spans="1:9" x14ac:dyDescent="0.3">
      <c r="A1266" t="str">
        <f>""</f>
        <v/>
      </c>
      <c r="F1266" t="str">
        <f>""</f>
        <v/>
      </c>
      <c r="G1266" t="str">
        <f>""</f>
        <v/>
      </c>
      <c r="I1266" t="str">
        <f>"Inv# 3351502058"</f>
        <v>Inv# 3351502058</v>
      </c>
    </row>
    <row r="1267" spans="1:9" x14ac:dyDescent="0.3">
      <c r="A1267" t="str">
        <f>""</f>
        <v/>
      </c>
      <c r="F1267" t="str">
        <f>""</f>
        <v/>
      </c>
      <c r="G1267" t="str">
        <f>""</f>
        <v/>
      </c>
      <c r="I1267" t="str">
        <f>"Inv# 3351502051"</f>
        <v>Inv# 3351502051</v>
      </c>
    </row>
    <row r="1268" spans="1:9" x14ac:dyDescent="0.3">
      <c r="A1268" t="str">
        <f>""</f>
        <v/>
      </c>
      <c r="F1268" t="str">
        <f>""</f>
        <v/>
      </c>
      <c r="G1268" t="str">
        <f>""</f>
        <v/>
      </c>
      <c r="I1268" t="str">
        <f>"Inv# 3351502052"</f>
        <v>Inv# 3351502052</v>
      </c>
    </row>
    <row r="1269" spans="1:9" x14ac:dyDescent="0.3">
      <c r="A1269" t="str">
        <f>""</f>
        <v/>
      </c>
      <c r="F1269" t="str">
        <f>""</f>
        <v/>
      </c>
      <c r="G1269" t="str">
        <f>""</f>
        <v/>
      </c>
      <c r="I1269" t="str">
        <f>"Inv# 3351502053"</f>
        <v>Inv# 3351502053</v>
      </c>
    </row>
    <row r="1270" spans="1:9" x14ac:dyDescent="0.3">
      <c r="A1270" t="str">
        <f>""</f>
        <v/>
      </c>
      <c r="F1270" t="str">
        <f>""</f>
        <v/>
      </c>
      <c r="G1270" t="str">
        <f>""</f>
        <v/>
      </c>
      <c r="I1270" t="str">
        <f>"Inv# 3351502034"</f>
        <v>Inv# 3351502034</v>
      </c>
    </row>
    <row r="1271" spans="1:9" x14ac:dyDescent="0.3">
      <c r="A1271" t="str">
        <f>""</f>
        <v/>
      </c>
      <c r="F1271" t="str">
        <f>""</f>
        <v/>
      </c>
      <c r="G1271" t="str">
        <f>""</f>
        <v/>
      </c>
      <c r="I1271" t="str">
        <f>"Inv# 3351502054"</f>
        <v>Inv# 3351502054</v>
      </c>
    </row>
    <row r="1272" spans="1:9" x14ac:dyDescent="0.3">
      <c r="A1272" t="str">
        <f>""</f>
        <v/>
      </c>
      <c r="F1272" t="str">
        <f>""</f>
        <v/>
      </c>
      <c r="G1272" t="str">
        <f>""</f>
        <v/>
      </c>
      <c r="I1272" t="str">
        <f>"Inv# 3351502050"</f>
        <v>Inv# 3351502050</v>
      </c>
    </row>
    <row r="1273" spans="1:9" x14ac:dyDescent="0.3">
      <c r="A1273" t="str">
        <f>""</f>
        <v/>
      </c>
      <c r="F1273" t="str">
        <f>""</f>
        <v/>
      </c>
      <c r="G1273" t="str">
        <f>""</f>
        <v/>
      </c>
      <c r="I1273" t="str">
        <f>"Inv# 3351502053"</f>
        <v>Inv# 3351502053</v>
      </c>
    </row>
    <row r="1274" spans="1:9" x14ac:dyDescent="0.3">
      <c r="A1274" t="str">
        <f>""</f>
        <v/>
      </c>
      <c r="F1274" t="str">
        <f>""</f>
        <v/>
      </c>
      <c r="G1274" t="str">
        <f>""</f>
        <v/>
      </c>
      <c r="I1274" t="str">
        <f>"Inv# 3351502038"</f>
        <v>Inv# 3351502038</v>
      </c>
    </row>
    <row r="1275" spans="1:9" x14ac:dyDescent="0.3">
      <c r="A1275" t="str">
        <f>""</f>
        <v/>
      </c>
      <c r="F1275" t="str">
        <f>""</f>
        <v/>
      </c>
      <c r="G1275" t="str">
        <f>""</f>
        <v/>
      </c>
      <c r="I1275" t="str">
        <f>"Inv# 3351502039"</f>
        <v>Inv# 3351502039</v>
      </c>
    </row>
    <row r="1276" spans="1:9" x14ac:dyDescent="0.3">
      <c r="A1276" t="str">
        <f>""</f>
        <v/>
      </c>
      <c r="F1276" t="str">
        <f>""</f>
        <v/>
      </c>
      <c r="G1276" t="str">
        <f>""</f>
        <v/>
      </c>
      <c r="I1276" t="str">
        <f>"Inv# 3351502040"</f>
        <v>Inv# 3351502040</v>
      </c>
    </row>
    <row r="1277" spans="1:9" x14ac:dyDescent="0.3">
      <c r="A1277" t="str">
        <f>""</f>
        <v/>
      </c>
      <c r="F1277" t="str">
        <f>""</f>
        <v/>
      </c>
      <c r="G1277" t="str">
        <f>""</f>
        <v/>
      </c>
      <c r="I1277" t="str">
        <f>"Inv# 3351502041"</f>
        <v>Inv# 3351502041</v>
      </c>
    </row>
    <row r="1278" spans="1:9" x14ac:dyDescent="0.3">
      <c r="A1278" t="str">
        <f>""</f>
        <v/>
      </c>
      <c r="F1278" t="str">
        <f>""</f>
        <v/>
      </c>
      <c r="G1278" t="str">
        <f>""</f>
        <v/>
      </c>
      <c r="I1278" t="str">
        <f>"Inv# 3351502042"</f>
        <v>Inv# 3351502042</v>
      </c>
    </row>
    <row r="1279" spans="1:9" x14ac:dyDescent="0.3">
      <c r="A1279" t="str">
        <f>""</f>
        <v/>
      </c>
      <c r="F1279" t="str">
        <f>""</f>
        <v/>
      </c>
      <c r="G1279" t="str">
        <f>""</f>
        <v/>
      </c>
      <c r="I1279" t="str">
        <f>"Inv# 3351502044"</f>
        <v>Inv# 3351502044</v>
      </c>
    </row>
    <row r="1280" spans="1:9" x14ac:dyDescent="0.3">
      <c r="A1280" t="str">
        <f>""</f>
        <v/>
      </c>
      <c r="F1280" t="str">
        <f>""</f>
        <v/>
      </c>
      <c r="G1280" t="str">
        <f>""</f>
        <v/>
      </c>
      <c r="I1280" t="str">
        <f>"Inv# 3351502045"</f>
        <v>Inv# 3351502045</v>
      </c>
    </row>
    <row r="1281" spans="1:10" x14ac:dyDescent="0.3">
      <c r="A1281" t="str">
        <f>""</f>
        <v/>
      </c>
      <c r="F1281" t="str">
        <f>""</f>
        <v/>
      </c>
      <c r="G1281" t="str">
        <f>""</f>
        <v/>
      </c>
      <c r="I1281" t="str">
        <f>"Inv# 3351502046"</f>
        <v>Inv# 3351502046</v>
      </c>
    </row>
    <row r="1282" spans="1:10" x14ac:dyDescent="0.3">
      <c r="A1282" t="str">
        <f>""</f>
        <v/>
      </c>
      <c r="F1282" t="str">
        <f>""</f>
        <v/>
      </c>
      <c r="G1282" t="str">
        <f>""</f>
        <v/>
      </c>
      <c r="I1282" t="str">
        <f>"Inv# 3351502047"</f>
        <v>Inv# 3351502047</v>
      </c>
    </row>
    <row r="1283" spans="1:10" x14ac:dyDescent="0.3">
      <c r="A1283" t="str">
        <f>""</f>
        <v/>
      </c>
      <c r="F1283" t="str">
        <f>""</f>
        <v/>
      </c>
      <c r="G1283" t="str">
        <f>""</f>
        <v/>
      </c>
      <c r="I1283" t="str">
        <f>"Inv# 3351502048"</f>
        <v>Inv# 3351502048</v>
      </c>
    </row>
    <row r="1284" spans="1:10" x14ac:dyDescent="0.3">
      <c r="A1284" t="str">
        <f>""</f>
        <v/>
      </c>
      <c r="F1284" t="str">
        <f>""</f>
        <v/>
      </c>
      <c r="G1284" t="str">
        <f>""</f>
        <v/>
      </c>
      <c r="I1284" t="str">
        <f>"Inv# 3351502049"</f>
        <v>Inv# 3351502049</v>
      </c>
    </row>
    <row r="1285" spans="1:10" x14ac:dyDescent="0.3">
      <c r="A1285" t="str">
        <f>"T459"</f>
        <v>T459</v>
      </c>
      <c r="B1285" t="s">
        <v>400</v>
      </c>
      <c r="C1285">
        <v>72600</v>
      </c>
      <c r="D1285" s="2">
        <v>1163.9100000000001</v>
      </c>
      <c r="E1285" s="1">
        <v>42989</v>
      </c>
      <c r="F1285" t="str">
        <f>"201709064552"</f>
        <v>201709064552</v>
      </c>
      <c r="G1285" t="str">
        <f>"EIN#74-6000226/JULY 2017"</f>
        <v>EIN#74-6000226/JULY 2017</v>
      </c>
      <c r="H1285" s="2">
        <v>520.03</v>
      </c>
      <c r="I1285" t="str">
        <f>"EIN#74-6000226/JULY 2017"</f>
        <v>EIN#74-6000226/JULY 2017</v>
      </c>
    </row>
    <row r="1286" spans="1:10" x14ac:dyDescent="0.3">
      <c r="A1286" t="str">
        <f>""</f>
        <v/>
      </c>
      <c r="F1286" t="str">
        <f>"201709064553"</f>
        <v>201709064553</v>
      </c>
      <c r="G1286" t="str">
        <f>"EIN#74-6000226/AUGUST 2017"</f>
        <v>EIN#74-6000226/AUGUST 2017</v>
      </c>
      <c r="H1286" s="2">
        <v>643.88</v>
      </c>
      <c r="I1286" t="str">
        <f>"EIN#74-6000226/AUGUST 2017"</f>
        <v>EIN#74-6000226/AUGUST 2017</v>
      </c>
    </row>
    <row r="1287" spans="1:10" x14ac:dyDescent="0.3">
      <c r="A1287" t="str">
        <f>"T8648"</f>
        <v>T8648</v>
      </c>
      <c r="B1287" t="s">
        <v>401</v>
      </c>
      <c r="C1287">
        <v>72601</v>
      </c>
      <c r="D1287" s="2">
        <v>723.61</v>
      </c>
      <c r="E1287" s="1">
        <v>42989</v>
      </c>
      <c r="F1287" t="str">
        <f>"4007305920"</f>
        <v>4007305920</v>
      </c>
      <c r="G1287" t="str">
        <f>"INV 4007305920"</f>
        <v>INV 4007305920</v>
      </c>
      <c r="H1287" s="2">
        <v>723.61</v>
      </c>
      <c r="I1287" t="str">
        <f>"INV 4007305920"</f>
        <v>INV 4007305920</v>
      </c>
    </row>
    <row r="1288" spans="1:10" x14ac:dyDescent="0.3">
      <c r="A1288" t="str">
        <f>"002260"</f>
        <v>002260</v>
      </c>
      <c r="B1288" t="s">
        <v>402</v>
      </c>
      <c r="C1288">
        <v>72602</v>
      </c>
      <c r="D1288" s="2">
        <v>299</v>
      </c>
      <c r="E1288" s="1">
        <v>42989</v>
      </c>
      <c r="F1288" t="str">
        <f>"201709064535"</f>
        <v>201709064535</v>
      </c>
      <c r="G1288" t="str">
        <f>"TRASH REMOVAL PCT4/9-4 TO 9/8"</f>
        <v>TRASH REMOVAL PCT4/9-4 TO 9/8</v>
      </c>
      <c r="H1288" s="2">
        <v>130</v>
      </c>
      <c r="I1288" t="str">
        <f>"TRASH REMOVAL PCT4/9-4 TO 9/8"</f>
        <v>TRASH REMOVAL PCT4/9-4 TO 9/8</v>
      </c>
    </row>
    <row r="1289" spans="1:10" x14ac:dyDescent="0.3">
      <c r="A1289" t="str">
        <f>""</f>
        <v/>
      </c>
      <c r="F1289" t="str">
        <f>"201709064536"</f>
        <v>201709064536</v>
      </c>
      <c r="G1289" t="str">
        <f>"TRASH REMOV PCT4/8-28 TO 8/31"</f>
        <v>TRASH REMOV PCT4/8-28 TO 8/31</v>
      </c>
      <c r="H1289" s="2">
        <v>169</v>
      </c>
      <c r="I1289" t="str">
        <f>"TRASH REMOV PCT4/8-28 TO 8/31"</f>
        <v>TRASH REMOV PCT4/8-28 TO 8/31</v>
      </c>
    </row>
    <row r="1290" spans="1:10" x14ac:dyDescent="0.3">
      <c r="A1290" t="str">
        <f>"002260"</f>
        <v>002260</v>
      </c>
      <c r="B1290" t="s">
        <v>402</v>
      </c>
      <c r="C1290">
        <v>72829</v>
      </c>
      <c r="D1290" s="2">
        <v>429</v>
      </c>
      <c r="E1290" s="1">
        <v>43003</v>
      </c>
      <c r="F1290" t="str">
        <f>"201709194970"</f>
        <v>201709194970</v>
      </c>
      <c r="G1290" t="str">
        <f>"TRASH REMOVAL/9-11 TO 9/22/P4"</f>
        <v>TRASH REMOVAL/9-11 TO 9/22/P4</v>
      </c>
      <c r="H1290" s="2">
        <v>429</v>
      </c>
      <c r="I1290" t="str">
        <f>"TRASH REMOVAL/9-11 TO 9/22/P4"</f>
        <v>TRASH REMOVAL/9-11 TO 9/22/P4</v>
      </c>
    </row>
    <row r="1291" spans="1:10" x14ac:dyDescent="0.3">
      <c r="A1291" t="str">
        <f>"004775"</f>
        <v>004775</v>
      </c>
      <c r="B1291" t="s">
        <v>403</v>
      </c>
      <c r="C1291">
        <v>72603</v>
      </c>
      <c r="D1291" s="2">
        <v>7040</v>
      </c>
      <c r="E1291" s="1">
        <v>42989</v>
      </c>
      <c r="F1291" t="str">
        <f>"87"</f>
        <v>87</v>
      </c>
      <c r="G1291" t="str">
        <f>"SHREDDING/MOWING/PCT#2"</f>
        <v>SHREDDING/MOWING/PCT#2</v>
      </c>
      <c r="H1291" s="2">
        <v>7040</v>
      </c>
      <c r="I1291" t="str">
        <f>"SHREDDING/MOWING/PCT#2"</f>
        <v>SHREDDING/MOWING/PCT#2</v>
      </c>
    </row>
    <row r="1292" spans="1:10" x14ac:dyDescent="0.3">
      <c r="A1292" t="str">
        <f>"004775"</f>
        <v>004775</v>
      </c>
      <c r="B1292" t="s">
        <v>403</v>
      </c>
      <c r="C1292">
        <v>72830</v>
      </c>
      <c r="D1292" s="2">
        <v>8960</v>
      </c>
      <c r="E1292" s="1">
        <v>43003</v>
      </c>
      <c r="F1292" t="str">
        <f>"99"</f>
        <v>99</v>
      </c>
      <c r="G1292" t="str">
        <f>"SHREDDING/MOWING/BLOWING/TRASH"</f>
        <v>SHREDDING/MOWING/BLOWING/TRASH</v>
      </c>
      <c r="H1292" s="2">
        <v>8960</v>
      </c>
      <c r="I1292" t="str">
        <f>"SHREDDING/MOWING/BLOWING/TRASH"</f>
        <v>SHREDDING/MOWING/BLOWING/TRASH</v>
      </c>
    </row>
    <row r="1293" spans="1:10" x14ac:dyDescent="0.3">
      <c r="A1293" t="str">
        <f>"003754"</f>
        <v>003754</v>
      </c>
      <c r="B1293" t="s">
        <v>404</v>
      </c>
      <c r="C1293">
        <v>72831</v>
      </c>
      <c r="D1293" s="2">
        <v>4536</v>
      </c>
      <c r="E1293" s="1">
        <v>43003</v>
      </c>
      <c r="F1293" t="str">
        <f>"S002519"</f>
        <v>S002519</v>
      </c>
      <c r="G1293" t="str">
        <f>"SXSW Package"</f>
        <v>SXSW Package</v>
      </c>
      <c r="H1293" s="2">
        <v>4536</v>
      </c>
      <c r="I1293" t="str">
        <f>"SXSW Package"</f>
        <v>SXSW Package</v>
      </c>
    </row>
    <row r="1294" spans="1:10" x14ac:dyDescent="0.3">
      <c r="A1294" t="str">
        <f>"002977"</f>
        <v>002977</v>
      </c>
      <c r="B1294" t="s">
        <v>405</v>
      </c>
      <c r="C1294">
        <v>72604</v>
      </c>
      <c r="D1294" s="2">
        <v>625</v>
      </c>
      <c r="E1294" s="1">
        <v>42989</v>
      </c>
      <c r="F1294" t="str">
        <f>"300000818"</f>
        <v>300000818</v>
      </c>
      <c r="G1294" t="str">
        <f>"DMO TEXAN MEMBERSHIP DUES"</f>
        <v>DMO TEXAN MEMBERSHIP DUES</v>
      </c>
      <c r="H1294" s="2">
        <v>625</v>
      </c>
      <c r="I1294" t="str">
        <f>"DMO TEXAN MEMBERSHIP DUES"</f>
        <v>DMO TEXAN MEMBERSHIP DUES</v>
      </c>
    </row>
    <row r="1295" spans="1:10" x14ac:dyDescent="0.3">
      <c r="A1295" t="str">
        <f>"001979"</f>
        <v>001979</v>
      </c>
      <c r="B1295" t="s">
        <v>406</v>
      </c>
      <c r="C1295">
        <v>72605</v>
      </c>
      <c r="D1295" s="2">
        <v>44.59</v>
      </c>
      <c r="E1295" s="1">
        <v>42989</v>
      </c>
      <c r="F1295" t="str">
        <f>"INK/CIVIL PROCESS"</f>
        <v>INK/CIVIL PROCESS</v>
      </c>
      <c r="G1295" t="str">
        <f>"REIMBURSEMENT"</f>
        <v>REIMBURSEMENT</v>
      </c>
      <c r="H1295" s="2">
        <v>44.59</v>
      </c>
      <c r="I1295" t="str">
        <f>"REIMBURSEMENT"</f>
        <v>REIMBURSEMENT</v>
      </c>
    </row>
    <row r="1296" spans="1:10" x14ac:dyDescent="0.3">
      <c r="A1296" t="str">
        <f>"002633"</f>
        <v>002633</v>
      </c>
      <c r="B1296" t="s">
        <v>407</v>
      </c>
      <c r="C1296">
        <v>72832</v>
      </c>
      <c r="D1296" s="2">
        <v>150</v>
      </c>
      <c r="E1296" s="1">
        <v>43003</v>
      </c>
      <c r="F1296" t="s">
        <v>93</v>
      </c>
      <c r="G1296" t="s">
        <v>100</v>
      </c>
      <c r="H1296" s="2" t="str">
        <f>"SERVICE  6/14/17"</f>
        <v>SERVICE  6/14/17</v>
      </c>
      <c r="I1296" t="str">
        <f>"995-4110"</f>
        <v>995-4110</v>
      </c>
      <c r="J1296">
        <v>150</v>
      </c>
    </row>
    <row r="1297" spans="1:9" x14ac:dyDescent="0.3">
      <c r="A1297" t="str">
        <f>"004087"</f>
        <v>004087</v>
      </c>
      <c r="B1297" t="s">
        <v>408</v>
      </c>
      <c r="C1297">
        <v>72606</v>
      </c>
      <c r="D1297" s="2">
        <v>92.96</v>
      </c>
      <c r="E1297" s="1">
        <v>42989</v>
      </c>
      <c r="F1297" t="str">
        <f>"17090105"</f>
        <v>17090105</v>
      </c>
      <c r="G1297" t="str">
        <f>"SERVICE CONTRACT PMT USAGE"</f>
        <v>SERVICE CONTRACT PMT USAGE</v>
      </c>
      <c r="H1297" s="2">
        <v>92.96</v>
      </c>
      <c r="I1297" t="str">
        <f>"SERVICE CONTRACT PMT USAGE"</f>
        <v>SERVICE CONTRACT PMT USAGE</v>
      </c>
    </row>
    <row r="1298" spans="1:9" x14ac:dyDescent="0.3">
      <c r="A1298" t="str">
        <f>"T14477"</f>
        <v>T14477</v>
      </c>
      <c r="B1298" t="s">
        <v>409</v>
      </c>
      <c r="C1298">
        <v>72607</v>
      </c>
      <c r="D1298" s="2">
        <v>375</v>
      </c>
      <c r="E1298" s="1">
        <v>42989</v>
      </c>
      <c r="F1298" t="str">
        <f>"201708314473"</f>
        <v>201708314473</v>
      </c>
      <c r="G1298" t="str">
        <f>"TCOLE TRAINING COORD CONF"</f>
        <v>TCOLE TRAINING COORD CONF</v>
      </c>
      <c r="H1298" s="2">
        <v>375</v>
      </c>
      <c r="I1298" t="str">
        <f>"TCOLE TRAINING COORD CONF"</f>
        <v>TCOLE TRAINING COORD CONF</v>
      </c>
    </row>
    <row r="1299" spans="1:9" x14ac:dyDescent="0.3">
      <c r="A1299" t="str">
        <f>"T14477"</f>
        <v>T14477</v>
      </c>
      <c r="B1299" t="s">
        <v>409</v>
      </c>
      <c r="C1299">
        <v>72833</v>
      </c>
      <c r="D1299" s="2">
        <v>125</v>
      </c>
      <c r="E1299" s="1">
        <v>43003</v>
      </c>
      <c r="F1299" t="str">
        <f>"CONFERENCE-RAMIREZ"</f>
        <v>CONFERENCE-RAMIREZ</v>
      </c>
      <c r="G1299" t="str">
        <f>"2017 CONFERENCE"</f>
        <v>2017 CONFERENCE</v>
      </c>
      <c r="H1299" s="2">
        <v>125</v>
      </c>
      <c r="I1299" t="str">
        <f>"2017 CONFERENCE"</f>
        <v>2017 CONFERENCE</v>
      </c>
    </row>
    <row r="1300" spans="1:9" x14ac:dyDescent="0.3">
      <c r="A1300" t="str">
        <f>"T8745"</f>
        <v>T8745</v>
      </c>
      <c r="B1300" t="s">
        <v>410</v>
      </c>
      <c r="C1300">
        <v>999999</v>
      </c>
      <c r="D1300" s="2">
        <v>193</v>
      </c>
      <c r="E1300" s="1">
        <v>43004</v>
      </c>
      <c r="F1300" t="str">
        <f>"1710057"</f>
        <v>1710057</v>
      </c>
      <c r="G1300" t="str">
        <f>"MONTHLY CONTRACT BILLING"</f>
        <v>MONTHLY CONTRACT BILLING</v>
      </c>
      <c r="H1300" s="2">
        <v>193</v>
      </c>
      <c r="I1300" t="str">
        <f>"MONTHLY CONTRACT BILLING"</f>
        <v>MONTHLY CONTRACT BILLING</v>
      </c>
    </row>
    <row r="1301" spans="1:9" x14ac:dyDescent="0.3">
      <c r="A1301" t="str">
        <f>"003281"</f>
        <v>003281</v>
      </c>
      <c r="B1301" t="s">
        <v>411</v>
      </c>
      <c r="C1301">
        <v>72608</v>
      </c>
      <c r="D1301" s="2">
        <v>4581.25</v>
      </c>
      <c r="E1301" s="1">
        <v>42989</v>
      </c>
      <c r="F1301" t="str">
        <f>"201709064565"</f>
        <v>201709064565</v>
      </c>
      <c r="G1301" t="str">
        <f>"16 035"</f>
        <v>16 035</v>
      </c>
      <c r="H1301" s="2">
        <v>4581.25</v>
      </c>
      <c r="I1301" t="str">
        <f>"16 035"</f>
        <v>16 035</v>
      </c>
    </row>
    <row r="1302" spans="1:9" x14ac:dyDescent="0.3">
      <c r="A1302" t="str">
        <f>"002996"</f>
        <v>002996</v>
      </c>
      <c r="B1302" t="s">
        <v>412</v>
      </c>
      <c r="C1302">
        <v>72609</v>
      </c>
      <c r="D1302" s="2">
        <v>18570</v>
      </c>
      <c r="E1302" s="1">
        <v>42989</v>
      </c>
      <c r="F1302" t="str">
        <f>"1149"</f>
        <v>1149</v>
      </c>
      <c r="G1302" t="str">
        <f>"Concrete Work"</f>
        <v>Concrete Work</v>
      </c>
      <c r="H1302" s="2">
        <v>18570</v>
      </c>
      <c r="I1302" t="str">
        <f>"Concrete Work"</f>
        <v>Concrete Work</v>
      </c>
    </row>
    <row r="1303" spans="1:9" x14ac:dyDescent="0.3">
      <c r="A1303" t="str">
        <f>"002527"</f>
        <v>002527</v>
      </c>
      <c r="B1303" t="s">
        <v>413</v>
      </c>
      <c r="C1303">
        <v>72834</v>
      </c>
      <c r="D1303" s="2">
        <v>713.53</v>
      </c>
      <c r="E1303" s="1">
        <v>43003</v>
      </c>
      <c r="F1303" t="str">
        <f>"288632"</f>
        <v>288632</v>
      </c>
      <c r="G1303" t="str">
        <f>"INV 288632"</f>
        <v>INV 288632</v>
      </c>
      <c r="H1303" s="2">
        <v>713.53</v>
      </c>
      <c r="I1303" t="str">
        <f>"INV 288632"</f>
        <v>INV 288632</v>
      </c>
    </row>
    <row r="1304" spans="1:9" x14ac:dyDescent="0.3">
      <c r="A1304" t="str">
        <f>"T13574"</f>
        <v>T13574</v>
      </c>
      <c r="B1304" t="s">
        <v>414</v>
      </c>
      <c r="C1304">
        <v>72753</v>
      </c>
      <c r="D1304" s="2">
        <v>64.260000000000005</v>
      </c>
      <c r="E1304" s="1">
        <v>43003</v>
      </c>
      <c r="F1304" t="str">
        <f>"63275"</f>
        <v>63275</v>
      </c>
      <c r="G1304" t="str">
        <f>"ACCT#63275/CUST ID#BASCO1/PCT2"</f>
        <v>ACCT#63275/CUST ID#BASCO1/PCT2</v>
      </c>
      <c r="H1304" s="2">
        <v>64.260000000000005</v>
      </c>
      <c r="I1304" t="str">
        <f>"ACCT#63275/CUST ID#BASCO1/PCT2"</f>
        <v>ACCT#63275/CUST ID#BASCO1/PCT2</v>
      </c>
    </row>
    <row r="1305" spans="1:9" x14ac:dyDescent="0.3">
      <c r="A1305" t="str">
        <f>"T6855"</f>
        <v>T6855</v>
      </c>
      <c r="B1305" t="s">
        <v>415</v>
      </c>
      <c r="C1305">
        <v>72610</v>
      </c>
      <c r="D1305" s="2">
        <v>9725.5400000000009</v>
      </c>
      <c r="E1305" s="1">
        <v>42989</v>
      </c>
      <c r="F1305" t="str">
        <f>"0672437-IN"</f>
        <v>0672437-IN</v>
      </c>
      <c r="G1305" t="str">
        <f>"ACCT#01-0112917/IT#204200/PCT2"</f>
        <v>ACCT#01-0112917/IT#204200/PCT2</v>
      </c>
      <c r="H1305" s="2">
        <v>2765.43</v>
      </c>
      <c r="I1305" t="str">
        <f>"ACCT#01-0112917/IT#204200/PCT2"</f>
        <v>ACCT#01-0112917/IT#204200/PCT2</v>
      </c>
    </row>
    <row r="1306" spans="1:9" x14ac:dyDescent="0.3">
      <c r="A1306" t="str">
        <f>""</f>
        <v/>
      </c>
      <c r="F1306" t="str">
        <f>"0673054-IN"</f>
        <v>0673054-IN</v>
      </c>
      <c r="G1306" t="str">
        <f>"#01-0112917/ORD#0673054/PCT#3"</f>
        <v>#01-0112917/ORD#0673054/PCT#3</v>
      </c>
      <c r="H1306" s="2">
        <v>3640.51</v>
      </c>
      <c r="I1306" t="str">
        <f>"#01-0112917/ORD#0673054/PCT#3"</f>
        <v>#01-0112917/ORD#0673054/PCT#3</v>
      </c>
    </row>
    <row r="1307" spans="1:9" x14ac:dyDescent="0.3">
      <c r="A1307" t="str">
        <f>""</f>
        <v/>
      </c>
      <c r="F1307" t="str">
        <f>"0673647-IN"</f>
        <v>0673647-IN</v>
      </c>
      <c r="G1307" t="str">
        <f>"#01-0112917/ORD#0673647/PCT#3"</f>
        <v>#01-0112917/ORD#0673647/PCT#3</v>
      </c>
      <c r="H1307" s="2">
        <v>2013.54</v>
      </c>
      <c r="I1307" t="str">
        <f>"#01-0112917/ORD#0673647/PCT#3"</f>
        <v>#01-0112917/ORD#0673647/PCT#3</v>
      </c>
    </row>
    <row r="1308" spans="1:9" x14ac:dyDescent="0.3">
      <c r="A1308" t="str">
        <f>""</f>
        <v/>
      </c>
      <c r="F1308" t="str">
        <f>"0674350-IN"</f>
        <v>0674350-IN</v>
      </c>
      <c r="G1308" t="str">
        <f>"#01-0112917/ORD#0674350/PCT#3"</f>
        <v>#01-0112917/ORD#0674350/PCT#3</v>
      </c>
      <c r="H1308" s="2">
        <v>954.66</v>
      </c>
      <c r="I1308" t="str">
        <f>"#01-0112917/PCT#3"</f>
        <v>#01-0112917/PCT#3</v>
      </c>
    </row>
    <row r="1309" spans="1:9" x14ac:dyDescent="0.3">
      <c r="A1309" t="str">
        <f>""</f>
        <v/>
      </c>
      <c r="F1309" t="str">
        <f>"673777R-IN"</f>
        <v>673777R-IN</v>
      </c>
      <c r="G1309" t="str">
        <f>"INV 673777R-IN"</f>
        <v>INV 673777R-IN</v>
      </c>
      <c r="H1309" s="2">
        <v>351.4</v>
      </c>
      <c r="I1309" t="str">
        <f>"INV 673777R-IN"</f>
        <v>INV 673777R-IN</v>
      </c>
    </row>
    <row r="1310" spans="1:9" x14ac:dyDescent="0.3">
      <c r="A1310" t="str">
        <f>"T6855"</f>
        <v>T6855</v>
      </c>
      <c r="B1310" t="s">
        <v>415</v>
      </c>
      <c r="C1310">
        <v>72835</v>
      </c>
      <c r="D1310" s="2">
        <v>2831.72</v>
      </c>
      <c r="E1310" s="1">
        <v>43003</v>
      </c>
      <c r="F1310" t="str">
        <f>"0674631-IN"</f>
        <v>0674631-IN</v>
      </c>
      <c r="G1310" t="str">
        <f>"ACCT#01-0112917/PCT#2"</f>
        <v>ACCT#01-0112917/PCT#2</v>
      </c>
      <c r="H1310" s="2">
        <v>2831.72</v>
      </c>
      <c r="I1310" t="str">
        <f>"ACCT#01-0112917/PCT#2"</f>
        <v>ACCT#01-0112917/PCT#2</v>
      </c>
    </row>
    <row r="1311" spans="1:9" x14ac:dyDescent="0.3">
      <c r="A1311" t="str">
        <f>"T14371"</f>
        <v>T14371</v>
      </c>
      <c r="B1311" t="s">
        <v>416</v>
      </c>
      <c r="C1311">
        <v>72611</v>
      </c>
      <c r="D1311" s="2">
        <v>68.7</v>
      </c>
      <c r="E1311" s="1">
        <v>42989</v>
      </c>
      <c r="F1311" t="str">
        <f>"201709064630"</f>
        <v>201709064630</v>
      </c>
      <c r="G1311" t="str">
        <f>"INDIGENT HEALTH"</f>
        <v>INDIGENT HEALTH</v>
      </c>
      <c r="H1311" s="2">
        <v>68.7</v>
      </c>
      <c r="I1311" t="str">
        <f>"INDIGENT HEALTH"</f>
        <v>INDIGENT HEALTH</v>
      </c>
    </row>
    <row r="1312" spans="1:9" x14ac:dyDescent="0.3">
      <c r="A1312" t="str">
        <f>"T14371"</f>
        <v>T14371</v>
      </c>
      <c r="B1312" t="s">
        <v>416</v>
      </c>
      <c r="C1312">
        <v>72836</v>
      </c>
      <c r="D1312" s="2">
        <v>825.48</v>
      </c>
      <c r="E1312" s="1">
        <v>43003</v>
      </c>
      <c r="F1312" t="str">
        <f>"201709194995"</f>
        <v>201709194995</v>
      </c>
      <c r="G1312" t="str">
        <f>"INDIGENT HEALTH"</f>
        <v>INDIGENT HEALTH</v>
      </c>
      <c r="H1312" s="2">
        <v>825.48</v>
      </c>
      <c r="I1312" t="str">
        <f>"INDIGENT HEALTH"</f>
        <v>INDIGENT HEALTH</v>
      </c>
    </row>
    <row r="1313" spans="1:9" x14ac:dyDescent="0.3">
      <c r="A1313" t="str">
        <f>"T5495"</f>
        <v>T5495</v>
      </c>
      <c r="B1313" t="s">
        <v>417</v>
      </c>
      <c r="C1313">
        <v>72612</v>
      </c>
      <c r="D1313" s="2">
        <v>75</v>
      </c>
      <c r="E1313" s="1">
        <v>42989</v>
      </c>
      <c r="F1313" t="str">
        <f>"201709014522"</f>
        <v>201709014522</v>
      </c>
      <c r="G1313" t="str">
        <f>"CONFERENCE"</f>
        <v>CONFERENCE</v>
      </c>
      <c r="H1313" s="2">
        <v>75</v>
      </c>
      <c r="I1313" t="str">
        <f>"CONFERENCE"</f>
        <v>CONFERENCE</v>
      </c>
    </row>
    <row r="1314" spans="1:9" x14ac:dyDescent="0.3">
      <c r="A1314" t="str">
        <f>"T5238"</f>
        <v>T5238</v>
      </c>
      <c r="B1314" t="s">
        <v>418</v>
      </c>
      <c r="C1314">
        <v>72627</v>
      </c>
      <c r="D1314" s="2">
        <v>273.42</v>
      </c>
      <c r="E1314" s="1">
        <v>42989</v>
      </c>
      <c r="F1314" t="str">
        <f>"A702447"</f>
        <v>A702447</v>
      </c>
      <c r="G1314" t="str">
        <f>"ID#0000000000368/TICK#17-0692"</f>
        <v>ID#0000000000368/TICK#17-0692</v>
      </c>
      <c r="H1314" s="2">
        <v>273.42</v>
      </c>
      <c r="I1314" t="str">
        <f>"ID#0000000000368/TICK#17-0692"</f>
        <v>ID#0000000000368/TICK#17-0692</v>
      </c>
    </row>
    <row r="1315" spans="1:9" x14ac:dyDescent="0.3">
      <c r="A1315" t="str">
        <f>"TXAGG"</f>
        <v>TXAGG</v>
      </c>
      <c r="B1315" t="s">
        <v>419</v>
      </c>
      <c r="C1315">
        <v>999999</v>
      </c>
      <c r="D1315" s="2">
        <v>6911.45</v>
      </c>
      <c r="E1315" s="1">
        <v>43004</v>
      </c>
      <c r="F1315" t="str">
        <f>"90737"</f>
        <v>90737</v>
      </c>
      <c r="G1315" t="str">
        <f>"TCKT#1052518/1052570/1052636"</f>
        <v>TCKT#1052518/1052570/1052636</v>
      </c>
      <c r="H1315" s="2">
        <v>848.4</v>
      </c>
      <c r="I1315" t="str">
        <f>"TCKT#1052518/1052570/1052636"</f>
        <v>TCKT#1052518/1052570/1052636</v>
      </c>
    </row>
    <row r="1316" spans="1:9" x14ac:dyDescent="0.3">
      <c r="A1316" t="str">
        <f>""</f>
        <v/>
      </c>
      <c r="F1316" t="str">
        <f>"90740"</f>
        <v>90740</v>
      </c>
      <c r="G1316" t="str">
        <f>"CUST#4056/PCT#4"</f>
        <v>CUST#4056/PCT#4</v>
      </c>
      <c r="H1316" s="2">
        <v>4455.5</v>
      </c>
      <c r="I1316" t="str">
        <f>"CUST#4056/PCT#4"</f>
        <v>CUST#4056/PCT#4</v>
      </c>
    </row>
    <row r="1317" spans="1:9" x14ac:dyDescent="0.3">
      <c r="A1317" t="str">
        <f>""</f>
        <v/>
      </c>
      <c r="F1317" t="str">
        <f>"90764"</f>
        <v>90764</v>
      </c>
      <c r="G1317" t="str">
        <f>"TCKT#1052742 1052777/PCT#1"</f>
        <v>TCKT#1052742 1052777/PCT#1</v>
      </c>
      <c r="H1317" s="2">
        <v>621.95000000000005</v>
      </c>
      <c r="I1317" t="str">
        <f>"TCKT#1052742 1052777/PCT#1"</f>
        <v>TCKT#1052742 1052777/PCT#1</v>
      </c>
    </row>
    <row r="1318" spans="1:9" x14ac:dyDescent="0.3">
      <c r="A1318" t="str">
        <f>""</f>
        <v/>
      </c>
      <c r="F1318" t="str">
        <f>"90932"</f>
        <v>90932</v>
      </c>
      <c r="G1318" t="str">
        <f>"TCKT#1054079/1054125/PCT#4"</f>
        <v>TCKT#1054079/1054125/PCT#4</v>
      </c>
      <c r="H1318" s="2">
        <v>985.6</v>
      </c>
      <c r="I1318" t="str">
        <f>"TCKT#1054079/1054125/PCT#4"</f>
        <v>TCKT#1054079/1054125/PCT#4</v>
      </c>
    </row>
    <row r="1319" spans="1:9" x14ac:dyDescent="0.3">
      <c r="A1319" t="str">
        <f>"004134"</f>
        <v>004134</v>
      </c>
      <c r="B1319" t="s">
        <v>420</v>
      </c>
      <c r="C1319">
        <v>72643</v>
      </c>
      <c r="D1319" s="2">
        <v>67732.25</v>
      </c>
      <c r="E1319" s="1">
        <v>42998</v>
      </c>
      <c r="F1319" t="str">
        <f>"1736340-BAS"</f>
        <v>1736340-BAS</v>
      </c>
      <c r="G1319" t="str">
        <f>"5.185 ACRES - SURVEY A-229"</f>
        <v>5.185 ACRES - SURVEY A-229</v>
      </c>
      <c r="H1319" s="2">
        <v>67732.25</v>
      </c>
      <c r="I1319" t="str">
        <f>"5.185 ACRES - SURVEY A-229"</f>
        <v>5.185 ACRES - SURVEY A-229</v>
      </c>
    </row>
    <row r="1320" spans="1:9" x14ac:dyDescent="0.3">
      <c r="A1320" t="str">
        <f>"001468"</f>
        <v>001468</v>
      </c>
      <c r="B1320" t="s">
        <v>421</v>
      </c>
      <c r="C1320">
        <v>72837</v>
      </c>
      <c r="D1320" s="2">
        <v>471</v>
      </c>
      <c r="E1320" s="1">
        <v>43003</v>
      </c>
      <c r="F1320" t="str">
        <f>"43649"</f>
        <v>43649</v>
      </c>
      <c r="G1320" t="str">
        <f>"INV 43649"</f>
        <v>INV 43649</v>
      </c>
      <c r="H1320" s="2">
        <v>71</v>
      </c>
      <c r="I1320" t="str">
        <f>"INV 43649"</f>
        <v>INV 43649</v>
      </c>
    </row>
    <row r="1321" spans="1:9" x14ac:dyDescent="0.3">
      <c r="A1321" t="str">
        <f>""</f>
        <v/>
      </c>
      <c r="F1321" t="str">
        <f>"OCTOBER RENEWALS"</f>
        <v>OCTOBER RENEWALS</v>
      </c>
      <c r="G1321" t="str">
        <f>"OCTOBER RENEWALS"</f>
        <v>OCTOBER RENEWALS</v>
      </c>
      <c r="H1321" s="2">
        <v>400</v>
      </c>
      <c r="I1321" t="str">
        <f>"OCTOBER RENEWALS"</f>
        <v>OCTOBER RENEWALS</v>
      </c>
    </row>
    <row r="1322" spans="1:9" x14ac:dyDescent="0.3">
      <c r="A1322" t="str">
        <f>"TACRMP"</f>
        <v>TACRMP</v>
      </c>
      <c r="B1322" t="s">
        <v>40</v>
      </c>
      <c r="C1322">
        <v>72613</v>
      </c>
      <c r="D1322" s="2">
        <v>160</v>
      </c>
      <c r="E1322" s="1">
        <v>42989</v>
      </c>
      <c r="F1322" t="str">
        <f>"201709064543"</f>
        <v>201709064543</v>
      </c>
      <c r="G1322" t="str">
        <f>"TEXAS PUBLIC INV CONF"</f>
        <v>TEXAS PUBLIC INV CONF</v>
      </c>
      <c r="H1322" s="2">
        <v>160</v>
      </c>
      <c r="I1322" t="str">
        <f>"TEXAS PUBLIC INV CONF"</f>
        <v>TEXAS PUBLIC INV CONF</v>
      </c>
    </row>
    <row r="1323" spans="1:9" x14ac:dyDescent="0.3">
      <c r="A1323" t="str">
        <f>"TAC1"</f>
        <v>TAC1</v>
      </c>
      <c r="B1323" t="s">
        <v>40</v>
      </c>
      <c r="C1323">
        <v>72838</v>
      </c>
      <c r="D1323" s="2">
        <v>76111.509999999995</v>
      </c>
      <c r="E1323" s="1">
        <v>43003</v>
      </c>
      <c r="F1323" t="str">
        <f>"201709144897"</f>
        <v>201709144897</v>
      </c>
      <c r="G1323" t="str">
        <f>"4TH QTR WRKS COMP/PCT#2"</f>
        <v>4TH QTR WRKS COMP/PCT#2</v>
      </c>
      <c r="H1323" s="2">
        <v>5994.55</v>
      </c>
      <c r="I1323" t="str">
        <f>"4TH QTR WRKS COMP/PCT#2"</f>
        <v>4TH QTR WRKS COMP/PCT#2</v>
      </c>
    </row>
    <row r="1324" spans="1:9" x14ac:dyDescent="0.3">
      <c r="A1324" t="str">
        <f>""</f>
        <v/>
      </c>
      <c r="F1324" t="str">
        <f>"201709144900"</f>
        <v>201709144900</v>
      </c>
      <c r="G1324" t="str">
        <f>"4TH QTR WRKRS COMP/PCT#3"</f>
        <v>4TH QTR WRKRS COMP/PCT#3</v>
      </c>
      <c r="H1324" s="2">
        <v>5568.06</v>
      </c>
      <c r="I1324" t="str">
        <f>"4TH QTR WRKRS COMP/PCT#3"</f>
        <v>4TH QTR WRKRS COMP/PCT#3</v>
      </c>
    </row>
    <row r="1325" spans="1:9" x14ac:dyDescent="0.3">
      <c r="A1325" t="str">
        <f>""</f>
        <v/>
      </c>
      <c r="F1325" t="str">
        <f>"201709144912"</f>
        <v>201709144912</v>
      </c>
      <c r="G1325" t="str">
        <f>"4TH QTR WRKRS COMP/PCT#4"</f>
        <v>4TH QTR WRKRS COMP/PCT#4</v>
      </c>
      <c r="H1325" s="2">
        <v>7558.34</v>
      </c>
      <c r="I1325" t="str">
        <f>"4TH QTR WRKRS COMP/PCT#4"</f>
        <v>4TH QTR WRKRS COMP/PCT#4</v>
      </c>
    </row>
    <row r="1326" spans="1:9" x14ac:dyDescent="0.3">
      <c r="A1326" t="str">
        <f>""</f>
        <v/>
      </c>
      <c r="F1326" t="str">
        <f>"201709144916"</f>
        <v>201709144916</v>
      </c>
      <c r="G1326" t="str">
        <f>"4TH QTR WRKRS COMP/TRAVEL"</f>
        <v>4TH QTR WRKRS COMP/TRAVEL</v>
      </c>
      <c r="H1326" s="2">
        <v>36.200000000000003</v>
      </c>
      <c r="I1326" t="str">
        <f>"4TH QTR WRKRS COMP/TRAVEL"</f>
        <v>4TH QTR WRKRS COMP/TRAVEL</v>
      </c>
    </row>
    <row r="1327" spans="1:9" x14ac:dyDescent="0.3">
      <c r="A1327" t="str">
        <f>""</f>
        <v/>
      </c>
      <c r="F1327" t="str">
        <f>"201709154920"</f>
        <v>201709154920</v>
      </c>
      <c r="G1327" t="str">
        <f>"4TH QTR WRKRS COMP/PCT#1"</f>
        <v>4TH QTR WRKRS COMP/PCT#1</v>
      </c>
      <c r="H1327" s="2">
        <v>4572.91</v>
      </c>
      <c r="I1327" t="str">
        <f>"4TH QTR WRKRS COMP/PCT#1"</f>
        <v>4TH QTR WRKRS COMP/PCT#1</v>
      </c>
    </row>
    <row r="1328" spans="1:9" x14ac:dyDescent="0.3">
      <c r="A1328" t="str">
        <f>""</f>
        <v/>
      </c>
      <c r="F1328" t="str">
        <f>"201709215117"</f>
        <v>201709215117</v>
      </c>
      <c r="G1328" t="str">
        <f>"4TH QTR 2017 WRKRS COMP"</f>
        <v>4TH QTR 2017 WRKRS COMP</v>
      </c>
      <c r="H1328" s="2">
        <v>52381.45</v>
      </c>
      <c r="I1328" t="str">
        <f t="shared" ref="I1328:I1365" si="13">"4TH QTR 2017 WRKRS COMP"</f>
        <v>4TH QTR 2017 WRKRS COMP</v>
      </c>
    </row>
    <row r="1329" spans="1:9" x14ac:dyDescent="0.3">
      <c r="A1329" t="str">
        <f>""</f>
        <v/>
      </c>
      <c r="F1329" t="str">
        <f>""</f>
        <v/>
      </c>
      <c r="G1329" t="str">
        <f>""</f>
        <v/>
      </c>
      <c r="I1329" t="str">
        <f t="shared" si="13"/>
        <v>4TH QTR 2017 WRKRS COMP</v>
      </c>
    </row>
    <row r="1330" spans="1:9" x14ac:dyDescent="0.3">
      <c r="A1330" t="str">
        <f>""</f>
        <v/>
      </c>
      <c r="F1330" t="str">
        <f>""</f>
        <v/>
      </c>
      <c r="G1330" t="str">
        <f>""</f>
        <v/>
      </c>
      <c r="I1330" t="str">
        <f t="shared" si="13"/>
        <v>4TH QTR 2017 WRKRS COMP</v>
      </c>
    </row>
    <row r="1331" spans="1:9" x14ac:dyDescent="0.3">
      <c r="A1331" t="str">
        <f>""</f>
        <v/>
      </c>
      <c r="F1331" t="str">
        <f>""</f>
        <v/>
      </c>
      <c r="G1331" t="str">
        <f>""</f>
        <v/>
      </c>
      <c r="I1331" t="str">
        <f t="shared" si="13"/>
        <v>4TH QTR 2017 WRKRS COMP</v>
      </c>
    </row>
    <row r="1332" spans="1:9" x14ac:dyDescent="0.3">
      <c r="A1332" t="str">
        <f>""</f>
        <v/>
      </c>
      <c r="F1332" t="str">
        <f>""</f>
        <v/>
      </c>
      <c r="G1332" t="str">
        <f>""</f>
        <v/>
      </c>
      <c r="I1332" t="str">
        <f t="shared" si="13"/>
        <v>4TH QTR 2017 WRKRS COMP</v>
      </c>
    </row>
    <row r="1333" spans="1:9" x14ac:dyDescent="0.3">
      <c r="A1333" t="str">
        <f>""</f>
        <v/>
      </c>
      <c r="F1333" t="str">
        <f>""</f>
        <v/>
      </c>
      <c r="G1333" t="str">
        <f>""</f>
        <v/>
      </c>
      <c r="I1333" t="str">
        <f t="shared" si="13"/>
        <v>4TH QTR 2017 WRKRS COMP</v>
      </c>
    </row>
    <row r="1334" spans="1:9" x14ac:dyDescent="0.3">
      <c r="A1334" t="str">
        <f>""</f>
        <v/>
      </c>
      <c r="F1334" t="str">
        <f>""</f>
        <v/>
      </c>
      <c r="G1334" t="str">
        <f>""</f>
        <v/>
      </c>
      <c r="I1334" t="str">
        <f t="shared" si="13"/>
        <v>4TH QTR 2017 WRKRS COMP</v>
      </c>
    </row>
    <row r="1335" spans="1:9" x14ac:dyDescent="0.3">
      <c r="A1335" t="str">
        <f>""</f>
        <v/>
      </c>
      <c r="F1335" t="str">
        <f>""</f>
        <v/>
      </c>
      <c r="G1335" t="str">
        <f>""</f>
        <v/>
      </c>
      <c r="I1335" t="str">
        <f t="shared" si="13"/>
        <v>4TH QTR 2017 WRKRS COMP</v>
      </c>
    </row>
    <row r="1336" spans="1:9" x14ac:dyDescent="0.3">
      <c r="A1336" t="str">
        <f>""</f>
        <v/>
      </c>
      <c r="F1336" t="str">
        <f>""</f>
        <v/>
      </c>
      <c r="G1336" t="str">
        <f>""</f>
        <v/>
      </c>
      <c r="I1336" t="str">
        <f t="shared" si="13"/>
        <v>4TH QTR 2017 WRKRS COMP</v>
      </c>
    </row>
    <row r="1337" spans="1:9" x14ac:dyDescent="0.3">
      <c r="A1337" t="str">
        <f>""</f>
        <v/>
      </c>
      <c r="F1337" t="str">
        <f>""</f>
        <v/>
      </c>
      <c r="G1337" t="str">
        <f>""</f>
        <v/>
      </c>
      <c r="I1337" t="str">
        <f t="shared" si="13"/>
        <v>4TH QTR 2017 WRKRS COMP</v>
      </c>
    </row>
    <row r="1338" spans="1:9" x14ac:dyDescent="0.3">
      <c r="A1338" t="str">
        <f>""</f>
        <v/>
      </c>
      <c r="F1338" t="str">
        <f>""</f>
        <v/>
      </c>
      <c r="G1338" t="str">
        <f>""</f>
        <v/>
      </c>
      <c r="I1338" t="str">
        <f t="shared" si="13"/>
        <v>4TH QTR 2017 WRKRS COMP</v>
      </c>
    </row>
    <row r="1339" spans="1:9" x14ac:dyDescent="0.3">
      <c r="A1339" t="str">
        <f>""</f>
        <v/>
      </c>
      <c r="F1339" t="str">
        <f>""</f>
        <v/>
      </c>
      <c r="G1339" t="str">
        <f>""</f>
        <v/>
      </c>
      <c r="I1339" t="str">
        <f t="shared" si="13"/>
        <v>4TH QTR 2017 WRKRS COMP</v>
      </c>
    </row>
    <row r="1340" spans="1:9" x14ac:dyDescent="0.3">
      <c r="A1340" t="str">
        <f>""</f>
        <v/>
      </c>
      <c r="F1340" t="str">
        <f>""</f>
        <v/>
      </c>
      <c r="G1340" t="str">
        <f>""</f>
        <v/>
      </c>
      <c r="I1340" t="str">
        <f t="shared" si="13"/>
        <v>4TH QTR 2017 WRKRS COMP</v>
      </c>
    </row>
    <row r="1341" spans="1:9" x14ac:dyDescent="0.3">
      <c r="A1341" t="str">
        <f>""</f>
        <v/>
      </c>
      <c r="F1341" t="str">
        <f>""</f>
        <v/>
      </c>
      <c r="G1341" t="str">
        <f>""</f>
        <v/>
      </c>
      <c r="I1341" t="str">
        <f t="shared" si="13"/>
        <v>4TH QTR 2017 WRKRS COMP</v>
      </c>
    </row>
    <row r="1342" spans="1:9" x14ac:dyDescent="0.3">
      <c r="A1342" t="str">
        <f>""</f>
        <v/>
      </c>
      <c r="F1342" t="str">
        <f>""</f>
        <v/>
      </c>
      <c r="G1342" t="str">
        <f>""</f>
        <v/>
      </c>
      <c r="I1342" t="str">
        <f t="shared" si="13"/>
        <v>4TH QTR 2017 WRKRS COMP</v>
      </c>
    </row>
    <row r="1343" spans="1:9" x14ac:dyDescent="0.3">
      <c r="A1343" t="str">
        <f>""</f>
        <v/>
      </c>
      <c r="F1343" t="str">
        <f>""</f>
        <v/>
      </c>
      <c r="G1343" t="str">
        <f>""</f>
        <v/>
      </c>
      <c r="I1343" t="str">
        <f t="shared" si="13"/>
        <v>4TH QTR 2017 WRKRS COMP</v>
      </c>
    </row>
    <row r="1344" spans="1:9" x14ac:dyDescent="0.3">
      <c r="A1344" t="str">
        <f>""</f>
        <v/>
      </c>
      <c r="F1344" t="str">
        <f>""</f>
        <v/>
      </c>
      <c r="G1344" t="str">
        <f>""</f>
        <v/>
      </c>
      <c r="I1344" t="str">
        <f t="shared" si="13"/>
        <v>4TH QTR 2017 WRKRS COMP</v>
      </c>
    </row>
    <row r="1345" spans="1:9" x14ac:dyDescent="0.3">
      <c r="A1345" t="str">
        <f>""</f>
        <v/>
      </c>
      <c r="F1345" t="str">
        <f>""</f>
        <v/>
      </c>
      <c r="G1345" t="str">
        <f>""</f>
        <v/>
      </c>
      <c r="I1345" t="str">
        <f t="shared" si="13"/>
        <v>4TH QTR 2017 WRKRS COMP</v>
      </c>
    </row>
    <row r="1346" spans="1:9" x14ac:dyDescent="0.3">
      <c r="A1346" t="str">
        <f>""</f>
        <v/>
      </c>
      <c r="F1346" t="str">
        <f>""</f>
        <v/>
      </c>
      <c r="G1346" t="str">
        <f>""</f>
        <v/>
      </c>
      <c r="I1346" t="str">
        <f t="shared" si="13"/>
        <v>4TH QTR 2017 WRKRS COMP</v>
      </c>
    </row>
    <row r="1347" spans="1:9" x14ac:dyDescent="0.3">
      <c r="A1347" t="str">
        <f>""</f>
        <v/>
      </c>
      <c r="F1347" t="str">
        <f>""</f>
        <v/>
      </c>
      <c r="G1347" t="str">
        <f>""</f>
        <v/>
      </c>
      <c r="I1347" t="str">
        <f t="shared" si="13"/>
        <v>4TH QTR 2017 WRKRS COMP</v>
      </c>
    </row>
    <row r="1348" spans="1:9" x14ac:dyDescent="0.3">
      <c r="A1348" t="str">
        <f>""</f>
        <v/>
      </c>
      <c r="F1348" t="str">
        <f>""</f>
        <v/>
      </c>
      <c r="G1348" t="str">
        <f>""</f>
        <v/>
      </c>
      <c r="I1348" t="str">
        <f t="shared" si="13"/>
        <v>4TH QTR 2017 WRKRS COMP</v>
      </c>
    </row>
    <row r="1349" spans="1:9" x14ac:dyDescent="0.3">
      <c r="A1349" t="str">
        <f>""</f>
        <v/>
      </c>
      <c r="F1349" t="str">
        <f>""</f>
        <v/>
      </c>
      <c r="G1349" t="str">
        <f>""</f>
        <v/>
      </c>
      <c r="I1349" t="str">
        <f t="shared" si="13"/>
        <v>4TH QTR 2017 WRKRS COMP</v>
      </c>
    </row>
    <row r="1350" spans="1:9" x14ac:dyDescent="0.3">
      <c r="A1350" t="str">
        <f>""</f>
        <v/>
      </c>
      <c r="F1350" t="str">
        <f>""</f>
        <v/>
      </c>
      <c r="G1350" t="str">
        <f>""</f>
        <v/>
      </c>
      <c r="I1350" t="str">
        <f t="shared" si="13"/>
        <v>4TH QTR 2017 WRKRS COMP</v>
      </c>
    </row>
    <row r="1351" spans="1:9" x14ac:dyDescent="0.3">
      <c r="A1351" t="str">
        <f>""</f>
        <v/>
      </c>
      <c r="F1351" t="str">
        <f>""</f>
        <v/>
      </c>
      <c r="G1351" t="str">
        <f>""</f>
        <v/>
      </c>
      <c r="I1351" t="str">
        <f t="shared" si="13"/>
        <v>4TH QTR 2017 WRKRS COMP</v>
      </c>
    </row>
    <row r="1352" spans="1:9" x14ac:dyDescent="0.3">
      <c r="A1352" t="str">
        <f>""</f>
        <v/>
      </c>
      <c r="F1352" t="str">
        <f>""</f>
        <v/>
      </c>
      <c r="G1352" t="str">
        <f>""</f>
        <v/>
      </c>
      <c r="I1352" t="str">
        <f t="shared" si="13"/>
        <v>4TH QTR 2017 WRKRS COMP</v>
      </c>
    </row>
    <row r="1353" spans="1:9" x14ac:dyDescent="0.3">
      <c r="A1353" t="str">
        <f>""</f>
        <v/>
      </c>
      <c r="F1353" t="str">
        <f>""</f>
        <v/>
      </c>
      <c r="G1353" t="str">
        <f>""</f>
        <v/>
      </c>
      <c r="I1353" t="str">
        <f t="shared" si="13"/>
        <v>4TH QTR 2017 WRKRS COMP</v>
      </c>
    </row>
    <row r="1354" spans="1:9" x14ac:dyDescent="0.3">
      <c r="A1354" t="str">
        <f>""</f>
        <v/>
      </c>
      <c r="F1354" t="str">
        <f>""</f>
        <v/>
      </c>
      <c r="G1354" t="str">
        <f>""</f>
        <v/>
      </c>
      <c r="I1354" t="str">
        <f t="shared" si="13"/>
        <v>4TH QTR 2017 WRKRS COMP</v>
      </c>
    </row>
    <row r="1355" spans="1:9" x14ac:dyDescent="0.3">
      <c r="A1355" t="str">
        <f>""</f>
        <v/>
      </c>
      <c r="F1355" t="str">
        <f>""</f>
        <v/>
      </c>
      <c r="G1355" t="str">
        <f>""</f>
        <v/>
      </c>
      <c r="I1355" t="str">
        <f t="shared" si="13"/>
        <v>4TH QTR 2017 WRKRS COMP</v>
      </c>
    </row>
    <row r="1356" spans="1:9" x14ac:dyDescent="0.3">
      <c r="A1356" t="str">
        <f>""</f>
        <v/>
      </c>
      <c r="F1356" t="str">
        <f>""</f>
        <v/>
      </c>
      <c r="G1356" t="str">
        <f>""</f>
        <v/>
      </c>
      <c r="I1356" t="str">
        <f t="shared" si="13"/>
        <v>4TH QTR 2017 WRKRS COMP</v>
      </c>
    </row>
    <row r="1357" spans="1:9" x14ac:dyDescent="0.3">
      <c r="A1357" t="str">
        <f>""</f>
        <v/>
      </c>
      <c r="F1357" t="str">
        <f>""</f>
        <v/>
      </c>
      <c r="G1357" t="str">
        <f>""</f>
        <v/>
      </c>
      <c r="I1357" t="str">
        <f t="shared" si="13"/>
        <v>4TH QTR 2017 WRKRS COMP</v>
      </c>
    </row>
    <row r="1358" spans="1:9" x14ac:dyDescent="0.3">
      <c r="A1358" t="str">
        <f>""</f>
        <v/>
      </c>
      <c r="F1358" t="str">
        <f>""</f>
        <v/>
      </c>
      <c r="G1358" t="str">
        <f>""</f>
        <v/>
      </c>
      <c r="I1358" t="str">
        <f t="shared" si="13"/>
        <v>4TH QTR 2017 WRKRS COMP</v>
      </c>
    </row>
    <row r="1359" spans="1:9" x14ac:dyDescent="0.3">
      <c r="A1359" t="str">
        <f>""</f>
        <v/>
      </c>
      <c r="F1359" t="str">
        <f>""</f>
        <v/>
      </c>
      <c r="G1359" t="str">
        <f>""</f>
        <v/>
      </c>
      <c r="I1359" t="str">
        <f t="shared" si="13"/>
        <v>4TH QTR 2017 WRKRS COMP</v>
      </c>
    </row>
    <row r="1360" spans="1:9" x14ac:dyDescent="0.3">
      <c r="A1360" t="str">
        <f>""</f>
        <v/>
      </c>
      <c r="F1360" t="str">
        <f>""</f>
        <v/>
      </c>
      <c r="G1360" t="str">
        <f>""</f>
        <v/>
      </c>
      <c r="I1360" t="str">
        <f t="shared" si="13"/>
        <v>4TH QTR 2017 WRKRS COMP</v>
      </c>
    </row>
    <row r="1361" spans="1:9" x14ac:dyDescent="0.3">
      <c r="A1361" t="str">
        <f>""</f>
        <v/>
      </c>
      <c r="F1361" t="str">
        <f>""</f>
        <v/>
      </c>
      <c r="G1361" t="str">
        <f>""</f>
        <v/>
      </c>
      <c r="I1361" t="str">
        <f t="shared" si="13"/>
        <v>4TH QTR 2017 WRKRS COMP</v>
      </c>
    </row>
    <row r="1362" spans="1:9" x14ac:dyDescent="0.3">
      <c r="A1362" t="str">
        <f>""</f>
        <v/>
      </c>
      <c r="F1362" t="str">
        <f>""</f>
        <v/>
      </c>
      <c r="G1362" t="str">
        <f>""</f>
        <v/>
      </c>
      <c r="I1362" t="str">
        <f t="shared" si="13"/>
        <v>4TH QTR 2017 WRKRS COMP</v>
      </c>
    </row>
    <row r="1363" spans="1:9" x14ac:dyDescent="0.3">
      <c r="A1363" t="str">
        <f>""</f>
        <v/>
      </c>
      <c r="F1363" t="str">
        <f>""</f>
        <v/>
      </c>
      <c r="G1363" t="str">
        <f>""</f>
        <v/>
      </c>
      <c r="I1363" t="str">
        <f t="shared" si="13"/>
        <v>4TH QTR 2017 WRKRS COMP</v>
      </c>
    </row>
    <row r="1364" spans="1:9" x14ac:dyDescent="0.3">
      <c r="A1364" t="str">
        <f>""</f>
        <v/>
      </c>
      <c r="F1364" t="str">
        <f>""</f>
        <v/>
      </c>
      <c r="G1364" t="str">
        <f>""</f>
        <v/>
      </c>
      <c r="I1364" t="str">
        <f t="shared" si="13"/>
        <v>4TH QTR 2017 WRKRS COMP</v>
      </c>
    </row>
    <row r="1365" spans="1:9" x14ac:dyDescent="0.3">
      <c r="A1365" t="str">
        <f>""</f>
        <v/>
      </c>
      <c r="F1365" t="str">
        <f>""</f>
        <v/>
      </c>
      <c r="G1365" t="str">
        <f>""</f>
        <v/>
      </c>
      <c r="I1365" t="str">
        <f t="shared" si="13"/>
        <v>4TH QTR 2017 WRKRS COMP</v>
      </c>
    </row>
    <row r="1366" spans="1:9" x14ac:dyDescent="0.3">
      <c r="A1366" t="str">
        <f>"TACRMP"</f>
        <v>TACRMP</v>
      </c>
      <c r="B1366" t="s">
        <v>40</v>
      </c>
      <c r="C1366">
        <v>72839</v>
      </c>
      <c r="D1366" s="2">
        <v>595</v>
      </c>
      <c r="E1366" s="1">
        <v>43003</v>
      </c>
      <c r="F1366" t="str">
        <f>"201709194976"</f>
        <v>201709194976</v>
      </c>
      <c r="G1366" t="str">
        <f>"MEMBER ID#203296/REGISTRATION"</f>
        <v>MEMBER ID#203296/REGISTRATION</v>
      </c>
      <c r="H1366" s="2">
        <v>370</v>
      </c>
      <c r="I1366" t="str">
        <f>"MEMBER ID#203296/REGISTRATION"</f>
        <v>MEMBER ID#203296/REGISTRATION</v>
      </c>
    </row>
    <row r="1367" spans="1:9" x14ac:dyDescent="0.3">
      <c r="A1367" t="str">
        <f>""</f>
        <v/>
      </c>
      <c r="F1367" t="str">
        <f>"201709205021"</f>
        <v>201709205021</v>
      </c>
      <c r="G1367" t="str">
        <f>"MEMBER ID:236244-G. SNOWDEN"</f>
        <v>MEMBER ID:236244-G. SNOWDEN</v>
      </c>
      <c r="H1367" s="2">
        <v>225</v>
      </c>
      <c r="I1367" t="str">
        <f>"MEMBER ID:236244-G. SNOWDEN"</f>
        <v>MEMBER ID:236244-G. SNOWDEN</v>
      </c>
    </row>
    <row r="1368" spans="1:9" x14ac:dyDescent="0.3">
      <c r="A1368" t="str">
        <f>"002122"</f>
        <v>002122</v>
      </c>
      <c r="B1368" t="s">
        <v>422</v>
      </c>
      <c r="C1368">
        <v>999999</v>
      </c>
      <c r="D1368" s="2">
        <v>496.48</v>
      </c>
      <c r="E1368" s="1">
        <v>43004</v>
      </c>
      <c r="F1368" t="str">
        <f>"201709144902"</f>
        <v>201709144902</v>
      </c>
      <c r="G1368" t="str">
        <f>"ACCT#0005/PCT#4"</f>
        <v>ACCT#0005/PCT#4</v>
      </c>
      <c r="H1368" s="2">
        <v>496.48</v>
      </c>
      <c r="I1368" t="str">
        <f>"ACCT#0005/PCT#4"</f>
        <v>ACCT#0005/PCT#4</v>
      </c>
    </row>
    <row r="1369" spans="1:9" x14ac:dyDescent="0.3">
      <c r="A1369" t="str">
        <f>"T12960"</f>
        <v>T12960</v>
      </c>
      <c r="B1369" t="s">
        <v>423</v>
      </c>
      <c r="C1369">
        <v>72840</v>
      </c>
      <c r="D1369" s="2">
        <v>300</v>
      </c>
      <c r="E1369" s="1">
        <v>43003</v>
      </c>
      <c r="F1369" t="str">
        <f>"9039"</f>
        <v>9039</v>
      </c>
      <c r="G1369" t="str">
        <f>"REGISTRATION-EDUCATION/POLICY"</f>
        <v>REGISTRATION-EDUCATION/POLICY</v>
      </c>
      <c r="H1369" s="2">
        <v>300</v>
      </c>
      <c r="I1369" t="str">
        <f>"REGISTRATION-EDUCATION/POLICY"</f>
        <v>REGISTRATION-EDUCATION/POLICY</v>
      </c>
    </row>
    <row r="1370" spans="1:9" x14ac:dyDescent="0.3">
      <c r="A1370" t="str">
        <f>"TCSC"</f>
        <v>TCSC</v>
      </c>
      <c r="B1370" t="s">
        <v>424</v>
      </c>
      <c r="C1370">
        <v>72614</v>
      </c>
      <c r="D1370" s="2">
        <v>309.62</v>
      </c>
      <c r="E1370" s="1">
        <v>42989</v>
      </c>
      <c r="F1370" t="str">
        <f>"34638"</f>
        <v>34638</v>
      </c>
      <c r="G1370" t="str">
        <f>"CUST#1571/TICKET#231567/PCT#2"</f>
        <v>CUST#1571/TICKET#231567/PCT#2</v>
      </c>
      <c r="H1370" s="2">
        <v>309.62</v>
      </c>
      <c r="I1370" t="str">
        <f>"CUST#1571/TICKET#231567/PCT#2"</f>
        <v>CUST#1571/TICKET#231567/PCT#2</v>
      </c>
    </row>
    <row r="1371" spans="1:9" x14ac:dyDescent="0.3">
      <c r="A1371" t="str">
        <f>"001721"</f>
        <v>001721</v>
      </c>
      <c r="B1371" t="s">
        <v>425</v>
      </c>
      <c r="C1371">
        <v>72615</v>
      </c>
      <c r="D1371" s="2">
        <v>9</v>
      </c>
      <c r="E1371" s="1">
        <v>42989</v>
      </c>
      <c r="F1371" t="str">
        <f>"CRS-201707-125612"</f>
        <v>CRS-201707-125612</v>
      </c>
      <c r="G1371" t="str">
        <f>"CCH NAME SEARCH"</f>
        <v>CCH NAME SEARCH</v>
      </c>
      <c r="H1371" s="2">
        <v>9</v>
      </c>
      <c r="I1371" t="str">
        <f>"CCH NAME SEARCH"</f>
        <v>CCH NAME SEARCH</v>
      </c>
    </row>
    <row r="1372" spans="1:9" x14ac:dyDescent="0.3">
      <c r="A1372" t="str">
        <f>"001721"</f>
        <v>001721</v>
      </c>
      <c r="B1372" t="s">
        <v>425</v>
      </c>
      <c r="C1372">
        <v>72841</v>
      </c>
      <c r="D1372" s="2">
        <v>25</v>
      </c>
      <c r="E1372" s="1">
        <v>43003</v>
      </c>
      <c r="F1372" t="str">
        <f>"CRS-201708-127736"</f>
        <v>CRS-201708-127736</v>
      </c>
      <c r="G1372" t="str">
        <f>"SECURE SITE CCH NAME SEARCH"</f>
        <v>SECURE SITE CCH NAME SEARCH</v>
      </c>
      <c r="H1372" s="2">
        <v>25</v>
      </c>
      <c r="I1372" t="str">
        <f>"SECURE SITE CCH NAME SEARCH"</f>
        <v>SECURE SITE CCH NAME SEARCH</v>
      </c>
    </row>
    <row r="1373" spans="1:9" x14ac:dyDescent="0.3">
      <c r="A1373" t="str">
        <f>"T11171"</f>
        <v>T11171</v>
      </c>
      <c r="B1373" t="s">
        <v>426</v>
      </c>
      <c r="C1373">
        <v>72616</v>
      </c>
      <c r="D1373" s="2">
        <v>50</v>
      </c>
      <c r="E1373" s="1">
        <v>42989</v>
      </c>
      <c r="F1373" t="str">
        <f>"201709014528"</f>
        <v>201709014528</v>
      </c>
      <c r="G1373" t="str">
        <f>"TDCA 17TH ANNUAL WKSHP/COLLEGE"</f>
        <v>TDCA 17TH ANNUAL WKSHP/COLLEGE</v>
      </c>
      <c r="H1373" s="2">
        <v>50</v>
      </c>
      <c r="I1373" t="str">
        <f>"TDCA 17TH ANNUAL WKSHP/COLLEGE"</f>
        <v>TDCA 17TH ANNUAL WKSHP/COLLEGE</v>
      </c>
    </row>
    <row r="1374" spans="1:9" x14ac:dyDescent="0.3">
      <c r="A1374" t="str">
        <f>"T7170"</f>
        <v>T7170</v>
      </c>
      <c r="B1374" t="s">
        <v>427</v>
      </c>
      <c r="C1374">
        <v>72617</v>
      </c>
      <c r="D1374" s="2">
        <v>624.75</v>
      </c>
      <c r="E1374" s="1">
        <v>42989</v>
      </c>
      <c r="F1374" t="str">
        <f>"1CO-2082-13"</f>
        <v>1CO-2082-13</v>
      </c>
      <c r="G1374" t="str">
        <f>"A8045443 M. GARZA"</f>
        <v>A8045443 M. GARZA</v>
      </c>
      <c r="H1374" s="2">
        <v>114.75</v>
      </c>
      <c r="I1374" t="str">
        <f>"A8045443 M. GARZA"</f>
        <v>A8045443 M. GARZA</v>
      </c>
    </row>
    <row r="1375" spans="1:9" x14ac:dyDescent="0.3">
      <c r="A1375" t="str">
        <f>""</f>
        <v/>
      </c>
      <c r="F1375" t="str">
        <f>"J2-47994"</f>
        <v>J2-47994</v>
      </c>
      <c r="G1375" t="str">
        <f>"A8210922 - K. LOMBARD"</f>
        <v>A8210922 - K. LOMBARD</v>
      </c>
      <c r="H1375" s="2">
        <v>114.75</v>
      </c>
      <c r="I1375" t="str">
        <f>"A8210922 - K. LOMBARD"</f>
        <v>A8210922 - K. LOMBARD</v>
      </c>
    </row>
    <row r="1376" spans="1:9" x14ac:dyDescent="0.3">
      <c r="A1376" t="str">
        <f>""</f>
        <v/>
      </c>
      <c r="F1376" t="str">
        <f>"J2-48255"</f>
        <v>J2-48255</v>
      </c>
      <c r="G1376" t="str">
        <f>"J2-48255 - T. WACHSMANN"</f>
        <v>J2-48255 - T. WACHSMANN</v>
      </c>
      <c r="H1376" s="2">
        <v>314.5</v>
      </c>
      <c r="I1376" t="str">
        <f>"J2-48255 - T. WACHSMANN"</f>
        <v>J2-48255 - T. WACHSMANN</v>
      </c>
    </row>
    <row r="1377" spans="1:9" x14ac:dyDescent="0.3">
      <c r="A1377" t="str">
        <f>""</f>
        <v/>
      </c>
      <c r="F1377" t="str">
        <f>"J2-48919"</f>
        <v>J2-48919</v>
      </c>
      <c r="G1377" t="str">
        <f>"A8210931 - T. GARZA"</f>
        <v>A8210931 - T. GARZA</v>
      </c>
      <c r="H1377" s="2">
        <v>80.75</v>
      </c>
      <c r="I1377" t="str">
        <f>"A8210931 - T. GARZA"</f>
        <v>A8210931 - T. GARZA</v>
      </c>
    </row>
    <row r="1378" spans="1:9" x14ac:dyDescent="0.3">
      <c r="A1378" t="str">
        <f>"T7170"</f>
        <v>T7170</v>
      </c>
      <c r="B1378" t="s">
        <v>427</v>
      </c>
      <c r="C1378">
        <v>72842</v>
      </c>
      <c r="D1378" s="2">
        <v>1385.5</v>
      </c>
      <c r="E1378" s="1">
        <v>43003</v>
      </c>
      <c r="F1378" t="str">
        <f>"16-2117J4"</f>
        <v>16-2117J4</v>
      </c>
      <c r="G1378" t="str">
        <f>"A8101603  PORTALES"</f>
        <v>A8101603  PORTALES</v>
      </c>
      <c r="H1378" s="2">
        <v>382.5</v>
      </c>
      <c r="I1378" t="str">
        <f>"A8101603  PORTALES"</f>
        <v>A8101603  PORTALES</v>
      </c>
    </row>
    <row r="1379" spans="1:9" x14ac:dyDescent="0.3">
      <c r="A1379" t="str">
        <f>""</f>
        <v/>
      </c>
      <c r="F1379" t="str">
        <f>"16-2643J4"</f>
        <v>16-2643J4</v>
      </c>
      <c r="G1379" t="str">
        <f>"A8167372  BREEDLOVE"</f>
        <v>A8167372  BREEDLOVE</v>
      </c>
      <c r="H1379" s="2">
        <v>157.25</v>
      </c>
      <c r="I1379" t="str">
        <f>"A8167372  BREEDLOVE"</f>
        <v>A8167372  BREEDLOVE</v>
      </c>
    </row>
    <row r="1380" spans="1:9" x14ac:dyDescent="0.3">
      <c r="A1380" t="str">
        <f>""</f>
        <v/>
      </c>
      <c r="F1380" t="str">
        <f>"1CO-0046-17"</f>
        <v>1CO-0046-17</v>
      </c>
      <c r="G1380" t="str">
        <f>"A8167376  J. BRADSHAW"</f>
        <v>A8167376  J. BRADSHAW</v>
      </c>
      <c r="H1380" s="2">
        <v>114.75</v>
      </c>
      <c r="I1380" t="str">
        <f>"A8167376  J. BRADSHAW"</f>
        <v>A8167376  J. BRADSHAW</v>
      </c>
    </row>
    <row r="1381" spans="1:9" x14ac:dyDescent="0.3">
      <c r="A1381" t="str">
        <f>""</f>
        <v/>
      </c>
      <c r="F1381" t="str">
        <f>"1CO-0420-17"</f>
        <v>1CO-0420-17</v>
      </c>
      <c r="G1381" t="str">
        <f>"A8167417  THOMAS"</f>
        <v>A8167417  THOMAS</v>
      </c>
      <c r="H1381" s="2">
        <v>114.75</v>
      </c>
      <c r="I1381" t="str">
        <f>"A8167417  THOMAS"</f>
        <v>A8167417  THOMAS</v>
      </c>
    </row>
    <row r="1382" spans="1:9" x14ac:dyDescent="0.3">
      <c r="A1382" t="str">
        <f>""</f>
        <v/>
      </c>
      <c r="F1382" t="str">
        <f>"1CO-0420-17 9/5/17"</f>
        <v>1CO-0420-17 9/5/17</v>
      </c>
      <c r="G1382" t="str">
        <f>"A8167420  MARTZKE"</f>
        <v>A8167420  MARTZKE</v>
      </c>
      <c r="H1382" s="2">
        <v>157.25</v>
      </c>
      <c r="I1382" t="str">
        <f>"A8167420  MARTZKE"</f>
        <v>A8167420  MARTZKE</v>
      </c>
    </row>
    <row r="1383" spans="1:9" x14ac:dyDescent="0.3">
      <c r="A1383" t="str">
        <f>""</f>
        <v/>
      </c>
      <c r="F1383" t="str">
        <f>"1CO-0589-17"</f>
        <v>1CO-0589-17</v>
      </c>
      <c r="G1383" t="str">
        <f>"A-16576  VARGAS"</f>
        <v>A-16576  VARGAS</v>
      </c>
      <c r="H1383" s="2">
        <v>114.75</v>
      </c>
      <c r="I1383" t="str">
        <f>"A-16576  VARGAS"</f>
        <v>A-16576  VARGAS</v>
      </c>
    </row>
    <row r="1384" spans="1:9" x14ac:dyDescent="0.3">
      <c r="A1384" t="str">
        <f>""</f>
        <v/>
      </c>
      <c r="F1384" t="str">
        <f>"1CO-0643-17"</f>
        <v>1CO-0643-17</v>
      </c>
      <c r="G1384" t="str">
        <f>"A8139439 ANZADU  C"</f>
        <v>A8139439 ANZADU  C</v>
      </c>
      <c r="H1384" s="2">
        <v>114.75</v>
      </c>
      <c r="I1384" t="str">
        <f>"A8139439 ANZADU  C"</f>
        <v>A8139439 ANZADU  C</v>
      </c>
    </row>
    <row r="1385" spans="1:9" x14ac:dyDescent="0.3">
      <c r="A1385" t="str">
        <f>""</f>
        <v/>
      </c>
      <c r="F1385" t="str">
        <f>"3CO-2270-17"</f>
        <v>3CO-2270-17</v>
      </c>
      <c r="G1385" t="str">
        <f>"A8139432  MENDOZA-SAUCEDO"</f>
        <v>A8139432  MENDOZA-SAUCEDO</v>
      </c>
      <c r="H1385" s="2">
        <v>114.75</v>
      </c>
      <c r="I1385" t="str">
        <f>"A8139432  MENDOZA-SAUCEDO"</f>
        <v>A8139432  MENDOZA-SAUCEDO</v>
      </c>
    </row>
    <row r="1386" spans="1:9" x14ac:dyDescent="0.3">
      <c r="A1386" t="str">
        <f>""</f>
        <v/>
      </c>
      <c r="F1386" t="str">
        <f>"3CO-2478-17"</f>
        <v>3CO-2478-17</v>
      </c>
      <c r="G1386" t="str">
        <f>"A8139434  CASTRO"</f>
        <v>A8139434  CASTRO</v>
      </c>
      <c r="H1386" s="2">
        <v>114.75</v>
      </c>
      <c r="I1386" t="str">
        <f>"A8139434  CASTRO"</f>
        <v>A8139434  CASTRO</v>
      </c>
    </row>
    <row r="1387" spans="1:9" x14ac:dyDescent="0.3">
      <c r="A1387" t="str">
        <f>"003946"</f>
        <v>003946</v>
      </c>
      <c r="B1387" t="s">
        <v>428</v>
      </c>
      <c r="C1387">
        <v>72618</v>
      </c>
      <c r="D1387" s="2">
        <v>375</v>
      </c>
      <c r="E1387" s="1">
        <v>42989</v>
      </c>
      <c r="F1387" t="str">
        <f>"201709064591"</f>
        <v>201709064591</v>
      </c>
      <c r="G1387" t="str">
        <f>"55 038  55 039"</f>
        <v>55 038  55 039</v>
      </c>
      <c r="H1387" s="2">
        <v>375</v>
      </c>
      <c r="I1387" t="str">
        <f>"55 038  55 039"</f>
        <v>55 038  55 039</v>
      </c>
    </row>
    <row r="1388" spans="1:9" x14ac:dyDescent="0.3">
      <c r="A1388" t="str">
        <f>"002317"</f>
        <v>002317</v>
      </c>
      <c r="B1388" t="s">
        <v>429</v>
      </c>
      <c r="C1388">
        <v>72619</v>
      </c>
      <c r="D1388" s="2">
        <v>2175</v>
      </c>
      <c r="E1388" s="1">
        <v>42989</v>
      </c>
      <c r="F1388" t="str">
        <f>"201709014512"</f>
        <v>201709014512</v>
      </c>
      <c r="G1388" t="str">
        <f>"14 518"</f>
        <v>14 518</v>
      </c>
      <c r="H1388" s="2">
        <v>1000</v>
      </c>
      <c r="I1388" t="str">
        <f>"14 518"</f>
        <v>14 518</v>
      </c>
    </row>
    <row r="1389" spans="1:9" x14ac:dyDescent="0.3">
      <c r="A1389" t="str">
        <f>""</f>
        <v/>
      </c>
      <c r="F1389" t="str">
        <f>"201709064573"</f>
        <v>201709064573</v>
      </c>
      <c r="G1389" t="str">
        <f>"16-18067"</f>
        <v>16-18067</v>
      </c>
      <c r="H1389" s="2">
        <v>300</v>
      </c>
      <c r="I1389" t="str">
        <f>"16-18067"</f>
        <v>16-18067</v>
      </c>
    </row>
    <row r="1390" spans="1:9" x14ac:dyDescent="0.3">
      <c r="A1390" t="str">
        <f>""</f>
        <v/>
      </c>
      <c r="F1390" t="str">
        <f>"201709064574"</f>
        <v>201709064574</v>
      </c>
      <c r="G1390" t="str">
        <f>"54 899"</f>
        <v>54 899</v>
      </c>
      <c r="H1390" s="2">
        <v>250</v>
      </c>
      <c r="I1390" t="str">
        <f>"54 899"</f>
        <v>54 899</v>
      </c>
    </row>
    <row r="1391" spans="1:9" x14ac:dyDescent="0.3">
      <c r="A1391" t="str">
        <f>""</f>
        <v/>
      </c>
      <c r="F1391" t="str">
        <f>"201709064575"</f>
        <v>201709064575</v>
      </c>
      <c r="G1391" t="str">
        <f>"55 138 4052562 CH20161209A"</f>
        <v>55 138 4052562 CH20161209A</v>
      </c>
      <c r="H1391" s="2">
        <v>625</v>
      </c>
      <c r="I1391" t="str">
        <f>"55 138 4052562 CH20161209A"</f>
        <v>55 138 4052562 CH20161209A</v>
      </c>
    </row>
    <row r="1392" spans="1:9" x14ac:dyDescent="0.3">
      <c r="A1392" t="str">
        <f>"002317"</f>
        <v>002317</v>
      </c>
      <c r="B1392" t="s">
        <v>429</v>
      </c>
      <c r="C1392">
        <v>999999</v>
      </c>
      <c r="D1392" s="2">
        <v>1200</v>
      </c>
      <c r="E1392" s="1">
        <v>43004</v>
      </c>
      <c r="F1392" t="str">
        <f>"201709134858"</f>
        <v>201709134858</v>
      </c>
      <c r="G1392" t="str">
        <f>"20170113"</f>
        <v>20170113</v>
      </c>
      <c r="H1392" s="2">
        <v>400</v>
      </c>
      <c r="I1392" t="str">
        <f>"20170113"</f>
        <v>20170113</v>
      </c>
    </row>
    <row r="1393" spans="1:10" x14ac:dyDescent="0.3">
      <c r="A1393" t="str">
        <f>""</f>
        <v/>
      </c>
      <c r="F1393" t="str">
        <f>"201709144914"</f>
        <v>201709144914</v>
      </c>
      <c r="G1393" t="str">
        <f>"404246-IM  16 219"</f>
        <v>404246-IM  16 219</v>
      </c>
      <c r="H1393" s="2">
        <v>800</v>
      </c>
      <c r="I1393" t="str">
        <f>"404246-IM  16 219"</f>
        <v>404246-IM  16 219</v>
      </c>
    </row>
    <row r="1394" spans="1:10" x14ac:dyDescent="0.3">
      <c r="A1394" t="str">
        <f>"005062"</f>
        <v>005062</v>
      </c>
      <c r="B1394" t="s">
        <v>430</v>
      </c>
      <c r="C1394">
        <v>72843</v>
      </c>
      <c r="D1394" s="2">
        <v>1855</v>
      </c>
      <c r="E1394" s="1">
        <v>43003</v>
      </c>
      <c r="F1394" t="str">
        <f>"023930"</f>
        <v>023930</v>
      </c>
      <c r="G1394" t="str">
        <f>"INV 023930"</f>
        <v>INV 023930</v>
      </c>
      <c r="H1394" s="2">
        <v>230</v>
      </c>
      <c r="I1394" t="str">
        <f>"INV 023930"</f>
        <v>INV 023930</v>
      </c>
    </row>
    <row r="1395" spans="1:10" x14ac:dyDescent="0.3">
      <c r="A1395" t="str">
        <f>""</f>
        <v/>
      </c>
      <c r="F1395" t="str">
        <f>"023950"</f>
        <v>023950</v>
      </c>
      <c r="G1395" t="str">
        <f>"INV 023950"</f>
        <v>INV 023950</v>
      </c>
      <c r="H1395" s="2">
        <v>1625</v>
      </c>
      <c r="I1395" t="str">
        <f>"INV 023950"</f>
        <v>INV 023950</v>
      </c>
    </row>
    <row r="1396" spans="1:10" x14ac:dyDescent="0.3">
      <c r="A1396" t="str">
        <f>"002483"</f>
        <v>002483</v>
      </c>
      <c r="B1396" t="s">
        <v>431</v>
      </c>
      <c r="C1396">
        <v>72844</v>
      </c>
      <c r="D1396" s="2">
        <v>55000</v>
      </c>
      <c r="E1396" s="1">
        <v>43003</v>
      </c>
      <c r="F1396" t="str">
        <f>"0002051"</f>
        <v>0002051</v>
      </c>
      <c r="G1396" t="str">
        <f>"IGA 80-99-0027"</f>
        <v>IGA 80-99-0027</v>
      </c>
      <c r="H1396" s="2">
        <v>55000</v>
      </c>
      <c r="I1396" t="str">
        <f>"IGA 80-99-0027"</f>
        <v>IGA 80-99-0027</v>
      </c>
    </row>
    <row r="1397" spans="1:10" x14ac:dyDescent="0.3">
      <c r="A1397" t="str">
        <f>"005204"</f>
        <v>005204</v>
      </c>
      <c r="B1397" t="s">
        <v>432</v>
      </c>
      <c r="C1397">
        <v>72620</v>
      </c>
      <c r="D1397" s="2">
        <v>85.88</v>
      </c>
      <c r="E1397" s="1">
        <v>42989</v>
      </c>
      <c r="F1397" t="s">
        <v>253</v>
      </c>
      <c r="G1397" t="s">
        <v>433</v>
      </c>
      <c r="H1397" s="2" t="str">
        <f>"RESTITUTION-D. GIL"</f>
        <v>RESTITUTION-D. GIL</v>
      </c>
      <c r="I1397" t="str">
        <f>"210-0000"</f>
        <v>210-0000</v>
      </c>
      <c r="J1397">
        <v>85.88</v>
      </c>
    </row>
    <row r="1398" spans="1:10" x14ac:dyDescent="0.3">
      <c r="A1398" t="str">
        <f>"T13860"</f>
        <v>T13860</v>
      </c>
      <c r="B1398" t="s">
        <v>434</v>
      </c>
      <c r="C1398">
        <v>999999</v>
      </c>
      <c r="D1398" s="2">
        <v>149.9</v>
      </c>
      <c r="E1398" s="1">
        <v>42984</v>
      </c>
      <c r="F1398" t="str">
        <f>"201709054530"</f>
        <v>201709054530</v>
      </c>
      <c r="G1398" t="str">
        <f>"TRAVEL REIMBURSEMENT"</f>
        <v>TRAVEL REIMBURSEMENT</v>
      </c>
      <c r="H1398" s="2">
        <v>149.9</v>
      </c>
      <c r="I1398" t="str">
        <f>"TRAVEL REIMBURSEMENT"</f>
        <v>TRAVEL REIMBURSEMENT</v>
      </c>
    </row>
    <row r="1399" spans="1:10" x14ac:dyDescent="0.3">
      <c r="A1399" t="str">
        <f>"TIME"</f>
        <v>TIME</v>
      </c>
      <c r="B1399" t="s">
        <v>435</v>
      </c>
      <c r="C1399">
        <v>72845</v>
      </c>
      <c r="D1399" s="2">
        <v>10269.83</v>
      </c>
      <c r="E1399" s="1">
        <v>43003</v>
      </c>
      <c r="F1399" t="str">
        <f>"201709144875"</f>
        <v>201709144875</v>
      </c>
      <c r="G1399" t="str">
        <f>"ACCT#8260163000003669"</f>
        <v>ACCT#8260163000003669</v>
      </c>
      <c r="H1399" s="2">
        <v>10269.83</v>
      </c>
      <c r="I1399" t="str">
        <f>"ACCT#8260163000003669"</f>
        <v>ACCT#8260163000003669</v>
      </c>
    </row>
    <row r="1400" spans="1:10" x14ac:dyDescent="0.3">
      <c r="A1400" t="str">
        <f>""</f>
        <v/>
      </c>
      <c r="F1400" t="str">
        <f>""</f>
        <v/>
      </c>
      <c r="G1400" t="str">
        <f>""</f>
        <v/>
      </c>
      <c r="I1400" t="str">
        <f>"ACCT#8260163000003669"</f>
        <v>ACCT#8260163000003669</v>
      </c>
    </row>
    <row r="1401" spans="1:10" x14ac:dyDescent="0.3">
      <c r="A1401" t="str">
        <f>""</f>
        <v/>
      </c>
      <c r="F1401" t="str">
        <f>""</f>
        <v/>
      </c>
      <c r="G1401" t="str">
        <f>""</f>
        <v/>
      </c>
      <c r="I1401" t="str">
        <f>"ACCT#8260163000003669"</f>
        <v>ACCT#8260163000003669</v>
      </c>
    </row>
    <row r="1402" spans="1:10" x14ac:dyDescent="0.3">
      <c r="A1402" t="str">
        <f>"002522"</f>
        <v>002522</v>
      </c>
      <c r="B1402" t="s">
        <v>436</v>
      </c>
      <c r="C1402">
        <v>72621</v>
      </c>
      <c r="D1402" s="2">
        <v>3.27</v>
      </c>
      <c r="E1402" s="1">
        <v>42989</v>
      </c>
      <c r="F1402" t="s">
        <v>135</v>
      </c>
      <c r="G1402" t="s">
        <v>136</v>
      </c>
      <c r="H1402" s="2" t="str">
        <f>"RESTITUTION-R.WRIGHT"</f>
        <v>RESTITUTION-R.WRIGHT</v>
      </c>
      <c r="I1402" t="str">
        <f>"210-0000"</f>
        <v>210-0000</v>
      </c>
      <c r="J1402">
        <v>3.27</v>
      </c>
    </row>
    <row r="1403" spans="1:10" x14ac:dyDescent="0.3">
      <c r="A1403" t="str">
        <f>"002337"</f>
        <v>002337</v>
      </c>
      <c r="B1403" t="s">
        <v>437</v>
      </c>
      <c r="C1403">
        <v>72622</v>
      </c>
      <c r="D1403" s="2">
        <v>334</v>
      </c>
      <c r="E1403" s="1">
        <v>42989</v>
      </c>
      <c r="F1403" t="s">
        <v>95</v>
      </c>
      <c r="G1403" t="s">
        <v>97</v>
      </c>
      <c r="H1403" s="2" t="str">
        <f>"SERVICE  6/14/17"</f>
        <v>SERVICE  6/14/17</v>
      </c>
      <c r="I1403" t="str">
        <f>"995-4110"</f>
        <v>995-4110</v>
      </c>
      <c r="J1403">
        <v>75</v>
      </c>
    </row>
    <row r="1404" spans="1:10" x14ac:dyDescent="0.3">
      <c r="A1404" t="str">
        <f>""</f>
        <v/>
      </c>
      <c r="F1404" t="str">
        <f>"12179 7/7/17"</f>
        <v>12179 7/7/17</v>
      </c>
      <c r="G1404" t="str">
        <f>"SERVICE 7/7/17"</f>
        <v>SERVICE 7/7/17</v>
      </c>
      <c r="H1404" s="2">
        <v>49</v>
      </c>
      <c r="I1404" t="str">
        <f>"SERVICE 7/7/17"</f>
        <v>SERVICE 7/7/17</v>
      </c>
    </row>
    <row r="1405" spans="1:10" x14ac:dyDescent="0.3">
      <c r="A1405" t="str">
        <f>""</f>
        <v/>
      </c>
      <c r="F1405" t="str">
        <f>"12743"</f>
        <v>12743</v>
      </c>
      <c r="G1405" t="str">
        <f>"SERVICE 7/21/17"</f>
        <v>SERVICE 7/21/17</v>
      </c>
      <c r="H1405" s="2">
        <v>75</v>
      </c>
      <c r="I1405" t="str">
        <f>"SERVICE 7/21/17"</f>
        <v>SERVICE 7/21/17</v>
      </c>
    </row>
    <row r="1406" spans="1:10" x14ac:dyDescent="0.3">
      <c r="A1406" t="str">
        <f>""</f>
        <v/>
      </c>
      <c r="F1406" t="str">
        <f>"9754"</f>
        <v>9754</v>
      </c>
      <c r="G1406" t="str">
        <f>"SERVICE 7/7/17"</f>
        <v>SERVICE 7/7/17</v>
      </c>
      <c r="H1406" s="2">
        <v>135</v>
      </c>
      <c r="I1406" t="str">
        <f>"SERVICE 7/7/17"</f>
        <v>SERVICE 7/7/17</v>
      </c>
    </row>
    <row r="1407" spans="1:10" x14ac:dyDescent="0.3">
      <c r="A1407" t="str">
        <f>"002337"</f>
        <v>002337</v>
      </c>
      <c r="B1407" t="s">
        <v>437</v>
      </c>
      <c r="C1407">
        <v>72847</v>
      </c>
      <c r="D1407" s="2">
        <v>1040</v>
      </c>
      <c r="E1407" s="1">
        <v>43003</v>
      </c>
      <c r="F1407" t="s">
        <v>93</v>
      </c>
      <c r="G1407" t="s">
        <v>100</v>
      </c>
      <c r="H1407" s="2" t="str">
        <f>"SERVICE  6/14/17"</f>
        <v>SERVICE  6/14/17</v>
      </c>
      <c r="I1407" t="str">
        <f>"995-4110"</f>
        <v>995-4110</v>
      </c>
      <c r="J1407">
        <v>215</v>
      </c>
    </row>
    <row r="1408" spans="1:10" x14ac:dyDescent="0.3">
      <c r="A1408" t="str">
        <f>""</f>
        <v/>
      </c>
      <c r="F1408" t="s">
        <v>93</v>
      </c>
      <c r="G1408" t="s">
        <v>101</v>
      </c>
      <c r="H1408" s="2" t="str">
        <f>"SERVICE  6/14/17"</f>
        <v>SERVICE  6/14/17</v>
      </c>
      <c r="I1408" t="str">
        <f>"995-4110"</f>
        <v>995-4110</v>
      </c>
      <c r="J1408">
        <v>525</v>
      </c>
    </row>
    <row r="1409" spans="1:10" x14ac:dyDescent="0.3">
      <c r="A1409" t="str">
        <f>""</f>
        <v/>
      </c>
      <c r="F1409" t="s">
        <v>95</v>
      </c>
      <c r="G1409" t="s">
        <v>103</v>
      </c>
      <c r="H1409" s="2" t="str">
        <f>"SERVICE  7/31/17"</f>
        <v>SERVICE  7/31/17</v>
      </c>
      <c r="I1409" t="str">
        <f>"995-4110"</f>
        <v>995-4110</v>
      </c>
      <c r="J1409">
        <v>75</v>
      </c>
    </row>
    <row r="1410" spans="1:10" x14ac:dyDescent="0.3">
      <c r="A1410" t="str">
        <f>""</f>
        <v/>
      </c>
      <c r="F1410" t="str">
        <f>"12548"</f>
        <v>12548</v>
      </c>
      <c r="G1410" t="str">
        <f>"SERVICE 8/3/17"</f>
        <v>SERVICE 8/3/17</v>
      </c>
      <c r="H1410" s="2">
        <v>75</v>
      </c>
      <c r="I1410" t="str">
        <f>"SERVICE 8/3/17"</f>
        <v>SERVICE 8/3/17</v>
      </c>
    </row>
    <row r="1411" spans="1:10" x14ac:dyDescent="0.3">
      <c r="A1411" t="str">
        <f>""</f>
        <v/>
      </c>
      <c r="F1411" t="str">
        <f>"12742"</f>
        <v>12742</v>
      </c>
      <c r="G1411" t="str">
        <f>"SERVICE 8/3/17"</f>
        <v>SERVICE 8/3/17</v>
      </c>
      <c r="H1411" s="2">
        <v>150</v>
      </c>
      <c r="I1411" t="str">
        <f>"SERVICE 8/3/17"</f>
        <v>SERVICE 8/3/17</v>
      </c>
    </row>
    <row r="1412" spans="1:10" x14ac:dyDescent="0.3">
      <c r="A1412" t="str">
        <f>"TCC"</f>
        <v>TCC</v>
      </c>
      <c r="B1412" t="s">
        <v>438</v>
      </c>
      <c r="C1412">
        <v>72848</v>
      </c>
      <c r="D1412" s="2">
        <v>454</v>
      </c>
      <c r="E1412" s="1">
        <v>43003</v>
      </c>
      <c r="F1412" t="str">
        <f>"17-001654"</f>
        <v>17-001654</v>
      </c>
      <c r="G1412" t="str">
        <f>"C-1-MH-17-001654/COURT COSTS"</f>
        <v>C-1-MH-17-001654/COURT COSTS</v>
      </c>
      <c r="H1412" s="2">
        <v>454</v>
      </c>
      <c r="I1412" t="str">
        <f>"C-1-MH-17-001654/COURT COSTS"</f>
        <v>C-1-MH-17-001654/COURT COSTS</v>
      </c>
    </row>
    <row r="1413" spans="1:10" x14ac:dyDescent="0.3">
      <c r="A1413" t="str">
        <f>"005136"</f>
        <v>005136</v>
      </c>
      <c r="B1413" t="s">
        <v>439</v>
      </c>
      <c r="C1413">
        <v>72623</v>
      </c>
      <c r="D1413" s="2">
        <v>8700</v>
      </c>
      <c r="E1413" s="1">
        <v>42989</v>
      </c>
      <c r="F1413" t="str">
        <f>"3300000625"</f>
        <v>3300000625</v>
      </c>
      <c r="G1413" t="str">
        <f>"INV#330000625/CUST#100010"</f>
        <v>INV#330000625/CUST#100010</v>
      </c>
      <c r="H1413" s="2">
        <v>5800</v>
      </c>
      <c r="I1413" t="str">
        <f>"INV#330000625/CUST#100010"</f>
        <v>INV#330000625/CUST#100010</v>
      </c>
    </row>
    <row r="1414" spans="1:10" x14ac:dyDescent="0.3">
      <c r="A1414" t="str">
        <f>""</f>
        <v/>
      </c>
      <c r="F1414" t="str">
        <f>"3300000630"</f>
        <v>3300000630</v>
      </c>
      <c r="G1414" t="str">
        <f>"INV#3300000625/CUST#100009"</f>
        <v>INV#3300000625/CUST#100009</v>
      </c>
      <c r="H1414" s="2">
        <v>2900</v>
      </c>
      <c r="I1414" t="str">
        <f>"CUST#100009/AUTOPSY FEE"</f>
        <v>CUST#100009/AUTOPSY FEE</v>
      </c>
    </row>
    <row r="1415" spans="1:10" x14ac:dyDescent="0.3">
      <c r="A1415" t="str">
        <f>"002944"</f>
        <v>002944</v>
      </c>
      <c r="B1415" t="s">
        <v>440</v>
      </c>
      <c r="C1415">
        <v>72532</v>
      </c>
      <c r="D1415" s="2">
        <v>559.12</v>
      </c>
      <c r="E1415" s="1">
        <v>42989</v>
      </c>
      <c r="F1415" t="str">
        <f>"671350"</f>
        <v>671350</v>
      </c>
      <c r="G1415" t="str">
        <f>"INV 671350/UNIT  80"</f>
        <v>INV 671350/UNIT  80</v>
      </c>
      <c r="H1415" s="2">
        <v>332.08</v>
      </c>
      <c r="I1415" t="str">
        <f>"INV 671350/UNIT  80"</f>
        <v>INV 671350/UNIT  80</v>
      </c>
    </row>
    <row r="1416" spans="1:10" x14ac:dyDescent="0.3">
      <c r="A1416" t="str">
        <f>""</f>
        <v/>
      </c>
      <c r="F1416" t="str">
        <f>"671351"</f>
        <v>671351</v>
      </c>
      <c r="G1416" t="str">
        <f>"INV 671351/UNIT 0417"</f>
        <v>INV 671351/UNIT 0417</v>
      </c>
      <c r="H1416" s="2">
        <v>227.04</v>
      </c>
      <c r="I1416" t="str">
        <f>"INV 671351/UNIT 0417"</f>
        <v>INV 671351/UNIT 0417</v>
      </c>
    </row>
    <row r="1417" spans="1:10" x14ac:dyDescent="0.3">
      <c r="A1417" t="str">
        <f>"002944"</f>
        <v>002944</v>
      </c>
      <c r="B1417" t="s">
        <v>440</v>
      </c>
      <c r="C1417">
        <v>999999</v>
      </c>
      <c r="D1417" s="2">
        <v>1531.47</v>
      </c>
      <c r="E1417" s="1">
        <v>43004</v>
      </c>
      <c r="F1417" t="str">
        <f>"669123"</f>
        <v>669123</v>
      </c>
      <c r="G1417" t="str">
        <f>"INV  669123/UNIT 0116"</f>
        <v>INV  669123/UNIT 0116</v>
      </c>
      <c r="H1417" s="2">
        <v>260.82</v>
      </c>
      <c r="I1417" t="str">
        <f>"INV  669123/UNIT 0116"</f>
        <v>INV  669123/UNIT 0116</v>
      </c>
    </row>
    <row r="1418" spans="1:10" x14ac:dyDescent="0.3">
      <c r="A1418" t="str">
        <f>""</f>
        <v/>
      </c>
      <c r="F1418" t="str">
        <f>"672145"</f>
        <v>672145</v>
      </c>
      <c r="G1418" t="str">
        <f>"INV 672145/UNI T 0311"</f>
        <v>INV 672145/UNI T 0311</v>
      </c>
      <c r="H1418" s="2">
        <v>319.42</v>
      </c>
      <c r="I1418" t="str">
        <f>"INV 672145/UNI T0311"</f>
        <v>INV 672145/UNI T0311</v>
      </c>
    </row>
    <row r="1419" spans="1:10" x14ac:dyDescent="0.3">
      <c r="A1419" t="str">
        <f>""</f>
        <v/>
      </c>
      <c r="F1419" t="str">
        <f>"673163"</f>
        <v>673163</v>
      </c>
      <c r="G1419" t="str">
        <f>"INV 673163/UNIT 0121"</f>
        <v>INV 673163/UNIT 0121</v>
      </c>
      <c r="H1419" s="2">
        <v>391.23</v>
      </c>
      <c r="I1419" t="str">
        <f>"INV 673163/UNIT 0121"</f>
        <v>INV 673163/UNIT 0121</v>
      </c>
    </row>
    <row r="1420" spans="1:10" x14ac:dyDescent="0.3">
      <c r="A1420" t="str">
        <f>""</f>
        <v/>
      </c>
      <c r="F1420" t="str">
        <f>"673436"</f>
        <v>673436</v>
      </c>
      <c r="G1420" t="str">
        <f>"INV 673436/UNIT 0313"</f>
        <v>INV 673436/UNIT 0313</v>
      </c>
      <c r="H1420" s="2">
        <v>560</v>
      </c>
      <c r="I1420" t="str">
        <f>"INV 673436/UNIT 0313"</f>
        <v>INV 673436/UNIT 0313</v>
      </c>
    </row>
    <row r="1421" spans="1:10" x14ac:dyDescent="0.3">
      <c r="A1421" t="str">
        <f>"003838"</f>
        <v>003838</v>
      </c>
      <c r="B1421" t="s">
        <v>441</v>
      </c>
      <c r="C1421">
        <v>72624</v>
      </c>
      <c r="D1421" s="2">
        <v>93.15</v>
      </c>
      <c r="E1421" s="1">
        <v>42989</v>
      </c>
      <c r="F1421" t="str">
        <f>"201709064624"</f>
        <v>201709064624</v>
      </c>
      <c r="G1421" t="str">
        <f>"INDIGENT HEALTH"</f>
        <v>INDIGENT HEALTH</v>
      </c>
      <c r="H1421" s="2">
        <v>93.15</v>
      </c>
      <c r="I1421" t="str">
        <f>"INDIGENT HEALTH"</f>
        <v>INDIGENT HEALTH</v>
      </c>
    </row>
    <row r="1422" spans="1:10" x14ac:dyDescent="0.3">
      <c r="A1422" t="str">
        <f>"TRIPLE"</f>
        <v>TRIPLE</v>
      </c>
      <c r="B1422" t="s">
        <v>442</v>
      </c>
      <c r="C1422">
        <v>72849</v>
      </c>
      <c r="D1422" s="2">
        <v>4828.07</v>
      </c>
      <c r="E1422" s="1">
        <v>43003</v>
      </c>
      <c r="F1422" t="str">
        <f>"0011167-IN"</f>
        <v>0011167-IN</v>
      </c>
      <c r="G1422" t="str">
        <f>"ACCT#0009087/BOL#417128/PCT#4"</f>
        <v>ACCT#0009087/BOL#417128/PCT#4</v>
      </c>
      <c r="H1422" s="2">
        <v>4828.07</v>
      </c>
      <c r="I1422" t="str">
        <f>"ACCT#0009087/BOL#417128/PCT#4"</f>
        <v>ACCT#0009087/BOL#417128/PCT#4</v>
      </c>
    </row>
    <row r="1423" spans="1:10" x14ac:dyDescent="0.3">
      <c r="A1423" t="str">
        <f>"TRACTO"</f>
        <v>TRACTO</v>
      </c>
      <c r="B1423" t="s">
        <v>443</v>
      </c>
      <c r="C1423">
        <v>72625</v>
      </c>
      <c r="D1423" s="2">
        <v>373.2</v>
      </c>
      <c r="E1423" s="1">
        <v>42989</v>
      </c>
      <c r="F1423" t="str">
        <f>"MULTIPLE INV#'S"</f>
        <v>MULTIPLE INV#'S</v>
      </c>
      <c r="G1423" t="str">
        <f>"Account# 6035301200160982"</f>
        <v>Account# 6035301200160982</v>
      </c>
      <c r="H1423" s="2">
        <v>373.2</v>
      </c>
      <c r="I1423" t="str">
        <f>"Inv# 200433254"</f>
        <v>Inv# 200433254</v>
      </c>
    </row>
    <row r="1424" spans="1:10" x14ac:dyDescent="0.3">
      <c r="A1424" t="str">
        <f>""</f>
        <v/>
      </c>
      <c r="F1424" t="str">
        <f>""</f>
        <v/>
      </c>
      <c r="G1424" t="str">
        <f>""</f>
        <v/>
      </c>
      <c r="I1424" t="str">
        <f>"Inv# 200433257"</f>
        <v>Inv# 200433257</v>
      </c>
    </row>
    <row r="1425" spans="1:9" x14ac:dyDescent="0.3">
      <c r="A1425" t="str">
        <f>""</f>
        <v/>
      </c>
      <c r="F1425" t="str">
        <f>""</f>
        <v/>
      </c>
      <c r="G1425" t="str">
        <f>""</f>
        <v/>
      </c>
      <c r="I1425" t="str">
        <f>"Inv# 200431942"</f>
        <v>Inv# 200431942</v>
      </c>
    </row>
    <row r="1426" spans="1:9" x14ac:dyDescent="0.3">
      <c r="A1426" t="str">
        <f>""</f>
        <v/>
      </c>
      <c r="F1426" t="str">
        <f>""</f>
        <v/>
      </c>
      <c r="G1426" t="str">
        <f>""</f>
        <v/>
      </c>
      <c r="I1426" t="str">
        <f>"Inv# 100520767"</f>
        <v>Inv# 100520767</v>
      </c>
    </row>
    <row r="1427" spans="1:9" x14ac:dyDescent="0.3">
      <c r="A1427" t="str">
        <f>""</f>
        <v/>
      </c>
      <c r="F1427" t="str">
        <f>""</f>
        <v/>
      </c>
      <c r="G1427" t="str">
        <f>""</f>
        <v/>
      </c>
      <c r="I1427" t="str">
        <f>"Inv# 100521740"</f>
        <v>Inv# 100521740</v>
      </c>
    </row>
    <row r="1428" spans="1:9" x14ac:dyDescent="0.3">
      <c r="A1428" t="str">
        <f>""</f>
        <v/>
      </c>
      <c r="F1428" t="str">
        <f>""</f>
        <v/>
      </c>
      <c r="G1428" t="str">
        <f>""</f>
        <v/>
      </c>
      <c r="I1428" t="str">
        <f>"Inv# 200431942"</f>
        <v>Inv# 200431942</v>
      </c>
    </row>
    <row r="1429" spans="1:9" x14ac:dyDescent="0.3">
      <c r="A1429" t="str">
        <f>""</f>
        <v/>
      </c>
      <c r="F1429" t="str">
        <f>""</f>
        <v/>
      </c>
      <c r="G1429" t="str">
        <f>""</f>
        <v/>
      </c>
      <c r="I1429" t="str">
        <f>"Inv# 100522129"</f>
        <v>Inv# 100522129</v>
      </c>
    </row>
    <row r="1430" spans="1:9" x14ac:dyDescent="0.3">
      <c r="A1430" t="str">
        <f>""</f>
        <v/>
      </c>
      <c r="F1430" t="str">
        <f>""</f>
        <v/>
      </c>
      <c r="G1430" t="str">
        <f>""</f>
        <v/>
      </c>
      <c r="I1430" t="str">
        <f>"Inv# 100523147"</f>
        <v>Inv# 100523147</v>
      </c>
    </row>
    <row r="1431" spans="1:9" x14ac:dyDescent="0.3">
      <c r="A1431" t="str">
        <f>""</f>
        <v/>
      </c>
      <c r="F1431" t="str">
        <f>""</f>
        <v/>
      </c>
      <c r="G1431" t="str">
        <f>""</f>
        <v/>
      </c>
      <c r="I1431" t="str">
        <f>"Inv# 100523579"</f>
        <v>Inv# 100523579</v>
      </c>
    </row>
    <row r="1432" spans="1:9" x14ac:dyDescent="0.3">
      <c r="A1432" t="str">
        <f>"TULL"</f>
        <v>TULL</v>
      </c>
      <c r="B1432" t="s">
        <v>444</v>
      </c>
      <c r="C1432">
        <v>72626</v>
      </c>
      <c r="D1432" s="2">
        <v>1850</v>
      </c>
      <c r="E1432" s="1">
        <v>42989</v>
      </c>
      <c r="F1432" t="str">
        <f>"201709014506"</f>
        <v>201709014506</v>
      </c>
      <c r="G1432" t="str">
        <f>"407026-2M  407026-IM"</f>
        <v>407026-2M  407026-IM</v>
      </c>
      <c r="H1432" s="2">
        <v>600</v>
      </c>
      <c r="I1432" t="str">
        <f>"407026-2M  407026-IM"</f>
        <v>407026-2M  407026-IM</v>
      </c>
    </row>
    <row r="1433" spans="1:9" x14ac:dyDescent="0.3">
      <c r="A1433" t="str">
        <f>""</f>
        <v/>
      </c>
      <c r="F1433" t="str">
        <f>"201709014507"</f>
        <v>201709014507</v>
      </c>
      <c r="G1433" t="str">
        <f>"406045-IM"</f>
        <v>406045-IM</v>
      </c>
      <c r="H1433" s="2">
        <v>400</v>
      </c>
      <c r="I1433" t="str">
        <f>"406045-IM"</f>
        <v>406045-IM</v>
      </c>
    </row>
    <row r="1434" spans="1:9" x14ac:dyDescent="0.3">
      <c r="A1434" t="str">
        <f>""</f>
        <v/>
      </c>
      <c r="F1434" t="str">
        <f>"201709014508"</f>
        <v>201709014508</v>
      </c>
      <c r="G1434" t="str">
        <f>"307232017F"</f>
        <v>307232017F</v>
      </c>
      <c r="H1434" s="2">
        <v>400</v>
      </c>
      <c r="I1434" t="str">
        <f>"307232017F"</f>
        <v>307232017F</v>
      </c>
    </row>
    <row r="1435" spans="1:9" x14ac:dyDescent="0.3">
      <c r="A1435" t="str">
        <f>""</f>
        <v/>
      </c>
      <c r="F1435" t="str">
        <f>"201709014513"</f>
        <v>201709014513</v>
      </c>
      <c r="G1435" t="str">
        <f>"423-5216  423-5217"</f>
        <v>423-5216  423-5217</v>
      </c>
      <c r="H1435" s="2">
        <v>200</v>
      </c>
      <c r="I1435" t="str">
        <f>"423-5216  423-5217"</f>
        <v>423-5216  423-5217</v>
      </c>
    </row>
    <row r="1436" spans="1:9" x14ac:dyDescent="0.3">
      <c r="A1436" t="str">
        <f>""</f>
        <v/>
      </c>
      <c r="F1436" t="str">
        <f>"201709064583"</f>
        <v>201709064583</v>
      </c>
      <c r="G1436" t="str">
        <f>"55 323"</f>
        <v>55 323</v>
      </c>
      <c r="H1436" s="2">
        <v>250</v>
      </c>
      <c r="I1436" t="str">
        <f>"55 323"</f>
        <v>55 323</v>
      </c>
    </row>
    <row r="1437" spans="1:9" x14ac:dyDescent="0.3">
      <c r="A1437" t="str">
        <f>"TULL"</f>
        <v>TULL</v>
      </c>
      <c r="B1437" t="s">
        <v>444</v>
      </c>
      <c r="C1437">
        <v>72850</v>
      </c>
      <c r="D1437" s="2">
        <v>825</v>
      </c>
      <c r="E1437" s="1">
        <v>43003</v>
      </c>
      <c r="F1437" t="str">
        <f>"201709154934"</f>
        <v>201709154934</v>
      </c>
      <c r="G1437" t="str">
        <f>"16 130"</f>
        <v>16 130</v>
      </c>
      <c r="H1437" s="2">
        <v>825</v>
      </c>
      <c r="I1437" t="str">
        <f>"16 130"</f>
        <v>16 130</v>
      </c>
    </row>
    <row r="1438" spans="1:9" x14ac:dyDescent="0.3">
      <c r="A1438" t="str">
        <f>"TXTAG"</f>
        <v>TXTAG</v>
      </c>
      <c r="B1438" t="s">
        <v>445</v>
      </c>
      <c r="C1438">
        <v>72846</v>
      </c>
      <c r="D1438" s="2">
        <v>127.35</v>
      </c>
      <c r="E1438" s="1">
        <v>43003</v>
      </c>
      <c r="F1438" t="str">
        <f>"349887291"</f>
        <v>349887291</v>
      </c>
      <c r="G1438" t="str">
        <f>"ACCT# 349887291"</f>
        <v>ACCT# 349887291</v>
      </c>
      <c r="H1438" s="2">
        <v>127.35</v>
      </c>
      <c r="I1438" t="str">
        <f>"FEE"</f>
        <v>FEE</v>
      </c>
    </row>
    <row r="1439" spans="1:9" x14ac:dyDescent="0.3">
      <c r="A1439" t="str">
        <f>""</f>
        <v/>
      </c>
      <c r="F1439" t="str">
        <f>""</f>
        <v/>
      </c>
      <c r="G1439" t="str">
        <f>""</f>
        <v/>
      </c>
      <c r="I1439" t="str">
        <f>"FEE"</f>
        <v>FEE</v>
      </c>
    </row>
    <row r="1440" spans="1:9" x14ac:dyDescent="0.3">
      <c r="A1440" t="str">
        <f>""</f>
        <v/>
      </c>
      <c r="F1440" t="str">
        <f>""</f>
        <v/>
      </c>
      <c r="G1440" t="str">
        <f>""</f>
        <v/>
      </c>
      <c r="I1440" t="str">
        <f>"FEE"</f>
        <v>FEE</v>
      </c>
    </row>
    <row r="1441" spans="1:9" x14ac:dyDescent="0.3">
      <c r="A1441" t="str">
        <f>"TYLER"</f>
        <v>TYLER</v>
      </c>
      <c r="B1441" t="s">
        <v>446</v>
      </c>
      <c r="C1441">
        <v>72628</v>
      </c>
      <c r="D1441" s="2">
        <v>87053.51</v>
      </c>
      <c r="E1441" s="1">
        <v>42989</v>
      </c>
      <c r="F1441" t="str">
        <f>"020-14884"</f>
        <v>020-14884</v>
      </c>
      <c r="G1441" t="str">
        <f>"CUST#42161/ORD#5875"</f>
        <v>CUST#42161/ORD#5875</v>
      </c>
      <c r="H1441" s="2">
        <v>33922.68</v>
      </c>
      <c r="I1441" t="str">
        <f>"CUST#42161/ORD#5875"</f>
        <v>CUST#42161/ORD#5875</v>
      </c>
    </row>
    <row r="1442" spans="1:9" x14ac:dyDescent="0.3">
      <c r="A1442" t="str">
        <f>""</f>
        <v/>
      </c>
      <c r="F1442" t="str">
        <f>"025-183763"</f>
        <v>025-183763</v>
      </c>
      <c r="G1442" t="str">
        <f>"CUST#42161/ORD#77619"</f>
        <v>CUST#42161/ORD#77619</v>
      </c>
      <c r="H1442" s="2">
        <v>1500</v>
      </c>
      <c r="I1442" t="str">
        <f>"CUST#42161/ORD#77619"</f>
        <v>CUST#42161/ORD#77619</v>
      </c>
    </row>
    <row r="1443" spans="1:9" x14ac:dyDescent="0.3">
      <c r="A1443" t="str">
        <f>""</f>
        <v/>
      </c>
      <c r="F1443" t="str">
        <f>"025-198828"</f>
        <v>025-198828</v>
      </c>
      <c r="G1443" t="str">
        <f>"CUST#42161/ORD#83593"</f>
        <v>CUST#42161/ORD#83593</v>
      </c>
      <c r="H1443" s="2">
        <v>51630.83</v>
      </c>
      <c r="I1443" t="str">
        <f>"CUST#42161/ORD#83593"</f>
        <v>CUST#42161/ORD#83593</v>
      </c>
    </row>
    <row r="1444" spans="1:9" x14ac:dyDescent="0.3">
      <c r="A1444" t="str">
        <f>"TYLER"</f>
        <v>TYLER</v>
      </c>
      <c r="B1444" t="s">
        <v>446</v>
      </c>
      <c r="C1444">
        <v>72851</v>
      </c>
      <c r="D1444" s="2">
        <v>525</v>
      </c>
      <c r="E1444" s="1">
        <v>43003</v>
      </c>
      <c r="F1444" t="str">
        <f>"020-14885"</f>
        <v>020-14885</v>
      </c>
      <c r="G1444" t="str">
        <f>"CUST#42161/ORD#5876"</f>
        <v>CUST#42161/ORD#5876</v>
      </c>
      <c r="H1444" s="2">
        <v>525</v>
      </c>
      <c r="I1444" t="str">
        <f>"CUST#42161/ORD#5876"</f>
        <v>CUST#42161/ORD#5876</v>
      </c>
    </row>
    <row r="1445" spans="1:9" x14ac:dyDescent="0.3">
      <c r="A1445" t="str">
        <f>"001513"</f>
        <v>001513</v>
      </c>
      <c r="B1445" t="s">
        <v>447</v>
      </c>
      <c r="C1445">
        <v>72852</v>
      </c>
      <c r="D1445" s="2">
        <v>12700</v>
      </c>
      <c r="E1445" s="1">
        <v>43003</v>
      </c>
      <c r="F1445" t="str">
        <f>"025-2000404"</f>
        <v>025-2000404</v>
      </c>
      <c r="G1445" t="str">
        <f>"Inv# 025-2000404"</f>
        <v>Inv# 025-2000404</v>
      </c>
      <c r="H1445" s="2">
        <v>12700</v>
      </c>
      <c r="I1445" t="str">
        <f>"Inv# 025-2000404"</f>
        <v>Inv# 025-2000404</v>
      </c>
    </row>
    <row r="1446" spans="1:9" x14ac:dyDescent="0.3">
      <c r="A1446" t="str">
        <f>"000599"</f>
        <v>000599</v>
      </c>
      <c r="B1446" t="s">
        <v>448</v>
      </c>
      <c r="C1446">
        <v>72629</v>
      </c>
      <c r="D1446" s="2">
        <v>8361.0400000000009</v>
      </c>
      <c r="E1446" s="1">
        <v>42989</v>
      </c>
      <c r="F1446" t="str">
        <f>"89798172"</f>
        <v>89798172</v>
      </c>
      <c r="G1446" t="str">
        <f>"Inv# 89798172"</f>
        <v>Inv# 89798172</v>
      </c>
      <c r="H1446" s="2">
        <v>1512.82</v>
      </c>
      <c r="I1446" t="str">
        <f>"H-2882"</f>
        <v>H-2882</v>
      </c>
    </row>
    <row r="1447" spans="1:9" x14ac:dyDescent="0.3">
      <c r="A1447" t="str">
        <f>""</f>
        <v/>
      </c>
      <c r="F1447" t="str">
        <f>""</f>
        <v/>
      </c>
      <c r="G1447" t="str">
        <f>""</f>
        <v/>
      </c>
      <c r="I1447" t="str">
        <f>"Shipping"</f>
        <v>Shipping</v>
      </c>
    </row>
    <row r="1448" spans="1:9" x14ac:dyDescent="0.3">
      <c r="A1448" t="str">
        <f>""</f>
        <v/>
      </c>
      <c r="F1448" t="str">
        <f>"89798323"</f>
        <v>89798323</v>
      </c>
      <c r="G1448" t="str">
        <f>"Inv# 89833548"</f>
        <v>Inv# 89833548</v>
      </c>
      <c r="H1448" s="2">
        <v>55.1</v>
      </c>
      <c r="I1448" t="str">
        <f>"S-8419O"</f>
        <v>S-8419O</v>
      </c>
    </row>
    <row r="1449" spans="1:9" x14ac:dyDescent="0.3">
      <c r="A1449" t="str">
        <f>""</f>
        <v/>
      </c>
      <c r="F1449" t="str">
        <f>""</f>
        <v/>
      </c>
      <c r="G1449" t="str">
        <f>""</f>
        <v/>
      </c>
      <c r="I1449" t="str">
        <f>"Shipping"</f>
        <v>Shipping</v>
      </c>
    </row>
    <row r="1450" spans="1:9" x14ac:dyDescent="0.3">
      <c r="A1450" t="str">
        <f>""</f>
        <v/>
      </c>
      <c r="F1450" t="str">
        <f>"89798457"</f>
        <v>89798457</v>
      </c>
      <c r="G1450" t="str">
        <f>"Inv# 89798457"</f>
        <v>Inv# 89798457</v>
      </c>
      <c r="H1450" s="2">
        <v>6045.78</v>
      </c>
      <c r="I1450" t="str">
        <f>"S-14710-O"</f>
        <v>S-14710-O</v>
      </c>
    </row>
    <row r="1451" spans="1:9" x14ac:dyDescent="0.3">
      <c r="A1451" t="str">
        <f>""</f>
        <v/>
      </c>
      <c r="F1451" t="str">
        <f>""</f>
        <v/>
      </c>
      <c r="G1451" t="str">
        <f>""</f>
        <v/>
      </c>
      <c r="I1451" t="str">
        <f>"H-6131"</f>
        <v>H-6131</v>
      </c>
    </row>
    <row r="1452" spans="1:9" x14ac:dyDescent="0.3">
      <c r="A1452" t="str">
        <f>""</f>
        <v/>
      </c>
      <c r="F1452" t="str">
        <f>""</f>
        <v/>
      </c>
      <c r="G1452" t="str">
        <f>""</f>
        <v/>
      </c>
      <c r="I1452" t="str">
        <f>"H-6133"</f>
        <v>H-6133</v>
      </c>
    </row>
    <row r="1453" spans="1:9" x14ac:dyDescent="0.3">
      <c r="A1453" t="str">
        <f>""</f>
        <v/>
      </c>
      <c r="F1453" t="str">
        <f>""</f>
        <v/>
      </c>
      <c r="G1453" t="str">
        <f>""</f>
        <v/>
      </c>
      <c r="I1453" t="str">
        <f>"Shipping"</f>
        <v>Shipping</v>
      </c>
    </row>
    <row r="1454" spans="1:9" x14ac:dyDescent="0.3">
      <c r="A1454" t="str">
        <f>""</f>
        <v/>
      </c>
      <c r="F1454" t="str">
        <f>"89829909"</f>
        <v>89829909</v>
      </c>
      <c r="G1454" t="str">
        <f>"Inv# 89829909"</f>
        <v>Inv# 89829909</v>
      </c>
      <c r="H1454" s="2">
        <v>55.1</v>
      </c>
      <c r="I1454" t="str">
        <f>"S-8419W"</f>
        <v>S-8419W</v>
      </c>
    </row>
    <row r="1455" spans="1:9" x14ac:dyDescent="0.3">
      <c r="A1455" t="str">
        <f>""</f>
        <v/>
      </c>
      <c r="F1455" t="str">
        <f>""</f>
        <v/>
      </c>
      <c r="G1455" t="str">
        <f>""</f>
        <v/>
      </c>
      <c r="I1455" t="str">
        <f>"Shipping"</f>
        <v>Shipping</v>
      </c>
    </row>
    <row r="1456" spans="1:9" x14ac:dyDescent="0.3">
      <c r="A1456" t="str">
        <f>""</f>
        <v/>
      </c>
      <c r="F1456" t="str">
        <f>"89833548"</f>
        <v>89833548</v>
      </c>
      <c r="G1456" t="str">
        <f>"Inv# 89798323"</f>
        <v>Inv# 89798323</v>
      </c>
      <c r="H1456" s="2">
        <v>551.79999999999995</v>
      </c>
      <c r="I1456" t="str">
        <f>"H-2882"</f>
        <v>H-2882</v>
      </c>
    </row>
    <row r="1457" spans="1:9" x14ac:dyDescent="0.3">
      <c r="A1457" t="str">
        <f>""</f>
        <v/>
      </c>
      <c r="F1457" t="str">
        <f>""</f>
        <v/>
      </c>
      <c r="G1457" t="str">
        <f>""</f>
        <v/>
      </c>
      <c r="I1457" t="str">
        <f>"S-14710-O"</f>
        <v>S-14710-O</v>
      </c>
    </row>
    <row r="1458" spans="1:9" x14ac:dyDescent="0.3">
      <c r="A1458" t="str">
        <f>""</f>
        <v/>
      </c>
      <c r="F1458" t="str">
        <f>""</f>
        <v/>
      </c>
      <c r="G1458" t="str">
        <f>""</f>
        <v/>
      </c>
      <c r="I1458" t="str">
        <f>"Shipping"</f>
        <v>Shipping</v>
      </c>
    </row>
    <row r="1459" spans="1:9" x14ac:dyDescent="0.3">
      <c r="A1459" t="str">
        <f>""</f>
        <v/>
      </c>
      <c r="F1459" t="str">
        <f>"89905772"</f>
        <v>89905772</v>
      </c>
      <c r="G1459" t="str">
        <f>"Inv#89905772"</f>
        <v>Inv#89905772</v>
      </c>
      <c r="H1459" s="2">
        <v>140.44</v>
      </c>
      <c r="I1459" t="str">
        <f>"S-8419W"</f>
        <v>S-8419W</v>
      </c>
    </row>
    <row r="1460" spans="1:9" x14ac:dyDescent="0.3">
      <c r="A1460" t="str">
        <f>""</f>
        <v/>
      </c>
      <c r="F1460" t="str">
        <f>""</f>
        <v/>
      </c>
      <c r="G1460" t="str">
        <f>""</f>
        <v/>
      </c>
      <c r="I1460" t="str">
        <f>"Shipping"</f>
        <v>Shipping</v>
      </c>
    </row>
    <row r="1461" spans="1:9" x14ac:dyDescent="0.3">
      <c r="A1461" t="str">
        <f>"000599"</f>
        <v>000599</v>
      </c>
      <c r="B1461" t="s">
        <v>448</v>
      </c>
      <c r="C1461">
        <v>72853</v>
      </c>
      <c r="D1461" s="2">
        <v>2834.73</v>
      </c>
      <c r="E1461" s="1">
        <v>43003</v>
      </c>
      <c r="F1461" t="str">
        <f>"90148220"</f>
        <v>90148220</v>
      </c>
      <c r="G1461" t="str">
        <f>"BOLLARD SLEEVES"</f>
        <v>BOLLARD SLEEVES</v>
      </c>
      <c r="H1461" s="2">
        <v>342.15</v>
      </c>
      <c r="I1461" t="str">
        <f>"BOLLARD SLEEVES"</f>
        <v>BOLLARD SLEEVES</v>
      </c>
    </row>
    <row r="1462" spans="1:9" x14ac:dyDescent="0.3">
      <c r="A1462" t="str">
        <f>""</f>
        <v/>
      </c>
      <c r="F1462" t="str">
        <f>""</f>
        <v/>
      </c>
      <c r="G1462" t="str">
        <f>""</f>
        <v/>
      </c>
      <c r="I1462" t="str">
        <f>"SHIPPING"</f>
        <v>SHIPPING</v>
      </c>
    </row>
    <row r="1463" spans="1:9" x14ac:dyDescent="0.3">
      <c r="A1463" t="str">
        <f>""</f>
        <v/>
      </c>
      <c r="F1463" t="str">
        <f>"90251457"</f>
        <v>90251457</v>
      </c>
      <c r="G1463" t="str">
        <f>"Inv# 90251457"</f>
        <v>Inv# 90251457</v>
      </c>
      <c r="H1463" s="2">
        <v>360.8</v>
      </c>
      <c r="I1463" t="str">
        <f>"H-2882"</f>
        <v>H-2882</v>
      </c>
    </row>
    <row r="1464" spans="1:9" x14ac:dyDescent="0.3">
      <c r="A1464" t="str">
        <f>""</f>
        <v/>
      </c>
      <c r="F1464" t="str">
        <f>""</f>
        <v/>
      </c>
      <c r="G1464" t="str">
        <f>""</f>
        <v/>
      </c>
      <c r="I1464" t="str">
        <f>"Shipping"</f>
        <v>Shipping</v>
      </c>
    </row>
    <row r="1465" spans="1:9" x14ac:dyDescent="0.3">
      <c r="A1465" t="str">
        <f>""</f>
        <v/>
      </c>
      <c r="F1465" t="str">
        <f>"95672123"</f>
        <v>95672123</v>
      </c>
      <c r="G1465" t="str">
        <f>"Inv# 90156477"</f>
        <v>Inv# 90156477</v>
      </c>
      <c r="H1465" s="2">
        <v>2131.7800000000002</v>
      </c>
      <c r="I1465" t="str">
        <f>"H-4584"</f>
        <v>H-4584</v>
      </c>
    </row>
    <row r="1466" spans="1:9" x14ac:dyDescent="0.3">
      <c r="A1466" t="str">
        <f>""</f>
        <v/>
      </c>
      <c r="F1466" t="str">
        <f>""</f>
        <v/>
      </c>
      <c r="G1466" t="str">
        <f>""</f>
        <v/>
      </c>
      <c r="I1466" t="str">
        <f>"Shipping"</f>
        <v>Shipping</v>
      </c>
    </row>
    <row r="1467" spans="1:9" x14ac:dyDescent="0.3">
      <c r="A1467" t="str">
        <f>"005224"</f>
        <v>005224</v>
      </c>
      <c r="B1467" t="s">
        <v>449</v>
      </c>
      <c r="C1467">
        <v>72854</v>
      </c>
      <c r="D1467" s="2">
        <v>140</v>
      </c>
      <c r="E1467" s="1">
        <v>43003</v>
      </c>
      <c r="F1467" t="str">
        <f>"1125"</f>
        <v>1125</v>
      </c>
      <c r="G1467" t="str">
        <f>"TRUCK#476/ROADSIDE ASSISTANCE"</f>
        <v>TRUCK#476/ROADSIDE ASSISTANCE</v>
      </c>
      <c r="H1467" s="2">
        <v>140</v>
      </c>
      <c r="I1467" t="str">
        <f>"TRUCK#476/ROADSIDE ASSISTANCE"</f>
        <v>TRUCK#476/ROADSIDE ASSISTANCE</v>
      </c>
    </row>
    <row r="1468" spans="1:9" x14ac:dyDescent="0.3">
      <c r="A1468" t="str">
        <f>"001445"</f>
        <v>001445</v>
      </c>
      <c r="B1468" t="s">
        <v>450</v>
      </c>
      <c r="C1468">
        <v>72855</v>
      </c>
      <c r="D1468" s="2">
        <v>285.48</v>
      </c>
      <c r="E1468" s="1">
        <v>43003</v>
      </c>
      <c r="F1468" t="str">
        <f>"2003864"</f>
        <v>2003864</v>
      </c>
      <c r="G1468" t="str">
        <f>"REMOTE BIRTH ACCESS AUG 1-31"</f>
        <v>REMOTE BIRTH ACCESS AUG 1-31</v>
      </c>
      <c r="H1468" s="2">
        <v>285.48</v>
      </c>
      <c r="I1468" t="str">
        <f>"REMOTE BIRTH ACCESS AUG 1-31"</f>
        <v>REMOTE BIRTH ACCESS AUG 1-31</v>
      </c>
    </row>
    <row r="1469" spans="1:9" x14ac:dyDescent="0.3">
      <c r="A1469" t="str">
        <f>"002870"</f>
        <v>002870</v>
      </c>
      <c r="B1469" t="s">
        <v>451</v>
      </c>
      <c r="C1469">
        <v>72856</v>
      </c>
      <c r="D1469" s="2">
        <v>433.84</v>
      </c>
      <c r="E1469" s="1">
        <v>43003</v>
      </c>
      <c r="F1469" t="str">
        <f>"201709194996"</f>
        <v>201709194996</v>
      </c>
      <c r="G1469" t="str">
        <f>"INDIGENT HEALTH"</f>
        <v>INDIGENT HEALTH</v>
      </c>
      <c r="H1469" s="2">
        <v>433.84</v>
      </c>
      <c r="I1469" t="str">
        <f>"INDIGENT HEALTH"</f>
        <v>INDIGENT HEALTH</v>
      </c>
    </row>
    <row r="1470" spans="1:9" x14ac:dyDescent="0.3">
      <c r="A1470" t="str">
        <f>"VI"</f>
        <v>VI</v>
      </c>
      <c r="B1470" t="s">
        <v>452</v>
      </c>
      <c r="C1470">
        <v>72857</v>
      </c>
      <c r="D1470" s="2">
        <v>183.72</v>
      </c>
      <c r="E1470" s="1">
        <v>43003</v>
      </c>
      <c r="F1470" t="str">
        <f>"309766"</f>
        <v>309766</v>
      </c>
      <c r="G1470" t="str">
        <f>"Arrow Signs / Yield Signs"</f>
        <v>Arrow Signs / Yield Signs</v>
      </c>
      <c r="H1470" s="2">
        <v>183.72</v>
      </c>
      <c r="I1470" t="str">
        <f>"#0850735 Right Arrow"</f>
        <v>#0850735 Right Arrow</v>
      </c>
    </row>
    <row r="1471" spans="1:9" x14ac:dyDescent="0.3">
      <c r="A1471" t="str">
        <f>""</f>
        <v/>
      </c>
      <c r="F1471" t="str">
        <f>""</f>
        <v/>
      </c>
      <c r="G1471" t="str">
        <f>""</f>
        <v/>
      </c>
      <c r="I1471" t="str">
        <f>"#0850736 Left Arrow"</f>
        <v>#0850736 Left Arrow</v>
      </c>
    </row>
    <row r="1472" spans="1:9" x14ac:dyDescent="0.3">
      <c r="A1472" t="str">
        <f>""</f>
        <v/>
      </c>
      <c r="F1472" t="str">
        <f>""</f>
        <v/>
      </c>
      <c r="G1472" t="str">
        <f>""</f>
        <v/>
      </c>
      <c r="I1472" t="str">
        <f>"#0858403 Yield Sign"</f>
        <v>#0858403 Yield Sign</v>
      </c>
    </row>
    <row r="1473" spans="1:9" x14ac:dyDescent="0.3">
      <c r="A1473" t="str">
        <f>"004767"</f>
        <v>004767</v>
      </c>
      <c r="B1473" t="s">
        <v>453</v>
      </c>
      <c r="C1473">
        <v>72858</v>
      </c>
      <c r="D1473" s="2">
        <v>117.36</v>
      </c>
      <c r="E1473" s="1">
        <v>43003</v>
      </c>
      <c r="F1473" t="str">
        <f>"0817-DR14926"</f>
        <v>0817-DR14926</v>
      </c>
      <c r="G1473" t="str">
        <f>"CLIENT ID:CXD 14926"</f>
        <v>CLIENT ID:CXD 14926</v>
      </c>
      <c r="H1473" s="2">
        <v>117.36</v>
      </c>
      <c r="I1473" t="str">
        <f>"CLIENT ID:CXD 14926"</f>
        <v>CLIENT ID:CXD 14926</v>
      </c>
    </row>
    <row r="1474" spans="1:9" x14ac:dyDescent="0.3">
      <c r="A1474" t="str">
        <f>"003629"</f>
        <v>003629</v>
      </c>
      <c r="B1474" t="s">
        <v>454</v>
      </c>
      <c r="C1474">
        <v>72630</v>
      </c>
      <c r="D1474" s="2">
        <v>5636.23</v>
      </c>
      <c r="E1474" s="1">
        <v>42989</v>
      </c>
      <c r="F1474" t="str">
        <f>"12808"</f>
        <v>12808</v>
      </c>
      <c r="G1474" t="str">
        <f>"COLD MIX/PCT#3"</f>
        <v>COLD MIX/PCT#3</v>
      </c>
      <c r="H1474" s="2">
        <v>5636.23</v>
      </c>
      <c r="I1474" t="str">
        <f>"COLD MIX/PCT#3"</f>
        <v>COLD MIX/PCT#3</v>
      </c>
    </row>
    <row r="1475" spans="1:9" x14ac:dyDescent="0.3">
      <c r="A1475" t="str">
        <f>"003629"</f>
        <v>003629</v>
      </c>
      <c r="B1475" t="s">
        <v>454</v>
      </c>
      <c r="C1475">
        <v>999999</v>
      </c>
      <c r="D1475" s="2">
        <v>2719.09</v>
      </c>
      <c r="E1475" s="1">
        <v>43004</v>
      </c>
      <c r="F1475" t="str">
        <f>"12823"</f>
        <v>12823</v>
      </c>
      <c r="G1475" t="str">
        <f>"COLD MIX FREIGHT/PCT#1"</f>
        <v>COLD MIX FREIGHT/PCT#1</v>
      </c>
      <c r="H1475" s="2">
        <v>2719.09</v>
      </c>
      <c r="I1475" t="str">
        <f>"COLD MIX FREIGHT/PCT#1"</f>
        <v>COLD MIX FREIGHT/PCT#1</v>
      </c>
    </row>
    <row r="1476" spans="1:9" x14ac:dyDescent="0.3">
      <c r="A1476" t="str">
        <f>"WALMAR"</f>
        <v>WALMAR</v>
      </c>
      <c r="B1476" t="s">
        <v>455</v>
      </c>
      <c r="C1476">
        <v>72631</v>
      </c>
      <c r="D1476" s="2">
        <v>741.86</v>
      </c>
      <c r="E1476" s="1">
        <v>42989</v>
      </c>
      <c r="F1476" t="str">
        <f>"MULTIPLE INV#'S"</f>
        <v>MULTIPLE INV#'S</v>
      </c>
      <c r="G1476" t="str">
        <f>"Acct# 6032202005312476"</f>
        <v>Acct# 6032202005312476</v>
      </c>
      <c r="H1476" s="2">
        <v>741.86</v>
      </c>
      <c r="I1476" t="str">
        <f>"Inv# 008603"</f>
        <v>Inv# 008603</v>
      </c>
    </row>
    <row r="1477" spans="1:9" x14ac:dyDescent="0.3">
      <c r="A1477" t="str">
        <f>""</f>
        <v/>
      </c>
      <c r="F1477" t="str">
        <f>""</f>
        <v/>
      </c>
      <c r="G1477" t="str">
        <f>""</f>
        <v/>
      </c>
      <c r="I1477" t="str">
        <f>"Inv# 005456"</f>
        <v>Inv# 005456</v>
      </c>
    </row>
    <row r="1478" spans="1:9" x14ac:dyDescent="0.3">
      <c r="A1478" t="str">
        <f>""</f>
        <v/>
      </c>
      <c r="F1478" t="str">
        <f>""</f>
        <v/>
      </c>
      <c r="G1478" t="str">
        <f>""</f>
        <v/>
      </c>
      <c r="I1478" t="str">
        <f>"Inv# 008619"</f>
        <v>Inv# 008619</v>
      </c>
    </row>
    <row r="1479" spans="1:9" x14ac:dyDescent="0.3">
      <c r="A1479" t="str">
        <f>""</f>
        <v/>
      </c>
      <c r="F1479" t="str">
        <f>""</f>
        <v/>
      </c>
      <c r="G1479" t="str">
        <f>""</f>
        <v/>
      </c>
      <c r="I1479" t="str">
        <f>"Inv# 001255"</f>
        <v>Inv# 001255</v>
      </c>
    </row>
    <row r="1480" spans="1:9" x14ac:dyDescent="0.3">
      <c r="A1480" t="str">
        <f>""</f>
        <v/>
      </c>
      <c r="F1480" t="str">
        <f>""</f>
        <v/>
      </c>
      <c r="G1480" t="str">
        <f>""</f>
        <v/>
      </c>
      <c r="I1480" t="str">
        <f>"Inv# 005969"</f>
        <v>Inv# 005969</v>
      </c>
    </row>
    <row r="1481" spans="1:9" x14ac:dyDescent="0.3">
      <c r="A1481" t="str">
        <f>""</f>
        <v/>
      </c>
      <c r="F1481" t="str">
        <f>""</f>
        <v/>
      </c>
      <c r="G1481" t="str">
        <f>""</f>
        <v/>
      </c>
      <c r="I1481" t="str">
        <f>"Inv# 001255"</f>
        <v>Inv# 001255</v>
      </c>
    </row>
    <row r="1482" spans="1:9" x14ac:dyDescent="0.3">
      <c r="A1482" t="str">
        <f>""</f>
        <v/>
      </c>
      <c r="F1482" t="str">
        <f>""</f>
        <v/>
      </c>
      <c r="G1482" t="str">
        <f>""</f>
        <v/>
      </c>
      <c r="I1482" t="str">
        <f>"Inv# 005969"</f>
        <v>Inv# 005969</v>
      </c>
    </row>
    <row r="1483" spans="1:9" x14ac:dyDescent="0.3">
      <c r="A1483" t="str">
        <f>""</f>
        <v/>
      </c>
      <c r="F1483" t="str">
        <f>""</f>
        <v/>
      </c>
      <c r="G1483" t="str">
        <f>""</f>
        <v/>
      </c>
      <c r="I1483" t="str">
        <f>"Inv# 008619"</f>
        <v>Inv# 008619</v>
      </c>
    </row>
    <row r="1484" spans="1:9" x14ac:dyDescent="0.3">
      <c r="A1484" t="str">
        <f>""</f>
        <v/>
      </c>
      <c r="F1484" t="str">
        <f>""</f>
        <v/>
      </c>
      <c r="G1484" t="str">
        <f>""</f>
        <v/>
      </c>
      <c r="I1484" t="str">
        <f>"Inv# 001255"</f>
        <v>Inv# 001255</v>
      </c>
    </row>
    <row r="1485" spans="1:9" x14ac:dyDescent="0.3">
      <c r="A1485" t="str">
        <f>""</f>
        <v/>
      </c>
      <c r="F1485" t="str">
        <f>""</f>
        <v/>
      </c>
      <c r="G1485" t="str">
        <f>""</f>
        <v/>
      </c>
      <c r="I1485" t="str">
        <f>"Inv# 005969"</f>
        <v>Inv# 005969</v>
      </c>
    </row>
    <row r="1486" spans="1:9" x14ac:dyDescent="0.3">
      <c r="A1486" t="str">
        <f>""</f>
        <v/>
      </c>
      <c r="F1486" t="str">
        <f>""</f>
        <v/>
      </c>
      <c r="G1486" t="str">
        <f>""</f>
        <v/>
      </c>
      <c r="I1486" t="str">
        <f>"Inv# 006155"</f>
        <v>Inv# 006155</v>
      </c>
    </row>
    <row r="1487" spans="1:9" x14ac:dyDescent="0.3">
      <c r="A1487" t="str">
        <f>""</f>
        <v/>
      </c>
      <c r="F1487" t="str">
        <f>""</f>
        <v/>
      </c>
      <c r="G1487" t="str">
        <f>""</f>
        <v/>
      </c>
      <c r="I1487" t="str">
        <f>"Inv# 009461"</f>
        <v>Inv# 009461</v>
      </c>
    </row>
    <row r="1488" spans="1:9" x14ac:dyDescent="0.3">
      <c r="A1488" t="str">
        <f>""</f>
        <v/>
      </c>
      <c r="F1488" t="str">
        <f>""</f>
        <v/>
      </c>
      <c r="G1488" t="str">
        <f>""</f>
        <v/>
      </c>
      <c r="I1488" t="str">
        <f>"Inv# 000376"</f>
        <v>Inv# 000376</v>
      </c>
    </row>
    <row r="1489" spans="1:10" x14ac:dyDescent="0.3">
      <c r="A1489" t="str">
        <f>""</f>
        <v/>
      </c>
      <c r="F1489" t="str">
        <f>""</f>
        <v/>
      </c>
      <c r="G1489" t="str">
        <f>""</f>
        <v/>
      </c>
      <c r="I1489" t="str">
        <f>"Inv# 007602"</f>
        <v>Inv# 007602</v>
      </c>
    </row>
    <row r="1490" spans="1:10" x14ac:dyDescent="0.3">
      <c r="A1490" t="str">
        <f>""</f>
        <v/>
      </c>
      <c r="F1490" t="str">
        <f>""</f>
        <v/>
      </c>
      <c r="G1490" t="str">
        <f>""</f>
        <v/>
      </c>
      <c r="I1490" t="str">
        <f>"Inv# 002857"</f>
        <v>Inv# 002857</v>
      </c>
    </row>
    <row r="1491" spans="1:10" x14ac:dyDescent="0.3">
      <c r="A1491" t="str">
        <f>""</f>
        <v/>
      </c>
      <c r="F1491" t="str">
        <f>""</f>
        <v/>
      </c>
      <c r="G1491" t="str">
        <f>""</f>
        <v/>
      </c>
      <c r="I1491" t="str">
        <f>"Inv# 004046"</f>
        <v>Inv# 004046</v>
      </c>
    </row>
    <row r="1492" spans="1:10" x14ac:dyDescent="0.3">
      <c r="A1492" t="str">
        <f>""</f>
        <v/>
      </c>
      <c r="F1492" t="str">
        <f>""</f>
        <v/>
      </c>
      <c r="G1492" t="str">
        <f>""</f>
        <v/>
      </c>
      <c r="I1492" t="str">
        <f>"Inv# 007238"</f>
        <v>Inv# 007238</v>
      </c>
    </row>
    <row r="1493" spans="1:10" x14ac:dyDescent="0.3">
      <c r="A1493" t="str">
        <f>""</f>
        <v/>
      </c>
      <c r="F1493" t="str">
        <f>""</f>
        <v/>
      </c>
      <c r="G1493" t="str">
        <f>""</f>
        <v/>
      </c>
      <c r="I1493" t="str">
        <f>"Inv# 002115"</f>
        <v>Inv# 002115</v>
      </c>
    </row>
    <row r="1494" spans="1:10" x14ac:dyDescent="0.3">
      <c r="A1494" t="str">
        <f>"004310"</f>
        <v>004310</v>
      </c>
      <c r="B1494" t="s">
        <v>456</v>
      </c>
      <c r="C1494">
        <v>72632</v>
      </c>
      <c r="D1494" s="2">
        <v>224.22</v>
      </c>
      <c r="E1494" s="1">
        <v>42989</v>
      </c>
      <c r="F1494" t="str">
        <f>"0034929-2162-6"</f>
        <v>0034929-2162-6</v>
      </c>
      <c r="G1494" t="str">
        <f>"CUST#16-27603-83003/ANIMAL SVC"</f>
        <v>CUST#16-27603-83003/ANIMAL SVC</v>
      </c>
      <c r="H1494" s="2">
        <v>224.22</v>
      </c>
      <c r="I1494" t="str">
        <f>"CUST#16-27603-83003/ANIMAL SVC"</f>
        <v>CUST#16-27603-83003/ANIMAL SVC</v>
      </c>
    </row>
    <row r="1495" spans="1:10" x14ac:dyDescent="0.3">
      <c r="A1495" t="str">
        <f>"004877"</f>
        <v>004877</v>
      </c>
      <c r="B1495" t="s">
        <v>457</v>
      </c>
      <c r="C1495">
        <v>72859</v>
      </c>
      <c r="D1495" s="2">
        <v>4610</v>
      </c>
      <c r="E1495" s="1">
        <v>43003</v>
      </c>
      <c r="F1495" t="str">
        <f>"1701782855"</f>
        <v>1701782855</v>
      </c>
      <c r="G1495" t="str">
        <f>"ACCT#5150-005129483"</f>
        <v>ACCT#5150-005129483</v>
      </c>
      <c r="H1495" s="2">
        <v>4610</v>
      </c>
      <c r="I1495" t="str">
        <f>"ACCT#5150-005129483"</f>
        <v>ACCT#5150-005129483</v>
      </c>
    </row>
    <row r="1496" spans="1:10" x14ac:dyDescent="0.3">
      <c r="A1496" t="str">
        <f>"003479"</f>
        <v>003479</v>
      </c>
      <c r="B1496" t="s">
        <v>458</v>
      </c>
      <c r="C1496">
        <v>72860</v>
      </c>
      <c r="D1496" s="2">
        <v>43.51</v>
      </c>
      <c r="E1496" s="1">
        <v>43003</v>
      </c>
      <c r="F1496" t="str">
        <f>"232605"</f>
        <v>232605</v>
      </c>
      <c r="G1496" t="str">
        <f>"JACK PALLET/GEN SVCS"</f>
        <v>JACK PALLET/GEN SVCS</v>
      </c>
      <c r="H1496" s="2">
        <v>43.51</v>
      </c>
      <c r="I1496" t="str">
        <f>"JACK PALLET/GEN SVCS"</f>
        <v>JACK PALLET/GEN SVCS</v>
      </c>
    </row>
    <row r="1497" spans="1:10" x14ac:dyDescent="0.3">
      <c r="A1497" t="str">
        <f>"005199"</f>
        <v>005199</v>
      </c>
      <c r="B1497" t="s">
        <v>459</v>
      </c>
      <c r="C1497">
        <v>72861</v>
      </c>
      <c r="D1497" s="2">
        <v>655.04999999999995</v>
      </c>
      <c r="E1497" s="1">
        <v>43003</v>
      </c>
      <c r="F1497" t="str">
        <f>"30604"</f>
        <v>30604</v>
      </c>
      <c r="G1497" t="str">
        <f>"Klorman Order"</f>
        <v>Klorman Order</v>
      </c>
      <c r="H1497" s="2">
        <v>655.04999999999995</v>
      </c>
      <c r="I1497" t="str">
        <f>"Klorman Cartridges"</f>
        <v>Klorman Cartridges</v>
      </c>
    </row>
    <row r="1498" spans="1:10" x14ac:dyDescent="0.3">
      <c r="A1498" t="str">
        <f>""</f>
        <v/>
      </c>
      <c r="F1498" t="str">
        <f>""</f>
        <v/>
      </c>
      <c r="G1498" t="str">
        <f>""</f>
        <v/>
      </c>
      <c r="I1498" t="str">
        <f>"Promo Pack"</f>
        <v>Promo Pack</v>
      </c>
    </row>
    <row r="1499" spans="1:10" x14ac:dyDescent="0.3">
      <c r="A1499" t="str">
        <f>""</f>
        <v/>
      </c>
      <c r="F1499" t="str">
        <f>""</f>
        <v/>
      </c>
      <c r="G1499" t="str">
        <f>""</f>
        <v/>
      </c>
      <c r="I1499" t="str">
        <f>"Shipping"</f>
        <v>Shipping</v>
      </c>
    </row>
    <row r="1500" spans="1:10" x14ac:dyDescent="0.3">
      <c r="A1500" t="str">
        <f>"LIN"</f>
        <v>LIN</v>
      </c>
      <c r="B1500" t="s">
        <v>460</v>
      </c>
      <c r="C1500">
        <v>999999</v>
      </c>
      <c r="D1500" s="2">
        <v>12500</v>
      </c>
      <c r="E1500" s="1">
        <v>43004</v>
      </c>
      <c r="F1500" t="str">
        <f>"SEPTEMBER PAYMENT"</f>
        <v>SEPTEMBER PAYMENT</v>
      </c>
      <c r="G1500" t="str">
        <f>"Yearly Contract"</f>
        <v>Yearly Contract</v>
      </c>
      <c r="H1500" s="2">
        <v>12500</v>
      </c>
      <c r="I1500" t="str">
        <f>"Yearly Contract"</f>
        <v>Yearly Contract</v>
      </c>
    </row>
    <row r="1501" spans="1:10" x14ac:dyDescent="0.3">
      <c r="A1501" t="str">
        <f>"004074"</f>
        <v>004074</v>
      </c>
      <c r="B1501" t="s">
        <v>461</v>
      </c>
      <c r="C1501">
        <v>72862</v>
      </c>
      <c r="D1501" s="2">
        <v>7752.55</v>
      </c>
      <c r="E1501" s="1">
        <v>43003</v>
      </c>
      <c r="F1501" t="str">
        <f>"18854"</f>
        <v>18854</v>
      </c>
      <c r="G1501" t="str">
        <f>"INV 18854"</f>
        <v>INV 18854</v>
      </c>
      <c r="H1501" s="2">
        <v>7752.55</v>
      </c>
      <c r="I1501" t="str">
        <f>"INV 18854"</f>
        <v>INV 18854</v>
      </c>
    </row>
    <row r="1502" spans="1:10" x14ac:dyDescent="0.3">
      <c r="A1502" t="str">
        <f>"002395"</f>
        <v>002395</v>
      </c>
      <c r="B1502" t="s">
        <v>462</v>
      </c>
      <c r="C1502">
        <v>72633</v>
      </c>
      <c r="D1502" s="2">
        <v>225</v>
      </c>
      <c r="E1502" s="1">
        <v>42989</v>
      </c>
      <c r="F1502" t="s">
        <v>93</v>
      </c>
      <c r="G1502" t="s">
        <v>94</v>
      </c>
      <c r="H1502" s="2" t="str">
        <f>"SERVICE 6/14/17"</f>
        <v>SERVICE 6/14/17</v>
      </c>
      <c r="I1502" t="str">
        <f>"995-4110"</f>
        <v>995-4110</v>
      </c>
      <c r="J1502">
        <v>225</v>
      </c>
    </row>
    <row r="1503" spans="1:10" x14ac:dyDescent="0.3">
      <c r="A1503" t="str">
        <f>"002550"</f>
        <v>002550</v>
      </c>
      <c r="B1503" t="s">
        <v>463</v>
      </c>
      <c r="C1503">
        <v>72863</v>
      </c>
      <c r="D1503" s="2">
        <v>70</v>
      </c>
      <c r="E1503" s="1">
        <v>43003</v>
      </c>
      <c r="F1503" t="str">
        <f>"12446"</f>
        <v>12446</v>
      </c>
      <c r="G1503" t="str">
        <f>"SERVICE  6/14/17"</f>
        <v>SERVICE  6/14/17</v>
      </c>
      <c r="H1503" s="2">
        <v>70</v>
      </c>
      <c r="I1503" t="str">
        <f>"SERVICE  6/14/17"</f>
        <v>SERVICE  6/14/17</v>
      </c>
    </row>
    <row r="1504" spans="1:10" x14ac:dyDescent="0.3">
      <c r="A1504" t="str">
        <f>"002552"</f>
        <v>002552</v>
      </c>
      <c r="B1504" t="s">
        <v>464</v>
      </c>
      <c r="C1504">
        <v>72864</v>
      </c>
      <c r="D1504" s="2">
        <v>280</v>
      </c>
      <c r="E1504" s="1">
        <v>43003</v>
      </c>
      <c r="F1504" t="str">
        <f>"12446"</f>
        <v>12446</v>
      </c>
      <c r="G1504" t="str">
        <f>"SERVICE  6/14/17"</f>
        <v>SERVICE  6/14/17</v>
      </c>
      <c r="H1504" s="2">
        <v>280</v>
      </c>
      <c r="I1504" t="str">
        <f>"SERVICE  6/14/17"</f>
        <v>SERVICE  6/14/17</v>
      </c>
    </row>
    <row r="1505" spans="1:10" x14ac:dyDescent="0.3">
      <c r="A1505" t="str">
        <f>"002351"</f>
        <v>002351</v>
      </c>
      <c r="B1505" t="s">
        <v>465</v>
      </c>
      <c r="C1505">
        <v>72634</v>
      </c>
      <c r="D1505" s="2">
        <v>70</v>
      </c>
      <c r="E1505" s="1">
        <v>42989</v>
      </c>
      <c r="F1505" t="s">
        <v>93</v>
      </c>
      <c r="G1505" t="s">
        <v>300</v>
      </c>
      <c r="H1505" s="2" t="str">
        <f>"SERVICE 7/21/17"</f>
        <v>SERVICE 7/21/17</v>
      </c>
      <c r="I1505" t="str">
        <f>"995-4110"</f>
        <v>995-4110</v>
      </c>
      <c r="J1505">
        <v>70</v>
      </c>
    </row>
    <row r="1506" spans="1:10" x14ac:dyDescent="0.3">
      <c r="A1506" t="str">
        <f>"002351"</f>
        <v>002351</v>
      </c>
      <c r="B1506" t="s">
        <v>465</v>
      </c>
      <c r="C1506">
        <v>72865</v>
      </c>
      <c r="D1506" s="2">
        <v>140</v>
      </c>
      <c r="E1506" s="1">
        <v>43003</v>
      </c>
      <c r="F1506" t="str">
        <f>"12446"</f>
        <v>12446</v>
      </c>
      <c r="G1506" t="str">
        <f>"SERVICE  6/14/17"</f>
        <v>SERVICE  6/14/17</v>
      </c>
      <c r="H1506" s="2">
        <v>140</v>
      </c>
      <c r="I1506" t="str">
        <f>"SERVICE  6/14/17"</f>
        <v>SERVICE  6/14/17</v>
      </c>
    </row>
    <row r="1507" spans="1:10" x14ac:dyDescent="0.3">
      <c r="A1507" t="str">
        <f>"WCI"</f>
        <v>WCI</v>
      </c>
      <c r="B1507" t="s">
        <v>466</v>
      </c>
      <c r="C1507">
        <v>72635</v>
      </c>
      <c r="D1507" s="2">
        <v>4182.3999999999996</v>
      </c>
      <c r="E1507" s="1">
        <v>42989</v>
      </c>
      <c r="F1507" t="str">
        <f>"74558"</f>
        <v>74558</v>
      </c>
      <c r="G1507" t="str">
        <f>"ITEM#184016 244016/PCT#2"</f>
        <v>ITEM#184016 244016/PCT#2</v>
      </c>
      <c r="H1507" s="2">
        <v>4182.3999999999996</v>
      </c>
      <c r="I1507" t="str">
        <f>"ITEM#184016 244016/PCT#2"</f>
        <v>ITEM#184016 244016/PCT#2</v>
      </c>
    </row>
    <row r="1508" spans="1:10" x14ac:dyDescent="0.3">
      <c r="A1508" t="str">
        <f>"XEROX"</f>
        <v>XEROX</v>
      </c>
      <c r="B1508" t="s">
        <v>467</v>
      </c>
      <c r="C1508">
        <v>72866</v>
      </c>
      <c r="D1508" s="2">
        <v>353.2</v>
      </c>
      <c r="E1508" s="1">
        <v>43003</v>
      </c>
      <c r="F1508" t="str">
        <f>"090550831"</f>
        <v>090550831</v>
      </c>
      <c r="G1508" t="str">
        <f>"CUST#662445931/TAX OFFICE"</f>
        <v>CUST#662445931/TAX OFFICE</v>
      </c>
      <c r="H1508" s="2">
        <v>144</v>
      </c>
      <c r="I1508" t="str">
        <f>"CUST#662445931/TAX OFFICE"</f>
        <v>CUST#662445931/TAX OFFICE</v>
      </c>
    </row>
    <row r="1509" spans="1:10" x14ac:dyDescent="0.3">
      <c r="A1509" t="str">
        <f>""</f>
        <v/>
      </c>
      <c r="F1509" t="str">
        <f>"090550833"</f>
        <v>090550833</v>
      </c>
      <c r="G1509" t="str">
        <f>"CUST#662445931/TAX OFFICE"</f>
        <v>CUST#662445931/TAX OFFICE</v>
      </c>
      <c r="H1509" s="2">
        <v>147.72999999999999</v>
      </c>
      <c r="I1509" t="str">
        <f>"CUST#662445931/TAX OFFICE"</f>
        <v>CUST#662445931/TAX OFFICE</v>
      </c>
    </row>
    <row r="1510" spans="1:10" x14ac:dyDescent="0.3">
      <c r="A1510" t="str">
        <f>""</f>
        <v/>
      </c>
      <c r="F1510" t="str">
        <f>"090550836"</f>
        <v>090550836</v>
      </c>
      <c r="G1510" t="str">
        <f>"CUST#723230843/TAX OFFICE"</f>
        <v>CUST#723230843/TAX OFFICE</v>
      </c>
      <c r="H1510" s="2">
        <v>61.47</v>
      </c>
      <c r="I1510" t="str">
        <f>"CUST#723230843/TAX OFFICE"</f>
        <v>CUST#723230843/TAX OFFICE</v>
      </c>
    </row>
    <row r="1511" spans="1:10" x14ac:dyDescent="0.3">
      <c r="A1511" t="str">
        <f>"005225"</f>
        <v>005225</v>
      </c>
      <c r="B1511" t="s">
        <v>468</v>
      </c>
      <c r="C1511">
        <v>72867</v>
      </c>
      <c r="D1511" s="2">
        <v>340</v>
      </c>
      <c r="E1511" s="1">
        <v>43003</v>
      </c>
      <c r="F1511" t="str">
        <f>"29120"</f>
        <v>29120</v>
      </c>
      <c r="G1511" t="str">
        <f>"INV 29120"</f>
        <v>INV 29120</v>
      </c>
      <c r="H1511" s="2">
        <v>340</v>
      </c>
      <c r="I1511" t="str">
        <f>"INV 29120"</f>
        <v>INV 29120</v>
      </c>
    </row>
    <row r="1512" spans="1:10" x14ac:dyDescent="0.3">
      <c r="A1512" t="str">
        <f>"001505"</f>
        <v>001505</v>
      </c>
      <c r="B1512" t="s">
        <v>469</v>
      </c>
      <c r="C1512">
        <v>72636</v>
      </c>
      <c r="D1512" s="2">
        <v>291.44</v>
      </c>
      <c r="E1512" s="1">
        <v>42989</v>
      </c>
      <c r="F1512" t="str">
        <f>"698-727189-X"</f>
        <v>698-727189-X</v>
      </c>
      <c r="G1512" t="str">
        <f>"SHIPPING/PCT#3"</f>
        <v>SHIPPING/PCT#3</v>
      </c>
      <c r="H1512" s="2">
        <v>291.44</v>
      </c>
      <c r="I1512" t="str">
        <f>"SHIPPING/PCT#3"</f>
        <v>SHIPPING/PCT#3</v>
      </c>
    </row>
    <row r="1513" spans="1:10" x14ac:dyDescent="0.3">
      <c r="A1513" t="str">
        <f>"000598"</f>
        <v>000598</v>
      </c>
      <c r="B1513" t="s">
        <v>48</v>
      </c>
      <c r="C1513">
        <v>72414</v>
      </c>
      <c r="D1513" s="2">
        <v>21306.65</v>
      </c>
      <c r="E1513" s="1">
        <v>42989</v>
      </c>
      <c r="F1513" t="str">
        <f>"9725-001-94152"</f>
        <v>9725-001-94152</v>
      </c>
      <c r="G1513" t="str">
        <f>"ACCT#9725-001/REC BASE/PCT#2"</f>
        <v>ACCT#9725-001/REC BASE/PCT#2</v>
      </c>
      <c r="H1513" s="2">
        <v>387.63</v>
      </c>
      <c r="I1513" t="str">
        <f>"ACCT#9725-001/REC BASE/PCT#2"</f>
        <v>ACCT#9725-001/REC BASE/PCT#2</v>
      </c>
    </row>
    <row r="1514" spans="1:10" x14ac:dyDescent="0.3">
      <c r="A1514" t="str">
        <f>""</f>
        <v/>
      </c>
      <c r="F1514" t="str">
        <f>"9725-001-94515"</f>
        <v>9725-001-94515</v>
      </c>
      <c r="G1514" t="str">
        <f>"ACCT#9725-001/REC BASE/PCT#2"</f>
        <v>ACCT#9725-001/REC BASE/PCT#2</v>
      </c>
      <c r="H1514" s="2">
        <v>380.54</v>
      </c>
      <c r="I1514" t="str">
        <f>"ACCT#9725-001/REC BASE/PCT#2"</f>
        <v>ACCT#9725-001/REC BASE/PCT#2</v>
      </c>
    </row>
    <row r="1515" spans="1:10" x14ac:dyDescent="0.3">
      <c r="A1515" t="str">
        <f>""</f>
        <v/>
      </c>
      <c r="F1515" t="str">
        <f>"9725-001-94596"</f>
        <v>9725-001-94596</v>
      </c>
      <c r="G1515" t="str">
        <f>"ACCT#9725-001/REC BASE/PCT#2"</f>
        <v>ACCT#9725-001/REC BASE/PCT#2</v>
      </c>
      <c r="H1515" s="2">
        <v>385.18</v>
      </c>
      <c r="I1515" t="str">
        <f>"ACCT#9725-001/REC BASE/PCT#2"</f>
        <v>ACCT#9725-001/REC BASE/PCT#2</v>
      </c>
    </row>
    <row r="1516" spans="1:10" x14ac:dyDescent="0.3">
      <c r="A1516" t="str">
        <f>""</f>
        <v/>
      </c>
      <c r="F1516" t="str">
        <f>"9725-001-94629"</f>
        <v>9725-001-94629</v>
      </c>
      <c r="G1516" t="str">
        <f>"ACCT#9725-001/REC BASE/PCT#2"</f>
        <v>ACCT#9725-001/REC BASE/PCT#2</v>
      </c>
      <c r="H1516" s="2">
        <v>522.64</v>
      </c>
      <c r="I1516" t="str">
        <f>"ACCT#9725-001/REC BASE/PCT#2"</f>
        <v>ACCT#9725-001/REC BASE/PCT#2</v>
      </c>
    </row>
    <row r="1517" spans="1:10" x14ac:dyDescent="0.3">
      <c r="A1517" t="str">
        <f>""</f>
        <v/>
      </c>
      <c r="F1517" t="str">
        <f>"9725-001-94655"</f>
        <v>9725-001-94655</v>
      </c>
      <c r="G1517" t="str">
        <f>"ACCT#9725-001/REC BASE/PCT#2"</f>
        <v>ACCT#9725-001/REC BASE/PCT#2</v>
      </c>
      <c r="H1517" s="2">
        <v>2037.72</v>
      </c>
      <c r="I1517" t="str">
        <f>"ACCT#9725-001/REC BASE/PCT#2"</f>
        <v>ACCT#9725-001/REC BASE/PCT#2</v>
      </c>
    </row>
    <row r="1518" spans="1:10" x14ac:dyDescent="0.3">
      <c r="A1518" t="str">
        <f>""</f>
        <v/>
      </c>
      <c r="F1518" t="str">
        <f>"9725-009-94619"</f>
        <v>9725-009-94619</v>
      </c>
      <c r="G1518" t="str">
        <f>"ACCT#9725-009/REC BASE/PCT#2"</f>
        <v>ACCT#9725-009/REC BASE/PCT#2</v>
      </c>
      <c r="H1518" s="2">
        <v>5085.08</v>
      </c>
      <c r="I1518" t="str">
        <f>"ACCT#9725-009/REC BASE/PCT#2"</f>
        <v>ACCT#9725-009/REC BASE/PCT#2</v>
      </c>
    </row>
    <row r="1519" spans="1:10" x14ac:dyDescent="0.3">
      <c r="A1519" t="str">
        <f>""</f>
        <v/>
      </c>
      <c r="F1519" t="str">
        <f>"9725-009-94650"</f>
        <v>9725-009-94650</v>
      </c>
      <c r="G1519" t="str">
        <f>"ACCT#9725-009/REC BASE/PCT#2"</f>
        <v>ACCT#9725-009/REC BASE/PCT#2</v>
      </c>
      <c r="H1519" s="2">
        <v>3384.78</v>
      </c>
      <c r="I1519" t="str">
        <f>"ACCT#9725-009/REC BASE/PCT#2"</f>
        <v>ACCT#9725-009/REC BASE/PCT#2</v>
      </c>
    </row>
    <row r="1520" spans="1:10" x14ac:dyDescent="0.3">
      <c r="A1520" t="str">
        <f>""</f>
        <v/>
      </c>
      <c r="F1520" t="str">
        <f>"9725-010-94622"</f>
        <v>9725-010-94622</v>
      </c>
      <c r="G1520" t="str">
        <f>"ACCT#9725-010/REC BASE/PCT#2"</f>
        <v>ACCT#9725-010/REC BASE/PCT#2</v>
      </c>
      <c r="H1520" s="2">
        <v>2891.13</v>
      </c>
      <c r="I1520" t="str">
        <f>"ACCT#9725-010/REC BASE/PCT#2"</f>
        <v>ACCT#9725-010/REC BASE/PCT#2</v>
      </c>
    </row>
    <row r="1521" spans="1:9" x14ac:dyDescent="0.3">
      <c r="A1521" t="str">
        <f>""</f>
        <v/>
      </c>
      <c r="F1521" t="str">
        <f>"9725-010-94653"</f>
        <v>9725-010-94653</v>
      </c>
      <c r="G1521" t="str">
        <f>"ACCT#9725-010/REC BASE/PCT#2"</f>
        <v>ACCT#9725-010/REC BASE/PCT#2</v>
      </c>
      <c r="H1521" s="2">
        <v>6231.95</v>
      </c>
      <c r="I1521" t="str">
        <f>"ACCT#9725-010/REC BASE/PCT#2"</f>
        <v>ACCT#9725-010/REC BASE/PCT#2</v>
      </c>
    </row>
    <row r="1522" spans="1:9" x14ac:dyDescent="0.3">
      <c r="A1522" t="str">
        <f>"000598"</f>
        <v>000598</v>
      </c>
      <c r="B1522" t="s">
        <v>48</v>
      </c>
      <c r="C1522">
        <v>72868</v>
      </c>
      <c r="D1522" s="2">
        <v>202.65</v>
      </c>
      <c r="E1522" s="1">
        <v>43003</v>
      </c>
      <c r="F1522" t="str">
        <f>"9725-001-94738"</f>
        <v>9725-001-94738</v>
      </c>
      <c r="G1522" t="str">
        <f>"ACCT#9725-011"</f>
        <v>ACCT#9725-011</v>
      </c>
      <c r="H1522" s="2">
        <v>202.65</v>
      </c>
      <c r="I1522" t="str">
        <f>"ACCT#9725-011"</f>
        <v>ACCT#9725-011</v>
      </c>
    </row>
    <row r="1523" spans="1:9" x14ac:dyDescent="0.3">
      <c r="A1523" t="str">
        <f>"002048"</f>
        <v>002048</v>
      </c>
      <c r="B1523" t="s">
        <v>51</v>
      </c>
      <c r="C1523">
        <v>72415</v>
      </c>
      <c r="D1523" s="2">
        <v>1091.7</v>
      </c>
      <c r="E1523" s="1">
        <v>42989</v>
      </c>
      <c r="F1523" t="str">
        <f>"201709064550"</f>
        <v>201709064550</v>
      </c>
      <c r="G1523" t="str">
        <f>"8/22/17 TO 8/25/17/PCT#4"</f>
        <v>8/22/17 TO 8/25/17/PCT#4</v>
      </c>
      <c r="H1523" s="2">
        <v>1091.7</v>
      </c>
      <c r="I1523" t="str">
        <f>"8/22/17 TO 8/25/17/PCT#4"</f>
        <v>8/22/17 TO 8/25/17/PCT#4</v>
      </c>
    </row>
    <row r="1524" spans="1:9" x14ac:dyDescent="0.3">
      <c r="A1524" t="str">
        <f>"AQUAB"</f>
        <v>AQUAB</v>
      </c>
      <c r="B1524" t="s">
        <v>69</v>
      </c>
      <c r="C1524">
        <v>72416</v>
      </c>
      <c r="D1524" s="2">
        <v>260.02</v>
      </c>
      <c r="E1524" s="1">
        <v>42989</v>
      </c>
      <c r="F1524" t="str">
        <f>"201709064548"</f>
        <v>201709064548</v>
      </c>
      <c r="G1524" t="str">
        <f>"ACCT#014877/OEM"</f>
        <v>ACCT#014877/OEM</v>
      </c>
      <c r="H1524" s="2">
        <v>205.68</v>
      </c>
      <c r="I1524" t="str">
        <f>"ACCT#014877/OEM"</f>
        <v>ACCT#014877/OEM</v>
      </c>
    </row>
    <row r="1525" spans="1:9" x14ac:dyDescent="0.3">
      <c r="A1525" t="str">
        <f>""</f>
        <v/>
      </c>
      <c r="F1525" t="str">
        <f>"201709064549"</f>
        <v>201709064549</v>
      </c>
      <c r="G1525" t="str">
        <f>"ACCT#015397/BOOT CAMP"</f>
        <v>ACCT#015397/BOOT CAMP</v>
      </c>
      <c r="H1525" s="2">
        <v>54.34</v>
      </c>
      <c r="I1525" t="str">
        <f>"ACCT#015397/BOOT CAMP"</f>
        <v>ACCT#015397/BOOT CAMP</v>
      </c>
    </row>
    <row r="1526" spans="1:9" x14ac:dyDescent="0.3">
      <c r="A1526" t="str">
        <f>"005160"</f>
        <v>005160</v>
      </c>
      <c r="B1526" t="s">
        <v>470</v>
      </c>
      <c r="C1526">
        <v>72417</v>
      </c>
      <c r="D1526" s="2">
        <v>720</v>
      </c>
      <c r="E1526" s="1">
        <v>42989</v>
      </c>
      <c r="F1526" t="str">
        <f>"1003"</f>
        <v>1003</v>
      </c>
      <c r="G1526" t="str">
        <f>"HRS WRKED LPHPC 8-22 TO 9/1"</f>
        <v>HRS WRKED LPHPC 8-22 TO 9/1</v>
      </c>
      <c r="H1526" s="2">
        <v>720</v>
      </c>
      <c r="I1526" t="str">
        <f>"HRS WRKED LPHPC 8-22 TO 9/1"</f>
        <v>HRS WRKED LPHPC 8-22 TO 9/1</v>
      </c>
    </row>
    <row r="1527" spans="1:9" x14ac:dyDescent="0.3">
      <c r="A1527" t="str">
        <f>"005160"</f>
        <v>005160</v>
      </c>
      <c r="B1527" t="s">
        <v>470</v>
      </c>
      <c r="C1527">
        <v>72869</v>
      </c>
      <c r="D1527" s="2">
        <v>768</v>
      </c>
      <c r="E1527" s="1">
        <v>43003</v>
      </c>
      <c r="F1527" t="str">
        <f>"1004"</f>
        <v>1004</v>
      </c>
      <c r="G1527" t="str">
        <f>"WILDLIFE MGMT REVIEW/REPORTING"</f>
        <v>WILDLIFE MGMT REVIEW/REPORTING</v>
      </c>
      <c r="H1527" s="2">
        <v>768</v>
      </c>
      <c r="I1527" t="str">
        <f>"WILDLIFE MGMT REVIEW/REPORTING"</f>
        <v>WILDLIFE MGMT REVIEW/REPORTING</v>
      </c>
    </row>
    <row r="1528" spans="1:9" x14ac:dyDescent="0.3">
      <c r="A1528" t="str">
        <f>"B&amp;B"</f>
        <v>B&amp;B</v>
      </c>
      <c r="B1528" t="s">
        <v>85</v>
      </c>
      <c r="C1528">
        <v>72870</v>
      </c>
      <c r="D1528" s="2">
        <v>638.9</v>
      </c>
      <c r="E1528" s="1">
        <v>43003</v>
      </c>
      <c r="F1528" t="str">
        <f>"201709154937"</f>
        <v>201709154937</v>
      </c>
      <c r="G1528" t="str">
        <f>"CUST#1645/OEM"</f>
        <v>CUST#1645/OEM</v>
      </c>
      <c r="H1528" s="2">
        <v>638.9</v>
      </c>
      <c r="I1528" t="str">
        <f>"CUST#1645/OEM"</f>
        <v>CUST#1645/OEM</v>
      </c>
    </row>
    <row r="1529" spans="1:9" x14ac:dyDescent="0.3">
      <c r="A1529" t="str">
        <f>"003696"</f>
        <v>003696</v>
      </c>
      <c r="B1529" t="s">
        <v>471</v>
      </c>
      <c r="C1529">
        <v>72418</v>
      </c>
      <c r="D1529" s="2">
        <v>125.89</v>
      </c>
      <c r="E1529" s="1">
        <v>42989</v>
      </c>
      <c r="F1529" t="str">
        <f>"1035 8/17/17"</f>
        <v>1035 8/17/17</v>
      </c>
      <c r="G1529" t="str">
        <f>"BELT/BUCKLE/DOG TAG"</f>
        <v>BELT/BUCKLE/DOG TAG</v>
      </c>
      <c r="H1529" s="2">
        <v>125.89</v>
      </c>
      <c r="I1529" t="str">
        <f>"BELT/BUCKLE/DOG TAG"</f>
        <v>BELT/BUCKLE/DOG TAG</v>
      </c>
    </row>
    <row r="1530" spans="1:9" x14ac:dyDescent="0.3">
      <c r="A1530" t="str">
        <f>"BCPD"</f>
        <v>BCPD</v>
      </c>
      <c r="B1530" t="s">
        <v>472</v>
      </c>
      <c r="C1530">
        <v>72871</v>
      </c>
      <c r="D1530" s="2">
        <v>48167.15</v>
      </c>
      <c r="E1530" s="1">
        <v>43003</v>
      </c>
      <c r="F1530" t="str">
        <f>"201709194973"</f>
        <v>201709194973</v>
      </c>
      <c r="G1530" t="str">
        <f>"BOOT CAMP EXPS/3RD QTR 2017"</f>
        <v>BOOT CAMP EXPS/3RD QTR 2017</v>
      </c>
      <c r="H1530" s="2">
        <v>22240.57</v>
      </c>
      <c r="I1530" t="str">
        <f>"BOOT CAMP EXPS/3RD QTR 2017"</f>
        <v>BOOT CAMP EXPS/3RD QTR 2017</v>
      </c>
    </row>
    <row r="1531" spans="1:9" x14ac:dyDescent="0.3">
      <c r="A1531" t="str">
        <f>""</f>
        <v/>
      </c>
      <c r="F1531" t="str">
        <f>"201709194974"</f>
        <v>201709194974</v>
      </c>
      <c r="G1531" t="str">
        <f>"BOOT CAMP EXPS/4TH QTR 2017"</f>
        <v>BOOT CAMP EXPS/4TH QTR 2017</v>
      </c>
      <c r="H1531" s="2">
        <v>25926.58</v>
      </c>
      <c r="I1531" t="str">
        <f>"BOOT CAMP EXPS/4TH QTR 2017"</f>
        <v>BOOT CAMP EXPS/4TH QTR 2017</v>
      </c>
    </row>
    <row r="1532" spans="1:9" x14ac:dyDescent="0.3">
      <c r="A1532" t="str">
        <f>"T5228"</f>
        <v>T5228</v>
      </c>
      <c r="B1532" t="s">
        <v>110</v>
      </c>
      <c r="C1532">
        <v>72872</v>
      </c>
      <c r="D1532" s="2">
        <v>203.41</v>
      </c>
      <c r="E1532" s="1">
        <v>43003</v>
      </c>
      <c r="F1532" t="str">
        <f>"1-25445"</f>
        <v>1-25445</v>
      </c>
      <c r="G1532" t="str">
        <f>"TIRE SVCS/OEM"</f>
        <v>TIRE SVCS/OEM</v>
      </c>
      <c r="H1532" s="2">
        <v>203.41</v>
      </c>
      <c r="I1532" t="str">
        <f>"TIRE SVCS/OEM"</f>
        <v>TIRE SVCS/OEM</v>
      </c>
    </row>
    <row r="1533" spans="1:9" x14ac:dyDescent="0.3">
      <c r="A1533" t="str">
        <f>"BEC"</f>
        <v>BEC</v>
      </c>
      <c r="B1533" t="s">
        <v>129</v>
      </c>
      <c r="C1533">
        <v>72642</v>
      </c>
      <c r="D1533" s="2">
        <v>243.22</v>
      </c>
      <c r="E1533" s="1">
        <v>42993</v>
      </c>
      <c r="F1533" t="str">
        <f>"201709154922"</f>
        <v>201709154922</v>
      </c>
      <c r="G1533" t="str">
        <f>"ACCT #5000057374 - 09/05/17"</f>
        <v>ACCT #5000057374 - 09/05/17</v>
      </c>
      <c r="H1533" s="2">
        <v>243.22</v>
      </c>
      <c r="I1533" t="str">
        <f>"ACCT #5000057374 - 09/05/17"</f>
        <v>ACCT #5000057374 - 09/05/17</v>
      </c>
    </row>
    <row r="1534" spans="1:9" x14ac:dyDescent="0.3">
      <c r="A1534" t="str">
        <f>"002469"</f>
        <v>002469</v>
      </c>
      <c r="B1534" t="s">
        <v>473</v>
      </c>
      <c r="C1534">
        <v>72873</v>
      </c>
      <c r="D1534" s="2">
        <v>6836.15</v>
      </c>
      <c r="E1534" s="1">
        <v>43003</v>
      </c>
      <c r="F1534" t="str">
        <f>"15901-22"</f>
        <v>15901-22</v>
      </c>
      <c r="G1534" t="str">
        <f>"PROJ#B15159.01/FIRES STATION"</f>
        <v>PROJ#B15159.01/FIRES STATION</v>
      </c>
      <c r="H1534" s="2">
        <v>6836.15</v>
      </c>
      <c r="I1534" t="str">
        <f>"PROJ#B15159.01/FIRES STATION"</f>
        <v>PROJ#B15159.01/FIRES STATION</v>
      </c>
    </row>
    <row r="1535" spans="1:9" x14ac:dyDescent="0.3">
      <c r="A1535" t="str">
        <f>"005205"</f>
        <v>005205</v>
      </c>
      <c r="B1535" t="s">
        <v>474</v>
      </c>
      <c r="C1535">
        <v>72419</v>
      </c>
      <c r="D1535" s="2">
        <v>19100</v>
      </c>
      <c r="E1535" s="1">
        <v>42989</v>
      </c>
      <c r="F1535" t="str">
        <f>"201709064551"</f>
        <v>201709064551</v>
      </c>
      <c r="G1535" t="str">
        <f>"TOAD CREDITS/OLD PINEY TRAIL"</f>
        <v>TOAD CREDITS/OLD PINEY TRAIL</v>
      </c>
      <c r="H1535" s="2">
        <v>19100</v>
      </c>
      <c r="I1535" t="str">
        <f>"TOAD CREDITS/OLD PINEY TRAIL"</f>
        <v>TOAD CREDITS/OLD PINEY TRAIL</v>
      </c>
    </row>
    <row r="1536" spans="1:9" x14ac:dyDescent="0.3">
      <c r="A1536" t="str">
        <f>"CENTEX"</f>
        <v>CENTEX</v>
      </c>
      <c r="B1536" t="s">
        <v>146</v>
      </c>
      <c r="C1536">
        <v>72420</v>
      </c>
      <c r="D1536" s="2">
        <v>814.5</v>
      </c>
      <c r="E1536" s="1">
        <v>42989</v>
      </c>
      <c r="F1536" t="str">
        <f>"30120460"</f>
        <v>30120460</v>
      </c>
      <c r="G1536" t="str">
        <f>"CUST#BASPCT4/ORD#37-19552/PCT4"</f>
        <v>CUST#BASPCT4/ORD#37-19552/PCT4</v>
      </c>
      <c r="H1536" s="2">
        <v>411.48</v>
      </c>
      <c r="I1536" t="str">
        <f>"CUST#BASPCT4/ORD#37-19552/PCT4"</f>
        <v>CUST#BASPCT4/ORD#37-19552/PCT4</v>
      </c>
    </row>
    <row r="1537" spans="1:9" x14ac:dyDescent="0.3">
      <c r="A1537" t="str">
        <f>""</f>
        <v/>
      </c>
      <c r="F1537" t="str">
        <f>"30120494"</f>
        <v>30120494</v>
      </c>
      <c r="G1537" t="str">
        <f>"CUST#BASPCT4/ORD#37-19552/PCT4"</f>
        <v>CUST#BASPCT4/ORD#37-19552/PCT4</v>
      </c>
      <c r="H1537" s="2">
        <v>403.02</v>
      </c>
      <c r="I1537" t="str">
        <f>"CUST#BASPCT4/ORD#37-19552/PCT4"</f>
        <v>CUST#BASPCT4/ORD#37-19552/PCT4</v>
      </c>
    </row>
    <row r="1538" spans="1:9" x14ac:dyDescent="0.3">
      <c r="A1538" t="str">
        <f>"CENTEX"</f>
        <v>CENTEX</v>
      </c>
      <c r="B1538" t="s">
        <v>146</v>
      </c>
      <c r="C1538">
        <v>72874</v>
      </c>
      <c r="D1538" s="2">
        <v>2073.69</v>
      </c>
      <c r="E1538" s="1">
        <v>43003</v>
      </c>
      <c r="F1538" t="str">
        <f>"201709194968"</f>
        <v>201709194968</v>
      </c>
      <c r="G1538" t="str">
        <f>"CUST#BASPCT4/ORD#37-19552/PCT2"</f>
        <v>CUST#BASPCT4/ORD#37-19552/PCT2</v>
      </c>
      <c r="H1538" s="2">
        <v>412.92</v>
      </c>
      <c r="I1538" t="str">
        <f>"CUST#BASPCT4/ORD#37-19552/PCT2"</f>
        <v>CUST#BASPCT4/ORD#37-19552/PCT2</v>
      </c>
    </row>
    <row r="1539" spans="1:9" x14ac:dyDescent="0.3">
      <c r="A1539" t="str">
        <f>""</f>
        <v/>
      </c>
      <c r="F1539" t="str">
        <f>"30120740"</f>
        <v>30120740</v>
      </c>
      <c r="G1539" t="str">
        <f>"CUST#BASPCT4/ORD#37-19552/PCT2"</f>
        <v>CUST#BASPCT4/ORD#37-19552/PCT2</v>
      </c>
      <c r="H1539" s="2">
        <v>415.26</v>
      </c>
      <c r="I1539" t="str">
        <f>"CUST#BASPCT4/ORD#37-19552/PCT2"</f>
        <v>CUST#BASPCT4/ORD#37-19552/PCT2</v>
      </c>
    </row>
    <row r="1540" spans="1:9" x14ac:dyDescent="0.3">
      <c r="A1540" t="str">
        <f>""</f>
        <v/>
      </c>
      <c r="F1540" t="str">
        <f>"30120773"</f>
        <v>30120773</v>
      </c>
      <c r="G1540" t="str">
        <f>"CUST#BASPCT4/ORD#37-19552/PCT2"</f>
        <v>CUST#BASPCT4/ORD#37-19552/PCT2</v>
      </c>
      <c r="H1540" s="2">
        <v>415.53</v>
      </c>
      <c r="I1540" t="str">
        <f>"CUST#BASPCT4/ORD#37-19552/PCT2"</f>
        <v>CUST#BASPCT4/ORD#37-19552/PCT2</v>
      </c>
    </row>
    <row r="1541" spans="1:9" x14ac:dyDescent="0.3">
      <c r="A1541" t="str">
        <f>""</f>
        <v/>
      </c>
      <c r="F1541" t="str">
        <f>"30120938"</f>
        <v>30120938</v>
      </c>
      <c r="G1541" t="str">
        <f>"CUST#BASPCT4/ORD#37-19552/PCT2"</f>
        <v>CUST#BASPCT4/ORD#37-19552/PCT2</v>
      </c>
      <c r="H1541" s="2">
        <v>829.98</v>
      </c>
      <c r="I1541" t="str">
        <f>"CUST#BASPCT4/ORD#37-19552/PCT2"</f>
        <v>CUST#BASPCT4/ORD#37-19552/PCT2</v>
      </c>
    </row>
    <row r="1542" spans="1:9" x14ac:dyDescent="0.3">
      <c r="A1542" t="str">
        <f>"ECO"</f>
        <v>ECO</v>
      </c>
      <c r="B1542" t="s">
        <v>158</v>
      </c>
      <c r="C1542">
        <v>72421</v>
      </c>
      <c r="D1542" s="2">
        <v>1731</v>
      </c>
      <c r="E1542" s="1">
        <v>42989</v>
      </c>
      <c r="F1542" t="str">
        <f>"89032"</f>
        <v>89032</v>
      </c>
      <c r="G1542" t="str">
        <f>"ELGIN REC CENTER"</f>
        <v>ELGIN REC CENTER</v>
      </c>
      <c r="H1542" s="2">
        <v>1731</v>
      </c>
      <c r="I1542" t="str">
        <f>"ELGIN REC CENTER"</f>
        <v>ELGIN REC CENTER</v>
      </c>
    </row>
    <row r="1543" spans="1:9" x14ac:dyDescent="0.3">
      <c r="A1543" t="str">
        <f>"SCO"</f>
        <v>SCO</v>
      </c>
      <c r="B1543" t="s">
        <v>159</v>
      </c>
      <c r="C1543">
        <v>72875</v>
      </c>
      <c r="D1543" s="2">
        <v>54924.25</v>
      </c>
      <c r="E1543" s="1">
        <v>43003</v>
      </c>
      <c r="F1543" t="str">
        <f>"201709194952"</f>
        <v>201709194952</v>
      </c>
      <c r="G1543" t="str">
        <f>"SMITHVILLE COMM. CENTER ADD."</f>
        <v>SMITHVILLE COMM. CENTER ADD.</v>
      </c>
      <c r="H1543" s="2">
        <v>54924.25</v>
      </c>
      <c r="I1543" t="str">
        <f>"SMITHVILLE COMM. CENTER ADD."</f>
        <v>SMITHVILLE COMM. CENTER ADD.</v>
      </c>
    </row>
    <row r="1544" spans="1:9" x14ac:dyDescent="0.3">
      <c r="A1544" t="str">
        <f>"003723"</f>
        <v>003723</v>
      </c>
      <c r="B1544" t="s">
        <v>167</v>
      </c>
      <c r="C1544">
        <v>72422</v>
      </c>
      <c r="D1544" s="2">
        <v>15640</v>
      </c>
      <c r="E1544" s="1">
        <v>42989</v>
      </c>
      <c r="F1544" t="str">
        <f>"19388"</f>
        <v>19388</v>
      </c>
      <c r="G1544" t="str">
        <f>"Inv# 19388"</f>
        <v>Inv# 19388</v>
      </c>
      <c r="H1544" s="2">
        <v>15640</v>
      </c>
      <c r="I1544" t="str">
        <f>"Inv# 19388"</f>
        <v>Inv# 19388</v>
      </c>
    </row>
    <row r="1545" spans="1:9" x14ac:dyDescent="0.3">
      <c r="A1545" t="str">
        <f>"DELL"</f>
        <v>DELL</v>
      </c>
      <c r="B1545" t="s">
        <v>186</v>
      </c>
      <c r="C1545">
        <v>72876</v>
      </c>
      <c r="D1545" s="2">
        <v>314.88</v>
      </c>
      <c r="E1545" s="1">
        <v>43003</v>
      </c>
      <c r="F1545" t="str">
        <f>"10175541904"</f>
        <v>10175541904</v>
      </c>
      <c r="G1545" t="str">
        <f>"Inv# 10175541904"</f>
        <v>Inv# 10175541904</v>
      </c>
      <c r="H1545" s="2">
        <v>314.88</v>
      </c>
      <c r="I1545" t="str">
        <f>"Inv# 10175541904"</f>
        <v>Inv# 10175541904</v>
      </c>
    </row>
    <row r="1546" spans="1:9" x14ac:dyDescent="0.3">
      <c r="A1546" t="str">
        <f>"004691"</f>
        <v>004691</v>
      </c>
      <c r="B1546" t="s">
        <v>213</v>
      </c>
      <c r="C1546">
        <v>72423</v>
      </c>
      <c r="D1546" s="2">
        <v>19.170000000000002</v>
      </c>
      <c r="E1546" s="1">
        <v>42989</v>
      </c>
      <c r="F1546" t="str">
        <f>"NP51316613"</f>
        <v>NP51316613</v>
      </c>
      <c r="G1546" t="str">
        <f>"Stmt# NP51316613"</f>
        <v>Stmt# NP51316613</v>
      </c>
      <c r="H1546" s="2">
        <v>19.170000000000002</v>
      </c>
      <c r="I1546" t="str">
        <f>"OEM"</f>
        <v>OEM</v>
      </c>
    </row>
    <row r="1547" spans="1:9" x14ac:dyDescent="0.3">
      <c r="A1547" t="str">
        <f>"WWGI"</f>
        <v>WWGI</v>
      </c>
      <c r="B1547" t="s">
        <v>224</v>
      </c>
      <c r="C1547">
        <v>72877</v>
      </c>
      <c r="D1547" s="2">
        <v>187.96</v>
      </c>
      <c r="E1547" s="1">
        <v>43003</v>
      </c>
      <c r="F1547" t="str">
        <f>"9548068965"</f>
        <v>9548068965</v>
      </c>
      <c r="G1547" t="str">
        <f>"ACCT#886119927/OEM"</f>
        <v>ACCT#886119927/OEM</v>
      </c>
      <c r="H1547" s="2">
        <v>187.96</v>
      </c>
      <c r="I1547" t="str">
        <f>"ACCT#886119927/OEM"</f>
        <v>ACCT#886119927/OEM</v>
      </c>
    </row>
    <row r="1548" spans="1:9" x14ac:dyDescent="0.3">
      <c r="A1548" t="str">
        <f>"T8869"</f>
        <v>T8869</v>
      </c>
      <c r="B1548" t="s">
        <v>238</v>
      </c>
      <c r="C1548">
        <v>72424</v>
      </c>
      <c r="D1548" s="2">
        <v>84.87</v>
      </c>
      <c r="E1548" s="1">
        <v>42989</v>
      </c>
      <c r="F1548" t="str">
        <f>"9181218"</f>
        <v>9181218</v>
      </c>
      <c r="G1548" t="str">
        <f>"Acct# 7656"</f>
        <v>Acct# 7656</v>
      </c>
      <c r="H1548" s="2">
        <v>84.87</v>
      </c>
      <c r="I1548" t="str">
        <f>"Inv# 9181218"</f>
        <v>Inv# 9181218</v>
      </c>
    </row>
    <row r="1549" spans="1:9" x14ac:dyDescent="0.3">
      <c r="A1549" t="str">
        <f>"005119"</f>
        <v>005119</v>
      </c>
      <c r="B1549" t="s">
        <v>475</v>
      </c>
      <c r="C1549">
        <v>72878</v>
      </c>
      <c r="D1549" s="2">
        <v>482.9</v>
      </c>
      <c r="E1549" s="1">
        <v>43003</v>
      </c>
      <c r="F1549" t="str">
        <f>"201708063"</f>
        <v>201708063</v>
      </c>
      <c r="G1549" t="str">
        <f>"PROJ#2017072-001"</f>
        <v>PROJ#2017072-001</v>
      </c>
      <c r="H1549" s="2">
        <v>482.9</v>
      </c>
      <c r="I1549" t="str">
        <f>"PROJ#2017072-001"</f>
        <v>PROJ#2017072-001</v>
      </c>
    </row>
    <row r="1550" spans="1:9" x14ac:dyDescent="0.3">
      <c r="A1550" t="str">
        <f>"T13475"</f>
        <v>T13475</v>
      </c>
      <c r="B1550" t="s">
        <v>476</v>
      </c>
      <c r="C1550">
        <v>72879</v>
      </c>
      <c r="D1550" s="2">
        <v>1000</v>
      </c>
      <c r="E1550" s="1">
        <v>43003</v>
      </c>
      <c r="F1550" t="str">
        <f>"3373"</f>
        <v>3373</v>
      </c>
      <c r="G1550" t="str">
        <f>"DR 4272 APPLICATION"</f>
        <v>DR 4272 APPLICATION</v>
      </c>
      <c r="H1550" s="2">
        <v>1000</v>
      </c>
      <c r="I1550" t="str">
        <f>"DR 4272 APPLICATION"</f>
        <v>DR 4272 APPLICATION</v>
      </c>
    </row>
    <row r="1551" spans="1:9" x14ac:dyDescent="0.3">
      <c r="A1551" t="str">
        <f>"002312"</f>
        <v>002312</v>
      </c>
      <c r="B1551" t="s">
        <v>309</v>
      </c>
      <c r="C1551">
        <v>72425</v>
      </c>
      <c r="D1551" s="2">
        <v>6135.05</v>
      </c>
      <c r="E1551" s="1">
        <v>42989</v>
      </c>
      <c r="F1551" t="str">
        <f>"14975"</f>
        <v>14975</v>
      </c>
      <c r="G1551" t="str">
        <f>"COLD MIX/PCT#2"</f>
        <v>COLD MIX/PCT#2</v>
      </c>
      <c r="H1551" s="2">
        <v>1145.95</v>
      </c>
      <c r="I1551" t="str">
        <f>"COLD MIX/PCT#2"</f>
        <v>COLD MIX/PCT#2</v>
      </c>
    </row>
    <row r="1552" spans="1:9" x14ac:dyDescent="0.3">
      <c r="A1552" t="str">
        <f>""</f>
        <v/>
      </c>
      <c r="F1552" t="str">
        <f>"14990"</f>
        <v>14990</v>
      </c>
      <c r="G1552" t="str">
        <f>"COLD MIX/PCT#2"</f>
        <v>COLD MIX/PCT#2</v>
      </c>
      <c r="H1552" s="2">
        <v>3444.5</v>
      </c>
      <c r="I1552" t="str">
        <f>"COLD MIX/PCT#2"</f>
        <v>COLD MIX/PCT#2</v>
      </c>
    </row>
    <row r="1553" spans="1:9" x14ac:dyDescent="0.3">
      <c r="A1553" t="str">
        <f>""</f>
        <v/>
      </c>
      <c r="F1553" t="str">
        <f>"15027"</f>
        <v>15027</v>
      </c>
      <c r="G1553" t="str">
        <f>"FREIGHT SALES/OLD PIN OAK RD"</f>
        <v>FREIGHT SALES/OLD PIN OAK RD</v>
      </c>
      <c r="H1553" s="2">
        <v>1544.6</v>
      </c>
      <c r="I1553" t="str">
        <f>"FREIGHT SALES/OLD PIN OAK RD"</f>
        <v>FREIGHT SALES/OLD PIN OAK RD</v>
      </c>
    </row>
    <row r="1554" spans="1:9" x14ac:dyDescent="0.3">
      <c r="A1554" t="str">
        <f>"002312"</f>
        <v>002312</v>
      </c>
      <c r="B1554" t="s">
        <v>309</v>
      </c>
      <c r="C1554">
        <v>72880</v>
      </c>
      <c r="D1554" s="2">
        <v>10902.63</v>
      </c>
      <c r="E1554" s="1">
        <v>43003</v>
      </c>
      <c r="F1554" t="str">
        <f>"15092"</f>
        <v>15092</v>
      </c>
      <c r="G1554" t="str">
        <f>"FREIGHT SALES/PCT#2"</f>
        <v>FREIGHT SALES/PCT#2</v>
      </c>
      <c r="H1554" s="2">
        <v>2402.65</v>
      </c>
      <c r="I1554" t="str">
        <f>"FREIGHT SALES/PCT#2"</f>
        <v>FREIGHT SALES/PCT#2</v>
      </c>
    </row>
    <row r="1555" spans="1:9" x14ac:dyDescent="0.3">
      <c r="A1555" t="str">
        <f>""</f>
        <v/>
      </c>
      <c r="F1555" t="str">
        <f>"15128"</f>
        <v>15128</v>
      </c>
      <c r="G1555" t="str">
        <f>"FREIGHT SALES/ PCT#2"</f>
        <v>FREIGHT SALES/ PCT#2</v>
      </c>
      <c r="H1555" s="2">
        <v>8305.92</v>
      </c>
      <c r="I1555" t="str">
        <f>"FREIGHT SALES/ PCT#2"</f>
        <v>FREIGHT SALES/ PCT#2</v>
      </c>
    </row>
    <row r="1556" spans="1:9" x14ac:dyDescent="0.3">
      <c r="A1556" t="str">
        <f>""</f>
        <v/>
      </c>
      <c r="F1556" t="str">
        <f>"15156"</f>
        <v>15156</v>
      </c>
      <c r="G1556" t="str">
        <f>"FREIGHT SALES/PCT#2"</f>
        <v>FREIGHT SALES/PCT#2</v>
      </c>
      <c r="H1556" s="2">
        <v>194.06</v>
      </c>
      <c r="I1556" t="str">
        <f>"FREIGHT SALES/PCT#2"</f>
        <v>FREIGHT SALES/PCT#2</v>
      </c>
    </row>
    <row r="1557" spans="1:9" x14ac:dyDescent="0.3">
      <c r="A1557" t="str">
        <f>"004401"</f>
        <v>004401</v>
      </c>
      <c r="B1557" t="s">
        <v>477</v>
      </c>
      <c r="C1557">
        <v>72881</v>
      </c>
      <c r="D1557" s="2">
        <v>732.4</v>
      </c>
      <c r="E1557" s="1">
        <v>43003</v>
      </c>
      <c r="F1557" t="str">
        <f>"PART4485378/448626"</f>
        <v>PART4485378/448626</v>
      </c>
      <c r="G1557" t="str">
        <f>"Parts for Skid Steer"</f>
        <v>Parts for Skid Steer</v>
      </c>
      <c r="H1557" s="2">
        <v>637.92999999999995</v>
      </c>
      <c r="I1557" t="str">
        <f>"Itm# 415-2792"</f>
        <v>Itm# 415-2792</v>
      </c>
    </row>
    <row r="1558" spans="1:9" x14ac:dyDescent="0.3">
      <c r="A1558" t="str">
        <f>""</f>
        <v/>
      </c>
      <c r="F1558" t="str">
        <f>""</f>
        <v/>
      </c>
      <c r="G1558" t="str">
        <f>""</f>
        <v/>
      </c>
      <c r="I1558" t="str">
        <f>"Item# 117-9080"</f>
        <v>Item# 117-9080</v>
      </c>
    </row>
    <row r="1559" spans="1:9" x14ac:dyDescent="0.3">
      <c r="A1559" t="str">
        <f>""</f>
        <v/>
      </c>
      <c r="F1559" t="str">
        <f>""</f>
        <v/>
      </c>
      <c r="G1559" t="str">
        <f>""</f>
        <v/>
      </c>
      <c r="I1559" t="str">
        <f>"Item# 480-8589"</f>
        <v>Item# 480-8589</v>
      </c>
    </row>
    <row r="1560" spans="1:9" x14ac:dyDescent="0.3">
      <c r="A1560" t="str">
        <f>""</f>
        <v/>
      </c>
      <c r="F1560" t="str">
        <f>"PART4487911"</f>
        <v>PART4487911</v>
      </c>
      <c r="G1560" t="str">
        <f>"CUST#1006635/DOC#50C267811"</f>
        <v>CUST#1006635/DOC#50C267811</v>
      </c>
      <c r="H1560" s="2">
        <v>94.47</v>
      </c>
      <c r="I1560" t="str">
        <f>"CUST#1006635/DOC#50C267811"</f>
        <v>CUST#1006635/DOC#50C267811</v>
      </c>
    </row>
    <row r="1561" spans="1:9" x14ac:dyDescent="0.3">
      <c r="A1561" t="str">
        <f>"005197"</f>
        <v>005197</v>
      </c>
      <c r="B1561" t="s">
        <v>478</v>
      </c>
      <c r="C1561">
        <v>72426</v>
      </c>
      <c r="D1561" s="2">
        <v>1725</v>
      </c>
      <c r="E1561" s="1">
        <v>42989</v>
      </c>
      <c r="F1561" t="str">
        <f>"40' SECURITY CONT"</f>
        <v>40' SECURITY CONT</v>
      </c>
      <c r="G1561" t="s">
        <v>479</v>
      </c>
      <c r="H1561" s="2">
        <v>1725</v>
      </c>
      <c r="I1561" t="s">
        <v>479</v>
      </c>
    </row>
    <row r="1562" spans="1:9" x14ac:dyDescent="0.3">
      <c r="A1562" t="str">
        <f>"004539"</f>
        <v>004539</v>
      </c>
      <c r="B1562" t="s">
        <v>480</v>
      </c>
      <c r="C1562">
        <v>72882</v>
      </c>
      <c r="D1562" s="2">
        <v>414506.77</v>
      </c>
      <c r="E1562" s="1">
        <v>43003</v>
      </c>
      <c r="F1562" t="str">
        <f>"16030511"</f>
        <v>16030511</v>
      </c>
      <c r="G1562" t="str">
        <f>"PROJ#160305/OEM"</f>
        <v>PROJ#160305/OEM</v>
      </c>
      <c r="H1562" s="2">
        <v>414506.77</v>
      </c>
      <c r="I1562" t="str">
        <f>"PROJ#160305/OEM"</f>
        <v>PROJ#160305/OEM</v>
      </c>
    </row>
    <row r="1563" spans="1:9" x14ac:dyDescent="0.3">
      <c r="A1563" t="str">
        <f>"TAC1"</f>
        <v>TAC1</v>
      </c>
      <c r="B1563" t="s">
        <v>40</v>
      </c>
      <c r="C1563">
        <v>72883</v>
      </c>
      <c r="D1563" s="2">
        <v>101.62</v>
      </c>
      <c r="E1563" s="1">
        <v>43003</v>
      </c>
      <c r="F1563" t="str">
        <f>"201709154927"</f>
        <v>201709154927</v>
      </c>
      <c r="G1563" t="str">
        <f>"4TH QRT WRKRS COMP"</f>
        <v>4TH QRT WRKRS COMP</v>
      </c>
      <c r="H1563" s="2">
        <v>35.840000000000003</v>
      </c>
      <c r="I1563" t="str">
        <f>"4TH QRT WRKRS COMP"</f>
        <v>4TH QRT WRKRS COMP</v>
      </c>
    </row>
    <row r="1564" spans="1:9" x14ac:dyDescent="0.3">
      <c r="A1564" t="str">
        <f>""</f>
        <v/>
      </c>
      <c r="F1564" t="str">
        <f>"201709154928"</f>
        <v>201709154928</v>
      </c>
      <c r="G1564" t="str">
        <f>"4TH QTR WRKRS COMP"</f>
        <v>4TH QTR WRKRS COMP</v>
      </c>
      <c r="H1564" s="2">
        <v>65.78</v>
      </c>
      <c r="I1564" t="str">
        <f>"4TH QTR WRKRS COMP"</f>
        <v>4TH QTR WRKRS COMP</v>
      </c>
    </row>
    <row r="1565" spans="1:9" x14ac:dyDescent="0.3">
      <c r="A1565" t="str">
        <f>"001513"</f>
        <v>001513</v>
      </c>
      <c r="B1565" t="s">
        <v>447</v>
      </c>
      <c r="C1565">
        <v>72884</v>
      </c>
      <c r="D1565" s="2">
        <v>20000</v>
      </c>
      <c r="E1565" s="1">
        <v>43003</v>
      </c>
      <c r="F1565" t="str">
        <f>"10777 10753 200040"</f>
        <v>10777 10753 200040</v>
      </c>
      <c r="G1565" t="str">
        <f>"Inv# 10777  10753  200040"</f>
        <v>Inv# 10777  10753  200040</v>
      </c>
      <c r="H1565" s="2">
        <v>20000</v>
      </c>
      <c r="I1565" t="str">
        <f>"Inv# 10777  10753  200040"</f>
        <v>Inv# 10777  10753  200040</v>
      </c>
    </row>
    <row r="1566" spans="1:9" x14ac:dyDescent="0.3">
      <c r="A1566" t="str">
        <f>"WALMAR"</f>
        <v>WALMAR</v>
      </c>
      <c r="B1566" t="s">
        <v>455</v>
      </c>
      <c r="C1566">
        <v>72427</v>
      </c>
      <c r="D1566" s="2">
        <v>74.83</v>
      </c>
      <c r="E1566" s="1">
        <v>42989</v>
      </c>
      <c r="F1566" t="str">
        <f>"004450"</f>
        <v>004450</v>
      </c>
      <c r="G1566" t="str">
        <f>"Acct# 6032202005312476"</f>
        <v>Acct# 6032202005312476</v>
      </c>
      <c r="H1566" s="2">
        <v>74.83</v>
      </c>
      <c r="I1566" t="str">
        <f>"Inv# 004450"</f>
        <v>Inv# 004450</v>
      </c>
    </row>
    <row r="1567" spans="1:9" x14ac:dyDescent="0.3">
      <c r="A1567" t="str">
        <f>"004240"</f>
        <v>004240</v>
      </c>
      <c r="B1567" t="s">
        <v>481</v>
      </c>
      <c r="C1567">
        <v>72885</v>
      </c>
      <c r="D1567" s="2">
        <v>95936.7</v>
      </c>
      <c r="E1567" s="1">
        <v>43003</v>
      </c>
      <c r="F1567" t="str">
        <f>"1237"</f>
        <v>1237</v>
      </c>
      <c r="G1567" t="str">
        <f>"JOB#WFR010001/OLD PINEY TRAIL"</f>
        <v>JOB#WFR010001/OLD PINEY TRAIL</v>
      </c>
      <c r="H1567" s="2">
        <v>95936.7</v>
      </c>
      <c r="I1567" t="str">
        <f>"JOB#WFR010001/OLD PINEY TRAIL"</f>
        <v>JOB#WFR010001/OLD PINEY TRAIL</v>
      </c>
    </row>
    <row r="1568" spans="1:9" x14ac:dyDescent="0.3">
      <c r="A1568" t="str">
        <f>"ALLSTA"</f>
        <v>ALLSTA</v>
      </c>
      <c r="B1568" t="s">
        <v>482</v>
      </c>
      <c r="C1568">
        <v>0</v>
      </c>
      <c r="D1568" s="2">
        <v>9551.73</v>
      </c>
      <c r="E1568" s="1">
        <v>43004</v>
      </c>
      <c r="F1568" t="str">
        <f>"201709265127"</f>
        <v>201709265127</v>
      </c>
      <c r="G1568" t="str">
        <f>"ALLSTATE-AMERICAN HERITAGE LIF"</f>
        <v>ALLSTATE-AMERICAN HERITAGE LIF</v>
      </c>
      <c r="H1568" s="2">
        <v>0.05</v>
      </c>
      <c r="I1568" t="str">
        <f>"ALLSTATE-AMERICAN HERITAGE LIF"</f>
        <v>ALLSTATE-AMERICAN HERITAGE LIF</v>
      </c>
    </row>
    <row r="1569" spans="1:9" x14ac:dyDescent="0.3">
      <c r="A1569" t="str">
        <f>""</f>
        <v/>
      </c>
      <c r="F1569" t="str">
        <f>"AS 201709064584"</f>
        <v>AS 201709064584</v>
      </c>
      <c r="G1569" t="str">
        <f t="shared" ref="G1569:G1582" si="14">"ALLSTATE"</f>
        <v>ALLSTATE</v>
      </c>
      <c r="H1569" s="2">
        <v>1027.72</v>
      </c>
      <c r="I1569" t="str">
        <f t="shared" ref="I1569:I1582" si="15">"ALLSTATE"</f>
        <v>ALLSTATE</v>
      </c>
    </row>
    <row r="1570" spans="1:9" x14ac:dyDescent="0.3">
      <c r="A1570" t="str">
        <f>""</f>
        <v/>
      </c>
      <c r="F1570" t="str">
        <f>"AS 201709064604"</f>
        <v>AS 201709064604</v>
      </c>
      <c r="G1570" t="str">
        <f t="shared" si="14"/>
        <v>ALLSTATE</v>
      </c>
      <c r="H1570" s="2">
        <v>36.14</v>
      </c>
      <c r="I1570" t="str">
        <f t="shared" si="15"/>
        <v>ALLSTATE</v>
      </c>
    </row>
    <row r="1571" spans="1:9" x14ac:dyDescent="0.3">
      <c r="A1571" t="str">
        <f>""</f>
        <v/>
      </c>
      <c r="F1571" t="str">
        <f>"AS 201709205019"</f>
        <v>AS 201709205019</v>
      </c>
      <c r="G1571" t="str">
        <f t="shared" si="14"/>
        <v>ALLSTATE</v>
      </c>
      <c r="H1571" s="2">
        <v>1027.72</v>
      </c>
      <c r="I1571" t="str">
        <f t="shared" si="15"/>
        <v>ALLSTATE</v>
      </c>
    </row>
    <row r="1572" spans="1:9" x14ac:dyDescent="0.3">
      <c r="A1572" t="str">
        <f>""</f>
        <v/>
      </c>
      <c r="F1572" t="str">
        <f>"AS 201709205020"</f>
        <v>AS 201709205020</v>
      </c>
      <c r="G1572" t="str">
        <f t="shared" si="14"/>
        <v>ALLSTATE</v>
      </c>
      <c r="H1572" s="2">
        <v>36.14</v>
      </c>
      <c r="I1572" t="str">
        <f t="shared" si="15"/>
        <v>ALLSTATE</v>
      </c>
    </row>
    <row r="1573" spans="1:9" x14ac:dyDescent="0.3">
      <c r="A1573" t="str">
        <f>""</f>
        <v/>
      </c>
      <c r="F1573" t="str">
        <f>"ASD201709064584"</f>
        <v>ASD201709064584</v>
      </c>
      <c r="G1573" t="str">
        <f t="shared" si="14"/>
        <v>ALLSTATE</v>
      </c>
      <c r="H1573" s="2">
        <v>372.49</v>
      </c>
      <c r="I1573" t="str">
        <f t="shared" si="15"/>
        <v>ALLSTATE</v>
      </c>
    </row>
    <row r="1574" spans="1:9" x14ac:dyDescent="0.3">
      <c r="A1574" t="str">
        <f>""</f>
        <v/>
      </c>
      <c r="F1574" t="str">
        <f>"ASD201709205019"</f>
        <v>ASD201709205019</v>
      </c>
      <c r="G1574" t="str">
        <f t="shared" si="14"/>
        <v>ALLSTATE</v>
      </c>
      <c r="H1574" s="2">
        <v>372.49</v>
      </c>
      <c r="I1574" t="str">
        <f t="shared" si="15"/>
        <v>ALLSTATE</v>
      </c>
    </row>
    <row r="1575" spans="1:9" x14ac:dyDescent="0.3">
      <c r="A1575" t="str">
        <f>""</f>
        <v/>
      </c>
      <c r="F1575" t="str">
        <f>"ASI201709064584"</f>
        <v>ASI201709064584</v>
      </c>
      <c r="G1575" t="str">
        <f t="shared" si="14"/>
        <v>ALLSTATE</v>
      </c>
      <c r="H1575" s="2">
        <v>1208.18</v>
      </c>
      <c r="I1575" t="str">
        <f t="shared" si="15"/>
        <v>ALLSTATE</v>
      </c>
    </row>
    <row r="1576" spans="1:9" x14ac:dyDescent="0.3">
      <c r="A1576" t="str">
        <f>""</f>
        <v/>
      </c>
      <c r="F1576" t="str">
        <f>"ASI201709064604"</f>
        <v>ASI201709064604</v>
      </c>
      <c r="G1576" t="str">
        <f t="shared" si="14"/>
        <v>ALLSTATE</v>
      </c>
      <c r="H1576" s="2">
        <v>100.63</v>
      </c>
      <c r="I1576" t="str">
        <f t="shared" si="15"/>
        <v>ALLSTATE</v>
      </c>
    </row>
    <row r="1577" spans="1:9" x14ac:dyDescent="0.3">
      <c r="A1577" t="str">
        <f>""</f>
        <v/>
      </c>
      <c r="F1577" t="str">
        <f>"ASI201709205019"</f>
        <v>ASI201709205019</v>
      </c>
      <c r="G1577" t="str">
        <f t="shared" si="14"/>
        <v>ALLSTATE</v>
      </c>
      <c r="H1577" s="2">
        <v>1208.18</v>
      </c>
      <c r="I1577" t="str">
        <f t="shared" si="15"/>
        <v>ALLSTATE</v>
      </c>
    </row>
    <row r="1578" spans="1:9" x14ac:dyDescent="0.3">
      <c r="A1578" t="str">
        <f>""</f>
        <v/>
      </c>
      <c r="F1578" t="str">
        <f>"ASI201709205020"</f>
        <v>ASI201709205020</v>
      </c>
      <c r="G1578" t="str">
        <f t="shared" si="14"/>
        <v>ALLSTATE</v>
      </c>
      <c r="H1578" s="2">
        <v>100.63</v>
      </c>
      <c r="I1578" t="str">
        <f t="shared" si="15"/>
        <v>ALLSTATE</v>
      </c>
    </row>
    <row r="1579" spans="1:9" x14ac:dyDescent="0.3">
      <c r="A1579" t="str">
        <f>""</f>
        <v/>
      </c>
      <c r="F1579" t="str">
        <f>"AST201709064584"</f>
        <v>AST201709064584</v>
      </c>
      <c r="G1579" t="str">
        <f t="shared" si="14"/>
        <v>ALLSTATE</v>
      </c>
      <c r="H1579" s="2">
        <v>1911.21</v>
      </c>
      <c r="I1579" t="str">
        <f t="shared" si="15"/>
        <v>ALLSTATE</v>
      </c>
    </row>
    <row r="1580" spans="1:9" x14ac:dyDescent="0.3">
      <c r="A1580" t="str">
        <f>""</f>
        <v/>
      </c>
      <c r="F1580" t="str">
        <f>"AST201709064604"</f>
        <v>AST201709064604</v>
      </c>
      <c r="G1580" t="str">
        <f t="shared" si="14"/>
        <v>ALLSTATE</v>
      </c>
      <c r="H1580" s="2">
        <v>119.47</v>
      </c>
      <c r="I1580" t="str">
        <f t="shared" si="15"/>
        <v>ALLSTATE</v>
      </c>
    </row>
    <row r="1581" spans="1:9" x14ac:dyDescent="0.3">
      <c r="A1581" t="str">
        <f>""</f>
        <v/>
      </c>
      <c r="F1581" t="str">
        <f>"AST201709205019"</f>
        <v>AST201709205019</v>
      </c>
      <c r="G1581" t="str">
        <f t="shared" si="14"/>
        <v>ALLSTATE</v>
      </c>
      <c r="H1581" s="2">
        <v>1911.21</v>
      </c>
      <c r="I1581" t="str">
        <f t="shared" si="15"/>
        <v>ALLSTATE</v>
      </c>
    </row>
    <row r="1582" spans="1:9" x14ac:dyDescent="0.3">
      <c r="A1582" t="str">
        <f>""</f>
        <v/>
      </c>
      <c r="F1582" t="str">
        <f>"AST201709205020"</f>
        <v>AST201709205020</v>
      </c>
      <c r="G1582" t="str">
        <f t="shared" si="14"/>
        <v>ALLSTATE</v>
      </c>
      <c r="H1582" s="2">
        <v>119.47</v>
      </c>
      <c r="I1582" t="str">
        <f t="shared" si="15"/>
        <v>ALLSTATE</v>
      </c>
    </row>
    <row r="1583" spans="1:9" x14ac:dyDescent="0.3">
      <c r="A1583" t="str">
        <f>"002234"</f>
        <v>002234</v>
      </c>
      <c r="B1583" t="s">
        <v>483</v>
      </c>
      <c r="C1583">
        <v>0</v>
      </c>
      <c r="D1583" s="2">
        <v>1410</v>
      </c>
      <c r="E1583" s="1">
        <v>43004</v>
      </c>
      <c r="F1583" t="str">
        <f>"BAS201709064584"</f>
        <v>BAS201709064584</v>
      </c>
      <c r="G1583" t="str">
        <f>"B.A.S.E."</f>
        <v>B.A.S.E.</v>
      </c>
      <c r="H1583" s="2">
        <v>714</v>
      </c>
      <c r="I1583" t="str">
        <f>"B.A.S.E."</f>
        <v>B.A.S.E.</v>
      </c>
    </row>
    <row r="1584" spans="1:9" x14ac:dyDescent="0.3">
      <c r="A1584" t="str">
        <f>""</f>
        <v/>
      </c>
      <c r="F1584" t="str">
        <f>"BAS201709205019"</f>
        <v>BAS201709205019</v>
      </c>
      <c r="G1584" t="str">
        <f>"B.A.S.E."</f>
        <v>B.A.S.E.</v>
      </c>
      <c r="H1584" s="2">
        <v>696</v>
      </c>
      <c r="I1584" t="str">
        <f>"B.A.S.E."</f>
        <v>B.A.S.E.</v>
      </c>
    </row>
    <row r="1585" spans="1:9" x14ac:dyDescent="0.3">
      <c r="A1585" t="str">
        <f>"T12180"</f>
        <v>T12180</v>
      </c>
      <c r="B1585" t="s">
        <v>484</v>
      </c>
      <c r="C1585">
        <v>0</v>
      </c>
      <c r="D1585" s="2">
        <v>3360.51</v>
      </c>
      <c r="E1585" s="1">
        <v>42986</v>
      </c>
      <c r="F1585" t="str">
        <f>"DDP201709064636"</f>
        <v>DDP201709064636</v>
      </c>
      <c r="G1585" t="str">
        <f>"AP - TEXAS DISCOUNT DENTAL"</f>
        <v>AP - TEXAS DISCOUNT DENTAL</v>
      </c>
      <c r="H1585" s="2">
        <v>6.53</v>
      </c>
      <c r="I1585" t="str">
        <f>"AP - TEXAS DISCOUNT DENTAL"</f>
        <v>AP - TEXAS DISCOUNT DENTAL</v>
      </c>
    </row>
    <row r="1586" spans="1:9" x14ac:dyDescent="0.3">
      <c r="A1586" t="str">
        <f>""</f>
        <v/>
      </c>
      <c r="F1586" t="str">
        <f>"DHM201709064636"</f>
        <v>DHM201709064636</v>
      </c>
      <c r="G1586" t="str">
        <f>"AP - DENTAL HMO"</f>
        <v>AP - DENTAL HMO</v>
      </c>
      <c r="H1586" s="2">
        <v>35.49</v>
      </c>
      <c r="I1586" t="str">
        <f>"AP - DENTAL HMO"</f>
        <v>AP - DENTAL HMO</v>
      </c>
    </row>
    <row r="1587" spans="1:9" x14ac:dyDescent="0.3">
      <c r="A1587" t="str">
        <f>""</f>
        <v/>
      </c>
      <c r="F1587" t="str">
        <f>"DTX201709064636"</f>
        <v>DTX201709064636</v>
      </c>
      <c r="G1587" t="str">
        <f>"AP - TEXAS DENTAL"</f>
        <v>AP - TEXAS DENTAL</v>
      </c>
      <c r="H1587" s="2">
        <v>383.93</v>
      </c>
      <c r="I1587" t="str">
        <f>"AP - TEXAS DENTAL"</f>
        <v>AP - TEXAS DENTAL</v>
      </c>
    </row>
    <row r="1588" spans="1:9" x14ac:dyDescent="0.3">
      <c r="A1588" t="str">
        <f>""</f>
        <v/>
      </c>
      <c r="F1588" t="str">
        <f>"FD 201709064636"</f>
        <v>FD 201709064636</v>
      </c>
      <c r="G1588" t="str">
        <f>"AP - FT DEARBORN PRE-TAX"</f>
        <v>AP - FT DEARBORN PRE-TAX</v>
      </c>
      <c r="H1588" s="2">
        <v>221.93</v>
      </c>
      <c r="I1588" t="str">
        <f>"AP - FT DEARBORN PRE-TAX"</f>
        <v>AP - FT DEARBORN PRE-TAX</v>
      </c>
    </row>
    <row r="1589" spans="1:9" x14ac:dyDescent="0.3">
      <c r="A1589" t="str">
        <f>""</f>
        <v/>
      </c>
      <c r="F1589" t="str">
        <f>"FDT201709064636"</f>
        <v>FDT201709064636</v>
      </c>
      <c r="G1589" t="str">
        <f>"AP - FT DEARBORN AFTER TAX"</f>
        <v>AP - FT DEARBORN AFTER TAX</v>
      </c>
      <c r="H1589" s="2">
        <v>83.45</v>
      </c>
      <c r="I1589" t="str">
        <f>"AP - FT DEARBORN AFTER TAX"</f>
        <v>AP - FT DEARBORN AFTER TAX</v>
      </c>
    </row>
    <row r="1590" spans="1:9" x14ac:dyDescent="0.3">
      <c r="A1590" t="str">
        <f>""</f>
        <v/>
      </c>
      <c r="F1590" t="str">
        <f>"FLX201709064636"</f>
        <v>FLX201709064636</v>
      </c>
      <c r="G1590" t="str">
        <f>"AP - TEX FLEX"</f>
        <v>AP - TEX FLEX</v>
      </c>
      <c r="H1590" s="2">
        <v>358</v>
      </c>
      <c r="I1590" t="str">
        <f>"AP - TEX FLEX"</f>
        <v>AP - TEX FLEX</v>
      </c>
    </row>
    <row r="1591" spans="1:9" x14ac:dyDescent="0.3">
      <c r="A1591" t="str">
        <f>""</f>
        <v/>
      </c>
      <c r="F1591" t="str">
        <f>"MHS201709064636"</f>
        <v>MHS201709064636</v>
      </c>
      <c r="G1591" t="str">
        <f>"AP - HEALTH SELECT MEDICAL"</f>
        <v>AP - HEALTH SELECT MEDICAL</v>
      </c>
      <c r="H1591" s="2">
        <v>1965.96</v>
      </c>
      <c r="I1591" t="str">
        <f>"AP - HEALTH SELECT MEDICAL"</f>
        <v>AP - HEALTH SELECT MEDICAL</v>
      </c>
    </row>
    <row r="1592" spans="1:9" x14ac:dyDescent="0.3">
      <c r="A1592" t="str">
        <f>""</f>
        <v/>
      </c>
      <c r="F1592" t="str">
        <f>"MSW201709064636"</f>
        <v>MSW201709064636</v>
      </c>
      <c r="G1592" t="str">
        <f>"AP - SCOTT &amp; WHITE MEDICAL"</f>
        <v>AP - SCOTT &amp; WHITE MEDICAL</v>
      </c>
      <c r="H1592" s="2">
        <v>291.82</v>
      </c>
      <c r="I1592" t="str">
        <f>"AP - SCOTT &amp; WHITE MEDICAL"</f>
        <v>AP - SCOTT &amp; WHITE MEDICAL</v>
      </c>
    </row>
    <row r="1593" spans="1:9" x14ac:dyDescent="0.3">
      <c r="A1593" t="str">
        <f>""</f>
        <v/>
      </c>
      <c r="F1593" t="str">
        <f>"SPE201709064636"</f>
        <v>SPE201709064636</v>
      </c>
      <c r="G1593" t="str">
        <f>"AP - STATE VISION"</f>
        <v>AP - STATE VISION</v>
      </c>
      <c r="H1593" s="2">
        <v>13.4</v>
      </c>
      <c r="I1593" t="str">
        <f>"AP - STATE VISION"</f>
        <v>AP - STATE VISION</v>
      </c>
    </row>
    <row r="1594" spans="1:9" x14ac:dyDescent="0.3">
      <c r="A1594" t="str">
        <f>"T12180"</f>
        <v>T12180</v>
      </c>
      <c r="B1594" t="s">
        <v>484</v>
      </c>
      <c r="C1594">
        <v>0</v>
      </c>
      <c r="D1594" s="2">
        <v>3360.51</v>
      </c>
      <c r="E1594" s="1">
        <v>43000</v>
      </c>
      <c r="F1594" t="str">
        <f>"DDP201709205022"</f>
        <v>DDP201709205022</v>
      </c>
      <c r="G1594" t="str">
        <f>"AP - TEXAS DISCOUNT DENTAL"</f>
        <v>AP - TEXAS DISCOUNT DENTAL</v>
      </c>
      <c r="H1594" s="2">
        <v>6.53</v>
      </c>
      <c r="I1594" t="str">
        <f>"AP - TEXAS DISCOUNT DENTAL"</f>
        <v>AP - TEXAS DISCOUNT DENTAL</v>
      </c>
    </row>
    <row r="1595" spans="1:9" x14ac:dyDescent="0.3">
      <c r="A1595" t="str">
        <f>""</f>
        <v/>
      </c>
      <c r="F1595" t="str">
        <f>"DHM201709205022"</f>
        <v>DHM201709205022</v>
      </c>
      <c r="G1595" t="str">
        <f>"AP - DENTAL HMO"</f>
        <v>AP - DENTAL HMO</v>
      </c>
      <c r="H1595" s="2">
        <v>35.49</v>
      </c>
      <c r="I1595" t="str">
        <f>"AP - DENTAL HMO"</f>
        <v>AP - DENTAL HMO</v>
      </c>
    </row>
    <row r="1596" spans="1:9" x14ac:dyDescent="0.3">
      <c r="A1596" t="str">
        <f>""</f>
        <v/>
      </c>
      <c r="F1596" t="str">
        <f>"DTX201709205022"</f>
        <v>DTX201709205022</v>
      </c>
      <c r="G1596" t="str">
        <f>"AP - TEXAS DENTAL"</f>
        <v>AP - TEXAS DENTAL</v>
      </c>
      <c r="H1596" s="2">
        <v>383.93</v>
      </c>
      <c r="I1596" t="str">
        <f>"AP - TEXAS DENTAL"</f>
        <v>AP - TEXAS DENTAL</v>
      </c>
    </row>
    <row r="1597" spans="1:9" x14ac:dyDescent="0.3">
      <c r="A1597" t="str">
        <f>""</f>
        <v/>
      </c>
      <c r="F1597" t="str">
        <f>"FD 201709205022"</f>
        <v>FD 201709205022</v>
      </c>
      <c r="G1597" t="str">
        <f>"AP - FT DEARBORN PRE-TAX"</f>
        <v>AP - FT DEARBORN PRE-TAX</v>
      </c>
      <c r="H1597" s="2">
        <v>221.93</v>
      </c>
      <c r="I1597" t="str">
        <f>"AP - FT DEARBORN PRE-TAX"</f>
        <v>AP - FT DEARBORN PRE-TAX</v>
      </c>
    </row>
    <row r="1598" spans="1:9" x14ac:dyDescent="0.3">
      <c r="A1598" t="str">
        <f>""</f>
        <v/>
      </c>
      <c r="F1598" t="str">
        <f>"FDT201709205022"</f>
        <v>FDT201709205022</v>
      </c>
      <c r="G1598" t="str">
        <f>"AP - FT DEARBORN AFTER TAX"</f>
        <v>AP - FT DEARBORN AFTER TAX</v>
      </c>
      <c r="H1598" s="2">
        <v>83.45</v>
      </c>
      <c r="I1598" t="str">
        <f>"AP - FT DEARBORN AFTER TAX"</f>
        <v>AP - FT DEARBORN AFTER TAX</v>
      </c>
    </row>
    <row r="1599" spans="1:9" x14ac:dyDescent="0.3">
      <c r="A1599" t="str">
        <f>""</f>
        <v/>
      </c>
      <c r="F1599" t="str">
        <f>"FLX201709205022"</f>
        <v>FLX201709205022</v>
      </c>
      <c r="G1599" t="str">
        <f>"AP - TEX FLEX"</f>
        <v>AP - TEX FLEX</v>
      </c>
      <c r="H1599" s="2">
        <v>358</v>
      </c>
      <c r="I1599" t="str">
        <f>"AP - TEX FLEX"</f>
        <v>AP - TEX FLEX</v>
      </c>
    </row>
    <row r="1600" spans="1:9" x14ac:dyDescent="0.3">
      <c r="A1600" t="str">
        <f>""</f>
        <v/>
      </c>
      <c r="F1600" t="str">
        <f>"MHS201709205022"</f>
        <v>MHS201709205022</v>
      </c>
      <c r="G1600" t="str">
        <f>"AP - HEALTH SELECT MEDICAL"</f>
        <v>AP - HEALTH SELECT MEDICAL</v>
      </c>
      <c r="H1600" s="2">
        <v>1965.96</v>
      </c>
      <c r="I1600" t="str">
        <f>"AP - HEALTH SELECT MEDICAL"</f>
        <v>AP - HEALTH SELECT MEDICAL</v>
      </c>
    </row>
    <row r="1601" spans="1:9" x14ac:dyDescent="0.3">
      <c r="A1601" t="str">
        <f>""</f>
        <v/>
      </c>
      <c r="F1601" t="str">
        <f>"MSW201709205022"</f>
        <v>MSW201709205022</v>
      </c>
      <c r="G1601" t="str">
        <f>"AP - SCOTT &amp; WHITE MEDICAL"</f>
        <v>AP - SCOTT &amp; WHITE MEDICAL</v>
      </c>
      <c r="H1601" s="2">
        <v>291.82</v>
      </c>
      <c r="I1601" t="str">
        <f>"AP - SCOTT &amp; WHITE MEDICAL"</f>
        <v>AP - SCOTT &amp; WHITE MEDICAL</v>
      </c>
    </row>
    <row r="1602" spans="1:9" x14ac:dyDescent="0.3">
      <c r="A1602" t="str">
        <f>""</f>
        <v/>
      </c>
      <c r="F1602" t="str">
        <f>"SPE201709205022"</f>
        <v>SPE201709205022</v>
      </c>
      <c r="G1602" t="str">
        <f>"AP - STATE VISION"</f>
        <v>AP - STATE VISION</v>
      </c>
      <c r="H1602" s="2">
        <v>13.4</v>
      </c>
      <c r="I1602" t="str">
        <f>"AP - STATE VISION"</f>
        <v>AP - STATE VISION</v>
      </c>
    </row>
    <row r="1603" spans="1:9" x14ac:dyDescent="0.3">
      <c r="A1603" t="str">
        <f>"COLONI"</f>
        <v>COLONI</v>
      </c>
      <c r="B1603" t="s">
        <v>485</v>
      </c>
      <c r="C1603">
        <v>0</v>
      </c>
      <c r="D1603" s="2">
        <v>4804.28</v>
      </c>
      <c r="E1603" s="1">
        <v>43004</v>
      </c>
      <c r="F1603" t="str">
        <f>"201709265126"</f>
        <v>201709265126</v>
      </c>
      <c r="G1603" t="str">
        <f>"COLONIAL LIFE &amp; ACCIDENT INS."</f>
        <v>COLONIAL LIFE &amp; ACCIDENT INS.</v>
      </c>
      <c r="H1603" s="2">
        <v>-40.479999999999997</v>
      </c>
      <c r="I1603" t="str">
        <f>"COLONIAL LIFE &amp; ACCIDENT INS."</f>
        <v>COLONIAL LIFE &amp; ACCIDENT INS.</v>
      </c>
    </row>
    <row r="1604" spans="1:9" x14ac:dyDescent="0.3">
      <c r="A1604" t="str">
        <f>""</f>
        <v/>
      </c>
      <c r="F1604" t="str">
        <f>"CL 201709064584"</f>
        <v>CL 201709064584</v>
      </c>
      <c r="G1604" t="str">
        <f t="shared" ref="G1604:G1624" si="16">"COLONIAL"</f>
        <v>COLONIAL</v>
      </c>
      <c r="H1604" s="2">
        <v>743.39</v>
      </c>
      <c r="I1604" t="str">
        <f t="shared" ref="I1604:I1624" si="17">"COLONIAL"</f>
        <v>COLONIAL</v>
      </c>
    </row>
    <row r="1605" spans="1:9" x14ac:dyDescent="0.3">
      <c r="A1605" t="str">
        <f>""</f>
        <v/>
      </c>
      <c r="F1605" t="str">
        <f>"CL 201709064604"</f>
        <v>CL 201709064604</v>
      </c>
      <c r="G1605" t="str">
        <f t="shared" si="16"/>
        <v>COLONIAL</v>
      </c>
      <c r="H1605" s="2">
        <v>14.49</v>
      </c>
      <c r="I1605" t="str">
        <f t="shared" si="17"/>
        <v>COLONIAL</v>
      </c>
    </row>
    <row r="1606" spans="1:9" x14ac:dyDescent="0.3">
      <c r="A1606" t="str">
        <f>""</f>
        <v/>
      </c>
      <c r="F1606" t="str">
        <f>"CL 201709205019"</f>
        <v>CL 201709205019</v>
      </c>
      <c r="G1606" t="str">
        <f t="shared" si="16"/>
        <v>COLONIAL</v>
      </c>
      <c r="H1606" s="2">
        <v>743.39</v>
      </c>
      <c r="I1606" t="str">
        <f t="shared" si="17"/>
        <v>COLONIAL</v>
      </c>
    </row>
    <row r="1607" spans="1:9" x14ac:dyDescent="0.3">
      <c r="A1607" t="str">
        <f>""</f>
        <v/>
      </c>
      <c r="F1607" t="str">
        <f>"CL 201709205020"</f>
        <v>CL 201709205020</v>
      </c>
      <c r="G1607" t="str">
        <f t="shared" si="16"/>
        <v>COLONIAL</v>
      </c>
      <c r="H1607" s="2">
        <v>14.49</v>
      </c>
      <c r="I1607" t="str">
        <f t="shared" si="17"/>
        <v>COLONIAL</v>
      </c>
    </row>
    <row r="1608" spans="1:9" x14ac:dyDescent="0.3">
      <c r="A1608" t="str">
        <f>""</f>
        <v/>
      </c>
      <c r="F1608" t="str">
        <f>"CLC201709064584"</f>
        <v>CLC201709064584</v>
      </c>
      <c r="G1608" t="str">
        <f t="shared" si="16"/>
        <v>COLONIAL</v>
      </c>
      <c r="H1608" s="2">
        <v>100.6</v>
      </c>
      <c r="I1608" t="str">
        <f t="shared" si="17"/>
        <v>COLONIAL</v>
      </c>
    </row>
    <row r="1609" spans="1:9" x14ac:dyDescent="0.3">
      <c r="A1609" t="str">
        <f>""</f>
        <v/>
      </c>
      <c r="F1609" t="str">
        <f>"CLC201709205019"</f>
        <v>CLC201709205019</v>
      </c>
      <c r="G1609" t="str">
        <f t="shared" si="16"/>
        <v>COLONIAL</v>
      </c>
      <c r="H1609" s="2">
        <v>100.6</v>
      </c>
      <c r="I1609" t="str">
        <f t="shared" si="17"/>
        <v>COLONIAL</v>
      </c>
    </row>
    <row r="1610" spans="1:9" x14ac:dyDescent="0.3">
      <c r="A1610" t="str">
        <f>""</f>
        <v/>
      </c>
      <c r="F1610" t="str">
        <f>"CLI201709064584"</f>
        <v>CLI201709064584</v>
      </c>
      <c r="G1610" t="str">
        <f t="shared" si="16"/>
        <v>COLONIAL</v>
      </c>
      <c r="H1610" s="2">
        <v>491.71</v>
      </c>
      <c r="I1610" t="str">
        <f t="shared" si="17"/>
        <v>COLONIAL</v>
      </c>
    </row>
    <row r="1611" spans="1:9" x14ac:dyDescent="0.3">
      <c r="A1611" t="str">
        <f>""</f>
        <v/>
      </c>
      <c r="F1611" t="str">
        <f>"CLI201709205019"</f>
        <v>CLI201709205019</v>
      </c>
      <c r="G1611" t="str">
        <f t="shared" si="16"/>
        <v>COLONIAL</v>
      </c>
      <c r="H1611" s="2">
        <v>491.71</v>
      </c>
      <c r="I1611" t="str">
        <f t="shared" si="17"/>
        <v>COLONIAL</v>
      </c>
    </row>
    <row r="1612" spans="1:9" x14ac:dyDescent="0.3">
      <c r="A1612" t="str">
        <f>""</f>
        <v/>
      </c>
      <c r="F1612" t="str">
        <f>"CLK201709064584"</f>
        <v>CLK201709064584</v>
      </c>
      <c r="G1612" t="str">
        <f t="shared" si="16"/>
        <v>COLONIAL</v>
      </c>
      <c r="H1612" s="2">
        <v>27.09</v>
      </c>
      <c r="I1612" t="str">
        <f t="shared" si="17"/>
        <v>COLONIAL</v>
      </c>
    </row>
    <row r="1613" spans="1:9" x14ac:dyDescent="0.3">
      <c r="A1613" t="str">
        <f>""</f>
        <v/>
      </c>
      <c r="F1613" t="str">
        <f>"CLK201709205019"</f>
        <v>CLK201709205019</v>
      </c>
      <c r="G1613" t="str">
        <f t="shared" si="16"/>
        <v>COLONIAL</v>
      </c>
      <c r="H1613" s="2">
        <v>27.09</v>
      </c>
      <c r="I1613" t="str">
        <f t="shared" si="17"/>
        <v>COLONIAL</v>
      </c>
    </row>
    <row r="1614" spans="1:9" x14ac:dyDescent="0.3">
      <c r="A1614" t="str">
        <f>""</f>
        <v/>
      </c>
      <c r="F1614" t="str">
        <f>"CLS201709064584"</f>
        <v>CLS201709064584</v>
      </c>
      <c r="G1614" t="str">
        <f t="shared" si="16"/>
        <v>COLONIAL</v>
      </c>
      <c r="H1614" s="2">
        <v>375.53</v>
      </c>
      <c r="I1614" t="str">
        <f t="shared" si="17"/>
        <v>COLONIAL</v>
      </c>
    </row>
    <row r="1615" spans="1:9" x14ac:dyDescent="0.3">
      <c r="A1615" t="str">
        <f>""</f>
        <v/>
      </c>
      <c r="F1615" t="str">
        <f>"CLS201709064604"</f>
        <v>CLS201709064604</v>
      </c>
      <c r="G1615" t="str">
        <f t="shared" si="16"/>
        <v>COLONIAL</v>
      </c>
      <c r="H1615" s="2">
        <v>12.84</v>
      </c>
      <c r="I1615" t="str">
        <f t="shared" si="17"/>
        <v>COLONIAL</v>
      </c>
    </row>
    <row r="1616" spans="1:9" x14ac:dyDescent="0.3">
      <c r="A1616" t="str">
        <f>""</f>
        <v/>
      </c>
      <c r="F1616" t="str">
        <f>"CLS201709084855"</f>
        <v>CLS201709084855</v>
      </c>
      <c r="G1616" t="str">
        <f t="shared" si="16"/>
        <v>COLONIAL</v>
      </c>
      <c r="H1616" s="2">
        <v>19.260000000000002</v>
      </c>
      <c r="I1616" t="str">
        <f t="shared" si="17"/>
        <v>COLONIAL</v>
      </c>
    </row>
    <row r="1617" spans="1:9" x14ac:dyDescent="0.3">
      <c r="A1617" t="str">
        <f>""</f>
        <v/>
      </c>
      <c r="F1617" t="str">
        <f>"CLS201709205019"</f>
        <v>CLS201709205019</v>
      </c>
      <c r="G1617" t="str">
        <f t="shared" si="16"/>
        <v>COLONIAL</v>
      </c>
      <c r="H1617" s="2">
        <v>304.91000000000003</v>
      </c>
      <c r="I1617" t="str">
        <f t="shared" si="17"/>
        <v>COLONIAL</v>
      </c>
    </row>
    <row r="1618" spans="1:9" x14ac:dyDescent="0.3">
      <c r="A1618" t="str">
        <f>""</f>
        <v/>
      </c>
      <c r="F1618" t="str">
        <f>"CLS201709205020"</f>
        <v>CLS201709205020</v>
      </c>
      <c r="G1618" t="str">
        <f t="shared" si="16"/>
        <v>COLONIAL</v>
      </c>
      <c r="H1618" s="2">
        <v>12.84</v>
      </c>
      <c r="I1618" t="str">
        <f t="shared" si="17"/>
        <v>COLONIAL</v>
      </c>
    </row>
    <row r="1619" spans="1:9" x14ac:dyDescent="0.3">
      <c r="A1619" t="str">
        <f>""</f>
        <v/>
      </c>
      <c r="F1619" t="str">
        <f>"CLT201709064584"</f>
        <v>CLT201709064584</v>
      </c>
      <c r="G1619" t="str">
        <f t="shared" si="16"/>
        <v>COLONIAL</v>
      </c>
      <c r="H1619" s="2">
        <v>402.75</v>
      </c>
      <c r="I1619" t="str">
        <f t="shared" si="17"/>
        <v>COLONIAL</v>
      </c>
    </row>
    <row r="1620" spans="1:9" x14ac:dyDescent="0.3">
      <c r="A1620" t="str">
        <f>""</f>
        <v/>
      </c>
      <c r="F1620" t="str">
        <f>"CLT201709205019"</f>
        <v>CLT201709205019</v>
      </c>
      <c r="G1620" t="str">
        <f t="shared" si="16"/>
        <v>COLONIAL</v>
      </c>
      <c r="H1620" s="2">
        <v>402.75</v>
      </c>
      <c r="I1620" t="str">
        <f t="shared" si="17"/>
        <v>COLONIAL</v>
      </c>
    </row>
    <row r="1621" spans="1:9" x14ac:dyDescent="0.3">
      <c r="A1621" t="str">
        <f>""</f>
        <v/>
      </c>
      <c r="F1621" t="str">
        <f>"CLU201709064584"</f>
        <v>CLU201709064584</v>
      </c>
      <c r="G1621" t="str">
        <f t="shared" si="16"/>
        <v>COLONIAL</v>
      </c>
      <c r="H1621" s="2">
        <v>236.1</v>
      </c>
      <c r="I1621" t="str">
        <f t="shared" si="17"/>
        <v>COLONIAL</v>
      </c>
    </row>
    <row r="1622" spans="1:9" x14ac:dyDescent="0.3">
      <c r="A1622" t="str">
        <f>""</f>
        <v/>
      </c>
      <c r="F1622" t="str">
        <f>"CLU201709205019"</f>
        <v>CLU201709205019</v>
      </c>
      <c r="G1622" t="str">
        <f t="shared" si="16"/>
        <v>COLONIAL</v>
      </c>
      <c r="H1622" s="2">
        <v>236.1</v>
      </c>
      <c r="I1622" t="str">
        <f t="shared" si="17"/>
        <v>COLONIAL</v>
      </c>
    </row>
    <row r="1623" spans="1:9" x14ac:dyDescent="0.3">
      <c r="A1623" t="str">
        <f>""</f>
        <v/>
      </c>
      <c r="F1623" t="str">
        <f>"CLW201709064584"</f>
        <v>CLW201709064584</v>
      </c>
      <c r="G1623" t="str">
        <f t="shared" si="16"/>
        <v>COLONIAL</v>
      </c>
      <c r="H1623" s="2">
        <v>43.56</v>
      </c>
      <c r="I1623" t="str">
        <f t="shared" si="17"/>
        <v>COLONIAL</v>
      </c>
    </row>
    <row r="1624" spans="1:9" x14ac:dyDescent="0.3">
      <c r="A1624" t="str">
        <f>""</f>
        <v/>
      </c>
      <c r="F1624" t="str">
        <f>"CLW201709205019"</f>
        <v>CLW201709205019</v>
      </c>
      <c r="G1624" t="str">
        <f t="shared" si="16"/>
        <v>COLONIAL</v>
      </c>
      <c r="H1624" s="2">
        <v>43.56</v>
      </c>
      <c r="I1624" t="str">
        <f t="shared" si="17"/>
        <v>COLONIAL</v>
      </c>
    </row>
    <row r="1625" spans="1:9" x14ac:dyDescent="0.3">
      <c r="A1625" t="str">
        <f>"T14390"</f>
        <v>T14390</v>
      </c>
      <c r="B1625" t="s">
        <v>486</v>
      </c>
      <c r="C1625">
        <v>0</v>
      </c>
      <c r="D1625" s="2">
        <v>7130.69</v>
      </c>
      <c r="E1625" s="1">
        <v>42986</v>
      </c>
      <c r="F1625" t="str">
        <f>"CPI201709064584"</f>
        <v>CPI201709064584</v>
      </c>
      <c r="G1625" t="str">
        <f>"DEFERRED COMP 457B PAYABLE"</f>
        <v>DEFERRED COMP 457B PAYABLE</v>
      </c>
      <c r="H1625" s="2">
        <v>7023.19</v>
      </c>
      <c r="I1625" t="str">
        <f>"DEFERRED COMP 457B PAYABLE"</f>
        <v>DEFERRED COMP 457B PAYABLE</v>
      </c>
    </row>
    <row r="1626" spans="1:9" x14ac:dyDescent="0.3">
      <c r="A1626" t="str">
        <f>""</f>
        <v/>
      </c>
      <c r="F1626" t="str">
        <f>"CPI201709064604"</f>
        <v>CPI201709064604</v>
      </c>
      <c r="G1626" t="str">
        <f>"DEFERRED COMP 457B PAYABLE"</f>
        <v>DEFERRED COMP 457B PAYABLE</v>
      </c>
      <c r="H1626" s="2">
        <v>107.5</v>
      </c>
      <c r="I1626" t="str">
        <f>"DEFERRED COMP 457B PAYABLE"</f>
        <v>DEFERRED COMP 457B PAYABLE</v>
      </c>
    </row>
    <row r="1627" spans="1:9" x14ac:dyDescent="0.3">
      <c r="A1627" t="str">
        <f>"T14390"</f>
        <v>T14390</v>
      </c>
      <c r="B1627" t="s">
        <v>486</v>
      </c>
      <c r="C1627">
        <v>0</v>
      </c>
      <c r="D1627" s="2">
        <v>7130.69</v>
      </c>
      <c r="E1627" s="1">
        <v>43000</v>
      </c>
      <c r="F1627" t="str">
        <f>"CPI201709205019"</f>
        <v>CPI201709205019</v>
      </c>
      <c r="G1627" t="str">
        <f>"DEFERRED COMP 457B PAYABLE"</f>
        <v>DEFERRED COMP 457B PAYABLE</v>
      </c>
      <c r="H1627" s="2">
        <v>7023.19</v>
      </c>
      <c r="I1627" t="str">
        <f>"DEFERRED COMP 457B PAYABLE"</f>
        <v>DEFERRED COMP 457B PAYABLE</v>
      </c>
    </row>
    <row r="1628" spans="1:9" x14ac:dyDescent="0.3">
      <c r="A1628" t="str">
        <f>""</f>
        <v/>
      </c>
      <c r="F1628" t="str">
        <f>"CPI201709205020"</f>
        <v>CPI201709205020</v>
      </c>
      <c r="G1628" t="str">
        <f>"DEFERRED COMP 457B PAYABLE"</f>
        <v>DEFERRED COMP 457B PAYABLE</v>
      </c>
      <c r="H1628" s="2">
        <v>107.5</v>
      </c>
      <c r="I1628" t="str">
        <f>"DEFERRED COMP 457B PAYABLE"</f>
        <v>DEFERRED COMP 457B PAYABLE</v>
      </c>
    </row>
    <row r="1629" spans="1:9" x14ac:dyDescent="0.3">
      <c r="A1629" t="str">
        <f>"T10761"</f>
        <v>T10761</v>
      </c>
      <c r="B1629" t="s">
        <v>487</v>
      </c>
      <c r="C1629">
        <v>45839</v>
      </c>
      <c r="D1629" s="2">
        <v>1345.62</v>
      </c>
      <c r="E1629" s="1">
        <v>42986</v>
      </c>
      <c r="F1629" t="str">
        <f>"B13201709064584"</f>
        <v>B13201709064584</v>
      </c>
      <c r="G1629" t="str">
        <f>"Rosa Warren 15-10357-TMD"</f>
        <v>Rosa Warren 15-10357-TMD</v>
      </c>
      <c r="H1629" s="2">
        <v>853.85</v>
      </c>
      <c r="I1629" t="str">
        <f>"Rosa Warren 15-10357-TMD"</f>
        <v>Rosa Warren 15-10357-TMD</v>
      </c>
    </row>
    <row r="1630" spans="1:9" x14ac:dyDescent="0.3">
      <c r="A1630" t="str">
        <f>""</f>
        <v/>
      </c>
      <c r="F1630" t="str">
        <f>"BJL201709064584"</f>
        <v>BJL201709064584</v>
      </c>
      <c r="G1630" t="str">
        <f>"Julian Luna 14-10230-TMD"</f>
        <v>Julian Luna 14-10230-TMD</v>
      </c>
      <c r="H1630" s="2">
        <v>491.77</v>
      </c>
      <c r="I1630" t="str">
        <f>"Julian Luna 14-10230-TMD"</f>
        <v>Julian Luna 14-10230-TMD</v>
      </c>
    </row>
    <row r="1631" spans="1:9" x14ac:dyDescent="0.3">
      <c r="A1631" t="str">
        <f>"T10761"</f>
        <v>T10761</v>
      </c>
      <c r="B1631" t="s">
        <v>487</v>
      </c>
      <c r="C1631">
        <v>45868</v>
      </c>
      <c r="D1631" s="2">
        <v>1345.62</v>
      </c>
      <c r="E1631" s="1">
        <v>43000</v>
      </c>
      <c r="F1631" t="str">
        <f>"B13201709205019"</f>
        <v>B13201709205019</v>
      </c>
      <c r="G1631" t="str">
        <f>"Rosa Warren 15-10357-TMD"</f>
        <v>Rosa Warren 15-10357-TMD</v>
      </c>
      <c r="H1631" s="2">
        <v>853.85</v>
      </c>
      <c r="I1631" t="str">
        <f>"Rosa Warren 15-10357-TMD"</f>
        <v>Rosa Warren 15-10357-TMD</v>
      </c>
    </row>
    <row r="1632" spans="1:9" x14ac:dyDescent="0.3">
      <c r="A1632" t="str">
        <f>""</f>
        <v/>
      </c>
      <c r="F1632" t="str">
        <f>"BJL201709205019"</f>
        <v>BJL201709205019</v>
      </c>
      <c r="G1632" t="str">
        <f>"Julian Luna 14-10230-TMD"</f>
        <v>Julian Luna 14-10230-TMD</v>
      </c>
      <c r="H1632" s="2">
        <v>491.77</v>
      </c>
      <c r="I1632" t="str">
        <f>"Julian Luna 14-10230-TMD"</f>
        <v>Julian Luna 14-10230-TMD</v>
      </c>
    </row>
    <row r="1633" spans="1:9" x14ac:dyDescent="0.3">
      <c r="A1633" t="str">
        <f>"GUARD"</f>
        <v>GUARD</v>
      </c>
      <c r="B1633" t="s">
        <v>488</v>
      </c>
      <c r="C1633">
        <v>0</v>
      </c>
      <c r="D1633" s="2">
        <v>36439.160000000003</v>
      </c>
      <c r="E1633" s="1">
        <v>43004</v>
      </c>
      <c r="F1633" t="str">
        <f>"201709265119"</f>
        <v>201709265119</v>
      </c>
      <c r="G1633" t="str">
        <f>"GUARDIAN Rounding"</f>
        <v>GUARDIAN Rounding</v>
      </c>
      <c r="H1633" s="2">
        <v>-6.61</v>
      </c>
      <c r="I1633" t="str">
        <f>"GUARDIAN Rounding"</f>
        <v>GUARDIAN Rounding</v>
      </c>
    </row>
    <row r="1634" spans="1:9" x14ac:dyDescent="0.3">
      <c r="A1634" t="str">
        <f>""</f>
        <v/>
      </c>
      <c r="F1634" t="str">
        <f>"201709265121"</f>
        <v>201709265121</v>
      </c>
      <c r="G1634" t="str">
        <f>"GUARDIAN Life Ins Rounding"</f>
        <v>GUARDIAN Life Ins Rounding</v>
      </c>
      <c r="H1634" s="2">
        <v>-0.32</v>
      </c>
      <c r="I1634" t="str">
        <f>"GUARDIAN Life Ins Rounding"</f>
        <v>GUARDIAN Life Ins Rounding</v>
      </c>
    </row>
    <row r="1635" spans="1:9" x14ac:dyDescent="0.3">
      <c r="A1635" t="str">
        <f>""</f>
        <v/>
      </c>
      <c r="F1635" t="str">
        <f>"201709265122"</f>
        <v>201709265122</v>
      </c>
      <c r="G1635" t="str">
        <f>"GUARDIAN LTD rounding"</f>
        <v>GUARDIAN LTD rounding</v>
      </c>
      <c r="H1635" s="2">
        <v>-7.0000000000000007E-2</v>
      </c>
      <c r="I1635" t="str">
        <f>"GUARDIAN LTD rounding"</f>
        <v>GUARDIAN LTD rounding</v>
      </c>
    </row>
    <row r="1636" spans="1:9" x14ac:dyDescent="0.3">
      <c r="A1636" t="str">
        <f>""</f>
        <v/>
      </c>
      <c r="F1636" t="str">
        <f>"201709265118"</f>
        <v>201709265118</v>
      </c>
      <c r="G1636" t="str">
        <f>"GUARDIAN Retiree Dental"</f>
        <v>GUARDIAN Retiree Dental</v>
      </c>
      <c r="H1636" s="2">
        <v>2888.31</v>
      </c>
      <c r="I1636" t="str">
        <f>"GUARDIAN Retiree Dental"</f>
        <v>GUARDIAN Retiree Dental</v>
      </c>
    </row>
    <row r="1637" spans="1:9" x14ac:dyDescent="0.3">
      <c r="A1637" t="str">
        <f>""</f>
        <v/>
      </c>
      <c r="F1637" t="str">
        <f>"201709265120"</f>
        <v>201709265120</v>
      </c>
      <c r="G1637" t="str">
        <f>"GUARDIAN Retiree Life"</f>
        <v>GUARDIAN Retiree Life</v>
      </c>
      <c r="H1637" s="2">
        <v>133.15</v>
      </c>
      <c r="I1637" t="str">
        <f>"GUARDIAN Retiree Life"</f>
        <v>GUARDIAN Retiree Life</v>
      </c>
    </row>
    <row r="1638" spans="1:9" x14ac:dyDescent="0.3">
      <c r="A1638" t="str">
        <f>""</f>
        <v/>
      </c>
      <c r="F1638" t="str">
        <f>"ADC201709064584"</f>
        <v>ADC201709064584</v>
      </c>
      <c r="G1638" t="str">
        <f t="shared" ref="G1638:G1650" si="18">"GUARDIAN"</f>
        <v>GUARDIAN</v>
      </c>
      <c r="H1638" s="2">
        <v>5.23</v>
      </c>
      <c r="I1638" t="str">
        <f t="shared" ref="I1638:I1701" si="19">"GUARDIAN"</f>
        <v>GUARDIAN</v>
      </c>
    </row>
    <row r="1639" spans="1:9" x14ac:dyDescent="0.3">
      <c r="A1639" t="str">
        <f>""</f>
        <v/>
      </c>
      <c r="F1639" t="str">
        <f>"ADC201709064604"</f>
        <v>ADC201709064604</v>
      </c>
      <c r="G1639" t="str">
        <f t="shared" si="18"/>
        <v>GUARDIAN</v>
      </c>
      <c r="H1639" s="2">
        <v>0.16</v>
      </c>
      <c r="I1639" t="str">
        <f t="shared" si="19"/>
        <v>GUARDIAN</v>
      </c>
    </row>
    <row r="1640" spans="1:9" x14ac:dyDescent="0.3">
      <c r="A1640" t="str">
        <f>""</f>
        <v/>
      </c>
      <c r="F1640" t="str">
        <f>"ADC201709205019"</f>
        <v>ADC201709205019</v>
      </c>
      <c r="G1640" t="str">
        <f t="shared" si="18"/>
        <v>GUARDIAN</v>
      </c>
      <c r="H1640" s="2">
        <v>5.23</v>
      </c>
      <c r="I1640" t="str">
        <f t="shared" si="19"/>
        <v>GUARDIAN</v>
      </c>
    </row>
    <row r="1641" spans="1:9" x14ac:dyDescent="0.3">
      <c r="A1641" t="str">
        <f>""</f>
        <v/>
      </c>
      <c r="F1641" t="str">
        <f>"ADC201709205020"</f>
        <v>ADC201709205020</v>
      </c>
      <c r="G1641" t="str">
        <f t="shared" si="18"/>
        <v>GUARDIAN</v>
      </c>
      <c r="H1641" s="2">
        <v>0.16</v>
      </c>
      <c r="I1641" t="str">
        <f t="shared" si="19"/>
        <v>GUARDIAN</v>
      </c>
    </row>
    <row r="1642" spans="1:9" x14ac:dyDescent="0.3">
      <c r="A1642" t="str">
        <f>""</f>
        <v/>
      </c>
      <c r="F1642" t="str">
        <f>"ADE201709064584"</f>
        <v>ADE201709064584</v>
      </c>
      <c r="G1642" t="str">
        <f t="shared" si="18"/>
        <v>GUARDIAN</v>
      </c>
      <c r="H1642" s="2">
        <v>202.59</v>
      </c>
      <c r="I1642" t="str">
        <f t="shared" si="19"/>
        <v>GUARDIAN</v>
      </c>
    </row>
    <row r="1643" spans="1:9" x14ac:dyDescent="0.3">
      <c r="A1643" t="str">
        <f>""</f>
        <v/>
      </c>
      <c r="F1643" t="str">
        <f>"ADE201709064604"</f>
        <v>ADE201709064604</v>
      </c>
      <c r="G1643" t="str">
        <f t="shared" si="18"/>
        <v>GUARDIAN</v>
      </c>
      <c r="H1643" s="2">
        <v>6.6</v>
      </c>
      <c r="I1643" t="str">
        <f t="shared" si="19"/>
        <v>GUARDIAN</v>
      </c>
    </row>
    <row r="1644" spans="1:9" x14ac:dyDescent="0.3">
      <c r="A1644" t="str">
        <f>""</f>
        <v/>
      </c>
      <c r="F1644" t="str">
        <f>"ADE201709205019"</f>
        <v>ADE201709205019</v>
      </c>
      <c r="G1644" t="str">
        <f t="shared" si="18"/>
        <v>GUARDIAN</v>
      </c>
      <c r="H1644" s="2">
        <v>196.59</v>
      </c>
      <c r="I1644" t="str">
        <f t="shared" si="19"/>
        <v>GUARDIAN</v>
      </c>
    </row>
    <row r="1645" spans="1:9" x14ac:dyDescent="0.3">
      <c r="A1645" t="str">
        <f>""</f>
        <v/>
      </c>
      <c r="F1645" t="str">
        <f>"ADE201709205020"</f>
        <v>ADE201709205020</v>
      </c>
      <c r="G1645" t="str">
        <f t="shared" si="18"/>
        <v>GUARDIAN</v>
      </c>
      <c r="H1645" s="2">
        <v>6.6</v>
      </c>
      <c r="I1645" t="str">
        <f t="shared" si="19"/>
        <v>GUARDIAN</v>
      </c>
    </row>
    <row r="1646" spans="1:9" x14ac:dyDescent="0.3">
      <c r="A1646" t="str">
        <f>""</f>
        <v/>
      </c>
      <c r="F1646" t="str">
        <f>"ADS201709064584"</f>
        <v>ADS201709064584</v>
      </c>
      <c r="G1646" t="str">
        <f t="shared" si="18"/>
        <v>GUARDIAN</v>
      </c>
      <c r="H1646" s="2">
        <v>34.090000000000003</v>
      </c>
      <c r="I1646" t="str">
        <f t="shared" si="19"/>
        <v>GUARDIAN</v>
      </c>
    </row>
    <row r="1647" spans="1:9" x14ac:dyDescent="0.3">
      <c r="A1647" t="str">
        <f>""</f>
        <v/>
      </c>
      <c r="F1647" t="str">
        <f>"ADS201709064604"</f>
        <v>ADS201709064604</v>
      </c>
      <c r="G1647" t="str">
        <f t="shared" si="18"/>
        <v>GUARDIAN</v>
      </c>
      <c r="H1647" s="2">
        <v>0.98</v>
      </c>
      <c r="I1647" t="str">
        <f t="shared" si="19"/>
        <v>GUARDIAN</v>
      </c>
    </row>
    <row r="1648" spans="1:9" x14ac:dyDescent="0.3">
      <c r="A1648" t="str">
        <f>""</f>
        <v/>
      </c>
      <c r="F1648" t="str">
        <f>"ADS201709205019"</f>
        <v>ADS201709205019</v>
      </c>
      <c r="G1648" t="str">
        <f t="shared" si="18"/>
        <v>GUARDIAN</v>
      </c>
      <c r="H1648" s="2">
        <v>33.49</v>
      </c>
      <c r="I1648" t="str">
        <f t="shared" si="19"/>
        <v>GUARDIAN</v>
      </c>
    </row>
    <row r="1649" spans="1:9" x14ac:dyDescent="0.3">
      <c r="A1649" t="str">
        <f>""</f>
        <v/>
      </c>
      <c r="F1649" t="str">
        <f>"ADS201709205020"</f>
        <v>ADS201709205020</v>
      </c>
      <c r="G1649" t="str">
        <f t="shared" si="18"/>
        <v>GUARDIAN</v>
      </c>
      <c r="H1649" s="2">
        <v>0.98</v>
      </c>
      <c r="I1649" t="str">
        <f t="shared" si="19"/>
        <v>GUARDIAN</v>
      </c>
    </row>
    <row r="1650" spans="1:9" x14ac:dyDescent="0.3">
      <c r="A1650" t="str">
        <f>""</f>
        <v/>
      </c>
      <c r="F1650" t="str">
        <f>"GDC201709064584"</f>
        <v>GDC201709064584</v>
      </c>
      <c r="G1650" t="str">
        <f t="shared" si="18"/>
        <v>GUARDIAN</v>
      </c>
      <c r="H1650" s="2">
        <v>2416.1</v>
      </c>
      <c r="I1650" t="str">
        <f t="shared" si="19"/>
        <v>GUARDIAN</v>
      </c>
    </row>
    <row r="1651" spans="1:9" x14ac:dyDescent="0.3">
      <c r="A1651" t="str">
        <f>""</f>
        <v/>
      </c>
      <c r="F1651" t="str">
        <f>""</f>
        <v/>
      </c>
      <c r="G1651" t="str">
        <f>""</f>
        <v/>
      </c>
      <c r="I1651" t="str">
        <f t="shared" si="19"/>
        <v>GUARDIAN</v>
      </c>
    </row>
    <row r="1652" spans="1:9" x14ac:dyDescent="0.3">
      <c r="A1652" t="str">
        <f>""</f>
        <v/>
      </c>
      <c r="F1652" t="str">
        <f>""</f>
        <v/>
      </c>
      <c r="G1652" t="str">
        <f>""</f>
        <v/>
      </c>
      <c r="I1652" t="str">
        <f t="shared" si="19"/>
        <v>GUARDIAN</v>
      </c>
    </row>
    <row r="1653" spans="1:9" x14ac:dyDescent="0.3">
      <c r="A1653" t="str">
        <f>""</f>
        <v/>
      </c>
      <c r="F1653" t="str">
        <f>""</f>
        <v/>
      </c>
      <c r="G1653" t="str">
        <f>""</f>
        <v/>
      </c>
      <c r="I1653" t="str">
        <f t="shared" si="19"/>
        <v>GUARDIAN</v>
      </c>
    </row>
    <row r="1654" spans="1:9" x14ac:dyDescent="0.3">
      <c r="A1654" t="str">
        <f>""</f>
        <v/>
      </c>
      <c r="F1654" t="str">
        <f>""</f>
        <v/>
      </c>
      <c r="G1654" t="str">
        <f>""</f>
        <v/>
      </c>
      <c r="I1654" t="str">
        <f t="shared" si="19"/>
        <v>GUARDIAN</v>
      </c>
    </row>
    <row r="1655" spans="1:9" x14ac:dyDescent="0.3">
      <c r="A1655" t="str">
        <f>""</f>
        <v/>
      </c>
      <c r="F1655" t="str">
        <f>""</f>
        <v/>
      </c>
      <c r="G1655" t="str">
        <f>""</f>
        <v/>
      </c>
      <c r="I1655" t="str">
        <f t="shared" si="19"/>
        <v>GUARDIAN</v>
      </c>
    </row>
    <row r="1656" spans="1:9" x14ac:dyDescent="0.3">
      <c r="A1656" t="str">
        <f>""</f>
        <v/>
      </c>
      <c r="F1656" t="str">
        <f>""</f>
        <v/>
      </c>
      <c r="G1656" t="str">
        <f>""</f>
        <v/>
      </c>
      <c r="I1656" t="str">
        <f t="shared" si="19"/>
        <v>GUARDIAN</v>
      </c>
    </row>
    <row r="1657" spans="1:9" x14ac:dyDescent="0.3">
      <c r="A1657" t="str">
        <f>""</f>
        <v/>
      </c>
      <c r="F1657" t="str">
        <f>""</f>
        <v/>
      </c>
      <c r="G1657" t="str">
        <f>""</f>
        <v/>
      </c>
      <c r="I1657" t="str">
        <f t="shared" si="19"/>
        <v>GUARDIAN</v>
      </c>
    </row>
    <row r="1658" spans="1:9" x14ac:dyDescent="0.3">
      <c r="A1658" t="str">
        <f>""</f>
        <v/>
      </c>
      <c r="F1658" t="str">
        <f>""</f>
        <v/>
      </c>
      <c r="G1658" t="str">
        <f>""</f>
        <v/>
      </c>
      <c r="I1658" t="str">
        <f t="shared" si="19"/>
        <v>GUARDIAN</v>
      </c>
    </row>
    <row r="1659" spans="1:9" x14ac:dyDescent="0.3">
      <c r="A1659" t="str">
        <f>""</f>
        <v/>
      </c>
      <c r="F1659" t="str">
        <f>""</f>
        <v/>
      </c>
      <c r="G1659" t="str">
        <f>""</f>
        <v/>
      </c>
      <c r="I1659" t="str">
        <f t="shared" si="19"/>
        <v>GUARDIAN</v>
      </c>
    </row>
    <row r="1660" spans="1:9" x14ac:dyDescent="0.3">
      <c r="A1660" t="str">
        <f>""</f>
        <v/>
      </c>
      <c r="F1660" t="str">
        <f>""</f>
        <v/>
      </c>
      <c r="G1660" t="str">
        <f>""</f>
        <v/>
      </c>
      <c r="I1660" t="str">
        <f t="shared" si="19"/>
        <v>GUARDIAN</v>
      </c>
    </row>
    <row r="1661" spans="1:9" x14ac:dyDescent="0.3">
      <c r="A1661" t="str">
        <f>""</f>
        <v/>
      </c>
      <c r="F1661" t="str">
        <f>""</f>
        <v/>
      </c>
      <c r="G1661" t="str">
        <f>""</f>
        <v/>
      </c>
      <c r="I1661" t="str">
        <f t="shared" si="19"/>
        <v>GUARDIAN</v>
      </c>
    </row>
    <row r="1662" spans="1:9" x14ac:dyDescent="0.3">
      <c r="A1662" t="str">
        <f>""</f>
        <v/>
      </c>
      <c r="F1662" t="str">
        <f>""</f>
        <v/>
      </c>
      <c r="G1662" t="str">
        <f>""</f>
        <v/>
      </c>
      <c r="I1662" t="str">
        <f t="shared" si="19"/>
        <v>GUARDIAN</v>
      </c>
    </row>
    <row r="1663" spans="1:9" x14ac:dyDescent="0.3">
      <c r="A1663" t="str">
        <f>""</f>
        <v/>
      </c>
      <c r="F1663" t="str">
        <f>""</f>
        <v/>
      </c>
      <c r="G1663" t="str">
        <f>""</f>
        <v/>
      </c>
      <c r="I1663" t="str">
        <f t="shared" si="19"/>
        <v>GUARDIAN</v>
      </c>
    </row>
    <row r="1664" spans="1:9" x14ac:dyDescent="0.3">
      <c r="A1664" t="str">
        <f>""</f>
        <v/>
      </c>
      <c r="F1664" t="str">
        <f>""</f>
        <v/>
      </c>
      <c r="G1664" t="str">
        <f>""</f>
        <v/>
      </c>
      <c r="I1664" t="str">
        <f t="shared" si="19"/>
        <v>GUARDIAN</v>
      </c>
    </row>
    <row r="1665" spans="1:9" x14ac:dyDescent="0.3">
      <c r="A1665" t="str">
        <f>""</f>
        <v/>
      </c>
      <c r="F1665" t="str">
        <f>""</f>
        <v/>
      </c>
      <c r="G1665" t="str">
        <f>""</f>
        <v/>
      </c>
      <c r="I1665" t="str">
        <f t="shared" si="19"/>
        <v>GUARDIAN</v>
      </c>
    </row>
    <row r="1666" spans="1:9" x14ac:dyDescent="0.3">
      <c r="A1666" t="str">
        <f>""</f>
        <v/>
      </c>
      <c r="F1666" t="str">
        <f>""</f>
        <v/>
      </c>
      <c r="G1666" t="str">
        <f>""</f>
        <v/>
      </c>
      <c r="I1666" t="str">
        <f t="shared" si="19"/>
        <v>GUARDIAN</v>
      </c>
    </row>
    <row r="1667" spans="1:9" x14ac:dyDescent="0.3">
      <c r="A1667" t="str">
        <f>""</f>
        <v/>
      </c>
      <c r="F1667" t="str">
        <f>""</f>
        <v/>
      </c>
      <c r="G1667" t="str">
        <f>""</f>
        <v/>
      </c>
      <c r="I1667" t="str">
        <f t="shared" si="19"/>
        <v>GUARDIAN</v>
      </c>
    </row>
    <row r="1668" spans="1:9" x14ac:dyDescent="0.3">
      <c r="A1668" t="str">
        <f>""</f>
        <v/>
      </c>
      <c r="F1668" t="str">
        <f>""</f>
        <v/>
      </c>
      <c r="G1668" t="str">
        <f>""</f>
        <v/>
      </c>
      <c r="I1668" t="str">
        <f t="shared" si="19"/>
        <v>GUARDIAN</v>
      </c>
    </row>
    <row r="1669" spans="1:9" x14ac:dyDescent="0.3">
      <c r="A1669" t="str">
        <f>""</f>
        <v/>
      </c>
      <c r="F1669" t="str">
        <f>""</f>
        <v/>
      </c>
      <c r="G1669" t="str">
        <f>""</f>
        <v/>
      </c>
      <c r="I1669" t="str">
        <f t="shared" si="19"/>
        <v>GUARDIAN</v>
      </c>
    </row>
    <row r="1670" spans="1:9" x14ac:dyDescent="0.3">
      <c r="A1670" t="str">
        <f>""</f>
        <v/>
      </c>
      <c r="F1670" t="str">
        <f>""</f>
        <v/>
      </c>
      <c r="G1670" t="str">
        <f>""</f>
        <v/>
      </c>
      <c r="I1670" t="str">
        <f t="shared" si="19"/>
        <v>GUARDIAN</v>
      </c>
    </row>
    <row r="1671" spans="1:9" x14ac:dyDescent="0.3">
      <c r="A1671" t="str">
        <f>""</f>
        <v/>
      </c>
      <c r="F1671" t="str">
        <f>""</f>
        <v/>
      </c>
      <c r="G1671" t="str">
        <f>""</f>
        <v/>
      </c>
      <c r="I1671" t="str">
        <f t="shared" si="19"/>
        <v>GUARDIAN</v>
      </c>
    </row>
    <row r="1672" spans="1:9" x14ac:dyDescent="0.3">
      <c r="A1672" t="str">
        <f>""</f>
        <v/>
      </c>
      <c r="F1672" t="str">
        <f>""</f>
        <v/>
      </c>
      <c r="G1672" t="str">
        <f>""</f>
        <v/>
      </c>
      <c r="I1672" t="str">
        <f t="shared" si="19"/>
        <v>GUARDIAN</v>
      </c>
    </row>
    <row r="1673" spans="1:9" x14ac:dyDescent="0.3">
      <c r="A1673" t="str">
        <f>""</f>
        <v/>
      </c>
      <c r="F1673" t="str">
        <f>""</f>
        <v/>
      </c>
      <c r="G1673" t="str">
        <f>""</f>
        <v/>
      </c>
      <c r="I1673" t="str">
        <f t="shared" si="19"/>
        <v>GUARDIAN</v>
      </c>
    </row>
    <row r="1674" spans="1:9" x14ac:dyDescent="0.3">
      <c r="A1674" t="str">
        <f>""</f>
        <v/>
      </c>
      <c r="F1674" t="str">
        <f>""</f>
        <v/>
      </c>
      <c r="G1674" t="str">
        <f>""</f>
        <v/>
      </c>
      <c r="I1674" t="str">
        <f t="shared" si="19"/>
        <v>GUARDIAN</v>
      </c>
    </row>
    <row r="1675" spans="1:9" x14ac:dyDescent="0.3">
      <c r="A1675" t="str">
        <f>""</f>
        <v/>
      </c>
      <c r="F1675" t="str">
        <f>""</f>
        <v/>
      </c>
      <c r="G1675" t="str">
        <f>""</f>
        <v/>
      </c>
      <c r="I1675" t="str">
        <f t="shared" si="19"/>
        <v>GUARDIAN</v>
      </c>
    </row>
    <row r="1676" spans="1:9" x14ac:dyDescent="0.3">
      <c r="A1676" t="str">
        <f>""</f>
        <v/>
      </c>
      <c r="F1676" t="str">
        <f>""</f>
        <v/>
      </c>
      <c r="G1676" t="str">
        <f>""</f>
        <v/>
      </c>
      <c r="I1676" t="str">
        <f t="shared" si="19"/>
        <v>GUARDIAN</v>
      </c>
    </row>
    <row r="1677" spans="1:9" x14ac:dyDescent="0.3">
      <c r="A1677" t="str">
        <f>""</f>
        <v/>
      </c>
      <c r="F1677" t="str">
        <f>""</f>
        <v/>
      </c>
      <c r="G1677" t="str">
        <f>""</f>
        <v/>
      </c>
      <c r="I1677" t="str">
        <f t="shared" si="19"/>
        <v>GUARDIAN</v>
      </c>
    </row>
    <row r="1678" spans="1:9" x14ac:dyDescent="0.3">
      <c r="A1678" t="str">
        <f>""</f>
        <v/>
      </c>
      <c r="F1678" t="str">
        <f>""</f>
        <v/>
      </c>
      <c r="G1678" t="str">
        <f>""</f>
        <v/>
      </c>
      <c r="I1678" t="str">
        <f t="shared" si="19"/>
        <v>GUARDIAN</v>
      </c>
    </row>
    <row r="1679" spans="1:9" x14ac:dyDescent="0.3">
      <c r="A1679" t="str">
        <f>""</f>
        <v/>
      </c>
      <c r="F1679" t="str">
        <f>"GDC201709064604"</f>
        <v>GDC201709064604</v>
      </c>
      <c r="G1679" t="str">
        <f>"GUARDIAN"</f>
        <v>GUARDIAN</v>
      </c>
      <c r="H1679" s="2">
        <v>130.6</v>
      </c>
      <c r="I1679" t="str">
        <f t="shared" si="19"/>
        <v>GUARDIAN</v>
      </c>
    </row>
    <row r="1680" spans="1:9" x14ac:dyDescent="0.3">
      <c r="A1680" t="str">
        <f>""</f>
        <v/>
      </c>
      <c r="F1680" t="str">
        <f>""</f>
        <v/>
      </c>
      <c r="G1680" t="str">
        <f>""</f>
        <v/>
      </c>
      <c r="I1680" t="str">
        <f t="shared" si="19"/>
        <v>GUARDIAN</v>
      </c>
    </row>
    <row r="1681" spans="1:9" x14ac:dyDescent="0.3">
      <c r="A1681" t="str">
        <f>""</f>
        <v/>
      </c>
      <c r="F1681" t="str">
        <f>"GDC201709205019"</f>
        <v>GDC201709205019</v>
      </c>
      <c r="G1681" t="str">
        <f>"GUARDIAN"</f>
        <v>GUARDIAN</v>
      </c>
      <c r="H1681" s="2">
        <v>2416.1</v>
      </c>
      <c r="I1681" t="str">
        <f t="shared" si="19"/>
        <v>GUARDIAN</v>
      </c>
    </row>
    <row r="1682" spans="1:9" x14ac:dyDescent="0.3">
      <c r="A1682" t="str">
        <f>""</f>
        <v/>
      </c>
      <c r="F1682" t="str">
        <f>""</f>
        <v/>
      </c>
      <c r="G1682" t="str">
        <f>""</f>
        <v/>
      </c>
      <c r="I1682" t="str">
        <f t="shared" si="19"/>
        <v>GUARDIAN</v>
      </c>
    </row>
    <row r="1683" spans="1:9" x14ac:dyDescent="0.3">
      <c r="A1683" t="str">
        <f>""</f>
        <v/>
      </c>
      <c r="F1683" t="str">
        <f>""</f>
        <v/>
      </c>
      <c r="G1683" t="str">
        <f>""</f>
        <v/>
      </c>
      <c r="I1683" t="str">
        <f t="shared" si="19"/>
        <v>GUARDIAN</v>
      </c>
    </row>
    <row r="1684" spans="1:9" x14ac:dyDescent="0.3">
      <c r="A1684" t="str">
        <f>""</f>
        <v/>
      </c>
      <c r="F1684" t="str">
        <f>""</f>
        <v/>
      </c>
      <c r="G1684" t="str">
        <f>""</f>
        <v/>
      </c>
      <c r="I1684" t="str">
        <f t="shared" si="19"/>
        <v>GUARDIAN</v>
      </c>
    </row>
    <row r="1685" spans="1:9" x14ac:dyDescent="0.3">
      <c r="A1685" t="str">
        <f>""</f>
        <v/>
      </c>
      <c r="F1685" t="str">
        <f>""</f>
        <v/>
      </c>
      <c r="G1685" t="str">
        <f>""</f>
        <v/>
      </c>
      <c r="I1685" t="str">
        <f t="shared" si="19"/>
        <v>GUARDIAN</v>
      </c>
    </row>
    <row r="1686" spans="1:9" x14ac:dyDescent="0.3">
      <c r="A1686" t="str">
        <f>""</f>
        <v/>
      </c>
      <c r="F1686" t="str">
        <f>""</f>
        <v/>
      </c>
      <c r="G1686" t="str">
        <f>""</f>
        <v/>
      </c>
      <c r="I1686" t="str">
        <f t="shared" si="19"/>
        <v>GUARDIAN</v>
      </c>
    </row>
    <row r="1687" spans="1:9" x14ac:dyDescent="0.3">
      <c r="A1687" t="str">
        <f>""</f>
        <v/>
      </c>
      <c r="F1687" t="str">
        <f>""</f>
        <v/>
      </c>
      <c r="G1687" t="str">
        <f>""</f>
        <v/>
      </c>
      <c r="I1687" t="str">
        <f t="shared" si="19"/>
        <v>GUARDIAN</v>
      </c>
    </row>
    <row r="1688" spans="1:9" x14ac:dyDescent="0.3">
      <c r="A1688" t="str">
        <f>""</f>
        <v/>
      </c>
      <c r="F1688" t="str">
        <f>""</f>
        <v/>
      </c>
      <c r="G1688" t="str">
        <f>""</f>
        <v/>
      </c>
      <c r="I1688" t="str">
        <f t="shared" si="19"/>
        <v>GUARDIAN</v>
      </c>
    </row>
    <row r="1689" spans="1:9" x14ac:dyDescent="0.3">
      <c r="A1689" t="str">
        <f>""</f>
        <v/>
      </c>
      <c r="F1689" t="str">
        <f>""</f>
        <v/>
      </c>
      <c r="G1689" t="str">
        <f>""</f>
        <v/>
      </c>
      <c r="I1689" t="str">
        <f t="shared" si="19"/>
        <v>GUARDIAN</v>
      </c>
    </row>
    <row r="1690" spans="1:9" x14ac:dyDescent="0.3">
      <c r="A1690" t="str">
        <f>""</f>
        <v/>
      </c>
      <c r="F1690" t="str">
        <f>""</f>
        <v/>
      </c>
      <c r="G1690" t="str">
        <f>""</f>
        <v/>
      </c>
      <c r="I1690" t="str">
        <f t="shared" si="19"/>
        <v>GUARDIAN</v>
      </c>
    </row>
    <row r="1691" spans="1:9" x14ac:dyDescent="0.3">
      <c r="A1691" t="str">
        <f>""</f>
        <v/>
      </c>
      <c r="F1691" t="str">
        <f>""</f>
        <v/>
      </c>
      <c r="G1691" t="str">
        <f>""</f>
        <v/>
      </c>
      <c r="I1691" t="str">
        <f t="shared" si="19"/>
        <v>GUARDIAN</v>
      </c>
    </row>
    <row r="1692" spans="1:9" x14ac:dyDescent="0.3">
      <c r="A1692" t="str">
        <f>""</f>
        <v/>
      </c>
      <c r="F1692" t="str">
        <f>""</f>
        <v/>
      </c>
      <c r="G1692" t="str">
        <f>""</f>
        <v/>
      </c>
      <c r="I1692" t="str">
        <f t="shared" si="19"/>
        <v>GUARDIAN</v>
      </c>
    </row>
    <row r="1693" spans="1:9" x14ac:dyDescent="0.3">
      <c r="A1693" t="str">
        <f>""</f>
        <v/>
      </c>
      <c r="F1693" t="str">
        <f>""</f>
        <v/>
      </c>
      <c r="G1693" t="str">
        <f>""</f>
        <v/>
      </c>
      <c r="I1693" t="str">
        <f t="shared" si="19"/>
        <v>GUARDIAN</v>
      </c>
    </row>
    <row r="1694" spans="1:9" x14ac:dyDescent="0.3">
      <c r="A1694" t="str">
        <f>""</f>
        <v/>
      </c>
      <c r="F1694" t="str">
        <f>""</f>
        <v/>
      </c>
      <c r="G1694" t="str">
        <f>""</f>
        <v/>
      </c>
      <c r="I1694" t="str">
        <f t="shared" si="19"/>
        <v>GUARDIAN</v>
      </c>
    </row>
    <row r="1695" spans="1:9" x14ac:dyDescent="0.3">
      <c r="A1695" t="str">
        <f>""</f>
        <v/>
      </c>
      <c r="F1695" t="str">
        <f>""</f>
        <v/>
      </c>
      <c r="G1695" t="str">
        <f>""</f>
        <v/>
      </c>
      <c r="I1695" t="str">
        <f t="shared" si="19"/>
        <v>GUARDIAN</v>
      </c>
    </row>
    <row r="1696" spans="1:9" x14ac:dyDescent="0.3">
      <c r="A1696" t="str">
        <f>""</f>
        <v/>
      </c>
      <c r="F1696" t="str">
        <f>""</f>
        <v/>
      </c>
      <c r="G1696" t="str">
        <f>""</f>
        <v/>
      </c>
      <c r="I1696" t="str">
        <f t="shared" si="19"/>
        <v>GUARDIAN</v>
      </c>
    </row>
    <row r="1697" spans="1:9" x14ac:dyDescent="0.3">
      <c r="A1697" t="str">
        <f>""</f>
        <v/>
      </c>
      <c r="F1697" t="str">
        <f>""</f>
        <v/>
      </c>
      <c r="G1697" t="str">
        <f>""</f>
        <v/>
      </c>
      <c r="I1697" t="str">
        <f t="shared" si="19"/>
        <v>GUARDIAN</v>
      </c>
    </row>
    <row r="1698" spans="1:9" x14ac:dyDescent="0.3">
      <c r="A1698" t="str">
        <f>""</f>
        <v/>
      </c>
      <c r="F1698" t="str">
        <f>""</f>
        <v/>
      </c>
      <c r="G1698" t="str">
        <f>""</f>
        <v/>
      </c>
      <c r="I1698" t="str">
        <f t="shared" si="19"/>
        <v>GUARDIAN</v>
      </c>
    </row>
    <row r="1699" spans="1:9" x14ac:dyDescent="0.3">
      <c r="A1699" t="str">
        <f>""</f>
        <v/>
      </c>
      <c r="F1699" t="str">
        <f>""</f>
        <v/>
      </c>
      <c r="G1699" t="str">
        <f>""</f>
        <v/>
      </c>
      <c r="I1699" t="str">
        <f t="shared" si="19"/>
        <v>GUARDIAN</v>
      </c>
    </row>
    <row r="1700" spans="1:9" x14ac:dyDescent="0.3">
      <c r="A1700" t="str">
        <f>""</f>
        <v/>
      </c>
      <c r="F1700" t="str">
        <f>""</f>
        <v/>
      </c>
      <c r="G1700" t="str">
        <f>""</f>
        <v/>
      </c>
      <c r="I1700" t="str">
        <f t="shared" si="19"/>
        <v>GUARDIAN</v>
      </c>
    </row>
    <row r="1701" spans="1:9" x14ac:dyDescent="0.3">
      <c r="A1701" t="str">
        <f>""</f>
        <v/>
      </c>
      <c r="F1701" t="str">
        <f>""</f>
        <v/>
      </c>
      <c r="G1701" t="str">
        <f>""</f>
        <v/>
      </c>
      <c r="I1701" t="str">
        <f t="shared" si="19"/>
        <v>GUARDIAN</v>
      </c>
    </row>
    <row r="1702" spans="1:9" x14ac:dyDescent="0.3">
      <c r="A1702" t="str">
        <f>""</f>
        <v/>
      </c>
      <c r="F1702" t="str">
        <f>""</f>
        <v/>
      </c>
      <c r="G1702" t="str">
        <f>""</f>
        <v/>
      </c>
      <c r="I1702" t="str">
        <f t="shared" ref="I1702:I1765" si="20">"GUARDIAN"</f>
        <v>GUARDIAN</v>
      </c>
    </row>
    <row r="1703" spans="1:9" x14ac:dyDescent="0.3">
      <c r="A1703" t="str">
        <f>""</f>
        <v/>
      </c>
      <c r="F1703" t="str">
        <f>""</f>
        <v/>
      </c>
      <c r="G1703" t="str">
        <f>""</f>
        <v/>
      </c>
      <c r="I1703" t="str">
        <f t="shared" si="20"/>
        <v>GUARDIAN</v>
      </c>
    </row>
    <row r="1704" spans="1:9" x14ac:dyDescent="0.3">
      <c r="A1704" t="str">
        <f>""</f>
        <v/>
      </c>
      <c r="F1704" t="str">
        <f>""</f>
        <v/>
      </c>
      <c r="G1704" t="str">
        <f>""</f>
        <v/>
      </c>
      <c r="I1704" t="str">
        <f t="shared" si="20"/>
        <v>GUARDIAN</v>
      </c>
    </row>
    <row r="1705" spans="1:9" x14ac:dyDescent="0.3">
      <c r="A1705" t="str">
        <f>""</f>
        <v/>
      </c>
      <c r="F1705" t="str">
        <f>""</f>
        <v/>
      </c>
      <c r="G1705" t="str">
        <f>""</f>
        <v/>
      </c>
      <c r="I1705" t="str">
        <f t="shared" si="20"/>
        <v>GUARDIAN</v>
      </c>
    </row>
    <row r="1706" spans="1:9" x14ac:dyDescent="0.3">
      <c r="A1706" t="str">
        <f>""</f>
        <v/>
      </c>
      <c r="F1706" t="str">
        <f>""</f>
        <v/>
      </c>
      <c r="G1706" t="str">
        <f>""</f>
        <v/>
      </c>
      <c r="I1706" t="str">
        <f t="shared" si="20"/>
        <v>GUARDIAN</v>
      </c>
    </row>
    <row r="1707" spans="1:9" x14ac:dyDescent="0.3">
      <c r="A1707" t="str">
        <f>""</f>
        <v/>
      </c>
      <c r="F1707" t="str">
        <f>""</f>
        <v/>
      </c>
      <c r="G1707" t="str">
        <f>""</f>
        <v/>
      </c>
      <c r="I1707" t="str">
        <f t="shared" si="20"/>
        <v>GUARDIAN</v>
      </c>
    </row>
    <row r="1708" spans="1:9" x14ac:dyDescent="0.3">
      <c r="A1708" t="str">
        <f>""</f>
        <v/>
      </c>
      <c r="F1708" t="str">
        <f>""</f>
        <v/>
      </c>
      <c r="G1708" t="str">
        <f>""</f>
        <v/>
      </c>
      <c r="I1708" t="str">
        <f t="shared" si="20"/>
        <v>GUARDIAN</v>
      </c>
    </row>
    <row r="1709" spans="1:9" x14ac:dyDescent="0.3">
      <c r="A1709" t="str">
        <f>""</f>
        <v/>
      </c>
      <c r="F1709" t="str">
        <f>""</f>
        <v/>
      </c>
      <c r="G1709" t="str">
        <f>""</f>
        <v/>
      </c>
      <c r="I1709" t="str">
        <f t="shared" si="20"/>
        <v>GUARDIAN</v>
      </c>
    </row>
    <row r="1710" spans="1:9" x14ac:dyDescent="0.3">
      <c r="A1710" t="str">
        <f>""</f>
        <v/>
      </c>
      <c r="F1710" t="str">
        <f>"GDC201709205020"</f>
        <v>GDC201709205020</v>
      </c>
      <c r="G1710" t="str">
        <f>"GUARDIAN"</f>
        <v>GUARDIAN</v>
      </c>
      <c r="H1710" s="2">
        <v>130.6</v>
      </c>
      <c r="I1710" t="str">
        <f t="shared" si="20"/>
        <v>GUARDIAN</v>
      </c>
    </row>
    <row r="1711" spans="1:9" x14ac:dyDescent="0.3">
      <c r="A1711" t="str">
        <f>""</f>
        <v/>
      </c>
      <c r="F1711" t="str">
        <f>""</f>
        <v/>
      </c>
      <c r="G1711" t="str">
        <f>""</f>
        <v/>
      </c>
      <c r="I1711" t="str">
        <f t="shared" si="20"/>
        <v>GUARDIAN</v>
      </c>
    </row>
    <row r="1712" spans="1:9" x14ac:dyDescent="0.3">
      <c r="A1712" t="str">
        <f>""</f>
        <v/>
      </c>
      <c r="F1712" t="str">
        <f>"GDE201709064584"</f>
        <v>GDE201709064584</v>
      </c>
      <c r="G1712" t="str">
        <f>"GUARDIAN"</f>
        <v>GUARDIAN</v>
      </c>
      <c r="H1712" s="2">
        <v>3862.8</v>
      </c>
      <c r="I1712" t="str">
        <f t="shared" si="20"/>
        <v>GUARDIAN</v>
      </c>
    </row>
    <row r="1713" spans="1:9" x14ac:dyDescent="0.3">
      <c r="A1713" t="str">
        <f>""</f>
        <v/>
      </c>
      <c r="F1713" t="str">
        <f>""</f>
        <v/>
      </c>
      <c r="G1713" t="str">
        <f>""</f>
        <v/>
      </c>
      <c r="I1713" t="str">
        <f t="shared" si="20"/>
        <v>GUARDIAN</v>
      </c>
    </row>
    <row r="1714" spans="1:9" x14ac:dyDescent="0.3">
      <c r="A1714" t="str">
        <f>""</f>
        <v/>
      </c>
      <c r="F1714" t="str">
        <f>""</f>
        <v/>
      </c>
      <c r="G1714" t="str">
        <f>""</f>
        <v/>
      </c>
      <c r="I1714" t="str">
        <f t="shared" si="20"/>
        <v>GUARDIAN</v>
      </c>
    </row>
    <row r="1715" spans="1:9" x14ac:dyDescent="0.3">
      <c r="A1715" t="str">
        <f>""</f>
        <v/>
      </c>
      <c r="F1715" t="str">
        <f>""</f>
        <v/>
      </c>
      <c r="G1715" t="str">
        <f>""</f>
        <v/>
      </c>
      <c r="I1715" t="str">
        <f t="shared" si="20"/>
        <v>GUARDIAN</v>
      </c>
    </row>
    <row r="1716" spans="1:9" x14ac:dyDescent="0.3">
      <c r="A1716" t="str">
        <f>""</f>
        <v/>
      </c>
      <c r="F1716" t="str">
        <f>""</f>
        <v/>
      </c>
      <c r="G1716" t="str">
        <f>""</f>
        <v/>
      </c>
      <c r="I1716" t="str">
        <f t="shared" si="20"/>
        <v>GUARDIAN</v>
      </c>
    </row>
    <row r="1717" spans="1:9" x14ac:dyDescent="0.3">
      <c r="A1717" t="str">
        <f>""</f>
        <v/>
      </c>
      <c r="F1717" t="str">
        <f>""</f>
        <v/>
      </c>
      <c r="G1717" t="str">
        <f>""</f>
        <v/>
      </c>
      <c r="I1717" t="str">
        <f t="shared" si="20"/>
        <v>GUARDIAN</v>
      </c>
    </row>
    <row r="1718" spans="1:9" x14ac:dyDescent="0.3">
      <c r="A1718" t="str">
        <f>""</f>
        <v/>
      </c>
      <c r="F1718" t="str">
        <f>""</f>
        <v/>
      </c>
      <c r="G1718" t="str">
        <f>""</f>
        <v/>
      </c>
      <c r="I1718" t="str">
        <f t="shared" si="20"/>
        <v>GUARDIAN</v>
      </c>
    </row>
    <row r="1719" spans="1:9" x14ac:dyDescent="0.3">
      <c r="A1719" t="str">
        <f>""</f>
        <v/>
      </c>
      <c r="F1719" t="str">
        <f>""</f>
        <v/>
      </c>
      <c r="G1719" t="str">
        <f>""</f>
        <v/>
      </c>
      <c r="I1719" t="str">
        <f t="shared" si="20"/>
        <v>GUARDIAN</v>
      </c>
    </row>
    <row r="1720" spans="1:9" x14ac:dyDescent="0.3">
      <c r="A1720" t="str">
        <f>""</f>
        <v/>
      </c>
      <c r="F1720" t="str">
        <f>""</f>
        <v/>
      </c>
      <c r="G1720" t="str">
        <f>""</f>
        <v/>
      </c>
      <c r="I1720" t="str">
        <f t="shared" si="20"/>
        <v>GUARDIAN</v>
      </c>
    </row>
    <row r="1721" spans="1:9" x14ac:dyDescent="0.3">
      <c r="A1721" t="str">
        <f>""</f>
        <v/>
      </c>
      <c r="F1721" t="str">
        <f>""</f>
        <v/>
      </c>
      <c r="G1721" t="str">
        <f>""</f>
        <v/>
      </c>
      <c r="I1721" t="str">
        <f t="shared" si="20"/>
        <v>GUARDIAN</v>
      </c>
    </row>
    <row r="1722" spans="1:9" x14ac:dyDescent="0.3">
      <c r="A1722" t="str">
        <f>""</f>
        <v/>
      </c>
      <c r="F1722" t="str">
        <f>""</f>
        <v/>
      </c>
      <c r="G1722" t="str">
        <f>""</f>
        <v/>
      </c>
      <c r="I1722" t="str">
        <f t="shared" si="20"/>
        <v>GUARDIAN</v>
      </c>
    </row>
    <row r="1723" spans="1:9" x14ac:dyDescent="0.3">
      <c r="A1723" t="str">
        <f>""</f>
        <v/>
      </c>
      <c r="F1723" t="str">
        <f>""</f>
        <v/>
      </c>
      <c r="G1723" t="str">
        <f>""</f>
        <v/>
      </c>
      <c r="I1723" t="str">
        <f t="shared" si="20"/>
        <v>GUARDIAN</v>
      </c>
    </row>
    <row r="1724" spans="1:9" x14ac:dyDescent="0.3">
      <c r="A1724" t="str">
        <f>""</f>
        <v/>
      </c>
      <c r="F1724" t="str">
        <f>""</f>
        <v/>
      </c>
      <c r="G1724" t="str">
        <f>""</f>
        <v/>
      </c>
      <c r="I1724" t="str">
        <f t="shared" si="20"/>
        <v>GUARDIAN</v>
      </c>
    </row>
    <row r="1725" spans="1:9" x14ac:dyDescent="0.3">
      <c r="A1725" t="str">
        <f>""</f>
        <v/>
      </c>
      <c r="F1725" t="str">
        <f>""</f>
        <v/>
      </c>
      <c r="G1725" t="str">
        <f>""</f>
        <v/>
      </c>
      <c r="I1725" t="str">
        <f t="shared" si="20"/>
        <v>GUARDIAN</v>
      </c>
    </row>
    <row r="1726" spans="1:9" x14ac:dyDescent="0.3">
      <c r="A1726" t="str">
        <f>""</f>
        <v/>
      </c>
      <c r="F1726" t="str">
        <f>""</f>
        <v/>
      </c>
      <c r="G1726" t="str">
        <f>""</f>
        <v/>
      </c>
      <c r="I1726" t="str">
        <f t="shared" si="20"/>
        <v>GUARDIAN</v>
      </c>
    </row>
    <row r="1727" spans="1:9" x14ac:dyDescent="0.3">
      <c r="A1727" t="str">
        <f>""</f>
        <v/>
      </c>
      <c r="F1727" t="str">
        <f>""</f>
        <v/>
      </c>
      <c r="G1727" t="str">
        <f>""</f>
        <v/>
      </c>
      <c r="I1727" t="str">
        <f t="shared" si="20"/>
        <v>GUARDIAN</v>
      </c>
    </row>
    <row r="1728" spans="1:9" x14ac:dyDescent="0.3">
      <c r="A1728" t="str">
        <f>""</f>
        <v/>
      </c>
      <c r="F1728" t="str">
        <f>""</f>
        <v/>
      </c>
      <c r="G1728" t="str">
        <f>""</f>
        <v/>
      </c>
      <c r="I1728" t="str">
        <f t="shared" si="20"/>
        <v>GUARDIAN</v>
      </c>
    </row>
    <row r="1729" spans="1:9" x14ac:dyDescent="0.3">
      <c r="A1729" t="str">
        <f>""</f>
        <v/>
      </c>
      <c r="F1729" t="str">
        <f>""</f>
        <v/>
      </c>
      <c r="G1729" t="str">
        <f>""</f>
        <v/>
      </c>
      <c r="I1729" t="str">
        <f t="shared" si="20"/>
        <v>GUARDIAN</v>
      </c>
    </row>
    <row r="1730" spans="1:9" x14ac:dyDescent="0.3">
      <c r="A1730" t="str">
        <f>""</f>
        <v/>
      </c>
      <c r="F1730" t="str">
        <f>""</f>
        <v/>
      </c>
      <c r="G1730" t="str">
        <f>""</f>
        <v/>
      </c>
      <c r="I1730" t="str">
        <f t="shared" si="20"/>
        <v>GUARDIAN</v>
      </c>
    </row>
    <row r="1731" spans="1:9" x14ac:dyDescent="0.3">
      <c r="A1731" t="str">
        <f>""</f>
        <v/>
      </c>
      <c r="F1731" t="str">
        <f>""</f>
        <v/>
      </c>
      <c r="G1731" t="str">
        <f>""</f>
        <v/>
      </c>
      <c r="I1731" t="str">
        <f t="shared" si="20"/>
        <v>GUARDIAN</v>
      </c>
    </row>
    <row r="1732" spans="1:9" x14ac:dyDescent="0.3">
      <c r="A1732" t="str">
        <f>""</f>
        <v/>
      </c>
      <c r="F1732" t="str">
        <f>""</f>
        <v/>
      </c>
      <c r="G1732" t="str">
        <f>""</f>
        <v/>
      </c>
      <c r="I1732" t="str">
        <f t="shared" si="20"/>
        <v>GUARDIAN</v>
      </c>
    </row>
    <row r="1733" spans="1:9" x14ac:dyDescent="0.3">
      <c r="A1733" t="str">
        <f>""</f>
        <v/>
      </c>
      <c r="F1733" t="str">
        <f>""</f>
        <v/>
      </c>
      <c r="G1733" t="str">
        <f>""</f>
        <v/>
      </c>
      <c r="I1733" t="str">
        <f t="shared" si="20"/>
        <v>GUARDIAN</v>
      </c>
    </row>
    <row r="1734" spans="1:9" x14ac:dyDescent="0.3">
      <c r="A1734" t="str">
        <f>""</f>
        <v/>
      </c>
      <c r="F1734" t="str">
        <f>""</f>
        <v/>
      </c>
      <c r="G1734" t="str">
        <f>""</f>
        <v/>
      </c>
      <c r="I1734" t="str">
        <f t="shared" si="20"/>
        <v>GUARDIAN</v>
      </c>
    </row>
    <row r="1735" spans="1:9" x14ac:dyDescent="0.3">
      <c r="A1735" t="str">
        <f>""</f>
        <v/>
      </c>
      <c r="F1735" t="str">
        <f>""</f>
        <v/>
      </c>
      <c r="G1735" t="str">
        <f>""</f>
        <v/>
      </c>
      <c r="I1735" t="str">
        <f t="shared" si="20"/>
        <v>GUARDIAN</v>
      </c>
    </row>
    <row r="1736" spans="1:9" x14ac:dyDescent="0.3">
      <c r="A1736" t="str">
        <f>""</f>
        <v/>
      </c>
      <c r="F1736" t="str">
        <f>""</f>
        <v/>
      </c>
      <c r="G1736" t="str">
        <f>""</f>
        <v/>
      </c>
      <c r="I1736" t="str">
        <f t="shared" si="20"/>
        <v>GUARDIAN</v>
      </c>
    </row>
    <row r="1737" spans="1:9" x14ac:dyDescent="0.3">
      <c r="A1737" t="str">
        <f>""</f>
        <v/>
      </c>
      <c r="F1737" t="str">
        <f>""</f>
        <v/>
      </c>
      <c r="G1737" t="str">
        <f>""</f>
        <v/>
      </c>
      <c r="I1737" t="str">
        <f t="shared" si="20"/>
        <v>GUARDIAN</v>
      </c>
    </row>
    <row r="1738" spans="1:9" x14ac:dyDescent="0.3">
      <c r="A1738" t="str">
        <f>""</f>
        <v/>
      </c>
      <c r="F1738" t="str">
        <f>""</f>
        <v/>
      </c>
      <c r="G1738" t="str">
        <f>""</f>
        <v/>
      </c>
      <c r="I1738" t="str">
        <f t="shared" si="20"/>
        <v>GUARDIAN</v>
      </c>
    </row>
    <row r="1739" spans="1:9" x14ac:dyDescent="0.3">
      <c r="A1739" t="str">
        <f>""</f>
        <v/>
      </c>
      <c r="F1739" t="str">
        <f>""</f>
        <v/>
      </c>
      <c r="G1739" t="str">
        <f>""</f>
        <v/>
      </c>
      <c r="I1739" t="str">
        <f t="shared" si="20"/>
        <v>GUARDIAN</v>
      </c>
    </row>
    <row r="1740" spans="1:9" x14ac:dyDescent="0.3">
      <c r="A1740" t="str">
        <f>""</f>
        <v/>
      </c>
      <c r="F1740" t="str">
        <f>""</f>
        <v/>
      </c>
      <c r="G1740" t="str">
        <f>""</f>
        <v/>
      </c>
      <c r="I1740" t="str">
        <f t="shared" si="20"/>
        <v>GUARDIAN</v>
      </c>
    </row>
    <row r="1741" spans="1:9" x14ac:dyDescent="0.3">
      <c r="A1741" t="str">
        <f>""</f>
        <v/>
      </c>
      <c r="F1741" t="str">
        <f>""</f>
        <v/>
      </c>
      <c r="G1741" t="str">
        <f>""</f>
        <v/>
      </c>
      <c r="I1741" t="str">
        <f t="shared" si="20"/>
        <v>GUARDIAN</v>
      </c>
    </row>
    <row r="1742" spans="1:9" x14ac:dyDescent="0.3">
      <c r="A1742" t="str">
        <f>""</f>
        <v/>
      </c>
      <c r="F1742" t="str">
        <f>""</f>
        <v/>
      </c>
      <c r="G1742" t="str">
        <f>""</f>
        <v/>
      </c>
      <c r="I1742" t="str">
        <f t="shared" si="20"/>
        <v>GUARDIAN</v>
      </c>
    </row>
    <row r="1743" spans="1:9" x14ac:dyDescent="0.3">
      <c r="A1743" t="str">
        <f>""</f>
        <v/>
      </c>
      <c r="F1743" t="str">
        <f>""</f>
        <v/>
      </c>
      <c r="G1743" t="str">
        <f>""</f>
        <v/>
      </c>
      <c r="I1743" t="str">
        <f t="shared" si="20"/>
        <v>GUARDIAN</v>
      </c>
    </row>
    <row r="1744" spans="1:9" x14ac:dyDescent="0.3">
      <c r="A1744" t="str">
        <f>""</f>
        <v/>
      </c>
      <c r="F1744" t="str">
        <f>""</f>
        <v/>
      </c>
      <c r="G1744" t="str">
        <f>""</f>
        <v/>
      </c>
      <c r="I1744" t="str">
        <f t="shared" si="20"/>
        <v>GUARDIAN</v>
      </c>
    </row>
    <row r="1745" spans="1:9" x14ac:dyDescent="0.3">
      <c r="A1745" t="str">
        <f>""</f>
        <v/>
      </c>
      <c r="F1745" t="str">
        <f>""</f>
        <v/>
      </c>
      <c r="G1745" t="str">
        <f>""</f>
        <v/>
      </c>
      <c r="I1745" t="str">
        <f t="shared" si="20"/>
        <v>GUARDIAN</v>
      </c>
    </row>
    <row r="1746" spans="1:9" x14ac:dyDescent="0.3">
      <c r="A1746" t="str">
        <f>""</f>
        <v/>
      </c>
      <c r="F1746" t="str">
        <f>""</f>
        <v/>
      </c>
      <c r="G1746" t="str">
        <f>""</f>
        <v/>
      </c>
      <c r="I1746" t="str">
        <f t="shared" si="20"/>
        <v>GUARDIAN</v>
      </c>
    </row>
    <row r="1747" spans="1:9" x14ac:dyDescent="0.3">
      <c r="A1747" t="str">
        <f>""</f>
        <v/>
      </c>
      <c r="F1747" t="str">
        <f>""</f>
        <v/>
      </c>
      <c r="G1747" t="str">
        <f>""</f>
        <v/>
      </c>
      <c r="I1747" t="str">
        <f t="shared" si="20"/>
        <v>GUARDIAN</v>
      </c>
    </row>
    <row r="1748" spans="1:9" x14ac:dyDescent="0.3">
      <c r="A1748" t="str">
        <f>""</f>
        <v/>
      </c>
      <c r="F1748" t="str">
        <f>""</f>
        <v/>
      </c>
      <c r="G1748" t="str">
        <f>""</f>
        <v/>
      </c>
      <c r="I1748" t="str">
        <f t="shared" si="20"/>
        <v>GUARDIAN</v>
      </c>
    </row>
    <row r="1749" spans="1:9" x14ac:dyDescent="0.3">
      <c r="A1749" t="str">
        <f>""</f>
        <v/>
      </c>
      <c r="F1749" t="str">
        <f>""</f>
        <v/>
      </c>
      <c r="G1749" t="str">
        <f>""</f>
        <v/>
      </c>
      <c r="I1749" t="str">
        <f t="shared" si="20"/>
        <v>GUARDIAN</v>
      </c>
    </row>
    <row r="1750" spans="1:9" x14ac:dyDescent="0.3">
      <c r="A1750" t="str">
        <f>""</f>
        <v/>
      </c>
      <c r="F1750" t="str">
        <f>""</f>
        <v/>
      </c>
      <c r="G1750" t="str">
        <f>""</f>
        <v/>
      </c>
      <c r="I1750" t="str">
        <f t="shared" si="20"/>
        <v>GUARDIAN</v>
      </c>
    </row>
    <row r="1751" spans="1:9" x14ac:dyDescent="0.3">
      <c r="A1751" t="str">
        <f>""</f>
        <v/>
      </c>
      <c r="F1751" t="str">
        <f>""</f>
        <v/>
      </c>
      <c r="G1751" t="str">
        <f>""</f>
        <v/>
      </c>
      <c r="I1751" t="str">
        <f t="shared" si="20"/>
        <v>GUARDIAN</v>
      </c>
    </row>
    <row r="1752" spans="1:9" x14ac:dyDescent="0.3">
      <c r="A1752" t="str">
        <f>""</f>
        <v/>
      </c>
      <c r="F1752" t="str">
        <f>""</f>
        <v/>
      </c>
      <c r="G1752" t="str">
        <f>""</f>
        <v/>
      </c>
      <c r="I1752" t="str">
        <f t="shared" si="20"/>
        <v>GUARDIAN</v>
      </c>
    </row>
    <row r="1753" spans="1:9" x14ac:dyDescent="0.3">
      <c r="A1753" t="str">
        <f>""</f>
        <v/>
      </c>
      <c r="F1753" t="str">
        <f>"GDE201709064604"</f>
        <v>GDE201709064604</v>
      </c>
      <c r="G1753" t="str">
        <f>"GUARDIAN"</f>
        <v>GUARDIAN</v>
      </c>
      <c r="H1753" s="2">
        <v>148</v>
      </c>
      <c r="I1753" t="str">
        <f t="shared" si="20"/>
        <v>GUARDIAN</v>
      </c>
    </row>
    <row r="1754" spans="1:9" x14ac:dyDescent="0.3">
      <c r="A1754" t="str">
        <f>""</f>
        <v/>
      </c>
      <c r="F1754" t="str">
        <f>"GDE201709084855"</f>
        <v>GDE201709084855</v>
      </c>
      <c r="G1754" t="str">
        <f>"GUARDIAN"</f>
        <v>GUARDIAN</v>
      </c>
      <c r="H1754" s="2">
        <v>29.6</v>
      </c>
      <c r="I1754" t="str">
        <f t="shared" si="20"/>
        <v>GUARDIAN</v>
      </c>
    </row>
    <row r="1755" spans="1:9" x14ac:dyDescent="0.3">
      <c r="A1755" t="str">
        <f>""</f>
        <v/>
      </c>
      <c r="F1755" t="str">
        <f>"GDE201709205019"</f>
        <v>GDE201709205019</v>
      </c>
      <c r="G1755" t="str">
        <f>"GUARDIAN"</f>
        <v>GUARDIAN</v>
      </c>
      <c r="H1755" s="2">
        <v>3803.6</v>
      </c>
      <c r="I1755" t="str">
        <f t="shared" si="20"/>
        <v>GUARDIAN</v>
      </c>
    </row>
    <row r="1756" spans="1:9" x14ac:dyDescent="0.3">
      <c r="A1756" t="str">
        <f>""</f>
        <v/>
      </c>
      <c r="F1756" t="str">
        <f>""</f>
        <v/>
      </c>
      <c r="G1756" t="str">
        <f>""</f>
        <v/>
      </c>
      <c r="I1756" t="str">
        <f t="shared" si="20"/>
        <v>GUARDIAN</v>
      </c>
    </row>
    <row r="1757" spans="1:9" x14ac:dyDescent="0.3">
      <c r="A1757" t="str">
        <f>""</f>
        <v/>
      </c>
      <c r="F1757" t="str">
        <f>""</f>
        <v/>
      </c>
      <c r="G1757" t="str">
        <f>""</f>
        <v/>
      </c>
      <c r="I1757" t="str">
        <f t="shared" si="20"/>
        <v>GUARDIAN</v>
      </c>
    </row>
    <row r="1758" spans="1:9" x14ac:dyDescent="0.3">
      <c r="A1758" t="str">
        <f>""</f>
        <v/>
      </c>
      <c r="F1758" t="str">
        <f>""</f>
        <v/>
      </c>
      <c r="G1758" t="str">
        <f>""</f>
        <v/>
      </c>
      <c r="I1758" t="str">
        <f t="shared" si="20"/>
        <v>GUARDIAN</v>
      </c>
    </row>
    <row r="1759" spans="1:9" x14ac:dyDescent="0.3">
      <c r="A1759" t="str">
        <f>""</f>
        <v/>
      </c>
      <c r="F1759" t="str">
        <f>""</f>
        <v/>
      </c>
      <c r="G1759" t="str">
        <f>""</f>
        <v/>
      </c>
      <c r="I1759" t="str">
        <f t="shared" si="20"/>
        <v>GUARDIAN</v>
      </c>
    </row>
    <row r="1760" spans="1:9" x14ac:dyDescent="0.3">
      <c r="A1760" t="str">
        <f>""</f>
        <v/>
      </c>
      <c r="F1760" t="str">
        <f>""</f>
        <v/>
      </c>
      <c r="G1760" t="str">
        <f>""</f>
        <v/>
      </c>
      <c r="I1760" t="str">
        <f t="shared" si="20"/>
        <v>GUARDIAN</v>
      </c>
    </row>
    <row r="1761" spans="1:9" x14ac:dyDescent="0.3">
      <c r="A1761" t="str">
        <f>""</f>
        <v/>
      </c>
      <c r="F1761" t="str">
        <f>""</f>
        <v/>
      </c>
      <c r="G1761" t="str">
        <f>""</f>
        <v/>
      </c>
      <c r="I1761" t="str">
        <f t="shared" si="20"/>
        <v>GUARDIAN</v>
      </c>
    </row>
    <row r="1762" spans="1:9" x14ac:dyDescent="0.3">
      <c r="A1762" t="str">
        <f>""</f>
        <v/>
      </c>
      <c r="F1762" t="str">
        <f>""</f>
        <v/>
      </c>
      <c r="G1762" t="str">
        <f>""</f>
        <v/>
      </c>
      <c r="I1762" t="str">
        <f t="shared" si="20"/>
        <v>GUARDIAN</v>
      </c>
    </row>
    <row r="1763" spans="1:9" x14ac:dyDescent="0.3">
      <c r="A1763" t="str">
        <f>""</f>
        <v/>
      </c>
      <c r="F1763" t="str">
        <f>""</f>
        <v/>
      </c>
      <c r="G1763" t="str">
        <f>""</f>
        <v/>
      </c>
      <c r="I1763" t="str">
        <f t="shared" si="20"/>
        <v>GUARDIAN</v>
      </c>
    </row>
    <row r="1764" spans="1:9" x14ac:dyDescent="0.3">
      <c r="A1764" t="str">
        <f>""</f>
        <v/>
      </c>
      <c r="F1764" t="str">
        <f>""</f>
        <v/>
      </c>
      <c r="G1764" t="str">
        <f>""</f>
        <v/>
      </c>
      <c r="I1764" t="str">
        <f t="shared" si="20"/>
        <v>GUARDIAN</v>
      </c>
    </row>
    <row r="1765" spans="1:9" x14ac:dyDescent="0.3">
      <c r="A1765" t="str">
        <f>""</f>
        <v/>
      </c>
      <c r="F1765" t="str">
        <f>""</f>
        <v/>
      </c>
      <c r="G1765" t="str">
        <f>""</f>
        <v/>
      </c>
      <c r="I1765" t="str">
        <f t="shared" si="20"/>
        <v>GUARDIAN</v>
      </c>
    </row>
    <row r="1766" spans="1:9" x14ac:dyDescent="0.3">
      <c r="A1766" t="str">
        <f>""</f>
        <v/>
      </c>
      <c r="F1766" t="str">
        <f>""</f>
        <v/>
      </c>
      <c r="G1766" t="str">
        <f>""</f>
        <v/>
      </c>
      <c r="I1766" t="str">
        <f t="shared" ref="I1766:I1829" si="21">"GUARDIAN"</f>
        <v>GUARDIAN</v>
      </c>
    </row>
    <row r="1767" spans="1:9" x14ac:dyDescent="0.3">
      <c r="A1767" t="str">
        <f>""</f>
        <v/>
      </c>
      <c r="F1767" t="str">
        <f>""</f>
        <v/>
      </c>
      <c r="G1767" t="str">
        <f>""</f>
        <v/>
      </c>
      <c r="I1767" t="str">
        <f t="shared" si="21"/>
        <v>GUARDIAN</v>
      </c>
    </row>
    <row r="1768" spans="1:9" x14ac:dyDescent="0.3">
      <c r="A1768" t="str">
        <f>""</f>
        <v/>
      </c>
      <c r="F1768" t="str">
        <f>""</f>
        <v/>
      </c>
      <c r="G1768" t="str">
        <f>""</f>
        <v/>
      </c>
      <c r="I1768" t="str">
        <f t="shared" si="21"/>
        <v>GUARDIAN</v>
      </c>
    </row>
    <row r="1769" spans="1:9" x14ac:dyDescent="0.3">
      <c r="A1769" t="str">
        <f>""</f>
        <v/>
      </c>
      <c r="F1769" t="str">
        <f>""</f>
        <v/>
      </c>
      <c r="G1769" t="str">
        <f>""</f>
        <v/>
      </c>
      <c r="I1769" t="str">
        <f t="shared" si="21"/>
        <v>GUARDIAN</v>
      </c>
    </row>
    <row r="1770" spans="1:9" x14ac:dyDescent="0.3">
      <c r="A1770" t="str">
        <f>""</f>
        <v/>
      </c>
      <c r="F1770" t="str">
        <f>""</f>
        <v/>
      </c>
      <c r="G1770" t="str">
        <f>""</f>
        <v/>
      </c>
      <c r="I1770" t="str">
        <f t="shared" si="21"/>
        <v>GUARDIAN</v>
      </c>
    </row>
    <row r="1771" spans="1:9" x14ac:dyDescent="0.3">
      <c r="A1771" t="str">
        <f>""</f>
        <v/>
      </c>
      <c r="F1771" t="str">
        <f>""</f>
        <v/>
      </c>
      <c r="G1771" t="str">
        <f>""</f>
        <v/>
      </c>
      <c r="I1771" t="str">
        <f t="shared" si="21"/>
        <v>GUARDIAN</v>
      </c>
    </row>
    <row r="1772" spans="1:9" x14ac:dyDescent="0.3">
      <c r="A1772" t="str">
        <f>""</f>
        <v/>
      </c>
      <c r="F1772" t="str">
        <f>""</f>
        <v/>
      </c>
      <c r="G1772" t="str">
        <f>""</f>
        <v/>
      </c>
      <c r="I1772" t="str">
        <f t="shared" si="21"/>
        <v>GUARDIAN</v>
      </c>
    </row>
    <row r="1773" spans="1:9" x14ac:dyDescent="0.3">
      <c r="A1773" t="str">
        <f>""</f>
        <v/>
      </c>
      <c r="F1773" t="str">
        <f>""</f>
        <v/>
      </c>
      <c r="G1773" t="str">
        <f>""</f>
        <v/>
      </c>
      <c r="I1773" t="str">
        <f t="shared" si="21"/>
        <v>GUARDIAN</v>
      </c>
    </row>
    <row r="1774" spans="1:9" x14ac:dyDescent="0.3">
      <c r="A1774" t="str">
        <f>""</f>
        <v/>
      </c>
      <c r="F1774" t="str">
        <f>""</f>
        <v/>
      </c>
      <c r="G1774" t="str">
        <f>""</f>
        <v/>
      </c>
      <c r="I1774" t="str">
        <f t="shared" si="21"/>
        <v>GUARDIAN</v>
      </c>
    </row>
    <row r="1775" spans="1:9" x14ac:dyDescent="0.3">
      <c r="A1775" t="str">
        <f>""</f>
        <v/>
      </c>
      <c r="F1775" t="str">
        <f>""</f>
        <v/>
      </c>
      <c r="G1775" t="str">
        <f>""</f>
        <v/>
      </c>
      <c r="I1775" t="str">
        <f t="shared" si="21"/>
        <v>GUARDIAN</v>
      </c>
    </row>
    <row r="1776" spans="1:9" x14ac:dyDescent="0.3">
      <c r="A1776" t="str">
        <f>""</f>
        <v/>
      </c>
      <c r="F1776" t="str">
        <f>""</f>
        <v/>
      </c>
      <c r="G1776" t="str">
        <f>""</f>
        <v/>
      </c>
      <c r="I1776" t="str">
        <f t="shared" si="21"/>
        <v>GUARDIAN</v>
      </c>
    </row>
    <row r="1777" spans="1:9" x14ac:dyDescent="0.3">
      <c r="A1777" t="str">
        <f>""</f>
        <v/>
      </c>
      <c r="F1777" t="str">
        <f>""</f>
        <v/>
      </c>
      <c r="G1777" t="str">
        <f>""</f>
        <v/>
      </c>
      <c r="I1777" t="str">
        <f t="shared" si="21"/>
        <v>GUARDIAN</v>
      </c>
    </row>
    <row r="1778" spans="1:9" x14ac:dyDescent="0.3">
      <c r="A1778" t="str">
        <f>""</f>
        <v/>
      </c>
      <c r="F1778" t="str">
        <f>""</f>
        <v/>
      </c>
      <c r="G1778" t="str">
        <f>""</f>
        <v/>
      </c>
      <c r="I1778" t="str">
        <f t="shared" si="21"/>
        <v>GUARDIAN</v>
      </c>
    </row>
    <row r="1779" spans="1:9" x14ac:dyDescent="0.3">
      <c r="A1779" t="str">
        <f>""</f>
        <v/>
      </c>
      <c r="F1779" t="str">
        <f>""</f>
        <v/>
      </c>
      <c r="G1779" t="str">
        <f>""</f>
        <v/>
      </c>
      <c r="I1779" t="str">
        <f t="shared" si="21"/>
        <v>GUARDIAN</v>
      </c>
    </row>
    <row r="1780" spans="1:9" x14ac:dyDescent="0.3">
      <c r="A1780" t="str">
        <f>""</f>
        <v/>
      </c>
      <c r="F1780" t="str">
        <f>""</f>
        <v/>
      </c>
      <c r="G1780" t="str">
        <f>""</f>
        <v/>
      </c>
      <c r="I1780" t="str">
        <f t="shared" si="21"/>
        <v>GUARDIAN</v>
      </c>
    </row>
    <row r="1781" spans="1:9" x14ac:dyDescent="0.3">
      <c r="A1781" t="str">
        <f>""</f>
        <v/>
      </c>
      <c r="F1781" t="str">
        <f>""</f>
        <v/>
      </c>
      <c r="G1781" t="str">
        <f>""</f>
        <v/>
      </c>
      <c r="I1781" t="str">
        <f t="shared" si="21"/>
        <v>GUARDIAN</v>
      </c>
    </row>
    <row r="1782" spans="1:9" x14ac:dyDescent="0.3">
      <c r="A1782" t="str">
        <f>""</f>
        <v/>
      </c>
      <c r="F1782" t="str">
        <f>""</f>
        <v/>
      </c>
      <c r="G1782" t="str">
        <f>""</f>
        <v/>
      </c>
      <c r="I1782" t="str">
        <f t="shared" si="21"/>
        <v>GUARDIAN</v>
      </c>
    </row>
    <row r="1783" spans="1:9" x14ac:dyDescent="0.3">
      <c r="A1783" t="str">
        <f>""</f>
        <v/>
      </c>
      <c r="F1783" t="str">
        <f>""</f>
        <v/>
      </c>
      <c r="G1783" t="str">
        <f>""</f>
        <v/>
      </c>
      <c r="I1783" t="str">
        <f t="shared" si="21"/>
        <v>GUARDIAN</v>
      </c>
    </row>
    <row r="1784" spans="1:9" x14ac:dyDescent="0.3">
      <c r="A1784" t="str">
        <f>""</f>
        <v/>
      </c>
      <c r="F1784" t="str">
        <f>""</f>
        <v/>
      </c>
      <c r="G1784" t="str">
        <f>""</f>
        <v/>
      </c>
      <c r="I1784" t="str">
        <f t="shared" si="21"/>
        <v>GUARDIAN</v>
      </c>
    </row>
    <row r="1785" spans="1:9" x14ac:dyDescent="0.3">
      <c r="A1785" t="str">
        <f>""</f>
        <v/>
      </c>
      <c r="F1785" t="str">
        <f>""</f>
        <v/>
      </c>
      <c r="G1785" t="str">
        <f>""</f>
        <v/>
      </c>
      <c r="I1785" t="str">
        <f t="shared" si="21"/>
        <v>GUARDIAN</v>
      </c>
    </row>
    <row r="1786" spans="1:9" x14ac:dyDescent="0.3">
      <c r="A1786" t="str">
        <f>""</f>
        <v/>
      </c>
      <c r="F1786" t="str">
        <f>""</f>
        <v/>
      </c>
      <c r="G1786" t="str">
        <f>""</f>
        <v/>
      </c>
      <c r="I1786" t="str">
        <f t="shared" si="21"/>
        <v>GUARDIAN</v>
      </c>
    </row>
    <row r="1787" spans="1:9" x14ac:dyDescent="0.3">
      <c r="A1787" t="str">
        <f>""</f>
        <v/>
      </c>
      <c r="F1787" t="str">
        <f>""</f>
        <v/>
      </c>
      <c r="G1787" t="str">
        <f>""</f>
        <v/>
      </c>
      <c r="I1787" t="str">
        <f t="shared" si="21"/>
        <v>GUARDIAN</v>
      </c>
    </row>
    <row r="1788" spans="1:9" x14ac:dyDescent="0.3">
      <c r="A1788" t="str">
        <f>""</f>
        <v/>
      </c>
      <c r="F1788" t="str">
        <f>""</f>
        <v/>
      </c>
      <c r="G1788" t="str">
        <f>""</f>
        <v/>
      </c>
      <c r="I1788" t="str">
        <f t="shared" si="21"/>
        <v>GUARDIAN</v>
      </c>
    </row>
    <row r="1789" spans="1:9" x14ac:dyDescent="0.3">
      <c r="A1789" t="str">
        <f>""</f>
        <v/>
      </c>
      <c r="F1789" t="str">
        <f>""</f>
        <v/>
      </c>
      <c r="G1789" t="str">
        <f>""</f>
        <v/>
      </c>
      <c r="I1789" t="str">
        <f t="shared" si="21"/>
        <v>GUARDIAN</v>
      </c>
    </row>
    <row r="1790" spans="1:9" x14ac:dyDescent="0.3">
      <c r="A1790" t="str">
        <f>""</f>
        <v/>
      </c>
      <c r="F1790" t="str">
        <f>""</f>
        <v/>
      </c>
      <c r="G1790" t="str">
        <f>""</f>
        <v/>
      </c>
      <c r="I1790" t="str">
        <f t="shared" si="21"/>
        <v>GUARDIAN</v>
      </c>
    </row>
    <row r="1791" spans="1:9" x14ac:dyDescent="0.3">
      <c r="A1791" t="str">
        <f>""</f>
        <v/>
      </c>
      <c r="F1791" t="str">
        <f>""</f>
        <v/>
      </c>
      <c r="G1791" t="str">
        <f>""</f>
        <v/>
      </c>
      <c r="I1791" t="str">
        <f t="shared" si="21"/>
        <v>GUARDIAN</v>
      </c>
    </row>
    <row r="1792" spans="1:9" x14ac:dyDescent="0.3">
      <c r="A1792" t="str">
        <f>""</f>
        <v/>
      </c>
      <c r="F1792" t="str">
        <f>""</f>
        <v/>
      </c>
      <c r="G1792" t="str">
        <f>""</f>
        <v/>
      </c>
      <c r="I1792" t="str">
        <f t="shared" si="21"/>
        <v>GUARDIAN</v>
      </c>
    </row>
    <row r="1793" spans="1:9" x14ac:dyDescent="0.3">
      <c r="A1793" t="str">
        <f>""</f>
        <v/>
      </c>
      <c r="F1793" t="str">
        <f>""</f>
        <v/>
      </c>
      <c r="G1793" t="str">
        <f>""</f>
        <v/>
      </c>
      <c r="I1793" t="str">
        <f t="shared" si="21"/>
        <v>GUARDIAN</v>
      </c>
    </row>
    <row r="1794" spans="1:9" x14ac:dyDescent="0.3">
      <c r="A1794" t="str">
        <f>""</f>
        <v/>
      </c>
      <c r="F1794" t="str">
        <f>""</f>
        <v/>
      </c>
      <c r="G1794" t="str">
        <f>""</f>
        <v/>
      </c>
      <c r="I1794" t="str">
        <f t="shared" si="21"/>
        <v>GUARDIAN</v>
      </c>
    </row>
    <row r="1795" spans="1:9" x14ac:dyDescent="0.3">
      <c r="A1795" t="str">
        <f>""</f>
        <v/>
      </c>
      <c r="F1795" t="str">
        <f>""</f>
        <v/>
      </c>
      <c r="G1795" t="str">
        <f>""</f>
        <v/>
      </c>
      <c r="I1795" t="str">
        <f t="shared" si="21"/>
        <v>GUARDIAN</v>
      </c>
    </row>
    <row r="1796" spans="1:9" x14ac:dyDescent="0.3">
      <c r="A1796" t="str">
        <f>""</f>
        <v/>
      </c>
      <c r="F1796" t="str">
        <f>"GDE201709205020"</f>
        <v>GDE201709205020</v>
      </c>
      <c r="G1796" t="str">
        <f>"GUARDIAN"</f>
        <v>GUARDIAN</v>
      </c>
      <c r="H1796" s="2">
        <v>148</v>
      </c>
      <c r="I1796" t="str">
        <f t="shared" si="21"/>
        <v>GUARDIAN</v>
      </c>
    </row>
    <row r="1797" spans="1:9" x14ac:dyDescent="0.3">
      <c r="A1797" t="str">
        <f>""</f>
        <v/>
      </c>
      <c r="F1797" t="str">
        <f>"GDF201709064584"</f>
        <v>GDF201709064584</v>
      </c>
      <c r="G1797" t="str">
        <f>"GUARDIAN"</f>
        <v>GUARDIAN</v>
      </c>
      <c r="H1797" s="2">
        <v>2076.04</v>
      </c>
      <c r="I1797" t="str">
        <f t="shared" si="21"/>
        <v>GUARDIAN</v>
      </c>
    </row>
    <row r="1798" spans="1:9" x14ac:dyDescent="0.3">
      <c r="A1798" t="str">
        <f>""</f>
        <v/>
      </c>
      <c r="F1798" t="str">
        <f>""</f>
        <v/>
      </c>
      <c r="G1798" t="str">
        <f>""</f>
        <v/>
      </c>
      <c r="I1798" t="str">
        <f t="shared" si="21"/>
        <v>GUARDIAN</v>
      </c>
    </row>
    <row r="1799" spans="1:9" x14ac:dyDescent="0.3">
      <c r="A1799" t="str">
        <f>""</f>
        <v/>
      </c>
      <c r="F1799" t="str">
        <f>""</f>
        <v/>
      </c>
      <c r="G1799" t="str">
        <f>""</f>
        <v/>
      </c>
      <c r="I1799" t="str">
        <f t="shared" si="21"/>
        <v>GUARDIAN</v>
      </c>
    </row>
    <row r="1800" spans="1:9" x14ac:dyDescent="0.3">
      <c r="A1800" t="str">
        <f>""</f>
        <v/>
      </c>
      <c r="F1800" t="str">
        <f>""</f>
        <v/>
      </c>
      <c r="G1800" t="str">
        <f>""</f>
        <v/>
      </c>
      <c r="I1800" t="str">
        <f t="shared" si="21"/>
        <v>GUARDIAN</v>
      </c>
    </row>
    <row r="1801" spans="1:9" x14ac:dyDescent="0.3">
      <c r="A1801" t="str">
        <f>""</f>
        <v/>
      </c>
      <c r="F1801" t="str">
        <f>""</f>
        <v/>
      </c>
      <c r="G1801" t="str">
        <f>""</f>
        <v/>
      </c>
      <c r="I1801" t="str">
        <f t="shared" si="21"/>
        <v>GUARDIAN</v>
      </c>
    </row>
    <row r="1802" spans="1:9" x14ac:dyDescent="0.3">
      <c r="A1802" t="str">
        <f>""</f>
        <v/>
      </c>
      <c r="F1802" t="str">
        <f>""</f>
        <v/>
      </c>
      <c r="G1802" t="str">
        <f>""</f>
        <v/>
      </c>
      <c r="I1802" t="str">
        <f t="shared" si="21"/>
        <v>GUARDIAN</v>
      </c>
    </row>
    <row r="1803" spans="1:9" x14ac:dyDescent="0.3">
      <c r="A1803" t="str">
        <f>""</f>
        <v/>
      </c>
      <c r="F1803" t="str">
        <f>""</f>
        <v/>
      </c>
      <c r="G1803" t="str">
        <f>""</f>
        <v/>
      </c>
      <c r="I1803" t="str">
        <f t="shared" si="21"/>
        <v>GUARDIAN</v>
      </c>
    </row>
    <row r="1804" spans="1:9" x14ac:dyDescent="0.3">
      <c r="A1804" t="str">
        <f>""</f>
        <v/>
      </c>
      <c r="F1804" t="str">
        <f>""</f>
        <v/>
      </c>
      <c r="G1804" t="str">
        <f>""</f>
        <v/>
      </c>
      <c r="I1804" t="str">
        <f t="shared" si="21"/>
        <v>GUARDIAN</v>
      </c>
    </row>
    <row r="1805" spans="1:9" x14ac:dyDescent="0.3">
      <c r="A1805" t="str">
        <f>""</f>
        <v/>
      </c>
      <c r="F1805" t="str">
        <f>""</f>
        <v/>
      </c>
      <c r="G1805" t="str">
        <f>""</f>
        <v/>
      </c>
      <c r="I1805" t="str">
        <f t="shared" si="21"/>
        <v>GUARDIAN</v>
      </c>
    </row>
    <row r="1806" spans="1:9" x14ac:dyDescent="0.3">
      <c r="A1806" t="str">
        <f>""</f>
        <v/>
      </c>
      <c r="F1806" t="str">
        <f>""</f>
        <v/>
      </c>
      <c r="G1806" t="str">
        <f>""</f>
        <v/>
      </c>
      <c r="I1806" t="str">
        <f t="shared" si="21"/>
        <v>GUARDIAN</v>
      </c>
    </row>
    <row r="1807" spans="1:9" x14ac:dyDescent="0.3">
      <c r="A1807" t="str">
        <f>""</f>
        <v/>
      </c>
      <c r="F1807" t="str">
        <f>""</f>
        <v/>
      </c>
      <c r="G1807" t="str">
        <f>""</f>
        <v/>
      </c>
      <c r="I1807" t="str">
        <f t="shared" si="21"/>
        <v>GUARDIAN</v>
      </c>
    </row>
    <row r="1808" spans="1:9" x14ac:dyDescent="0.3">
      <c r="A1808" t="str">
        <f>""</f>
        <v/>
      </c>
      <c r="F1808" t="str">
        <f>""</f>
        <v/>
      </c>
      <c r="G1808" t="str">
        <f>""</f>
        <v/>
      </c>
      <c r="I1808" t="str">
        <f t="shared" si="21"/>
        <v>GUARDIAN</v>
      </c>
    </row>
    <row r="1809" spans="1:9" x14ac:dyDescent="0.3">
      <c r="A1809" t="str">
        <f>""</f>
        <v/>
      </c>
      <c r="F1809" t="str">
        <f>""</f>
        <v/>
      </c>
      <c r="G1809" t="str">
        <f>""</f>
        <v/>
      </c>
      <c r="I1809" t="str">
        <f t="shared" si="21"/>
        <v>GUARDIAN</v>
      </c>
    </row>
    <row r="1810" spans="1:9" x14ac:dyDescent="0.3">
      <c r="A1810" t="str">
        <f>""</f>
        <v/>
      </c>
      <c r="F1810" t="str">
        <f>""</f>
        <v/>
      </c>
      <c r="G1810" t="str">
        <f>""</f>
        <v/>
      </c>
      <c r="I1810" t="str">
        <f t="shared" si="21"/>
        <v>GUARDIAN</v>
      </c>
    </row>
    <row r="1811" spans="1:9" x14ac:dyDescent="0.3">
      <c r="A1811" t="str">
        <f>""</f>
        <v/>
      </c>
      <c r="F1811" t="str">
        <f>""</f>
        <v/>
      </c>
      <c r="G1811" t="str">
        <f>""</f>
        <v/>
      </c>
      <c r="I1811" t="str">
        <f t="shared" si="21"/>
        <v>GUARDIAN</v>
      </c>
    </row>
    <row r="1812" spans="1:9" x14ac:dyDescent="0.3">
      <c r="A1812" t="str">
        <f>""</f>
        <v/>
      </c>
      <c r="F1812" t="str">
        <f>""</f>
        <v/>
      </c>
      <c r="G1812" t="str">
        <f>""</f>
        <v/>
      </c>
      <c r="I1812" t="str">
        <f t="shared" si="21"/>
        <v>GUARDIAN</v>
      </c>
    </row>
    <row r="1813" spans="1:9" x14ac:dyDescent="0.3">
      <c r="A1813" t="str">
        <f>""</f>
        <v/>
      </c>
      <c r="F1813" t="str">
        <f>""</f>
        <v/>
      </c>
      <c r="G1813" t="str">
        <f>""</f>
        <v/>
      </c>
      <c r="I1813" t="str">
        <f t="shared" si="21"/>
        <v>GUARDIAN</v>
      </c>
    </row>
    <row r="1814" spans="1:9" x14ac:dyDescent="0.3">
      <c r="A1814" t="str">
        <f>""</f>
        <v/>
      </c>
      <c r="F1814" t="str">
        <f>""</f>
        <v/>
      </c>
      <c r="G1814" t="str">
        <f>""</f>
        <v/>
      </c>
      <c r="I1814" t="str">
        <f t="shared" si="21"/>
        <v>GUARDIAN</v>
      </c>
    </row>
    <row r="1815" spans="1:9" x14ac:dyDescent="0.3">
      <c r="A1815" t="str">
        <f>""</f>
        <v/>
      </c>
      <c r="F1815" t="str">
        <f>""</f>
        <v/>
      </c>
      <c r="G1815" t="str">
        <f>""</f>
        <v/>
      </c>
      <c r="I1815" t="str">
        <f t="shared" si="21"/>
        <v>GUARDIAN</v>
      </c>
    </row>
    <row r="1816" spans="1:9" x14ac:dyDescent="0.3">
      <c r="A1816" t="str">
        <f>""</f>
        <v/>
      </c>
      <c r="F1816" t="str">
        <f>""</f>
        <v/>
      </c>
      <c r="G1816" t="str">
        <f>""</f>
        <v/>
      </c>
      <c r="I1816" t="str">
        <f t="shared" si="21"/>
        <v>GUARDIAN</v>
      </c>
    </row>
    <row r="1817" spans="1:9" x14ac:dyDescent="0.3">
      <c r="A1817" t="str">
        <f>""</f>
        <v/>
      </c>
      <c r="F1817" t="str">
        <f>""</f>
        <v/>
      </c>
      <c r="G1817" t="str">
        <f>""</f>
        <v/>
      </c>
      <c r="I1817" t="str">
        <f t="shared" si="21"/>
        <v>GUARDIAN</v>
      </c>
    </row>
    <row r="1818" spans="1:9" x14ac:dyDescent="0.3">
      <c r="A1818" t="str">
        <f>""</f>
        <v/>
      </c>
      <c r="F1818" t="str">
        <f>""</f>
        <v/>
      </c>
      <c r="G1818" t="str">
        <f>""</f>
        <v/>
      </c>
      <c r="I1818" t="str">
        <f t="shared" si="21"/>
        <v>GUARDIAN</v>
      </c>
    </row>
    <row r="1819" spans="1:9" x14ac:dyDescent="0.3">
      <c r="A1819" t="str">
        <f>""</f>
        <v/>
      </c>
      <c r="F1819" t="str">
        <f>""</f>
        <v/>
      </c>
      <c r="G1819" t="str">
        <f>""</f>
        <v/>
      </c>
      <c r="I1819" t="str">
        <f t="shared" si="21"/>
        <v>GUARDIAN</v>
      </c>
    </row>
    <row r="1820" spans="1:9" x14ac:dyDescent="0.3">
      <c r="A1820" t="str">
        <f>""</f>
        <v/>
      </c>
      <c r="F1820" t="str">
        <f>""</f>
        <v/>
      </c>
      <c r="G1820" t="str">
        <f>""</f>
        <v/>
      </c>
      <c r="I1820" t="str">
        <f t="shared" si="21"/>
        <v>GUARDIAN</v>
      </c>
    </row>
    <row r="1821" spans="1:9" x14ac:dyDescent="0.3">
      <c r="A1821" t="str">
        <f>""</f>
        <v/>
      </c>
      <c r="F1821" t="str">
        <f>""</f>
        <v/>
      </c>
      <c r="G1821" t="str">
        <f>""</f>
        <v/>
      </c>
      <c r="I1821" t="str">
        <f t="shared" si="21"/>
        <v>GUARDIAN</v>
      </c>
    </row>
    <row r="1822" spans="1:9" x14ac:dyDescent="0.3">
      <c r="A1822" t="str">
        <f>""</f>
        <v/>
      </c>
      <c r="F1822" t="str">
        <f>"GDF201709064604"</f>
        <v>GDF201709064604</v>
      </c>
      <c r="G1822" t="str">
        <f>"GUARDIAN"</f>
        <v>GUARDIAN</v>
      </c>
      <c r="H1822" s="2">
        <v>96.56</v>
      </c>
      <c r="I1822" t="str">
        <f t="shared" si="21"/>
        <v>GUARDIAN</v>
      </c>
    </row>
    <row r="1823" spans="1:9" x14ac:dyDescent="0.3">
      <c r="A1823" t="str">
        <f>""</f>
        <v/>
      </c>
      <c r="F1823" t="str">
        <f>""</f>
        <v/>
      </c>
      <c r="G1823" t="str">
        <f>""</f>
        <v/>
      </c>
      <c r="I1823" t="str">
        <f t="shared" si="21"/>
        <v>GUARDIAN</v>
      </c>
    </row>
    <row r="1824" spans="1:9" x14ac:dyDescent="0.3">
      <c r="A1824" t="str">
        <f>""</f>
        <v/>
      </c>
      <c r="F1824" t="str">
        <f>"GDF201709205019"</f>
        <v>GDF201709205019</v>
      </c>
      <c r="G1824" t="str">
        <f>"GUARDIAN"</f>
        <v>GUARDIAN</v>
      </c>
      <c r="H1824" s="2">
        <v>2076.04</v>
      </c>
      <c r="I1824" t="str">
        <f t="shared" si="21"/>
        <v>GUARDIAN</v>
      </c>
    </row>
    <row r="1825" spans="1:9" x14ac:dyDescent="0.3">
      <c r="A1825" t="str">
        <f>""</f>
        <v/>
      </c>
      <c r="F1825" t="str">
        <f>""</f>
        <v/>
      </c>
      <c r="G1825" t="str">
        <f>""</f>
        <v/>
      </c>
      <c r="I1825" t="str">
        <f t="shared" si="21"/>
        <v>GUARDIAN</v>
      </c>
    </row>
    <row r="1826" spans="1:9" x14ac:dyDescent="0.3">
      <c r="A1826" t="str">
        <f>""</f>
        <v/>
      </c>
      <c r="F1826" t="str">
        <f>""</f>
        <v/>
      </c>
      <c r="G1826" t="str">
        <f>""</f>
        <v/>
      </c>
      <c r="I1826" t="str">
        <f t="shared" si="21"/>
        <v>GUARDIAN</v>
      </c>
    </row>
    <row r="1827" spans="1:9" x14ac:dyDescent="0.3">
      <c r="A1827" t="str">
        <f>""</f>
        <v/>
      </c>
      <c r="F1827" t="str">
        <f>""</f>
        <v/>
      </c>
      <c r="G1827" t="str">
        <f>""</f>
        <v/>
      </c>
      <c r="I1827" t="str">
        <f t="shared" si="21"/>
        <v>GUARDIAN</v>
      </c>
    </row>
    <row r="1828" spans="1:9" x14ac:dyDescent="0.3">
      <c r="A1828" t="str">
        <f>""</f>
        <v/>
      </c>
      <c r="F1828" t="str">
        <f>""</f>
        <v/>
      </c>
      <c r="G1828" t="str">
        <f>""</f>
        <v/>
      </c>
      <c r="I1828" t="str">
        <f t="shared" si="21"/>
        <v>GUARDIAN</v>
      </c>
    </row>
    <row r="1829" spans="1:9" x14ac:dyDescent="0.3">
      <c r="A1829" t="str">
        <f>""</f>
        <v/>
      </c>
      <c r="F1829" t="str">
        <f>""</f>
        <v/>
      </c>
      <c r="G1829" t="str">
        <f>""</f>
        <v/>
      </c>
      <c r="I1829" t="str">
        <f t="shared" si="21"/>
        <v>GUARDIAN</v>
      </c>
    </row>
    <row r="1830" spans="1:9" x14ac:dyDescent="0.3">
      <c r="A1830" t="str">
        <f>""</f>
        <v/>
      </c>
      <c r="F1830" t="str">
        <f>""</f>
        <v/>
      </c>
      <c r="G1830" t="str">
        <f>""</f>
        <v/>
      </c>
      <c r="I1830" t="str">
        <f t="shared" ref="I1830:I1893" si="22">"GUARDIAN"</f>
        <v>GUARDIAN</v>
      </c>
    </row>
    <row r="1831" spans="1:9" x14ac:dyDescent="0.3">
      <c r="A1831" t="str">
        <f>""</f>
        <v/>
      </c>
      <c r="F1831" t="str">
        <f>""</f>
        <v/>
      </c>
      <c r="G1831" t="str">
        <f>""</f>
        <v/>
      </c>
      <c r="I1831" t="str">
        <f t="shared" si="22"/>
        <v>GUARDIAN</v>
      </c>
    </row>
    <row r="1832" spans="1:9" x14ac:dyDescent="0.3">
      <c r="A1832" t="str">
        <f>""</f>
        <v/>
      </c>
      <c r="F1832" t="str">
        <f>""</f>
        <v/>
      </c>
      <c r="G1832" t="str">
        <f>""</f>
        <v/>
      </c>
      <c r="I1832" t="str">
        <f t="shared" si="22"/>
        <v>GUARDIAN</v>
      </c>
    </row>
    <row r="1833" spans="1:9" x14ac:dyDescent="0.3">
      <c r="A1833" t="str">
        <f>""</f>
        <v/>
      </c>
      <c r="F1833" t="str">
        <f>""</f>
        <v/>
      </c>
      <c r="G1833" t="str">
        <f>""</f>
        <v/>
      </c>
      <c r="I1833" t="str">
        <f t="shared" si="22"/>
        <v>GUARDIAN</v>
      </c>
    </row>
    <row r="1834" spans="1:9" x14ac:dyDescent="0.3">
      <c r="A1834" t="str">
        <f>""</f>
        <v/>
      </c>
      <c r="F1834" t="str">
        <f>""</f>
        <v/>
      </c>
      <c r="G1834" t="str">
        <f>""</f>
        <v/>
      </c>
      <c r="I1834" t="str">
        <f t="shared" si="22"/>
        <v>GUARDIAN</v>
      </c>
    </row>
    <row r="1835" spans="1:9" x14ac:dyDescent="0.3">
      <c r="A1835" t="str">
        <f>""</f>
        <v/>
      </c>
      <c r="F1835" t="str">
        <f>""</f>
        <v/>
      </c>
      <c r="G1835" t="str">
        <f>""</f>
        <v/>
      </c>
      <c r="I1835" t="str">
        <f t="shared" si="22"/>
        <v>GUARDIAN</v>
      </c>
    </row>
    <row r="1836" spans="1:9" x14ac:dyDescent="0.3">
      <c r="A1836" t="str">
        <f>""</f>
        <v/>
      </c>
      <c r="F1836" t="str">
        <f>""</f>
        <v/>
      </c>
      <c r="G1836" t="str">
        <f>""</f>
        <v/>
      </c>
      <c r="I1836" t="str">
        <f t="shared" si="22"/>
        <v>GUARDIAN</v>
      </c>
    </row>
    <row r="1837" spans="1:9" x14ac:dyDescent="0.3">
      <c r="A1837" t="str">
        <f>""</f>
        <v/>
      </c>
      <c r="F1837" t="str">
        <f>""</f>
        <v/>
      </c>
      <c r="G1837" t="str">
        <f>""</f>
        <v/>
      </c>
      <c r="I1837" t="str">
        <f t="shared" si="22"/>
        <v>GUARDIAN</v>
      </c>
    </row>
    <row r="1838" spans="1:9" x14ac:dyDescent="0.3">
      <c r="A1838" t="str">
        <f>""</f>
        <v/>
      </c>
      <c r="F1838" t="str">
        <f>""</f>
        <v/>
      </c>
      <c r="G1838" t="str">
        <f>""</f>
        <v/>
      </c>
      <c r="I1838" t="str">
        <f t="shared" si="22"/>
        <v>GUARDIAN</v>
      </c>
    </row>
    <row r="1839" spans="1:9" x14ac:dyDescent="0.3">
      <c r="A1839" t="str">
        <f>""</f>
        <v/>
      </c>
      <c r="F1839" t="str">
        <f>""</f>
        <v/>
      </c>
      <c r="G1839" t="str">
        <f>""</f>
        <v/>
      </c>
      <c r="I1839" t="str">
        <f t="shared" si="22"/>
        <v>GUARDIAN</v>
      </c>
    </row>
    <row r="1840" spans="1:9" x14ac:dyDescent="0.3">
      <c r="A1840" t="str">
        <f>""</f>
        <v/>
      </c>
      <c r="F1840" t="str">
        <f>""</f>
        <v/>
      </c>
      <c r="G1840" t="str">
        <f>""</f>
        <v/>
      </c>
      <c r="I1840" t="str">
        <f t="shared" si="22"/>
        <v>GUARDIAN</v>
      </c>
    </row>
    <row r="1841" spans="1:9" x14ac:dyDescent="0.3">
      <c r="A1841" t="str">
        <f>""</f>
        <v/>
      </c>
      <c r="F1841" t="str">
        <f>""</f>
        <v/>
      </c>
      <c r="G1841" t="str">
        <f>""</f>
        <v/>
      </c>
      <c r="I1841" t="str">
        <f t="shared" si="22"/>
        <v>GUARDIAN</v>
      </c>
    </row>
    <row r="1842" spans="1:9" x14ac:dyDescent="0.3">
      <c r="A1842" t="str">
        <f>""</f>
        <v/>
      </c>
      <c r="F1842" t="str">
        <f>""</f>
        <v/>
      </c>
      <c r="G1842" t="str">
        <f>""</f>
        <v/>
      </c>
      <c r="I1842" t="str">
        <f t="shared" si="22"/>
        <v>GUARDIAN</v>
      </c>
    </row>
    <row r="1843" spans="1:9" x14ac:dyDescent="0.3">
      <c r="A1843" t="str">
        <f>""</f>
        <v/>
      </c>
      <c r="F1843" t="str">
        <f>""</f>
        <v/>
      </c>
      <c r="G1843" t="str">
        <f>""</f>
        <v/>
      </c>
      <c r="I1843" t="str">
        <f t="shared" si="22"/>
        <v>GUARDIAN</v>
      </c>
    </row>
    <row r="1844" spans="1:9" x14ac:dyDescent="0.3">
      <c r="A1844" t="str">
        <f>""</f>
        <v/>
      </c>
      <c r="F1844" t="str">
        <f>""</f>
        <v/>
      </c>
      <c r="G1844" t="str">
        <f>""</f>
        <v/>
      </c>
      <c r="I1844" t="str">
        <f t="shared" si="22"/>
        <v>GUARDIAN</v>
      </c>
    </row>
    <row r="1845" spans="1:9" x14ac:dyDescent="0.3">
      <c r="A1845" t="str">
        <f>""</f>
        <v/>
      </c>
      <c r="F1845" t="str">
        <f>""</f>
        <v/>
      </c>
      <c r="G1845" t="str">
        <f>""</f>
        <v/>
      </c>
      <c r="I1845" t="str">
        <f t="shared" si="22"/>
        <v>GUARDIAN</v>
      </c>
    </row>
    <row r="1846" spans="1:9" x14ac:dyDescent="0.3">
      <c r="A1846" t="str">
        <f>""</f>
        <v/>
      </c>
      <c r="F1846" t="str">
        <f>""</f>
        <v/>
      </c>
      <c r="G1846" t="str">
        <f>""</f>
        <v/>
      </c>
      <c r="I1846" t="str">
        <f t="shared" si="22"/>
        <v>GUARDIAN</v>
      </c>
    </row>
    <row r="1847" spans="1:9" x14ac:dyDescent="0.3">
      <c r="A1847" t="str">
        <f>""</f>
        <v/>
      </c>
      <c r="F1847" t="str">
        <f>""</f>
        <v/>
      </c>
      <c r="G1847" t="str">
        <f>""</f>
        <v/>
      </c>
      <c r="I1847" t="str">
        <f t="shared" si="22"/>
        <v>GUARDIAN</v>
      </c>
    </row>
    <row r="1848" spans="1:9" x14ac:dyDescent="0.3">
      <c r="A1848" t="str">
        <f>""</f>
        <v/>
      </c>
      <c r="F1848" t="str">
        <f>""</f>
        <v/>
      </c>
      <c r="G1848" t="str">
        <f>""</f>
        <v/>
      </c>
      <c r="I1848" t="str">
        <f t="shared" si="22"/>
        <v>GUARDIAN</v>
      </c>
    </row>
    <row r="1849" spans="1:9" x14ac:dyDescent="0.3">
      <c r="A1849" t="str">
        <f>""</f>
        <v/>
      </c>
      <c r="F1849" t="str">
        <f>"GDF201709205020"</f>
        <v>GDF201709205020</v>
      </c>
      <c r="G1849" t="str">
        <f>"GUARDIAN"</f>
        <v>GUARDIAN</v>
      </c>
      <c r="H1849" s="2">
        <v>96.56</v>
      </c>
      <c r="I1849" t="str">
        <f t="shared" si="22"/>
        <v>GUARDIAN</v>
      </c>
    </row>
    <row r="1850" spans="1:9" x14ac:dyDescent="0.3">
      <c r="A1850" t="str">
        <f>""</f>
        <v/>
      </c>
      <c r="F1850" t="str">
        <f>""</f>
        <v/>
      </c>
      <c r="G1850" t="str">
        <f>""</f>
        <v/>
      </c>
      <c r="I1850" t="str">
        <f t="shared" si="22"/>
        <v>GUARDIAN</v>
      </c>
    </row>
    <row r="1851" spans="1:9" x14ac:dyDescent="0.3">
      <c r="A1851" t="str">
        <f>""</f>
        <v/>
      </c>
      <c r="F1851" t="str">
        <f>"GDS201709064584"</f>
        <v>GDS201709064584</v>
      </c>
      <c r="G1851" t="str">
        <f>"GUARDIAN"</f>
        <v>GUARDIAN</v>
      </c>
      <c r="H1851" s="2">
        <v>1848.84</v>
      </c>
      <c r="I1851" t="str">
        <f t="shared" si="22"/>
        <v>GUARDIAN</v>
      </c>
    </row>
    <row r="1852" spans="1:9" x14ac:dyDescent="0.3">
      <c r="A1852" t="str">
        <f>""</f>
        <v/>
      </c>
      <c r="F1852" t="str">
        <f>""</f>
        <v/>
      </c>
      <c r="G1852" t="str">
        <f>""</f>
        <v/>
      </c>
      <c r="I1852" t="str">
        <f t="shared" si="22"/>
        <v>GUARDIAN</v>
      </c>
    </row>
    <row r="1853" spans="1:9" x14ac:dyDescent="0.3">
      <c r="A1853" t="str">
        <f>""</f>
        <v/>
      </c>
      <c r="F1853" t="str">
        <f>""</f>
        <v/>
      </c>
      <c r="G1853" t="str">
        <f>""</f>
        <v/>
      </c>
      <c r="I1853" t="str">
        <f t="shared" si="22"/>
        <v>GUARDIAN</v>
      </c>
    </row>
    <row r="1854" spans="1:9" x14ac:dyDescent="0.3">
      <c r="A1854" t="str">
        <f>""</f>
        <v/>
      </c>
      <c r="F1854" t="str">
        <f>""</f>
        <v/>
      </c>
      <c r="G1854" t="str">
        <f>""</f>
        <v/>
      </c>
      <c r="I1854" t="str">
        <f t="shared" si="22"/>
        <v>GUARDIAN</v>
      </c>
    </row>
    <row r="1855" spans="1:9" x14ac:dyDescent="0.3">
      <c r="A1855" t="str">
        <f>""</f>
        <v/>
      </c>
      <c r="F1855" t="str">
        <f>""</f>
        <v/>
      </c>
      <c r="G1855" t="str">
        <f>""</f>
        <v/>
      </c>
      <c r="I1855" t="str">
        <f t="shared" si="22"/>
        <v>GUARDIAN</v>
      </c>
    </row>
    <row r="1856" spans="1:9" x14ac:dyDescent="0.3">
      <c r="A1856" t="str">
        <f>""</f>
        <v/>
      </c>
      <c r="F1856" t="str">
        <f>""</f>
        <v/>
      </c>
      <c r="G1856" t="str">
        <f>""</f>
        <v/>
      </c>
      <c r="I1856" t="str">
        <f t="shared" si="22"/>
        <v>GUARDIAN</v>
      </c>
    </row>
    <row r="1857" spans="1:9" x14ac:dyDescent="0.3">
      <c r="A1857" t="str">
        <f>""</f>
        <v/>
      </c>
      <c r="F1857" t="str">
        <f>""</f>
        <v/>
      </c>
      <c r="G1857" t="str">
        <f>""</f>
        <v/>
      </c>
      <c r="I1857" t="str">
        <f t="shared" si="22"/>
        <v>GUARDIAN</v>
      </c>
    </row>
    <row r="1858" spans="1:9" x14ac:dyDescent="0.3">
      <c r="A1858" t="str">
        <f>""</f>
        <v/>
      </c>
      <c r="F1858" t="str">
        <f>""</f>
        <v/>
      </c>
      <c r="G1858" t="str">
        <f>""</f>
        <v/>
      </c>
      <c r="I1858" t="str">
        <f t="shared" si="22"/>
        <v>GUARDIAN</v>
      </c>
    </row>
    <row r="1859" spans="1:9" x14ac:dyDescent="0.3">
      <c r="A1859" t="str">
        <f>""</f>
        <v/>
      </c>
      <c r="F1859" t="str">
        <f>""</f>
        <v/>
      </c>
      <c r="G1859" t="str">
        <f>""</f>
        <v/>
      </c>
      <c r="I1859" t="str">
        <f t="shared" si="22"/>
        <v>GUARDIAN</v>
      </c>
    </row>
    <row r="1860" spans="1:9" x14ac:dyDescent="0.3">
      <c r="A1860" t="str">
        <f>""</f>
        <v/>
      </c>
      <c r="F1860" t="str">
        <f>""</f>
        <v/>
      </c>
      <c r="G1860" t="str">
        <f>""</f>
        <v/>
      </c>
      <c r="I1860" t="str">
        <f t="shared" si="22"/>
        <v>GUARDIAN</v>
      </c>
    </row>
    <row r="1861" spans="1:9" x14ac:dyDescent="0.3">
      <c r="A1861" t="str">
        <f>""</f>
        <v/>
      </c>
      <c r="F1861" t="str">
        <f>""</f>
        <v/>
      </c>
      <c r="G1861" t="str">
        <f>""</f>
        <v/>
      </c>
      <c r="I1861" t="str">
        <f t="shared" si="22"/>
        <v>GUARDIAN</v>
      </c>
    </row>
    <row r="1862" spans="1:9" x14ac:dyDescent="0.3">
      <c r="A1862" t="str">
        <f>""</f>
        <v/>
      </c>
      <c r="F1862" t="str">
        <f>""</f>
        <v/>
      </c>
      <c r="G1862" t="str">
        <f>""</f>
        <v/>
      </c>
      <c r="I1862" t="str">
        <f t="shared" si="22"/>
        <v>GUARDIAN</v>
      </c>
    </row>
    <row r="1863" spans="1:9" x14ac:dyDescent="0.3">
      <c r="A1863" t="str">
        <f>""</f>
        <v/>
      </c>
      <c r="F1863" t="str">
        <f>""</f>
        <v/>
      </c>
      <c r="G1863" t="str">
        <f>""</f>
        <v/>
      </c>
      <c r="I1863" t="str">
        <f t="shared" si="22"/>
        <v>GUARDIAN</v>
      </c>
    </row>
    <row r="1864" spans="1:9" x14ac:dyDescent="0.3">
      <c r="A1864" t="str">
        <f>""</f>
        <v/>
      </c>
      <c r="F1864" t="str">
        <f>""</f>
        <v/>
      </c>
      <c r="G1864" t="str">
        <f>""</f>
        <v/>
      </c>
      <c r="I1864" t="str">
        <f t="shared" si="22"/>
        <v>GUARDIAN</v>
      </c>
    </row>
    <row r="1865" spans="1:9" x14ac:dyDescent="0.3">
      <c r="A1865" t="str">
        <f>""</f>
        <v/>
      </c>
      <c r="F1865" t="str">
        <f>""</f>
        <v/>
      </c>
      <c r="G1865" t="str">
        <f>""</f>
        <v/>
      </c>
      <c r="I1865" t="str">
        <f t="shared" si="22"/>
        <v>GUARDIAN</v>
      </c>
    </row>
    <row r="1866" spans="1:9" x14ac:dyDescent="0.3">
      <c r="A1866" t="str">
        <f>""</f>
        <v/>
      </c>
      <c r="F1866" t="str">
        <f>""</f>
        <v/>
      </c>
      <c r="G1866" t="str">
        <f>""</f>
        <v/>
      </c>
      <c r="I1866" t="str">
        <f t="shared" si="22"/>
        <v>GUARDIAN</v>
      </c>
    </row>
    <row r="1867" spans="1:9" x14ac:dyDescent="0.3">
      <c r="A1867" t="str">
        <f>""</f>
        <v/>
      </c>
      <c r="F1867" t="str">
        <f>""</f>
        <v/>
      </c>
      <c r="G1867" t="str">
        <f>""</f>
        <v/>
      </c>
      <c r="I1867" t="str">
        <f t="shared" si="22"/>
        <v>GUARDIAN</v>
      </c>
    </row>
    <row r="1868" spans="1:9" x14ac:dyDescent="0.3">
      <c r="A1868" t="str">
        <f>""</f>
        <v/>
      </c>
      <c r="F1868" t="str">
        <f>""</f>
        <v/>
      </c>
      <c r="G1868" t="str">
        <f>""</f>
        <v/>
      </c>
      <c r="I1868" t="str">
        <f t="shared" si="22"/>
        <v>GUARDIAN</v>
      </c>
    </row>
    <row r="1869" spans="1:9" x14ac:dyDescent="0.3">
      <c r="A1869" t="str">
        <f>""</f>
        <v/>
      </c>
      <c r="F1869" t="str">
        <f>""</f>
        <v/>
      </c>
      <c r="G1869" t="str">
        <f>""</f>
        <v/>
      </c>
      <c r="I1869" t="str">
        <f t="shared" si="22"/>
        <v>GUARDIAN</v>
      </c>
    </row>
    <row r="1870" spans="1:9" x14ac:dyDescent="0.3">
      <c r="A1870" t="str">
        <f>""</f>
        <v/>
      </c>
      <c r="F1870" t="str">
        <f>""</f>
        <v/>
      </c>
      <c r="G1870" t="str">
        <f>""</f>
        <v/>
      </c>
      <c r="I1870" t="str">
        <f t="shared" si="22"/>
        <v>GUARDIAN</v>
      </c>
    </row>
    <row r="1871" spans="1:9" x14ac:dyDescent="0.3">
      <c r="A1871" t="str">
        <f>""</f>
        <v/>
      </c>
      <c r="F1871" t="str">
        <f>""</f>
        <v/>
      </c>
      <c r="G1871" t="str">
        <f>""</f>
        <v/>
      </c>
      <c r="I1871" t="str">
        <f t="shared" si="22"/>
        <v>GUARDIAN</v>
      </c>
    </row>
    <row r="1872" spans="1:9" x14ac:dyDescent="0.3">
      <c r="A1872" t="str">
        <f>""</f>
        <v/>
      </c>
      <c r="F1872" t="str">
        <f>""</f>
        <v/>
      </c>
      <c r="G1872" t="str">
        <f>""</f>
        <v/>
      </c>
      <c r="I1872" t="str">
        <f t="shared" si="22"/>
        <v>GUARDIAN</v>
      </c>
    </row>
    <row r="1873" spans="1:9" x14ac:dyDescent="0.3">
      <c r="A1873" t="str">
        <f>""</f>
        <v/>
      </c>
      <c r="F1873" t="str">
        <f>""</f>
        <v/>
      </c>
      <c r="G1873" t="str">
        <f>""</f>
        <v/>
      </c>
      <c r="I1873" t="str">
        <f t="shared" si="22"/>
        <v>GUARDIAN</v>
      </c>
    </row>
    <row r="1874" spans="1:9" x14ac:dyDescent="0.3">
      <c r="A1874" t="str">
        <f>""</f>
        <v/>
      </c>
      <c r="F1874" t="str">
        <f>""</f>
        <v/>
      </c>
      <c r="G1874" t="str">
        <f>""</f>
        <v/>
      </c>
      <c r="I1874" t="str">
        <f t="shared" si="22"/>
        <v>GUARDIAN</v>
      </c>
    </row>
    <row r="1875" spans="1:9" x14ac:dyDescent="0.3">
      <c r="A1875" t="str">
        <f>""</f>
        <v/>
      </c>
      <c r="F1875" t="str">
        <f>""</f>
        <v/>
      </c>
      <c r="G1875" t="str">
        <f>""</f>
        <v/>
      </c>
      <c r="I1875" t="str">
        <f t="shared" si="22"/>
        <v>GUARDIAN</v>
      </c>
    </row>
    <row r="1876" spans="1:9" x14ac:dyDescent="0.3">
      <c r="A1876" t="str">
        <f>""</f>
        <v/>
      </c>
      <c r="F1876" t="str">
        <f>""</f>
        <v/>
      </c>
      <c r="G1876" t="str">
        <f>""</f>
        <v/>
      </c>
      <c r="I1876" t="str">
        <f t="shared" si="22"/>
        <v>GUARDIAN</v>
      </c>
    </row>
    <row r="1877" spans="1:9" x14ac:dyDescent="0.3">
      <c r="A1877" t="str">
        <f>""</f>
        <v/>
      </c>
      <c r="F1877" t="str">
        <f>""</f>
        <v/>
      </c>
      <c r="G1877" t="str">
        <f>""</f>
        <v/>
      </c>
      <c r="I1877" t="str">
        <f t="shared" si="22"/>
        <v>GUARDIAN</v>
      </c>
    </row>
    <row r="1878" spans="1:9" x14ac:dyDescent="0.3">
      <c r="A1878" t="str">
        <f>""</f>
        <v/>
      </c>
      <c r="F1878" t="str">
        <f>""</f>
        <v/>
      </c>
      <c r="G1878" t="str">
        <f>""</f>
        <v/>
      </c>
      <c r="I1878" t="str">
        <f t="shared" si="22"/>
        <v>GUARDIAN</v>
      </c>
    </row>
    <row r="1879" spans="1:9" x14ac:dyDescent="0.3">
      <c r="A1879" t="str">
        <f>""</f>
        <v/>
      </c>
      <c r="F1879" t="str">
        <f>""</f>
        <v/>
      </c>
      <c r="G1879" t="str">
        <f>""</f>
        <v/>
      </c>
      <c r="I1879" t="str">
        <f t="shared" si="22"/>
        <v>GUARDIAN</v>
      </c>
    </row>
    <row r="1880" spans="1:9" x14ac:dyDescent="0.3">
      <c r="A1880" t="str">
        <f>""</f>
        <v/>
      </c>
      <c r="F1880" t="str">
        <f>""</f>
        <v/>
      </c>
      <c r="G1880" t="str">
        <f>""</f>
        <v/>
      </c>
      <c r="I1880" t="str">
        <f t="shared" si="22"/>
        <v>GUARDIAN</v>
      </c>
    </row>
    <row r="1881" spans="1:9" x14ac:dyDescent="0.3">
      <c r="A1881" t="str">
        <f>""</f>
        <v/>
      </c>
      <c r="F1881" t="str">
        <f>""</f>
        <v/>
      </c>
      <c r="G1881" t="str">
        <f>""</f>
        <v/>
      </c>
      <c r="I1881" t="str">
        <f t="shared" si="22"/>
        <v>GUARDIAN</v>
      </c>
    </row>
    <row r="1882" spans="1:9" x14ac:dyDescent="0.3">
      <c r="A1882" t="str">
        <f>""</f>
        <v/>
      </c>
      <c r="F1882" t="str">
        <f>"GDS201709205019"</f>
        <v>GDS201709205019</v>
      </c>
      <c r="G1882" t="str">
        <f>"GUARDIAN"</f>
        <v>GUARDIAN</v>
      </c>
      <c r="H1882" s="2">
        <v>1848.84</v>
      </c>
      <c r="I1882" t="str">
        <f t="shared" si="22"/>
        <v>GUARDIAN</v>
      </c>
    </row>
    <row r="1883" spans="1:9" x14ac:dyDescent="0.3">
      <c r="A1883" t="str">
        <f>""</f>
        <v/>
      </c>
      <c r="F1883" t="str">
        <f>""</f>
        <v/>
      </c>
      <c r="G1883" t="str">
        <f>""</f>
        <v/>
      </c>
      <c r="I1883" t="str">
        <f t="shared" si="22"/>
        <v>GUARDIAN</v>
      </c>
    </row>
    <row r="1884" spans="1:9" x14ac:dyDescent="0.3">
      <c r="A1884" t="str">
        <f>""</f>
        <v/>
      </c>
      <c r="F1884" t="str">
        <f>""</f>
        <v/>
      </c>
      <c r="G1884" t="str">
        <f>""</f>
        <v/>
      </c>
      <c r="I1884" t="str">
        <f t="shared" si="22"/>
        <v>GUARDIAN</v>
      </c>
    </row>
    <row r="1885" spans="1:9" x14ac:dyDescent="0.3">
      <c r="A1885" t="str">
        <f>""</f>
        <v/>
      </c>
      <c r="F1885" t="str">
        <f>""</f>
        <v/>
      </c>
      <c r="G1885" t="str">
        <f>""</f>
        <v/>
      </c>
      <c r="I1885" t="str">
        <f t="shared" si="22"/>
        <v>GUARDIAN</v>
      </c>
    </row>
    <row r="1886" spans="1:9" x14ac:dyDescent="0.3">
      <c r="A1886" t="str">
        <f>""</f>
        <v/>
      </c>
      <c r="F1886" t="str">
        <f>""</f>
        <v/>
      </c>
      <c r="G1886" t="str">
        <f>""</f>
        <v/>
      </c>
      <c r="I1886" t="str">
        <f t="shared" si="22"/>
        <v>GUARDIAN</v>
      </c>
    </row>
    <row r="1887" spans="1:9" x14ac:dyDescent="0.3">
      <c r="A1887" t="str">
        <f>""</f>
        <v/>
      </c>
      <c r="F1887" t="str">
        <f>""</f>
        <v/>
      </c>
      <c r="G1887" t="str">
        <f>""</f>
        <v/>
      </c>
      <c r="I1887" t="str">
        <f t="shared" si="22"/>
        <v>GUARDIAN</v>
      </c>
    </row>
    <row r="1888" spans="1:9" x14ac:dyDescent="0.3">
      <c r="A1888" t="str">
        <f>""</f>
        <v/>
      </c>
      <c r="F1888" t="str">
        <f>""</f>
        <v/>
      </c>
      <c r="G1888" t="str">
        <f>""</f>
        <v/>
      </c>
      <c r="I1888" t="str">
        <f t="shared" si="22"/>
        <v>GUARDIAN</v>
      </c>
    </row>
    <row r="1889" spans="1:9" x14ac:dyDescent="0.3">
      <c r="A1889" t="str">
        <f>""</f>
        <v/>
      </c>
      <c r="F1889" t="str">
        <f>""</f>
        <v/>
      </c>
      <c r="G1889" t="str">
        <f>""</f>
        <v/>
      </c>
      <c r="I1889" t="str">
        <f t="shared" si="22"/>
        <v>GUARDIAN</v>
      </c>
    </row>
    <row r="1890" spans="1:9" x14ac:dyDescent="0.3">
      <c r="A1890" t="str">
        <f>""</f>
        <v/>
      </c>
      <c r="F1890" t="str">
        <f>""</f>
        <v/>
      </c>
      <c r="G1890" t="str">
        <f>""</f>
        <v/>
      </c>
      <c r="I1890" t="str">
        <f t="shared" si="22"/>
        <v>GUARDIAN</v>
      </c>
    </row>
    <row r="1891" spans="1:9" x14ac:dyDescent="0.3">
      <c r="A1891" t="str">
        <f>""</f>
        <v/>
      </c>
      <c r="F1891" t="str">
        <f>""</f>
        <v/>
      </c>
      <c r="G1891" t="str">
        <f>""</f>
        <v/>
      </c>
      <c r="I1891" t="str">
        <f t="shared" si="22"/>
        <v>GUARDIAN</v>
      </c>
    </row>
    <row r="1892" spans="1:9" x14ac:dyDescent="0.3">
      <c r="A1892" t="str">
        <f>""</f>
        <v/>
      </c>
      <c r="F1892" t="str">
        <f>""</f>
        <v/>
      </c>
      <c r="G1892" t="str">
        <f>""</f>
        <v/>
      </c>
      <c r="I1892" t="str">
        <f t="shared" si="22"/>
        <v>GUARDIAN</v>
      </c>
    </row>
    <row r="1893" spans="1:9" x14ac:dyDescent="0.3">
      <c r="A1893" t="str">
        <f>""</f>
        <v/>
      </c>
      <c r="F1893" t="str">
        <f>""</f>
        <v/>
      </c>
      <c r="G1893" t="str">
        <f>""</f>
        <v/>
      </c>
      <c r="I1893" t="str">
        <f t="shared" si="22"/>
        <v>GUARDIAN</v>
      </c>
    </row>
    <row r="1894" spans="1:9" x14ac:dyDescent="0.3">
      <c r="A1894" t="str">
        <f>""</f>
        <v/>
      </c>
      <c r="F1894" t="str">
        <f>""</f>
        <v/>
      </c>
      <c r="G1894" t="str">
        <f>""</f>
        <v/>
      </c>
      <c r="I1894" t="str">
        <f t="shared" ref="I1894:I1912" si="23">"GUARDIAN"</f>
        <v>GUARDIAN</v>
      </c>
    </row>
    <row r="1895" spans="1:9" x14ac:dyDescent="0.3">
      <c r="A1895" t="str">
        <f>""</f>
        <v/>
      </c>
      <c r="F1895" t="str">
        <f>""</f>
        <v/>
      </c>
      <c r="G1895" t="str">
        <f>""</f>
        <v/>
      </c>
      <c r="I1895" t="str">
        <f t="shared" si="23"/>
        <v>GUARDIAN</v>
      </c>
    </row>
    <row r="1896" spans="1:9" x14ac:dyDescent="0.3">
      <c r="A1896" t="str">
        <f>""</f>
        <v/>
      </c>
      <c r="F1896" t="str">
        <f>""</f>
        <v/>
      </c>
      <c r="G1896" t="str">
        <f>""</f>
        <v/>
      </c>
      <c r="I1896" t="str">
        <f t="shared" si="23"/>
        <v>GUARDIAN</v>
      </c>
    </row>
    <row r="1897" spans="1:9" x14ac:dyDescent="0.3">
      <c r="A1897" t="str">
        <f>""</f>
        <v/>
      </c>
      <c r="F1897" t="str">
        <f>""</f>
        <v/>
      </c>
      <c r="G1897" t="str">
        <f>""</f>
        <v/>
      </c>
      <c r="I1897" t="str">
        <f t="shared" si="23"/>
        <v>GUARDIAN</v>
      </c>
    </row>
    <row r="1898" spans="1:9" x14ac:dyDescent="0.3">
      <c r="A1898" t="str">
        <f>""</f>
        <v/>
      </c>
      <c r="F1898" t="str">
        <f>""</f>
        <v/>
      </c>
      <c r="G1898" t="str">
        <f>""</f>
        <v/>
      </c>
      <c r="I1898" t="str">
        <f t="shared" si="23"/>
        <v>GUARDIAN</v>
      </c>
    </row>
    <row r="1899" spans="1:9" x14ac:dyDescent="0.3">
      <c r="A1899" t="str">
        <f>""</f>
        <v/>
      </c>
      <c r="F1899" t="str">
        <f>""</f>
        <v/>
      </c>
      <c r="G1899" t="str">
        <f>""</f>
        <v/>
      </c>
      <c r="I1899" t="str">
        <f t="shared" si="23"/>
        <v>GUARDIAN</v>
      </c>
    </row>
    <row r="1900" spans="1:9" x14ac:dyDescent="0.3">
      <c r="A1900" t="str">
        <f>""</f>
        <v/>
      </c>
      <c r="F1900" t="str">
        <f>""</f>
        <v/>
      </c>
      <c r="G1900" t="str">
        <f>""</f>
        <v/>
      </c>
      <c r="I1900" t="str">
        <f t="shared" si="23"/>
        <v>GUARDIAN</v>
      </c>
    </row>
    <row r="1901" spans="1:9" x14ac:dyDescent="0.3">
      <c r="A1901" t="str">
        <f>""</f>
        <v/>
      </c>
      <c r="F1901" t="str">
        <f>""</f>
        <v/>
      </c>
      <c r="G1901" t="str">
        <f>""</f>
        <v/>
      </c>
      <c r="I1901" t="str">
        <f t="shared" si="23"/>
        <v>GUARDIAN</v>
      </c>
    </row>
    <row r="1902" spans="1:9" x14ac:dyDescent="0.3">
      <c r="A1902" t="str">
        <f>""</f>
        <v/>
      </c>
      <c r="F1902" t="str">
        <f>""</f>
        <v/>
      </c>
      <c r="G1902" t="str">
        <f>""</f>
        <v/>
      </c>
      <c r="I1902" t="str">
        <f t="shared" si="23"/>
        <v>GUARDIAN</v>
      </c>
    </row>
    <row r="1903" spans="1:9" x14ac:dyDescent="0.3">
      <c r="A1903" t="str">
        <f>""</f>
        <v/>
      </c>
      <c r="F1903" t="str">
        <f>""</f>
        <v/>
      </c>
      <c r="G1903" t="str">
        <f>""</f>
        <v/>
      </c>
      <c r="I1903" t="str">
        <f t="shared" si="23"/>
        <v>GUARDIAN</v>
      </c>
    </row>
    <row r="1904" spans="1:9" x14ac:dyDescent="0.3">
      <c r="A1904" t="str">
        <f>""</f>
        <v/>
      </c>
      <c r="F1904" t="str">
        <f>""</f>
        <v/>
      </c>
      <c r="G1904" t="str">
        <f>""</f>
        <v/>
      </c>
      <c r="I1904" t="str">
        <f t="shared" si="23"/>
        <v>GUARDIAN</v>
      </c>
    </row>
    <row r="1905" spans="1:9" x14ac:dyDescent="0.3">
      <c r="A1905" t="str">
        <f>""</f>
        <v/>
      </c>
      <c r="F1905" t="str">
        <f>""</f>
        <v/>
      </c>
      <c r="G1905" t="str">
        <f>""</f>
        <v/>
      </c>
      <c r="I1905" t="str">
        <f t="shared" si="23"/>
        <v>GUARDIAN</v>
      </c>
    </row>
    <row r="1906" spans="1:9" x14ac:dyDescent="0.3">
      <c r="A1906" t="str">
        <f>""</f>
        <v/>
      </c>
      <c r="F1906" t="str">
        <f>""</f>
        <v/>
      </c>
      <c r="G1906" t="str">
        <f>""</f>
        <v/>
      </c>
      <c r="I1906" t="str">
        <f t="shared" si="23"/>
        <v>GUARDIAN</v>
      </c>
    </row>
    <row r="1907" spans="1:9" x14ac:dyDescent="0.3">
      <c r="A1907" t="str">
        <f>""</f>
        <v/>
      </c>
      <c r="F1907" t="str">
        <f>""</f>
        <v/>
      </c>
      <c r="G1907" t="str">
        <f>""</f>
        <v/>
      </c>
      <c r="I1907" t="str">
        <f t="shared" si="23"/>
        <v>GUARDIAN</v>
      </c>
    </row>
    <row r="1908" spans="1:9" x14ac:dyDescent="0.3">
      <c r="A1908" t="str">
        <f>""</f>
        <v/>
      </c>
      <c r="F1908" t="str">
        <f>""</f>
        <v/>
      </c>
      <c r="G1908" t="str">
        <f>""</f>
        <v/>
      </c>
      <c r="I1908" t="str">
        <f t="shared" si="23"/>
        <v>GUARDIAN</v>
      </c>
    </row>
    <row r="1909" spans="1:9" x14ac:dyDescent="0.3">
      <c r="A1909" t="str">
        <f>""</f>
        <v/>
      </c>
      <c r="F1909" t="str">
        <f>""</f>
        <v/>
      </c>
      <c r="G1909" t="str">
        <f>""</f>
        <v/>
      </c>
      <c r="I1909" t="str">
        <f t="shared" si="23"/>
        <v>GUARDIAN</v>
      </c>
    </row>
    <row r="1910" spans="1:9" x14ac:dyDescent="0.3">
      <c r="A1910" t="str">
        <f>""</f>
        <v/>
      </c>
      <c r="F1910" t="str">
        <f>""</f>
        <v/>
      </c>
      <c r="G1910" t="str">
        <f>""</f>
        <v/>
      </c>
      <c r="I1910" t="str">
        <f t="shared" si="23"/>
        <v>GUARDIAN</v>
      </c>
    </row>
    <row r="1911" spans="1:9" x14ac:dyDescent="0.3">
      <c r="A1911" t="str">
        <f>""</f>
        <v/>
      </c>
      <c r="F1911" t="str">
        <f>""</f>
        <v/>
      </c>
      <c r="G1911" t="str">
        <f>""</f>
        <v/>
      </c>
      <c r="I1911" t="str">
        <f t="shared" si="23"/>
        <v>GUARDIAN</v>
      </c>
    </row>
    <row r="1912" spans="1:9" x14ac:dyDescent="0.3">
      <c r="A1912" t="str">
        <f>""</f>
        <v/>
      </c>
      <c r="F1912" t="str">
        <f>""</f>
        <v/>
      </c>
      <c r="G1912" t="str">
        <f>""</f>
        <v/>
      </c>
      <c r="I1912" t="str">
        <f t="shared" si="23"/>
        <v>GUARDIAN</v>
      </c>
    </row>
    <row r="1913" spans="1:9" x14ac:dyDescent="0.3">
      <c r="A1913" t="str">
        <f>""</f>
        <v/>
      </c>
      <c r="F1913" t="str">
        <f>"GV1201709064584"</f>
        <v>GV1201709064584</v>
      </c>
      <c r="G1913" t="str">
        <f>"GUARDIAN VISION"</f>
        <v>GUARDIAN VISION</v>
      </c>
      <c r="H1913" s="2">
        <v>336</v>
      </c>
      <c r="I1913" t="str">
        <f>"GUARDIAN VISION"</f>
        <v>GUARDIAN VISION</v>
      </c>
    </row>
    <row r="1914" spans="1:9" x14ac:dyDescent="0.3">
      <c r="A1914" t="str">
        <f>""</f>
        <v/>
      </c>
      <c r="F1914" t="str">
        <f>"GV1201709064604"</f>
        <v>GV1201709064604</v>
      </c>
      <c r="G1914" t="str">
        <f>"GUARDIAN VISION"</f>
        <v>GUARDIAN VISION</v>
      </c>
      <c r="H1914" s="2">
        <v>5.6</v>
      </c>
      <c r="I1914" t="str">
        <f>"GUARDIAN VISION"</f>
        <v>GUARDIAN VISION</v>
      </c>
    </row>
    <row r="1915" spans="1:9" x14ac:dyDescent="0.3">
      <c r="A1915" t="str">
        <f>""</f>
        <v/>
      </c>
      <c r="F1915" t="str">
        <f>"GV1201709205019"</f>
        <v>GV1201709205019</v>
      </c>
      <c r="G1915" t="str">
        <f>"GUARDIAN VISION"</f>
        <v>GUARDIAN VISION</v>
      </c>
      <c r="H1915" s="2">
        <v>336</v>
      </c>
      <c r="I1915" t="str">
        <f>"GUARDIAN VISION"</f>
        <v>GUARDIAN VISION</v>
      </c>
    </row>
    <row r="1916" spans="1:9" x14ac:dyDescent="0.3">
      <c r="A1916" t="str">
        <f>""</f>
        <v/>
      </c>
      <c r="F1916" t="str">
        <f>"GV1201709205020"</f>
        <v>GV1201709205020</v>
      </c>
      <c r="G1916" t="str">
        <f>"GUARDIAN VISION"</f>
        <v>GUARDIAN VISION</v>
      </c>
      <c r="H1916" s="2">
        <v>5.6</v>
      </c>
      <c r="I1916" t="str">
        <f>"GUARDIAN VISION"</f>
        <v>GUARDIAN VISION</v>
      </c>
    </row>
    <row r="1917" spans="1:9" x14ac:dyDescent="0.3">
      <c r="A1917" t="str">
        <f>""</f>
        <v/>
      </c>
      <c r="F1917" t="str">
        <f>"GVE201709064584"</f>
        <v>GVE201709064584</v>
      </c>
      <c r="G1917" t="str">
        <f>"GUARDIAN VISION VENDOR"</f>
        <v>GUARDIAN VISION VENDOR</v>
      </c>
      <c r="H1917" s="2">
        <v>538.74</v>
      </c>
      <c r="I1917" t="str">
        <f>"GUARDIAN VISION VENDOR"</f>
        <v>GUARDIAN VISION VENDOR</v>
      </c>
    </row>
    <row r="1918" spans="1:9" x14ac:dyDescent="0.3">
      <c r="A1918" t="str">
        <f>""</f>
        <v/>
      </c>
      <c r="F1918" t="str">
        <f>"GVE201709064604"</f>
        <v>GVE201709064604</v>
      </c>
      <c r="G1918" t="str">
        <f>"GUARDIAN VISION VENDOR"</f>
        <v>GUARDIAN VISION VENDOR</v>
      </c>
      <c r="H1918" s="2">
        <v>18.45</v>
      </c>
      <c r="I1918" t="str">
        <f>"GUARDIAN VISION VENDOR"</f>
        <v>GUARDIAN VISION VENDOR</v>
      </c>
    </row>
    <row r="1919" spans="1:9" x14ac:dyDescent="0.3">
      <c r="A1919" t="str">
        <f>""</f>
        <v/>
      </c>
      <c r="F1919" t="str">
        <f>"GVE201709084855"</f>
        <v>GVE201709084855</v>
      </c>
      <c r="G1919" t="str">
        <f>"GUARDIAN VISION VENDOR"</f>
        <v>GUARDIAN VISION VENDOR</v>
      </c>
      <c r="H1919" s="2">
        <v>7.38</v>
      </c>
      <c r="I1919" t="str">
        <f>"GUARDIAN VISION VENDOR"</f>
        <v>GUARDIAN VISION VENDOR</v>
      </c>
    </row>
    <row r="1920" spans="1:9" x14ac:dyDescent="0.3">
      <c r="A1920" t="str">
        <f>""</f>
        <v/>
      </c>
      <c r="F1920" t="str">
        <f>"GVE201709205019"</f>
        <v>GVE201709205019</v>
      </c>
      <c r="G1920" t="str">
        <f>"GUARDIAN VISION VENDOR"</f>
        <v>GUARDIAN VISION VENDOR</v>
      </c>
      <c r="H1920" s="2">
        <v>523.98</v>
      </c>
      <c r="I1920" t="str">
        <f>"GUARDIAN VISION VENDOR"</f>
        <v>GUARDIAN VISION VENDOR</v>
      </c>
    </row>
    <row r="1921" spans="1:9" x14ac:dyDescent="0.3">
      <c r="A1921" t="str">
        <f>""</f>
        <v/>
      </c>
      <c r="F1921" t="str">
        <f>"GVE201709205020"</f>
        <v>GVE201709205020</v>
      </c>
      <c r="G1921" t="str">
        <f>"GUARDIAN VISION VENDOR"</f>
        <v>GUARDIAN VISION VENDOR</v>
      </c>
      <c r="H1921" s="2">
        <v>18.45</v>
      </c>
      <c r="I1921" t="str">
        <f>"GUARDIAN VISION VENDOR"</f>
        <v>GUARDIAN VISION VENDOR</v>
      </c>
    </row>
    <row r="1922" spans="1:9" x14ac:dyDescent="0.3">
      <c r="A1922" t="str">
        <f>""</f>
        <v/>
      </c>
      <c r="F1922" t="str">
        <f>"GVF201709064584"</f>
        <v>GVF201709064584</v>
      </c>
      <c r="G1922" t="str">
        <f>"GUARDIAN VISION"</f>
        <v>GUARDIAN VISION</v>
      </c>
      <c r="H1922" s="2">
        <v>472.8</v>
      </c>
      <c r="I1922" t="str">
        <f>"GUARDIAN VISION"</f>
        <v>GUARDIAN VISION</v>
      </c>
    </row>
    <row r="1923" spans="1:9" x14ac:dyDescent="0.3">
      <c r="A1923" t="str">
        <f>""</f>
        <v/>
      </c>
      <c r="F1923" t="str">
        <f>"GVF201709064604"</f>
        <v>GVF201709064604</v>
      </c>
      <c r="G1923" t="str">
        <f>"GUARDIAN VISION VENDOR"</f>
        <v>GUARDIAN VISION VENDOR</v>
      </c>
      <c r="H1923" s="2">
        <v>19.7</v>
      </c>
      <c r="I1923" t="str">
        <f>"GUARDIAN VISION VENDOR"</f>
        <v>GUARDIAN VISION VENDOR</v>
      </c>
    </row>
    <row r="1924" spans="1:9" x14ac:dyDescent="0.3">
      <c r="A1924" t="str">
        <f>""</f>
        <v/>
      </c>
      <c r="F1924" t="str">
        <f>"GVF201709205019"</f>
        <v>GVF201709205019</v>
      </c>
      <c r="G1924" t="str">
        <f>"GUARDIAN VISION"</f>
        <v>GUARDIAN VISION</v>
      </c>
      <c r="H1924" s="2">
        <v>472.8</v>
      </c>
      <c r="I1924" t="str">
        <f>"GUARDIAN VISION"</f>
        <v>GUARDIAN VISION</v>
      </c>
    </row>
    <row r="1925" spans="1:9" x14ac:dyDescent="0.3">
      <c r="A1925" t="str">
        <f>""</f>
        <v/>
      </c>
      <c r="F1925" t="str">
        <f>"GVF201709205020"</f>
        <v>GVF201709205020</v>
      </c>
      <c r="G1925" t="str">
        <f>"GUARDIAN VISION VENDOR"</f>
        <v>GUARDIAN VISION VENDOR</v>
      </c>
      <c r="H1925" s="2">
        <v>19.7</v>
      </c>
      <c r="I1925" t="str">
        <f>"GUARDIAN VISION VENDOR"</f>
        <v>GUARDIAN VISION VENDOR</v>
      </c>
    </row>
    <row r="1926" spans="1:9" x14ac:dyDescent="0.3">
      <c r="A1926" t="str">
        <f>""</f>
        <v/>
      </c>
      <c r="F1926" t="str">
        <f>"LIA201709064584"</f>
        <v>LIA201709064584</v>
      </c>
      <c r="G1926" t="str">
        <f>"GUARDIAN"</f>
        <v>GUARDIAN</v>
      </c>
      <c r="H1926" s="2">
        <v>107.2</v>
      </c>
      <c r="I1926" t="str">
        <f t="shared" ref="I1926:I1957" si="24">"GUARDIAN"</f>
        <v>GUARDIAN</v>
      </c>
    </row>
    <row r="1927" spans="1:9" x14ac:dyDescent="0.3">
      <c r="A1927" t="str">
        <f>""</f>
        <v/>
      </c>
      <c r="F1927" t="str">
        <f>""</f>
        <v/>
      </c>
      <c r="G1927" t="str">
        <f>""</f>
        <v/>
      </c>
      <c r="I1927" t="str">
        <f t="shared" si="24"/>
        <v>GUARDIAN</v>
      </c>
    </row>
    <row r="1928" spans="1:9" x14ac:dyDescent="0.3">
      <c r="A1928" t="str">
        <f>""</f>
        <v/>
      </c>
      <c r="F1928" t="str">
        <f>""</f>
        <v/>
      </c>
      <c r="G1928" t="str">
        <f>""</f>
        <v/>
      </c>
      <c r="I1928" t="str">
        <f t="shared" si="24"/>
        <v>GUARDIAN</v>
      </c>
    </row>
    <row r="1929" spans="1:9" x14ac:dyDescent="0.3">
      <c r="A1929" t="str">
        <f>""</f>
        <v/>
      </c>
      <c r="F1929" t="str">
        <f>""</f>
        <v/>
      </c>
      <c r="G1929" t="str">
        <f>""</f>
        <v/>
      </c>
      <c r="I1929" t="str">
        <f t="shared" si="24"/>
        <v>GUARDIAN</v>
      </c>
    </row>
    <row r="1930" spans="1:9" x14ac:dyDescent="0.3">
      <c r="A1930" t="str">
        <f>""</f>
        <v/>
      </c>
      <c r="F1930" t="str">
        <f>""</f>
        <v/>
      </c>
      <c r="G1930" t="str">
        <f>""</f>
        <v/>
      </c>
      <c r="I1930" t="str">
        <f t="shared" si="24"/>
        <v>GUARDIAN</v>
      </c>
    </row>
    <row r="1931" spans="1:9" x14ac:dyDescent="0.3">
      <c r="A1931" t="str">
        <f>""</f>
        <v/>
      </c>
      <c r="F1931" t="str">
        <f>""</f>
        <v/>
      </c>
      <c r="G1931" t="str">
        <f>""</f>
        <v/>
      </c>
      <c r="I1931" t="str">
        <f t="shared" si="24"/>
        <v>GUARDIAN</v>
      </c>
    </row>
    <row r="1932" spans="1:9" x14ac:dyDescent="0.3">
      <c r="A1932" t="str">
        <f>""</f>
        <v/>
      </c>
      <c r="F1932" t="str">
        <f>""</f>
        <v/>
      </c>
      <c r="G1932" t="str">
        <f>""</f>
        <v/>
      </c>
      <c r="I1932" t="str">
        <f t="shared" si="24"/>
        <v>GUARDIAN</v>
      </c>
    </row>
    <row r="1933" spans="1:9" x14ac:dyDescent="0.3">
      <c r="A1933" t="str">
        <f>""</f>
        <v/>
      </c>
      <c r="F1933" t="str">
        <f>""</f>
        <v/>
      </c>
      <c r="G1933" t="str">
        <f>""</f>
        <v/>
      </c>
      <c r="I1933" t="str">
        <f t="shared" si="24"/>
        <v>GUARDIAN</v>
      </c>
    </row>
    <row r="1934" spans="1:9" x14ac:dyDescent="0.3">
      <c r="A1934" t="str">
        <f>""</f>
        <v/>
      </c>
      <c r="F1934" t="str">
        <f>""</f>
        <v/>
      </c>
      <c r="G1934" t="str">
        <f>""</f>
        <v/>
      </c>
      <c r="I1934" t="str">
        <f t="shared" si="24"/>
        <v>GUARDIAN</v>
      </c>
    </row>
    <row r="1935" spans="1:9" x14ac:dyDescent="0.3">
      <c r="A1935" t="str">
        <f>""</f>
        <v/>
      </c>
      <c r="F1935" t="str">
        <f>""</f>
        <v/>
      </c>
      <c r="G1935" t="str">
        <f>""</f>
        <v/>
      </c>
      <c r="I1935" t="str">
        <f t="shared" si="24"/>
        <v>GUARDIAN</v>
      </c>
    </row>
    <row r="1936" spans="1:9" x14ac:dyDescent="0.3">
      <c r="A1936" t="str">
        <f>""</f>
        <v/>
      </c>
      <c r="F1936" t="str">
        <f>""</f>
        <v/>
      </c>
      <c r="G1936" t="str">
        <f>""</f>
        <v/>
      </c>
      <c r="I1936" t="str">
        <f t="shared" si="24"/>
        <v>GUARDIAN</v>
      </c>
    </row>
    <row r="1937" spans="1:9" x14ac:dyDescent="0.3">
      <c r="A1937" t="str">
        <f>""</f>
        <v/>
      </c>
      <c r="F1937" t="str">
        <f>""</f>
        <v/>
      </c>
      <c r="G1937" t="str">
        <f>""</f>
        <v/>
      </c>
      <c r="I1937" t="str">
        <f t="shared" si="24"/>
        <v>GUARDIAN</v>
      </c>
    </row>
    <row r="1938" spans="1:9" x14ac:dyDescent="0.3">
      <c r="A1938" t="str">
        <f>""</f>
        <v/>
      </c>
      <c r="F1938" t="str">
        <f>""</f>
        <v/>
      </c>
      <c r="G1938" t="str">
        <f>""</f>
        <v/>
      </c>
      <c r="I1938" t="str">
        <f t="shared" si="24"/>
        <v>GUARDIAN</v>
      </c>
    </row>
    <row r="1939" spans="1:9" x14ac:dyDescent="0.3">
      <c r="A1939" t="str">
        <f>""</f>
        <v/>
      </c>
      <c r="F1939" t="str">
        <f>""</f>
        <v/>
      </c>
      <c r="G1939" t="str">
        <f>""</f>
        <v/>
      </c>
      <c r="I1939" t="str">
        <f t="shared" si="24"/>
        <v>GUARDIAN</v>
      </c>
    </row>
    <row r="1940" spans="1:9" x14ac:dyDescent="0.3">
      <c r="A1940" t="str">
        <f>""</f>
        <v/>
      </c>
      <c r="F1940" t="str">
        <f>""</f>
        <v/>
      </c>
      <c r="G1940" t="str">
        <f>""</f>
        <v/>
      </c>
      <c r="I1940" t="str">
        <f t="shared" si="24"/>
        <v>GUARDIAN</v>
      </c>
    </row>
    <row r="1941" spans="1:9" x14ac:dyDescent="0.3">
      <c r="A1941" t="str">
        <f>""</f>
        <v/>
      </c>
      <c r="F1941" t="str">
        <f>""</f>
        <v/>
      </c>
      <c r="G1941" t="str">
        <f>""</f>
        <v/>
      </c>
      <c r="I1941" t="str">
        <f t="shared" si="24"/>
        <v>GUARDIAN</v>
      </c>
    </row>
    <row r="1942" spans="1:9" x14ac:dyDescent="0.3">
      <c r="A1942" t="str">
        <f>""</f>
        <v/>
      </c>
      <c r="F1942" t="str">
        <f>""</f>
        <v/>
      </c>
      <c r="G1942" t="str">
        <f>""</f>
        <v/>
      </c>
      <c r="I1942" t="str">
        <f t="shared" si="24"/>
        <v>GUARDIAN</v>
      </c>
    </row>
    <row r="1943" spans="1:9" x14ac:dyDescent="0.3">
      <c r="A1943" t="str">
        <f>""</f>
        <v/>
      </c>
      <c r="F1943" t="str">
        <f>""</f>
        <v/>
      </c>
      <c r="G1943" t="str">
        <f>""</f>
        <v/>
      </c>
      <c r="I1943" t="str">
        <f t="shared" si="24"/>
        <v>GUARDIAN</v>
      </c>
    </row>
    <row r="1944" spans="1:9" x14ac:dyDescent="0.3">
      <c r="A1944" t="str">
        <f>""</f>
        <v/>
      </c>
      <c r="F1944" t="str">
        <f>""</f>
        <v/>
      </c>
      <c r="G1944" t="str">
        <f>""</f>
        <v/>
      </c>
      <c r="I1944" t="str">
        <f t="shared" si="24"/>
        <v>GUARDIAN</v>
      </c>
    </row>
    <row r="1945" spans="1:9" x14ac:dyDescent="0.3">
      <c r="A1945" t="str">
        <f>""</f>
        <v/>
      </c>
      <c r="F1945" t="str">
        <f>""</f>
        <v/>
      </c>
      <c r="G1945" t="str">
        <f>""</f>
        <v/>
      </c>
      <c r="I1945" t="str">
        <f t="shared" si="24"/>
        <v>GUARDIAN</v>
      </c>
    </row>
    <row r="1946" spans="1:9" x14ac:dyDescent="0.3">
      <c r="A1946" t="str">
        <f>""</f>
        <v/>
      </c>
      <c r="F1946" t="str">
        <f>""</f>
        <v/>
      </c>
      <c r="G1946" t="str">
        <f>""</f>
        <v/>
      </c>
      <c r="I1946" t="str">
        <f t="shared" si="24"/>
        <v>GUARDIAN</v>
      </c>
    </row>
    <row r="1947" spans="1:9" x14ac:dyDescent="0.3">
      <c r="A1947" t="str">
        <f>""</f>
        <v/>
      </c>
      <c r="F1947" t="str">
        <f>""</f>
        <v/>
      </c>
      <c r="G1947" t="str">
        <f>""</f>
        <v/>
      </c>
      <c r="I1947" t="str">
        <f t="shared" si="24"/>
        <v>GUARDIAN</v>
      </c>
    </row>
    <row r="1948" spans="1:9" x14ac:dyDescent="0.3">
      <c r="A1948" t="str">
        <f>""</f>
        <v/>
      </c>
      <c r="F1948" t="str">
        <f>"LIA201709205019"</f>
        <v>LIA201709205019</v>
      </c>
      <c r="G1948" t="str">
        <f>"GUARDIAN"</f>
        <v>GUARDIAN</v>
      </c>
      <c r="H1948" s="2">
        <v>107.2</v>
      </c>
      <c r="I1948" t="str">
        <f t="shared" si="24"/>
        <v>GUARDIAN</v>
      </c>
    </row>
    <row r="1949" spans="1:9" x14ac:dyDescent="0.3">
      <c r="A1949" t="str">
        <f>""</f>
        <v/>
      </c>
      <c r="F1949" t="str">
        <f>""</f>
        <v/>
      </c>
      <c r="G1949" t="str">
        <f>""</f>
        <v/>
      </c>
      <c r="I1949" t="str">
        <f t="shared" si="24"/>
        <v>GUARDIAN</v>
      </c>
    </row>
    <row r="1950" spans="1:9" x14ac:dyDescent="0.3">
      <c r="A1950" t="str">
        <f>""</f>
        <v/>
      </c>
      <c r="F1950" t="str">
        <f>""</f>
        <v/>
      </c>
      <c r="G1950" t="str">
        <f>""</f>
        <v/>
      </c>
      <c r="I1950" t="str">
        <f t="shared" si="24"/>
        <v>GUARDIAN</v>
      </c>
    </row>
    <row r="1951" spans="1:9" x14ac:dyDescent="0.3">
      <c r="A1951" t="str">
        <f>""</f>
        <v/>
      </c>
      <c r="F1951" t="str">
        <f>""</f>
        <v/>
      </c>
      <c r="G1951" t="str">
        <f>""</f>
        <v/>
      </c>
      <c r="I1951" t="str">
        <f t="shared" si="24"/>
        <v>GUARDIAN</v>
      </c>
    </row>
    <row r="1952" spans="1:9" x14ac:dyDescent="0.3">
      <c r="A1952" t="str">
        <f>""</f>
        <v/>
      </c>
      <c r="F1952" t="str">
        <f>""</f>
        <v/>
      </c>
      <c r="G1952" t="str">
        <f>""</f>
        <v/>
      </c>
      <c r="I1952" t="str">
        <f t="shared" si="24"/>
        <v>GUARDIAN</v>
      </c>
    </row>
    <row r="1953" spans="1:9" x14ac:dyDescent="0.3">
      <c r="A1953" t="str">
        <f>""</f>
        <v/>
      </c>
      <c r="F1953" t="str">
        <f>""</f>
        <v/>
      </c>
      <c r="G1953" t="str">
        <f>""</f>
        <v/>
      </c>
      <c r="I1953" t="str">
        <f t="shared" si="24"/>
        <v>GUARDIAN</v>
      </c>
    </row>
    <row r="1954" spans="1:9" x14ac:dyDescent="0.3">
      <c r="A1954" t="str">
        <f>""</f>
        <v/>
      </c>
      <c r="F1954" t="str">
        <f>""</f>
        <v/>
      </c>
      <c r="G1954" t="str">
        <f>""</f>
        <v/>
      </c>
      <c r="I1954" t="str">
        <f t="shared" si="24"/>
        <v>GUARDIAN</v>
      </c>
    </row>
    <row r="1955" spans="1:9" x14ac:dyDescent="0.3">
      <c r="A1955" t="str">
        <f>""</f>
        <v/>
      </c>
      <c r="F1955" t="str">
        <f>""</f>
        <v/>
      </c>
      <c r="G1955" t="str">
        <f>""</f>
        <v/>
      </c>
      <c r="I1955" t="str">
        <f t="shared" si="24"/>
        <v>GUARDIAN</v>
      </c>
    </row>
    <row r="1956" spans="1:9" x14ac:dyDescent="0.3">
      <c r="A1956" t="str">
        <f>""</f>
        <v/>
      </c>
      <c r="F1956" t="str">
        <f>""</f>
        <v/>
      </c>
      <c r="G1956" t="str">
        <f>""</f>
        <v/>
      </c>
      <c r="I1956" t="str">
        <f t="shared" si="24"/>
        <v>GUARDIAN</v>
      </c>
    </row>
    <row r="1957" spans="1:9" x14ac:dyDescent="0.3">
      <c r="A1957" t="str">
        <f>""</f>
        <v/>
      </c>
      <c r="F1957" t="str">
        <f>""</f>
        <v/>
      </c>
      <c r="G1957" t="str">
        <f>""</f>
        <v/>
      </c>
      <c r="I1957" t="str">
        <f t="shared" si="24"/>
        <v>GUARDIAN</v>
      </c>
    </row>
    <row r="1958" spans="1:9" x14ac:dyDescent="0.3">
      <c r="A1958" t="str">
        <f>""</f>
        <v/>
      </c>
      <c r="F1958" t="str">
        <f>""</f>
        <v/>
      </c>
      <c r="G1958" t="str">
        <f>""</f>
        <v/>
      </c>
      <c r="I1958" t="str">
        <f t="shared" ref="I1958:I1989" si="25">"GUARDIAN"</f>
        <v>GUARDIAN</v>
      </c>
    </row>
    <row r="1959" spans="1:9" x14ac:dyDescent="0.3">
      <c r="A1959" t="str">
        <f>""</f>
        <v/>
      </c>
      <c r="F1959" t="str">
        <f>""</f>
        <v/>
      </c>
      <c r="G1959" t="str">
        <f>""</f>
        <v/>
      </c>
      <c r="I1959" t="str">
        <f t="shared" si="25"/>
        <v>GUARDIAN</v>
      </c>
    </row>
    <row r="1960" spans="1:9" x14ac:dyDescent="0.3">
      <c r="A1960" t="str">
        <f>""</f>
        <v/>
      </c>
      <c r="F1960" t="str">
        <f>""</f>
        <v/>
      </c>
      <c r="G1960" t="str">
        <f>""</f>
        <v/>
      </c>
      <c r="I1960" t="str">
        <f t="shared" si="25"/>
        <v>GUARDIAN</v>
      </c>
    </row>
    <row r="1961" spans="1:9" x14ac:dyDescent="0.3">
      <c r="A1961" t="str">
        <f>""</f>
        <v/>
      </c>
      <c r="F1961" t="str">
        <f>""</f>
        <v/>
      </c>
      <c r="G1961" t="str">
        <f>""</f>
        <v/>
      </c>
      <c r="I1961" t="str">
        <f t="shared" si="25"/>
        <v>GUARDIAN</v>
      </c>
    </row>
    <row r="1962" spans="1:9" x14ac:dyDescent="0.3">
      <c r="A1962" t="str">
        <f>""</f>
        <v/>
      </c>
      <c r="F1962" t="str">
        <f>""</f>
        <v/>
      </c>
      <c r="G1962" t="str">
        <f>""</f>
        <v/>
      </c>
      <c r="I1962" t="str">
        <f t="shared" si="25"/>
        <v>GUARDIAN</v>
      </c>
    </row>
    <row r="1963" spans="1:9" x14ac:dyDescent="0.3">
      <c r="A1963" t="str">
        <f>""</f>
        <v/>
      </c>
      <c r="F1963" t="str">
        <f>""</f>
        <v/>
      </c>
      <c r="G1963" t="str">
        <f>""</f>
        <v/>
      </c>
      <c r="I1963" t="str">
        <f t="shared" si="25"/>
        <v>GUARDIAN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 t="shared" si="25"/>
        <v>GUARDIAN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 t="shared" si="25"/>
        <v>GUARDIAN</v>
      </c>
    </row>
    <row r="1966" spans="1:9" x14ac:dyDescent="0.3">
      <c r="A1966" t="str">
        <f>""</f>
        <v/>
      </c>
      <c r="F1966" t="str">
        <f>""</f>
        <v/>
      </c>
      <c r="G1966" t="str">
        <f>""</f>
        <v/>
      </c>
      <c r="I1966" t="str">
        <f t="shared" si="25"/>
        <v>GUARDIAN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 t="shared" si="25"/>
        <v>GUARDIAN</v>
      </c>
    </row>
    <row r="1968" spans="1:9" x14ac:dyDescent="0.3">
      <c r="A1968" t="str">
        <f>""</f>
        <v/>
      </c>
      <c r="F1968" t="str">
        <f>""</f>
        <v/>
      </c>
      <c r="G1968" t="str">
        <f>""</f>
        <v/>
      </c>
      <c r="I1968" t="str">
        <f t="shared" si="25"/>
        <v>GUARDIAN</v>
      </c>
    </row>
    <row r="1969" spans="1:9" x14ac:dyDescent="0.3">
      <c r="A1969" t="str">
        <f>""</f>
        <v/>
      </c>
      <c r="F1969" t="str">
        <f>""</f>
        <v/>
      </c>
      <c r="G1969" t="str">
        <f>""</f>
        <v/>
      </c>
      <c r="I1969" t="str">
        <f t="shared" si="25"/>
        <v>GUARDIAN</v>
      </c>
    </row>
    <row r="1970" spans="1:9" x14ac:dyDescent="0.3">
      <c r="A1970" t="str">
        <f>""</f>
        <v/>
      </c>
      <c r="F1970" t="str">
        <f>"LIC201709064584"</f>
        <v>LIC201709064584</v>
      </c>
      <c r="G1970" t="str">
        <f>"GUARDIAN"</f>
        <v>GUARDIAN</v>
      </c>
      <c r="H1970" s="2">
        <v>36</v>
      </c>
      <c r="I1970" t="str">
        <f t="shared" si="25"/>
        <v>GUARDIAN</v>
      </c>
    </row>
    <row r="1971" spans="1:9" x14ac:dyDescent="0.3">
      <c r="A1971" t="str">
        <f>""</f>
        <v/>
      </c>
      <c r="F1971" t="str">
        <f>"LIC201709064604"</f>
        <v>LIC201709064604</v>
      </c>
      <c r="G1971" t="str">
        <f>"GUARDIAN"</f>
        <v>GUARDIAN</v>
      </c>
      <c r="H1971" s="2">
        <v>1.05</v>
      </c>
      <c r="I1971" t="str">
        <f t="shared" si="25"/>
        <v>GUARDIAN</v>
      </c>
    </row>
    <row r="1972" spans="1:9" x14ac:dyDescent="0.3">
      <c r="A1972" t="str">
        <f>""</f>
        <v/>
      </c>
      <c r="F1972" t="str">
        <f>"LIC201709205019"</f>
        <v>LIC201709205019</v>
      </c>
      <c r="G1972" t="str">
        <f>"GUARDIAN"</f>
        <v>GUARDIAN</v>
      </c>
      <c r="H1972" s="2">
        <v>36</v>
      </c>
      <c r="I1972" t="str">
        <f t="shared" si="25"/>
        <v>GUARDIAN</v>
      </c>
    </row>
    <row r="1973" spans="1:9" x14ac:dyDescent="0.3">
      <c r="A1973" t="str">
        <f>""</f>
        <v/>
      </c>
      <c r="F1973" t="str">
        <f>"LIC201709205020"</f>
        <v>LIC201709205020</v>
      </c>
      <c r="G1973" t="str">
        <f>"GUARDIAN"</f>
        <v>GUARDIAN</v>
      </c>
      <c r="H1973" s="2">
        <v>1.05</v>
      </c>
      <c r="I1973" t="str">
        <f t="shared" si="25"/>
        <v>GUARDIAN</v>
      </c>
    </row>
    <row r="1974" spans="1:9" x14ac:dyDescent="0.3">
      <c r="A1974" t="str">
        <f>""</f>
        <v/>
      </c>
      <c r="F1974" t="str">
        <f>"LIE201709064584"</f>
        <v>LIE201709064584</v>
      </c>
      <c r="G1974" t="str">
        <f>"GUARDIAN"</f>
        <v>GUARDIAN</v>
      </c>
      <c r="H1974" s="2">
        <v>3034.25</v>
      </c>
      <c r="I1974" t="str">
        <f t="shared" si="25"/>
        <v>GUARDIAN</v>
      </c>
    </row>
    <row r="1975" spans="1:9" x14ac:dyDescent="0.3">
      <c r="A1975" t="str">
        <f>""</f>
        <v/>
      </c>
      <c r="F1975" t="str">
        <f>""</f>
        <v/>
      </c>
      <c r="G1975" t="str">
        <f>""</f>
        <v/>
      </c>
      <c r="I1975" t="str">
        <f t="shared" si="25"/>
        <v>GUARDIAN</v>
      </c>
    </row>
    <row r="1976" spans="1:9" x14ac:dyDescent="0.3">
      <c r="A1976" t="str">
        <f>""</f>
        <v/>
      </c>
      <c r="F1976" t="str">
        <f>""</f>
        <v/>
      </c>
      <c r="G1976" t="str">
        <f>""</f>
        <v/>
      </c>
      <c r="I1976" t="str">
        <f t="shared" si="25"/>
        <v>GUARDIAN</v>
      </c>
    </row>
    <row r="1977" spans="1:9" x14ac:dyDescent="0.3">
      <c r="A1977" t="str">
        <f>""</f>
        <v/>
      </c>
      <c r="F1977" t="str">
        <f>""</f>
        <v/>
      </c>
      <c r="G1977" t="str">
        <f>""</f>
        <v/>
      </c>
      <c r="I1977" t="str">
        <f t="shared" si="25"/>
        <v>GUARDIAN</v>
      </c>
    </row>
    <row r="1978" spans="1:9" x14ac:dyDescent="0.3">
      <c r="A1978" t="str">
        <f>""</f>
        <v/>
      </c>
      <c r="F1978" t="str">
        <f>""</f>
        <v/>
      </c>
      <c r="G1978" t="str">
        <f>""</f>
        <v/>
      </c>
      <c r="I1978" t="str">
        <f t="shared" si="25"/>
        <v>GUARDIAN</v>
      </c>
    </row>
    <row r="1979" spans="1:9" x14ac:dyDescent="0.3">
      <c r="A1979" t="str">
        <f>""</f>
        <v/>
      </c>
      <c r="F1979" t="str">
        <f>""</f>
        <v/>
      </c>
      <c r="G1979" t="str">
        <f>""</f>
        <v/>
      </c>
      <c r="I1979" t="str">
        <f t="shared" si="25"/>
        <v>GUARDIAN</v>
      </c>
    </row>
    <row r="1980" spans="1:9" x14ac:dyDescent="0.3">
      <c r="A1980" t="str">
        <f>""</f>
        <v/>
      </c>
      <c r="F1980" t="str">
        <f>""</f>
        <v/>
      </c>
      <c r="G1980" t="str">
        <f>""</f>
        <v/>
      </c>
      <c r="I1980" t="str">
        <f t="shared" si="25"/>
        <v>GUARDIAN</v>
      </c>
    </row>
    <row r="1981" spans="1:9" x14ac:dyDescent="0.3">
      <c r="A1981" t="str">
        <f>""</f>
        <v/>
      </c>
      <c r="F1981" t="str">
        <f>""</f>
        <v/>
      </c>
      <c r="G1981" t="str">
        <f>""</f>
        <v/>
      </c>
      <c r="I1981" t="str">
        <f t="shared" si="25"/>
        <v>GUARDIAN</v>
      </c>
    </row>
    <row r="1982" spans="1:9" x14ac:dyDescent="0.3">
      <c r="A1982" t="str">
        <f>""</f>
        <v/>
      </c>
      <c r="F1982" t="str">
        <f>""</f>
        <v/>
      </c>
      <c r="G1982" t="str">
        <f>""</f>
        <v/>
      </c>
      <c r="I1982" t="str">
        <f t="shared" si="25"/>
        <v>GUARDIAN</v>
      </c>
    </row>
    <row r="1983" spans="1:9" x14ac:dyDescent="0.3">
      <c r="A1983" t="str">
        <f>""</f>
        <v/>
      </c>
      <c r="F1983" t="str">
        <f>""</f>
        <v/>
      </c>
      <c r="G1983" t="str">
        <f>""</f>
        <v/>
      </c>
      <c r="I1983" t="str">
        <f t="shared" si="25"/>
        <v>GUARDIAN</v>
      </c>
    </row>
    <row r="1984" spans="1:9" x14ac:dyDescent="0.3">
      <c r="A1984" t="str">
        <f>""</f>
        <v/>
      </c>
      <c r="F1984" t="str">
        <f>""</f>
        <v/>
      </c>
      <c r="G1984" t="str">
        <f>""</f>
        <v/>
      </c>
      <c r="I1984" t="str">
        <f t="shared" si="25"/>
        <v>GUARDIAN</v>
      </c>
    </row>
    <row r="1985" spans="1:9" x14ac:dyDescent="0.3">
      <c r="A1985" t="str">
        <f>""</f>
        <v/>
      </c>
      <c r="F1985" t="str">
        <f>""</f>
        <v/>
      </c>
      <c r="G1985" t="str">
        <f>""</f>
        <v/>
      </c>
      <c r="I1985" t="str">
        <f t="shared" si="25"/>
        <v>GUARDIAN</v>
      </c>
    </row>
    <row r="1986" spans="1:9" x14ac:dyDescent="0.3">
      <c r="A1986" t="str">
        <f>""</f>
        <v/>
      </c>
      <c r="F1986" t="str">
        <f>""</f>
        <v/>
      </c>
      <c r="G1986" t="str">
        <f>""</f>
        <v/>
      </c>
      <c r="I1986" t="str">
        <f t="shared" si="25"/>
        <v>GUARDIAN</v>
      </c>
    </row>
    <row r="1987" spans="1:9" x14ac:dyDescent="0.3">
      <c r="A1987" t="str">
        <f>""</f>
        <v/>
      </c>
      <c r="F1987" t="str">
        <f>""</f>
        <v/>
      </c>
      <c r="G1987" t="str">
        <f>""</f>
        <v/>
      </c>
      <c r="I1987" t="str">
        <f t="shared" si="25"/>
        <v>GUARDIAN</v>
      </c>
    </row>
    <row r="1988" spans="1:9" x14ac:dyDescent="0.3">
      <c r="A1988" t="str">
        <f>""</f>
        <v/>
      </c>
      <c r="F1988" t="str">
        <f>""</f>
        <v/>
      </c>
      <c r="G1988" t="str">
        <f>""</f>
        <v/>
      </c>
      <c r="I1988" t="str">
        <f t="shared" si="25"/>
        <v>GUARDIAN</v>
      </c>
    </row>
    <row r="1989" spans="1:9" x14ac:dyDescent="0.3">
      <c r="A1989" t="str">
        <f>""</f>
        <v/>
      </c>
      <c r="F1989" t="str">
        <f>""</f>
        <v/>
      </c>
      <c r="G1989" t="str">
        <f>""</f>
        <v/>
      </c>
      <c r="I1989" t="str">
        <f t="shared" si="25"/>
        <v>GUARDIAN</v>
      </c>
    </row>
    <row r="1990" spans="1:9" x14ac:dyDescent="0.3">
      <c r="A1990" t="str">
        <f>""</f>
        <v/>
      </c>
      <c r="F1990" t="str">
        <f>""</f>
        <v/>
      </c>
      <c r="G1990" t="str">
        <f>""</f>
        <v/>
      </c>
      <c r="I1990" t="str">
        <f t="shared" ref="I1990:I2021" si="26">"GUARDIAN"</f>
        <v>GUARDIAN</v>
      </c>
    </row>
    <row r="1991" spans="1:9" x14ac:dyDescent="0.3">
      <c r="A1991" t="str">
        <f>""</f>
        <v/>
      </c>
      <c r="F1991" t="str">
        <f>""</f>
        <v/>
      </c>
      <c r="G1991" t="str">
        <f>""</f>
        <v/>
      </c>
      <c r="I1991" t="str">
        <f t="shared" si="26"/>
        <v>GUARDIAN</v>
      </c>
    </row>
    <row r="1992" spans="1:9" x14ac:dyDescent="0.3">
      <c r="A1992" t="str">
        <f>""</f>
        <v/>
      </c>
      <c r="F1992" t="str">
        <f>""</f>
        <v/>
      </c>
      <c r="G1992" t="str">
        <f>""</f>
        <v/>
      </c>
      <c r="I1992" t="str">
        <f t="shared" si="26"/>
        <v>GUARDIAN</v>
      </c>
    </row>
    <row r="1993" spans="1:9" x14ac:dyDescent="0.3">
      <c r="A1993" t="str">
        <f>""</f>
        <v/>
      </c>
      <c r="F1993" t="str">
        <f>""</f>
        <v/>
      </c>
      <c r="G1993" t="str">
        <f>""</f>
        <v/>
      </c>
      <c r="I1993" t="str">
        <f t="shared" si="26"/>
        <v>GUARDIAN</v>
      </c>
    </row>
    <row r="1994" spans="1:9" x14ac:dyDescent="0.3">
      <c r="A1994" t="str">
        <f>""</f>
        <v/>
      </c>
      <c r="F1994" t="str">
        <f>""</f>
        <v/>
      </c>
      <c r="G1994" t="str">
        <f>""</f>
        <v/>
      </c>
      <c r="I1994" t="str">
        <f t="shared" si="26"/>
        <v>GUARDIAN</v>
      </c>
    </row>
    <row r="1995" spans="1:9" x14ac:dyDescent="0.3">
      <c r="A1995" t="str">
        <f>""</f>
        <v/>
      </c>
      <c r="F1995" t="str">
        <f>""</f>
        <v/>
      </c>
      <c r="G1995" t="str">
        <f>""</f>
        <v/>
      </c>
      <c r="I1995" t="str">
        <f t="shared" si="26"/>
        <v>GUARDIAN</v>
      </c>
    </row>
    <row r="1996" spans="1:9" x14ac:dyDescent="0.3">
      <c r="A1996" t="str">
        <f>""</f>
        <v/>
      </c>
      <c r="F1996" t="str">
        <f>""</f>
        <v/>
      </c>
      <c r="G1996" t="str">
        <f>""</f>
        <v/>
      </c>
      <c r="I1996" t="str">
        <f t="shared" si="26"/>
        <v>GUARDIAN</v>
      </c>
    </row>
    <row r="1997" spans="1:9" x14ac:dyDescent="0.3">
      <c r="A1997" t="str">
        <f>""</f>
        <v/>
      </c>
      <c r="F1997" t="str">
        <f>""</f>
        <v/>
      </c>
      <c r="G1997" t="str">
        <f>""</f>
        <v/>
      </c>
      <c r="I1997" t="str">
        <f t="shared" si="26"/>
        <v>GUARDIAN</v>
      </c>
    </row>
    <row r="1998" spans="1:9" x14ac:dyDescent="0.3">
      <c r="A1998" t="str">
        <f>""</f>
        <v/>
      </c>
      <c r="F1998" t="str">
        <f>""</f>
        <v/>
      </c>
      <c r="G1998" t="str">
        <f>""</f>
        <v/>
      </c>
      <c r="I1998" t="str">
        <f t="shared" si="26"/>
        <v>GUARDIAN</v>
      </c>
    </row>
    <row r="1999" spans="1:9" x14ac:dyDescent="0.3">
      <c r="A1999" t="str">
        <f>""</f>
        <v/>
      </c>
      <c r="F1999" t="str">
        <f>""</f>
        <v/>
      </c>
      <c r="G1999" t="str">
        <f>""</f>
        <v/>
      </c>
      <c r="I1999" t="str">
        <f t="shared" si="26"/>
        <v>GUARDIAN</v>
      </c>
    </row>
    <row r="2000" spans="1:9" x14ac:dyDescent="0.3">
      <c r="A2000" t="str">
        <f>""</f>
        <v/>
      </c>
      <c r="F2000" t="str">
        <f>""</f>
        <v/>
      </c>
      <c r="G2000" t="str">
        <f>""</f>
        <v/>
      </c>
      <c r="I2000" t="str">
        <f t="shared" si="26"/>
        <v>GUARDIAN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 t="shared" si="26"/>
        <v>GUARDIAN</v>
      </c>
    </row>
    <row r="2002" spans="1:9" x14ac:dyDescent="0.3">
      <c r="A2002" t="str">
        <f>""</f>
        <v/>
      </c>
      <c r="F2002" t="str">
        <f>""</f>
        <v/>
      </c>
      <c r="G2002" t="str">
        <f>""</f>
        <v/>
      </c>
      <c r="I2002" t="str">
        <f t="shared" si="26"/>
        <v>GUARDIAN</v>
      </c>
    </row>
    <row r="2003" spans="1:9" x14ac:dyDescent="0.3">
      <c r="A2003" t="str">
        <f>""</f>
        <v/>
      </c>
      <c r="F2003" t="str">
        <f>""</f>
        <v/>
      </c>
      <c r="G2003" t="str">
        <f>""</f>
        <v/>
      </c>
      <c r="I2003" t="str">
        <f t="shared" si="26"/>
        <v>GUARDIAN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 t="shared" si="26"/>
        <v>GUARDIAN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 t="shared" si="26"/>
        <v>GUARDIAN</v>
      </c>
    </row>
    <row r="2006" spans="1:9" x14ac:dyDescent="0.3">
      <c r="A2006" t="str">
        <f>""</f>
        <v/>
      </c>
      <c r="F2006" t="str">
        <f>""</f>
        <v/>
      </c>
      <c r="G2006" t="str">
        <f>""</f>
        <v/>
      </c>
      <c r="I2006" t="str">
        <f t="shared" si="26"/>
        <v>GUARDIAN</v>
      </c>
    </row>
    <row r="2007" spans="1:9" x14ac:dyDescent="0.3">
      <c r="A2007" t="str">
        <f>""</f>
        <v/>
      </c>
      <c r="F2007" t="str">
        <f>""</f>
        <v/>
      </c>
      <c r="G2007" t="str">
        <f>""</f>
        <v/>
      </c>
      <c r="I2007" t="str">
        <f t="shared" si="26"/>
        <v>GUARDIAN</v>
      </c>
    </row>
    <row r="2008" spans="1:9" x14ac:dyDescent="0.3">
      <c r="A2008" t="str">
        <f>""</f>
        <v/>
      </c>
      <c r="F2008" t="str">
        <f>""</f>
        <v/>
      </c>
      <c r="G2008" t="str">
        <f>""</f>
        <v/>
      </c>
      <c r="I2008" t="str">
        <f t="shared" si="26"/>
        <v>GUARDIAN</v>
      </c>
    </row>
    <row r="2009" spans="1:9" x14ac:dyDescent="0.3">
      <c r="A2009" t="str">
        <f>""</f>
        <v/>
      </c>
      <c r="F2009" t="str">
        <f>""</f>
        <v/>
      </c>
      <c r="G2009" t="str">
        <f>""</f>
        <v/>
      </c>
      <c r="I2009" t="str">
        <f t="shared" si="26"/>
        <v>GUARDIAN</v>
      </c>
    </row>
    <row r="2010" spans="1:9" x14ac:dyDescent="0.3">
      <c r="A2010" t="str">
        <f>""</f>
        <v/>
      </c>
      <c r="F2010" t="str">
        <f>""</f>
        <v/>
      </c>
      <c r="G2010" t="str">
        <f>""</f>
        <v/>
      </c>
      <c r="I2010" t="str">
        <f t="shared" si="26"/>
        <v>GUARDIAN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 t="shared" si="26"/>
        <v>GUARDIAN</v>
      </c>
    </row>
    <row r="2012" spans="1:9" x14ac:dyDescent="0.3">
      <c r="A2012" t="str">
        <f>""</f>
        <v/>
      </c>
      <c r="F2012" t="str">
        <f>""</f>
        <v/>
      </c>
      <c r="G2012" t="str">
        <f>""</f>
        <v/>
      </c>
      <c r="I2012" t="str">
        <f t="shared" si="26"/>
        <v>GUARDIAN</v>
      </c>
    </row>
    <row r="2013" spans="1:9" x14ac:dyDescent="0.3">
      <c r="A2013" t="str">
        <f>""</f>
        <v/>
      </c>
      <c r="F2013" t="str">
        <f>""</f>
        <v/>
      </c>
      <c r="G2013" t="str">
        <f>""</f>
        <v/>
      </c>
      <c r="I2013" t="str">
        <f t="shared" si="26"/>
        <v>GUARDIAN</v>
      </c>
    </row>
    <row r="2014" spans="1:9" x14ac:dyDescent="0.3">
      <c r="A2014" t="str">
        <f>""</f>
        <v/>
      </c>
      <c r="F2014" t="str">
        <f>""</f>
        <v/>
      </c>
      <c r="G2014" t="str">
        <f>""</f>
        <v/>
      </c>
      <c r="I2014" t="str">
        <f t="shared" si="26"/>
        <v>GUARDIAN</v>
      </c>
    </row>
    <row r="2015" spans="1:9" x14ac:dyDescent="0.3">
      <c r="A2015" t="str">
        <f>""</f>
        <v/>
      </c>
      <c r="F2015" t="str">
        <f>""</f>
        <v/>
      </c>
      <c r="G2015" t="str">
        <f>""</f>
        <v/>
      </c>
      <c r="I2015" t="str">
        <f t="shared" si="26"/>
        <v>GUARDIAN</v>
      </c>
    </row>
    <row r="2016" spans="1:9" x14ac:dyDescent="0.3">
      <c r="A2016" t="str">
        <f>""</f>
        <v/>
      </c>
      <c r="F2016" t="str">
        <f>""</f>
        <v/>
      </c>
      <c r="G2016" t="str">
        <f>""</f>
        <v/>
      </c>
      <c r="I2016" t="str">
        <f t="shared" si="26"/>
        <v>GUARDIAN</v>
      </c>
    </row>
    <row r="2017" spans="1:9" x14ac:dyDescent="0.3">
      <c r="A2017" t="str">
        <f>""</f>
        <v/>
      </c>
      <c r="F2017" t="str">
        <f>""</f>
        <v/>
      </c>
      <c r="G2017" t="str">
        <f>""</f>
        <v/>
      </c>
      <c r="I2017" t="str">
        <f t="shared" si="26"/>
        <v>GUARDIAN</v>
      </c>
    </row>
    <row r="2018" spans="1:9" x14ac:dyDescent="0.3">
      <c r="A2018" t="str">
        <f>""</f>
        <v/>
      </c>
      <c r="F2018" t="str">
        <f>""</f>
        <v/>
      </c>
      <c r="G2018" t="str">
        <f>""</f>
        <v/>
      </c>
      <c r="I2018" t="str">
        <f t="shared" si="26"/>
        <v>GUARDIAN</v>
      </c>
    </row>
    <row r="2019" spans="1:9" x14ac:dyDescent="0.3">
      <c r="A2019" t="str">
        <f>""</f>
        <v/>
      </c>
      <c r="F2019" t="str">
        <f>""</f>
        <v/>
      </c>
      <c r="G2019" t="str">
        <f>""</f>
        <v/>
      </c>
      <c r="I2019" t="str">
        <f t="shared" si="26"/>
        <v>GUARDIAN</v>
      </c>
    </row>
    <row r="2020" spans="1:9" x14ac:dyDescent="0.3">
      <c r="A2020" t="str">
        <f>""</f>
        <v/>
      </c>
      <c r="F2020" t="str">
        <f>""</f>
        <v/>
      </c>
      <c r="G2020" t="str">
        <f>""</f>
        <v/>
      </c>
      <c r="I2020" t="str">
        <f t="shared" si="26"/>
        <v>GUARDIAN</v>
      </c>
    </row>
    <row r="2021" spans="1:9" x14ac:dyDescent="0.3">
      <c r="A2021" t="str">
        <f>""</f>
        <v/>
      </c>
      <c r="F2021" t="str">
        <f>""</f>
        <v/>
      </c>
      <c r="G2021" t="str">
        <f>""</f>
        <v/>
      </c>
      <c r="I2021" t="str">
        <f t="shared" si="26"/>
        <v>GUARDIAN</v>
      </c>
    </row>
    <row r="2022" spans="1:9" x14ac:dyDescent="0.3">
      <c r="A2022" t="str">
        <f>""</f>
        <v/>
      </c>
      <c r="F2022" t="str">
        <f>""</f>
        <v/>
      </c>
      <c r="G2022" t="str">
        <f>""</f>
        <v/>
      </c>
      <c r="I2022" t="str">
        <f t="shared" ref="I2022:I2053" si="27">"GUARDIAN"</f>
        <v>GUARDIAN</v>
      </c>
    </row>
    <row r="2023" spans="1:9" x14ac:dyDescent="0.3">
      <c r="A2023" t="str">
        <f>""</f>
        <v/>
      </c>
      <c r="F2023" t="str">
        <f>""</f>
        <v/>
      </c>
      <c r="G2023" t="str">
        <f>""</f>
        <v/>
      </c>
      <c r="I2023" t="str">
        <f t="shared" si="27"/>
        <v>GUARDIAN</v>
      </c>
    </row>
    <row r="2024" spans="1:9" x14ac:dyDescent="0.3">
      <c r="A2024" t="str">
        <f>""</f>
        <v/>
      </c>
      <c r="F2024" t="str">
        <f>"LIE201709064604"</f>
        <v>LIE201709064604</v>
      </c>
      <c r="G2024" t="str">
        <f>"GUARDIAN"</f>
        <v>GUARDIAN</v>
      </c>
      <c r="H2024" s="2">
        <v>132.25</v>
      </c>
      <c r="I2024" t="str">
        <f t="shared" si="27"/>
        <v>GUARDIAN</v>
      </c>
    </row>
    <row r="2025" spans="1:9" x14ac:dyDescent="0.3">
      <c r="A2025" t="str">
        <f>""</f>
        <v/>
      </c>
      <c r="F2025" t="str">
        <f>""</f>
        <v/>
      </c>
      <c r="G2025" t="str">
        <f>""</f>
        <v/>
      </c>
      <c r="I2025" t="str">
        <f t="shared" si="27"/>
        <v>GUARDIAN</v>
      </c>
    </row>
    <row r="2026" spans="1:9" x14ac:dyDescent="0.3">
      <c r="A2026" t="str">
        <f>""</f>
        <v/>
      </c>
      <c r="F2026" t="str">
        <f>"LIE201709084855"</f>
        <v>LIE201709084855</v>
      </c>
      <c r="G2026" t="str">
        <f>"GUARDIAN"</f>
        <v>GUARDIAN</v>
      </c>
      <c r="H2026" s="2">
        <v>3.7</v>
      </c>
      <c r="I2026" t="str">
        <f t="shared" si="27"/>
        <v>GUARDIAN</v>
      </c>
    </row>
    <row r="2027" spans="1:9" x14ac:dyDescent="0.3">
      <c r="A2027" t="str">
        <f>""</f>
        <v/>
      </c>
      <c r="F2027" t="str">
        <f>"LIE201709205019"</f>
        <v>LIE201709205019</v>
      </c>
      <c r="G2027" t="str">
        <f>"GUARDIAN"</f>
        <v>GUARDIAN</v>
      </c>
      <c r="H2027" s="2">
        <v>3012.85</v>
      </c>
      <c r="I2027" t="str">
        <f t="shared" si="27"/>
        <v>GUARDIAN</v>
      </c>
    </row>
    <row r="2028" spans="1:9" x14ac:dyDescent="0.3">
      <c r="A2028" t="str">
        <f>""</f>
        <v/>
      </c>
      <c r="F2028" t="str">
        <f>""</f>
        <v/>
      </c>
      <c r="G2028" t="str">
        <f>""</f>
        <v/>
      </c>
      <c r="I2028" t="str">
        <f t="shared" si="27"/>
        <v>GUARDIAN</v>
      </c>
    </row>
    <row r="2029" spans="1:9" x14ac:dyDescent="0.3">
      <c r="A2029" t="str">
        <f>""</f>
        <v/>
      </c>
      <c r="F2029" t="str">
        <f>""</f>
        <v/>
      </c>
      <c r="G2029" t="str">
        <f>""</f>
        <v/>
      </c>
      <c r="I2029" t="str">
        <f t="shared" si="27"/>
        <v>GUARDIAN</v>
      </c>
    </row>
    <row r="2030" spans="1:9" x14ac:dyDescent="0.3">
      <c r="A2030" t="str">
        <f>""</f>
        <v/>
      </c>
      <c r="F2030" t="str">
        <f>""</f>
        <v/>
      </c>
      <c r="G2030" t="str">
        <f>""</f>
        <v/>
      </c>
      <c r="I2030" t="str">
        <f t="shared" si="27"/>
        <v>GUARDIAN</v>
      </c>
    </row>
    <row r="2031" spans="1:9" x14ac:dyDescent="0.3">
      <c r="A2031" t="str">
        <f>""</f>
        <v/>
      </c>
      <c r="F2031" t="str">
        <f>""</f>
        <v/>
      </c>
      <c r="G2031" t="str">
        <f>""</f>
        <v/>
      </c>
      <c r="I2031" t="str">
        <f t="shared" si="27"/>
        <v>GUARDIAN</v>
      </c>
    </row>
    <row r="2032" spans="1:9" x14ac:dyDescent="0.3">
      <c r="A2032" t="str">
        <f>""</f>
        <v/>
      </c>
      <c r="F2032" t="str">
        <f>""</f>
        <v/>
      </c>
      <c r="G2032" t="str">
        <f>""</f>
        <v/>
      </c>
      <c r="I2032" t="str">
        <f t="shared" si="27"/>
        <v>GUARDIAN</v>
      </c>
    </row>
    <row r="2033" spans="1:9" x14ac:dyDescent="0.3">
      <c r="A2033" t="str">
        <f>""</f>
        <v/>
      </c>
      <c r="F2033" t="str">
        <f>""</f>
        <v/>
      </c>
      <c r="G2033" t="str">
        <f>""</f>
        <v/>
      </c>
      <c r="I2033" t="str">
        <f t="shared" si="27"/>
        <v>GUARDIAN</v>
      </c>
    </row>
    <row r="2034" spans="1:9" x14ac:dyDescent="0.3">
      <c r="A2034" t="str">
        <f>""</f>
        <v/>
      </c>
      <c r="F2034" t="str">
        <f>""</f>
        <v/>
      </c>
      <c r="G2034" t="str">
        <f>""</f>
        <v/>
      </c>
      <c r="I2034" t="str">
        <f t="shared" si="27"/>
        <v>GUARDIAN</v>
      </c>
    </row>
    <row r="2035" spans="1:9" x14ac:dyDescent="0.3">
      <c r="A2035" t="str">
        <f>""</f>
        <v/>
      </c>
      <c r="F2035" t="str">
        <f>""</f>
        <v/>
      </c>
      <c r="G2035" t="str">
        <f>""</f>
        <v/>
      </c>
      <c r="I2035" t="str">
        <f t="shared" si="27"/>
        <v>GUARDIAN</v>
      </c>
    </row>
    <row r="2036" spans="1:9" x14ac:dyDescent="0.3">
      <c r="A2036" t="str">
        <f>""</f>
        <v/>
      </c>
      <c r="F2036" t="str">
        <f>""</f>
        <v/>
      </c>
      <c r="G2036" t="str">
        <f>""</f>
        <v/>
      </c>
      <c r="I2036" t="str">
        <f t="shared" si="27"/>
        <v>GUARDIAN</v>
      </c>
    </row>
    <row r="2037" spans="1:9" x14ac:dyDescent="0.3">
      <c r="A2037" t="str">
        <f>""</f>
        <v/>
      </c>
      <c r="F2037" t="str">
        <f>""</f>
        <v/>
      </c>
      <c r="G2037" t="str">
        <f>""</f>
        <v/>
      </c>
      <c r="I2037" t="str">
        <f t="shared" si="27"/>
        <v>GUARDIAN</v>
      </c>
    </row>
    <row r="2038" spans="1:9" x14ac:dyDescent="0.3">
      <c r="A2038" t="str">
        <f>""</f>
        <v/>
      </c>
      <c r="F2038" t="str">
        <f>""</f>
        <v/>
      </c>
      <c r="G2038" t="str">
        <f>""</f>
        <v/>
      </c>
      <c r="I2038" t="str">
        <f t="shared" si="27"/>
        <v>GUARDIAN</v>
      </c>
    </row>
    <row r="2039" spans="1:9" x14ac:dyDescent="0.3">
      <c r="A2039" t="str">
        <f>""</f>
        <v/>
      </c>
      <c r="F2039" t="str">
        <f>""</f>
        <v/>
      </c>
      <c r="G2039" t="str">
        <f>""</f>
        <v/>
      </c>
      <c r="I2039" t="str">
        <f t="shared" si="27"/>
        <v>GUARDIAN</v>
      </c>
    </row>
    <row r="2040" spans="1:9" x14ac:dyDescent="0.3">
      <c r="A2040" t="str">
        <f>""</f>
        <v/>
      </c>
      <c r="F2040" t="str">
        <f>""</f>
        <v/>
      </c>
      <c r="G2040" t="str">
        <f>""</f>
        <v/>
      </c>
      <c r="I2040" t="str">
        <f t="shared" si="27"/>
        <v>GUARDIAN</v>
      </c>
    </row>
    <row r="2041" spans="1:9" x14ac:dyDescent="0.3">
      <c r="A2041" t="str">
        <f>""</f>
        <v/>
      </c>
      <c r="F2041" t="str">
        <f>""</f>
        <v/>
      </c>
      <c r="G2041" t="str">
        <f>""</f>
        <v/>
      </c>
      <c r="I2041" t="str">
        <f t="shared" si="27"/>
        <v>GUARDIAN</v>
      </c>
    </row>
    <row r="2042" spans="1:9" x14ac:dyDescent="0.3">
      <c r="A2042" t="str">
        <f>""</f>
        <v/>
      </c>
      <c r="F2042" t="str">
        <f>""</f>
        <v/>
      </c>
      <c r="G2042" t="str">
        <f>""</f>
        <v/>
      </c>
      <c r="I2042" t="str">
        <f t="shared" si="27"/>
        <v>GUARDIAN</v>
      </c>
    </row>
    <row r="2043" spans="1:9" x14ac:dyDescent="0.3">
      <c r="A2043" t="str">
        <f>""</f>
        <v/>
      </c>
      <c r="F2043" t="str">
        <f>""</f>
        <v/>
      </c>
      <c r="G2043" t="str">
        <f>""</f>
        <v/>
      </c>
      <c r="I2043" t="str">
        <f t="shared" si="27"/>
        <v>GUARDIAN</v>
      </c>
    </row>
    <row r="2044" spans="1:9" x14ac:dyDescent="0.3">
      <c r="A2044" t="str">
        <f>""</f>
        <v/>
      </c>
      <c r="F2044" t="str">
        <f>""</f>
        <v/>
      </c>
      <c r="G2044" t="str">
        <f>""</f>
        <v/>
      </c>
      <c r="I2044" t="str">
        <f t="shared" si="27"/>
        <v>GUARDIAN</v>
      </c>
    </row>
    <row r="2045" spans="1:9" x14ac:dyDescent="0.3">
      <c r="A2045" t="str">
        <f>""</f>
        <v/>
      </c>
      <c r="F2045" t="str">
        <f>""</f>
        <v/>
      </c>
      <c r="G2045" t="str">
        <f>""</f>
        <v/>
      </c>
      <c r="I2045" t="str">
        <f t="shared" si="27"/>
        <v>GUARDIAN</v>
      </c>
    </row>
    <row r="2046" spans="1:9" x14ac:dyDescent="0.3">
      <c r="A2046" t="str">
        <f>""</f>
        <v/>
      </c>
      <c r="F2046" t="str">
        <f>""</f>
        <v/>
      </c>
      <c r="G2046" t="str">
        <f>""</f>
        <v/>
      </c>
      <c r="I2046" t="str">
        <f t="shared" si="27"/>
        <v>GUARDIAN</v>
      </c>
    </row>
    <row r="2047" spans="1:9" x14ac:dyDescent="0.3">
      <c r="A2047" t="str">
        <f>""</f>
        <v/>
      </c>
      <c r="F2047" t="str">
        <f>""</f>
        <v/>
      </c>
      <c r="G2047" t="str">
        <f>""</f>
        <v/>
      </c>
      <c r="I2047" t="str">
        <f t="shared" si="27"/>
        <v>GUARDIAN</v>
      </c>
    </row>
    <row r="2048" spans="1:9" x14ac:dyDescent="0.3">
      <c r="A2048" t="str">
        <f>""</f>
        <v/>
      </c>
      <c r="F2048" t="str">
        <f>""</f>
        <v/>
      </c>
      <c r="G2048" t="str">
        <f>""</f>
        <v/>
      </c>
      <c r="I2048" t="str">
        <f t="shared" si="27"/>
        <v>GUARDIAN</v>
      </c>
    </row>
    <row r="2049" spans="1:9" x14ac:dyDescent="0.3">
      <c r="A2049" t="str">
        <f>""</f>
        <v/>
      </c>
      <c r="F2049" t="str">
        <f>""</f>
        <v/>
      </c>
      <c r="G2049" t="str">
        <f>""</f>
        <v/>
      </c>
      <c r="I2049" t="str">
        <f t="shared" si="27"/>
        <v>GUARDIAN</v>
      </c>
    </row>
    <row r="2050" spans="1:9" x14ac:dyDescent="0.3">
      <c r="A2050" t="str">
        <f>""</f>
        <v/>
      </c>
      <c r="F2050" t="str">
        <f>""</f>
        <v/>
      </c>
      <c r="G2050" t="str">
        <f>""</f>
        <v/>
      </c>
      <c r="I2050" t="str">
        <f t="shared" si="27"/>
        <v>GUARDIAN</v>
      </c>
    </row>
    <row r="2051" spans="1:9" x14ac:dyDescent="0.3">
      <c r="A2051" t="str">
        <f>""</f>
        <v/>
      </c>
      <c r="F2051" t="str">
        <f>""</f>
        <v/>
      </c>
      <c r="G2051" t="str">
        <f>""</f>
        <v/>
      </c>
      <c r="I2051" t="str">
        <f t="shared" si="27"/>
        <v>GUARDIAN</v>
      </c>
    </row>
    <row r="2052" spans="1:9" x14ac:dyDescent="0.3">
      <c r="A2052" t="str">
        <f>""</f>
        <v/>
      </c>
      <c r="F2052" t="str">
        <f>""</f>
        <v/>
      </c>
      <c r="G2052" t="str">
        <f>""</f>
        <v/>
      </c>
      <c r="I2052" t="str">
        <f t="shared" si="27"/>
        <v>GUARDIAN</v>
      </c>
    </row>
    <row r="2053" spans="1:9" x14ac:dyDescent="0.3">
      <c r="A2053" t="str">
        <f>""</f>
        <v/>
      </c>
      <c r="F2053" t="str">
        <f>""</f>
        <v/>
      </c>
      <c r="G2053" t="str">
        <f>""</f>
        <v/>
      </c>
      <c r="I2053" t="str">
        <f t="shared" si="27"/>
        <v>GUARDIAN</v>
      </c>
    </row>
    <row r="2054" spans="1:9" x14ac:dyDescent="0.3">
      <c r="A2054" t="str">
        <f>""</f>
        <v/>
      </c>
      <c r="F2054" t="str">
        <f>""</f>
        <v/>
      </c>
      <c r="G2054" t="str">
        <f>""</f>
        <v/>
      </c>
      <c r="I2054" t="str">
        <f t="shared" ref="I2054:I2090" si="28">"GUARDIAN"</f>
        <v>GUARDIAN</v>
      </c>
    </row>
    <row r="2055" spans="1:9" x14ac:dyDescent="0.3">
      <c r="A2055" t="str">
        <f>""</f>
        <v/>
      </c>
      <c r="F2055" t="str">
        <f>""</f>
        <v/>
      </c>
      <c r="G2055" t="str">
        <f>""</f>
        <v/>
      </c>
      <c r="I2055" t="str">
        <f t="shared" si="28"/>
        <v>GUARDIAN</v>
      </c>
    </row>
    <row r="2056" spans="1:9" x14ac:dyDescent="0.3">
      <c r="A2056" t="str">
        <f>""</f>
        <v/>
      </c>
      <c r="F2056" t="str">
        <f>""</f>
        <v/>
      </c>
      <c r="G2056" t="str">
        <f>""</f>
        <v/>
      </c>
      <c r="I2056" t="str">
        <f t="shared" si="28"/>
        <v>GUARDIAN</v>
      </c>
    </row>
    <row r="2057" spans="1:9" x14ac:dyDescent="0.3">
      <c r="A2057" t="str">
        <f>""</f>
        <v/>
      </c>
      <c r="F2057" t="str">
        <f>""</f>
        <v/>
      </c>
      <c r="G2057" t="str">
        <f>""</f>
        <v/>
      </c>
      <c r="I2057" t="str">
        <f t="shared" si="28"/>
        <v>GUARDIAN</v>
      </c>
    </row>
    <row r="2058" spans="1:9" x14ac:dyDescent="0.3">
      <c r="A2058" t="str">
        <f>""</f>
        <v/>
      </c>
      <c r="F2058" t="str">
        <f>""</f>
        <v/>
      </c>
      <c r="G2058" t="str">
        <f>""</f>
        <v/>
      </c>
      <c r="I2058" t="str">
        <f t="shared" si="28"/>
        <v>GUARDIAN</v>
      </c>
    </row>
    <row r="2059" spans="1:9" x14ac:dyDescent="0.3">
      <c r="A2059" t="str">
        <f>""</f>
        <v/>
      </c>
      <c r="F2059" t="str">
        <f>""</f>
        <v/>
      </c>
      <c r="G2059" t="str">
        <f>""</f>
        <v/>
      </c>
      <c r="I2059" t="str">
        <f t="shared" si="28"/>
        <v>GUARDIAN</v>
      </c>
    </row>
    <row r="2060" spans="1:9" x14ac:dyDescent="0.3">
      <c r="A2060" t="str">
        <f>""</f>
        <v/>
      </c>
      <c r="F2060" t="str">
        <f>""</f>
        <v/>
      </c>
      <c r="G2060" t="str">
        <f>""</f>
        <v/>
      </c>
      <c r="I2060" t="str">
        <f t="shared" si="28"/>
        <v>GUARDIAN</v>
      </c>
    </row>
    <row r="2061" spans="1:9" x14ac:dyDescent="0.3">
      <c r="A2061" t="str">
        <f>""</f>
        <v/>
      </c>
      <c r="F2061" t="str">
        <f>""</f>
        <v/>
      </c>
      <c r="G2061" t="str">
        <f>""</f>
        <v/>
      </c>
      <c r="I2061" t="str">
        <f t="shared" si="28"/>
        <v>GUARDIAN</v>
      </c>
    </row>
    <row r="2062" spans="1:9" x14ac:dyDescent="0.3">
      <c r="A2062" t="str">
        <f>""</f>
        <v/>
      </c>
      <c r="F2062" t="str">
        <f>""</f>
        <v/>
      </c>
      <c r="G2062" t="str">
        <f>""</f>
        <v/>
      </c>
      <c r="I2062" t="str">
        <f t="shared" si="28"/>
        <v>GUARDIAN</v>
      </c>
    </row>
    <row r="2063" spans="1:9" x14ac:dyDescent="0.3">
      <c r="A2063" t="str">
        <f>""</f>
        <v/>
      </c>
      <c r="F2063" t="str">
        <f>""</f>
        <v/>
      </c>
      <c r="G2063" t="str">
        <f>""</f>
        <v/>
      </c>
      <c r="I2063" t="str">
        <f t="shared" si="28"/>
        <v>GUARDIAN</v>
      </c>
    </row>
    <row r="2064" spans="1:9" x14ac:dyDescent="0.3">
      <c r="A2064" t="str">
        <f>""</f>
        <v/>
      </c>
      <c r="F2064" t="str">
        <f>""</f>
        <v/>
      </c>
      <c r="G2064" t="str">
        <f>""</f>
        <v/>
      </c>
      <c r="I2064" t="str">
        <f t="shared" si="28"/>
        <v>GUARDIAN</v>
      </c>
    </row>
    <row r="2065" spans="1:9" x14ac:dyDescent="0.3">
      <c r="A2065" t="str">
        <f>""</f>
        <v/>
      </c>
      <c r="F2065" t="str">
        <f>""</f>
        <v/>
      </c>
      <c r="G2065" t="str">
        <f>""</f>
        <v/>
      </c>
      <c r="I2065" t="str">
        <f t="shared" si="28"/>
        <v>GUARDIAN</v>
      </c>
    </row>
    <row r="2066" spans="1:9" x14ac:dyDescent="0.3">
      <c r="A2066" t="str">
        <f>""</f>
        <v/>
      </c>
      <c r="F2066" t="str">
        <f>""</f>
        <v/>
      </c>
      <c r="G2066" t="str">
        <f>""</f>
        <v/>
      </c>
      <c r="I2066" t="str">
        <f t="shared" si="28"/>
        <v>GUARDIAN</v>
      </c>
    </row>
    <row r="2067" spans="1:9" x14ac:dyDescent="0.3">
      <c r="A2067" t="str">
        <f>""</f>
        <v/>
      </c>
      <c r="F2067" t="str">
        <f>""</f>
        <v/>
      </c>
      <c r="G2067" t="str">
        <f>""</f>
        <v/>
      </c>
      <c r="I2067" t="str">
        <f t="shared" si="28"/>
        <v>GUARDIAN</v>
      </c>
    </row>
    <row r="2068" spans="1:9" x14ac:dyDescent="0.3">
      <c r="A2068" t="str">
        <f>""</f>
        <v/>
      </c>
      <c r="F2068" t="str">
        <f>""</f>
        <v/>
      </c>
      <c r="G2068" t="str">
        <f>""</f>
        <v/>
      </c>
      <c r="I2068" t="str">
        <f t="shared" si="28"/>
        <v>GUARDIAN</v>
      </c>
    </row>
    <row r="2069" spans="1:9" x14ac:dyDescent="0.3">
      <c r="A2069" t="str">
        <f>""</f>
        <v/>
      </c>
      <c r="F2069" t="str">
        <f>""</f>
        <v/>
      </c>
      <c r="G2069" t="str">
        <f>""</f>
        <v/>
      </c>
      <c r="I2069" t="str">
        <f t="shared" si="28"/>
        <v>GUARDIAN</v>
      </c>
    </row>
    <row r="2070" spans="1:9" x14ac:dyDescent="0.3">
      <c r="A2070" t="str">
        <f>""</f>
        <v/>
      </c>
      <c r="F2070" t="str">
        <f>""</f>
        <v/>
      </c>
      <c r="G2070" t="str">
        <f>""</f>
        <v/>
      </c>
      <c r="I2070" t="str">
        <f t="shared" si="28"/>
        <v>GUARDIAN</v>
      </c>
    </row>
    <row r="2071" spans="1:9" x14ac:dyDescent="0.3">
      <c r="A2071" t="str">
        <f>""</f>
        <v/>
      </c>
      <c r="F2071" t="str">
        <f>""</f>
        <v/>
      </c>
      <c r="G2071" t="str">
        <f>""</f>
        <v/>
      </c>
      <c r="I2071" t="str">
        <f t="shared" si="28"/>
        <v>GUARDIAN</v>
      </c>
    </row>
    <row r="2072" spans="1:9" x14ac:dyDescent="0.3">
      <c r="A2072" t="str">
        <f>""</f>
        <v/>
      </c>
      <c r="F2072" t="str">
        <f>""</f>
        <v/>
      </c>
      <c r="G2072" t="str">
        <f>""</f>
        <v/>
      </c>
      <c r="I2072" t="str">
        <f t="shared" si="28"/>
        <v>GUARDIAN</v>
      </c>
    </row>
    <row r="2073" spans="1:9" x14ac:dyDescent="0.3">
      <c r="A2073" t="str">
        <f>""</f>
        <v/>
      </c>
      <c r="F2073" t="str">
        <f>""</f>
        <v/>
      </c>
      <c r="G2073" t="str">
        <f>""</f>
        <v/>
      </c>
      <c r="I2073" t="str">
        <f t="shared" si="28"/>
        <v>GUARDIAN</v>
      </c>
    </row>
    <row r="2074" spans="1:9" x14ac:dyDescent="0.3">
      <c r="A2074" t="str">
        <f>""</f>
        <v/>
      </c>
      <c r="F2074" t="str">
        <f>""</f>
        <v/>
      </c>
      <c r="G2074" t="str">
        <f>""</f>
        <v/>
      </c>
      <c r="I2074" t="str">
        <f t="shared" si="28"/>
        <v>GUARDIAN</v>
      </c>
    </row>
    <row r="2075" spans="1:9" x14ac:dyDescent="0.3">
      <c r="A2075" t="str">
        <f>""</f>
        <v/>
      </c>
      <c r="F2075" t="str">
        <f>""</f>
        <v/>
      </c>
      <c r="G2075" t="str">
        <f>""</f>
        <v/>
      </c>
      <c r="I2075" t="str">
        <f t="shared" si="28"/>
        <v>GUARDIAN</v>
      </c>
    </row>
    <row r="2076" spans="1:9" x14ac:dyDescent="0.3">
      <c r="A2076" t="str">
        <f>""</f>
        <v/>
      </c>
      <c r="F2076" t="str">
        <f>""</f>
        <v/>
      </c>
      <c r="G2076" t="str">
        <f>""</f>
        <v/>
      </c>
      <c r="I2076" t="str">
        <f t="shared" si="28"/>
        <v>GUARDIAN</v>
      </c>
    </row>
    <row r="2077" spans="1:9" x14ac:dyDescent="0.3">
      <c r="A2077" t="str">
        <f>""</f>
        <v/>
      </c>
      <c r="F2077" t="str">
        <f>"LIE201709205020"</f>
        <v>LIE201709205020</v>
      </c>
      <c r="G2077" t="str">
        <f>"GUARDIAN"</f>
        <v>GUARDIAN</v>
      </c>
      <c r="H2077" s="2">
        <v>132.25</v>
      </c>
      <c r="I2077" t="str">
        <f t="shared" si="28"/>
        <v>GUARDIAN</v>
      </c>
    </row>
    <row r="2078" spans="1:9" x14ac:dyDescent="0.3">
      <c r="A2078" t="str">
        <f>""</f>
        <v/>
      </c>
      <c r="F2078" t="str">
        <f>""</f>
        <v/>
      </c>
      <c r="G2078" t="str">
        <f>""</f>
        <v/>
      </c>
      <c r="I2078" t="str">
        <f t="shared" si="28"/>
        <v>GUARDIAN</v>
      </c>
    </row>
    <row r="2079" spans="1:9" x14ac:dyDescent="0.3">
      <c r="A2079" t="str">
        <f>""</f>
        <v/>
      </c>
      <c r="F2079" t="str">
        <f>"LIS201709064584"</f>
        <v>LIS201709064584</v>
      </c>
      <c r="G2079" t="str">
        <f t="shared" ref="G2079:G2090" si="29">"GUARDIAN"</f>
        <v>GUARDIAN</v>
      </c>
      <c r="H2079" s="2">
        <v>397.62</v>
      </c>
      <c r="I2079" t="str">
        <f t="shared" si="28"/>
        <v>GUARDIAN</v>
      </c>
    </row>
    <row r="2080" spans="1:9" x14ac:dyDescent="0.3">
      <c r="A2080" t="str">
        <f>""</f>
        <v/>
      </c>
      <c r="F2080" t="str">
        <f>"LIS201709064604"</f>
        <v>LIS201709064604</v>
      </c>
      <c r="G2080" t="str">
        <f t="shared" si="29"/>
        <v>GUARDIAN</v>
      </c>
      <c r="H2080" s="2">
        <v>33.33</v>
      </c>
      <c r="I2080" t="str">
        <f t="shared" si="28"/>
        <v>GUARDIAN</v>
      </c>
    </row>
    <row r="2081" spans="1:9" x14ac:dyDescent="0.3">
      <c r="A2081" t="str">
        <f>""</f>
        <v/>
      </c>
      <c r="F2081" t="str">
        <f>"LIS201709205019"</f>
        <v>LIS201709205019</v>
      </c>
      <c r="G2081" t="str">
        <f t="shared" si="29"/>
        <v>GUARDIAN</v>
      </c>
      <c r="H2081" s="2">
        <v>397.62</v>
      </c>
      <c r="I2081" t="str">
        <f t="shared" si="28"/>
        <v>GUARDIAN</v>
      </c>
    </row>
    <row r="2082" spans="1:9" x14ac:dyDescent="0.3">
      <c r="A2082" t="str">
        <f>""</f>
        <v/>
      </c>
      <c r="F2082" t="str">
        <f>"LIS201709205020"</f>
        <v>LIS201709205020</v>
      </c>
      <c r="G2082" t="str">
        <f t="shared" si="29"/>
        <v>GUARDIAN</v>
      </c>
      <c r="H2082" s="2">
        <v>33.33</v>
      </c>
      <c r="I2082" t="str">
        <f t="shared" si="28"/>
        <v>GUARDIAN</v>
      </c>
    </row>
    <row r="2083" spans="1:9" x14ac:dyDescent="0.3">
      <c r="A2083" t="str">
        <f>""</f>
        <v/>
      </c>
      <c r="F2083" t="str">
        <f>"LTD201709064584"</f>
        <v>LTD201709064584</v>
      </c>
      <c r="G2083" t="str">
        <f t="shared" si="29"/>
        <v>GUARDIAN</v>
      </c>
      <c r="H2083" s="2">
        <v>728.59</v>
      </c>
      <c r="I2083" t="str">
        <f t="shared" si="28"/>
        <v>GUARDIAN</v>
      </c>
    </row>
    <row r="2084" spans="1:9" x14ac:dyDescent="0.3">
      <c r="A2084" t="str">
        <f>""</f>
        <v/>
      </c>
      <c r="F2084" t="str">
        <f>"LTD201709064604"</f>
        <v>LTD201709064604</v>
      </c>
      <c r="G2084" t="str">
        <f t="shared" si="29"/>
        <v>GUARDIAN</v>
      </c>
      <c r="H2084" s="2">
        <v>62.54</v>
      </c>
      <c r="I2084" t="str">
        <f t="shared" si="28"/>
        <v>GUARDIAN</v>
      </c>
    </row>
    <row r="2085" spans="1:9" x14ac:dyDescent="0.3">
      <c r="A2085" t="str">
        <f>""</f>
        <v/>
      </c>
      <c r="F2085" t="str">
        <f>"LTD201709205019"</f>
        <v>LTD201709205019</v>
      </c>
      <c r="G2085" t="str">
        <f t="shared" si="29"/>
        <v>GUARDIAN</v>
      </c>
      <c r="H2085" s="2">
        <v>709.15</v>
      </c>
      <c r="I2085" t="str">
        <f t="shared" si="28"/>
        <v>GUARDIAN</v>
      </c>
    </row>
    <row r="2086" spans="1:9" x14ac:dyDescent="0.3">
      <c r="A2086" t="str">
        <f>""</f>
        <v/>
      </c>
      <c r="F2086" t="str">
        <f>"LTD201709205020"</f>
        <v>LTD201709205020</v>
      </c>
      <c r="G2086" t="str">
        <f t="shared" si="29"/>
        <v>GUARDIAN</v>
      </c>
      <c r="H2086" s="2">
        <v>62.54</v>
      </c>
      <c r="I2086" t="str">
        <f t="shared" si="28"/>
        <v>GUARDIAN</v>
      </c>
    </row>
    <row r="2087" spans="1:9" x14ac:dyDescent="0.3">
      <c r="A2087" t="str">
        <f>"GUARDI"</f>
        <v>GUARDI</v>
      </c>
      <c r="B2087" t="s">
        <v>488</v>
      </c>
      <c r="C2087">
        <v>0</v>
      </c>
      <c r="D2087" s="2">
        <v>119.32</v>
      </c>
      <c r="E2087" s="1">
        <v>43004</v>
      </c>
      <c r="F2087" t="str">
        <f>"AEG201709064584"</f>
        <v>AEG201709064584</v>
      </c>
      <c r="G2087" t="str">
        <f t="shared" si="29"/>
        <v>GUARDIAN</v>
      </c>
      <c r="H2087" s="2">
        <v>9.51</v>
      </c>
      <c r="I2087" t="str">
        <f t="shared" si="28"/>
        <v>GUARDIAN</v>
      </c>
    </row>
    <row r="2088" spans="1:9" x14ac:dyDescent="0.3">
      <c r="A2088" t="str">
        <f>""</f>
        <v/>
      </c>
      <c r="F2088" t="str">
        <f>"AEG201709205019"</f>
        <v>AEG201709205019</v>
      </c>
      <c r="G2088" t="str">
        <f t="shared" si="29"/>
        <v>GUARDIAN</v>
      </c>
      <c r="H2088" s="2">
        <v>9.51</v>
      </c>
      <c r="I2088" t="str">
        <f t="shared" si="28"/>
        <v>GUARDIAN</v>
      </c>
    </row>
    <row r="2089" spans="1:9" x14ac:dyDescent="0.3">
      <c r="A2089" t="str">
        <f>""</f>
        <v/>
      </c>
      <c r="F2089" t="str">
        <f>"AFG201709064584"</f>
        <v>AFG201709064584</v>
      </c>
      <c r="G2089" t="str">
        <f t="shared" si="29"/>
        <v>GUARDIAN</v>
      </c>
      <c r="H2089" s="2">
        <v>50.15</v>
      </c>
      <c r="I2089" t="str">
        <f t="shared" si="28"/>
        <v>GUARDIAN</v>
      </c>
    </row>
    <row r="2090" spans="1:9" x14ac:dyDescent="0.3">
      <c r="A2090" t="str">
        <f>""</f>
        <v/>
      </c>
      <c r="F2090" t="str">
        <f>"AFG201709205019"</f>
        <v>AFG201709205019</v>
      </c>
      <c r="G2090" t="str">
        <f t="shared" si="29"/>
        <v>GUARDIAN</v>
      </c>
      <c r="H2090" s="2">
        <v>50.15</v>
      </c>
      <c r="I2090" t="str">
        <f t="shared" si="28"/>
        <v>GUARDIAN</v>
      </c>
    </row>
    <row r="2091" spans="1:9" x14ac:dyDescent="0.3">
      <c r="A2091" t="str">
        <f>"IRSACS"</f>
        <v>IRSACS</v>
      </c>
      <c r="B2091" t="s">
        <v>489</v>
      </c>
      <c r="C2091">
        <v>45838</v>
      </c>
      <c r="D2091" s="2">
        <v>238.43</v>
      </c>
      <c r="E2091" s="1">
        <v>42986</v>
      </c>
      <c r="F2091" t="str">
        <f>"IJ2201709064584"</f>
        <v>IJ2201709064584</v>
      </c>
      <c r="G2091" t="str">
        <f>"LISA JACKSON 2 IRS LEVY"</f>
        <v>LISA JACKSON 2 IRS LEVY</v>
      </c>
      <c r="H2091" s="2">
        <v>238.43</v>
      </c>
      <c r="I2091" t="str">
        <f>"LISA JACKSON 2 IRS LEVY"</f>
        <v>LISA JACKSON 2 IRS LEVY</v>
      </c>
    </row>
    <row r="2092" spans="1:9" x14ac:dyDescent="0.3">
      <c r="A2092" t="str">
        <f>"IRSACS"</f>
        <v>IRSACS</v>
      </c>
      <c r="B2092" t="s">
        <v>489</v>
      </c>
      <c r="C2092">
        <v>45867</v>
      </c>
      <c r="D2092" s="2">
        <v>238.43</v>
      </c>
      <c r="E2092" s="1">
        <v>43000</v>
      </c>
      <c r="F2092" t="str">
        <f>"IJ2201709205019"</f>
        <v>IJ2201709205019</v>
      </c>
      <c r="G2092" t="str">
        <f>"LISA JACKSON 2 IRS LEVY"</f>
        <v>LISA JACKSON 2 IRS LEVY</v>
      </c>
      <c r="H2092" s="2">
        <v>238.43</v>
      </c>
      <c r="I2092" t="str">
        <f>"LISA JACKSON 2 IRS LEVY"</f>
        <v>LISA JACKSON 2 IRS LEVY</v>
      </c>
    </row>
    <row r="2093" spans="1:9" x14ac:dyDescent="0.3">
      <c r="A2093" t="str">
        <f>"IRSPY"</f>
        <v>IRSPY</v>
      </c>
      <c r="B2093" t="s">
        <v>490</v>
      </c>
      <c r="C2093">
        <v>0</v>
      </c>
      <c r="D2093" s="2">
        <v>237343.83</v>
      </c>
      <c r="E2093" s="1">
        <v>42986</v>
      </c>
      <c r="F2093" t="str">
        <f>"T1 201709064584"</f>
        <v>T1 201709064584</v>
      </c>
      <c r="G2093" t="str">
        <f>"FEDERAL WITHHOLDING"</f>
        <v>FEDERAL WITHHOLDING</v>
      </c>
      <c r="H2093" s="2">
        <v>90061.92</v>
      </c>
      <c r="I2093" t="str">
        <f>"FEDERAL WITHHOLDING"</f>
        <v>FEDERAL WITHHOLDING</v>
      </c>
    </row>
    <row r="2094" spans="1:9" x14ac:dyDescent="0.3">
      <c r="A2094" t="str">
        <f>""</f>
        <v/>
      </c>
      <c r="F2094" t="str">
        <f>"T1 201709064604"</f>
        <v>T1 201709064604</v>
      </c>
      <c r="G2094" t="str">
        <f>"FEDERAL WITHHOLDING"</f>
        <v>FEDERAL WITHHOLDING</v>
      </c>
      <c r="H2094" s="2">
        <v>3478.4</v>
      </c>
      <c r="I2094" t="str">
        <f>"FEDERAL WITHHOLDING"</f>
        <v>FEDERAL WITHHOLDING</v>
      </c>
    </row>
    <row r="2095" spans="1:9" x14ac:dyDescent="0.3">
      <c r="A2095" t="str">
        <f>""</f>
        <v/>
      </c>
      <c r="F2095" t="str">
        <f>"T1 201709064636"</f>
        <v>T1 201709064636</v>
      </c>
      <c r="G2095" t="str">
        <f>"FEDERAL WITHHOLDING"</f>
        <v>FEDERAL WITHHOLDING</v>
      </c>
      <c r="H2095" s="2">
        <v>4312.6899999999996</v>
      </c>
      <c r="I2095" t="str">
        <f>"FEDERAL WITHHOLDING"</f>
        <v>FEDERAL WITHHOLDING</v>
      </c>
    </row>
    <row r="2096" spans="1:9" x14ac:dyDescent="0.3">
      <c r="A2096" t="str">
        <f>""</f>
        <v/>
      </c>
      <c r="F2096" t="str">
        <f>"T3 201709064584"</f>
        <v>T3 201709064584</v>
      </c>
      <c r="G2096" t="str">
        <f>"SOCIAL SECURITY TAXES"</f>
        <v>SOCIAL SECURITY TAXES</v>
      </c>
      <c r="H2096" s="2">
        <v>103779.82</v>
      </c>
      <c r="I2096" t="str">
        <f t="shared" ref="I2096:I2127" si="30">"SOCIAL SECURITY TAXES"</f>
        <v>SOCIAL SECURITY TAXES</v>
      </c>
    </row>
    <row r="2097" spans="1:9" x14ac:dyDescent="0.3">
      <c r="A2097" t="str">
        <f>""</f>
        <v/>
      </c>
      <c r="F2097" t="str">
        <f>""</f>
        <v/>
      </c>
      <c r="G2097" t="str">
        <f>""</f>
        <v/>
      </c>
      <c r="I2097" t="str">
        <f t="shared" si="30"/>
        <v>SOCIAL SECURITY TAXES</v>
      </c>
    </row>
    <row r="2098" spans="1:9" x14ac:dyDescent="0.3">
      <c r="A2098" t="str">
        <f>""</f>
        <v/>
      </c>
      <c r="F2098" t="str">
        <f>""</f>
        <v/>
      </c>
      <c r="G2098" t="str">
        <f>""</f>
        <v/>
      </c>
      <c r="I2098" t="str">
        <f t="shared" si="30"/>
        <v>SOCIAL SECURITY TAXES</v>
      </c>
    </row>
    <row r="2099" spans="1:9" x14ac:dyDescent="0.3">
      <c r="A2099" t="str">
        <f>""</f>
        <v/>
      </c>
      <c r="F2099" t="str">
        <f>""</f>
        <v/>
      </c>
      <c r="G2099" t="str">
        <f>""</f>
        <v/>
      </c>
      <c r="I2099" t="str">
        <f t="shared" si="30"/>
        <v>SOCIAL SECURITY TAXES</v>
      </c>
    </row>
    <row r="2100" spans="1:9" x14ac:dyDescent="0.3">
      <c r="A2100" t="str">
        <f>""</f>
        <v/>
      </c>
      <c r="F2100" t="str">
        <f>""</f>
        <v/>
      </c>
      <c r="G2100" t="str">
        <f>""</f>
        <v/>
      </c>
      <c r="I2100" t="str">
        <f t="shared" si="30"/>
        <v>SOCIAL SECURITY TAXES</v>
      </c>
    </row>
    <row r="2101" spans="1:9" x14ac:dyDescent="0.3">
      <c r="A2101" t="str">
        <f>""</f>
        <v/>
      </c>
      <c r="F2101" t="str">
        <f>""</f>
        <v/>
      </c>
      <c r="G2101" t="str">
        <f>""</f>
        <v/>
      </c>
      <c r="I2101" t="str">
        <f t="shared" si="30"/>
        <v>SOCIAL SECURITY TAXES</v>
      </c>
    </row>
    <row r="2102" spans="1:9" x14ac:dyDescent="0.3">
      <c r="A2102" t="str">
        <f>""</f>
        <v/>
      </c>
      <c r="F2102" t="str">
        <f>""</f>
        <v/>
      </c>
      <c r="G2102" t="str">
        <f>""</f>
        <v/>
      </c>
      <c r="I2102" t="str">
        <f t="shared" si="30"/>
        <v>SOCIAL SECURITY TAXES</v>
      </c>
    </row>
    <row r="2103" spans="1:9" x14ac:dyDescent="0.3">
      <c r="A2103" t="str">
        <f>""</f>
        <v/>
      </c>
      <c r="F2103" t="str">
        <f>""</f>
        <v/>
      </c>
      <c r="G2103" t="str">
        <f>""</f>
        <v/>
      </c>
      <c r="I2103" t="str">
        <f t="shared" si="30"/>
        <v>SOCIAL SECURITY TAXES</v>
      </c>
    </row>
    <row r="2104" spans="1:9" x14ac:dyDescent="0.3">
      <c r="A2104" t="str">
        <f>""</f>
        <v/>
      </c>
      <c r="F2104" t="str">
        <f>""</f>
        <v/>
      </c>
      <c r="G2104" t="str">
        <f>""</f>
        <v/>
      </c>
      <c r="I2104" t="str">
        <f t="shared" si="30"/>
        <v>SOCIAL SECURITY TAXES</v>
      </c>
    </row>
    <row r="2105" spans="1:9" x14ac:dyDescent="0.3">
      <c r="A2105" t="str">
        <f>""</f>
        <v/>
      </c>
      <c r="F2105" t="str">
        <f>""</f>
        <v/>
      </c>
      <c r="G2105" t="str">
        <f>""</f>
        <v/>
      </c>
      <c r="I2105" t="str">
        <f t="shared" si="30"/>
        <v>SOCIAL SECURITY TAXES</v>
      </c>
    </row>
    <row r="2106" spans="1:9" x14ac:dyDescent="0.3">
      <c r="A2106" t="str">
        <f>""</f>
        <v/>
      </c>
      <c r="F2106" t="str">
        <f>""</f>
        <v/>
      </c>
      <c r="G2106" t="str">
        <f>""</f>
        <v/>
      </c>
      <c r="I2106" t="str">
        <f t="shared" si="30"/>
        <v>SOCIAL SECURITY TAXES</v>
      </c>
    </row>
    <row r="2107" spans="1:9" x14ac:dyDescent="0.3">
      <c r="A2107" t="str">
        <f>""</f>
        <v/>
      </c>
      <c r="F2107" t="str">
        <f>""</f>
        <v/>
      </c>
      <c r="G2107" t="str">
        <f>""</f>
        <v/>
      </c>
      <c r="I2107" t="str">
        <f t="shared" si="30"/>
        <v>SOCIAL SECURITY TAXES</v>
      </c>
    </row>
    <row r="2108" spans="1:9" x14ac:dyDescent="0.3">
      <c r="A2108" t="str">
        <f>""</f>
        <v/>
      </c>
      <c r="F2108" t="str">
        <f>""</f>
        <v/>
      </c>
      <c r="G2108" t="str">
        <f>""</f>
        <v/>
      </c>
      <c r="I2108" t="str">
        <f t="shared" si="30"/>
        <v>SOCIAL SECURITY TAXES</v>
      </c>
    </row>
    <row r="2109" spans="1:9" x14ac:dyDescent="0.3">
      <c r="A2109" t="str">
        <f>""</f>
        <v/>
      </c>
      <c r="F2109" t="str">
        <f>""</f>
        <v/>
      </c>
      <c r="G2109" t="str">
        <f>""</f>
        <v/>
      </c>
      <c r="I2109" t="str">
        <f t="shared" si="30"/>
        <v>SOCIAL SECURITY TAXES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30"/>
        <v>SOCIAL SECURITY TAXES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30"/>
        <v>SOCIAL SECURITY TAXES</v>
      </c>
    </row>
    <row r="2112" spans="1:9" x14ac:dyDescent="0.3">
      <c r="A2112" t="str">
        <f>""</f>
        <v/>
      </c>
      <c r="F2112" t="str">
        <f>""</f>
        <v/>
      </c>
      <c r="G2112" t="str">
        <f>""</f>
        <v/>
      </c>
      <c r="I2112" t="str">
        <f t="shared" si="30"/>
        <v>SOCIAL SECURITY TAXES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30"/>
        <v>SOCIAL SECURITY TAXES</v>
      </c>
    </row>
    <row r="2114" spans="1:9" x14ac:dyDescent="0.3">
      <c r="A2114" t="str">
        <f>""</f>
        <v/>
      </c>
      <c r="F2114" t="str">
        <f>""</f>
        <v/>
      </c>
      <c r="G2114" t="str">
        <f>""</f>
        <v/>
      </c>
      <c r="I2114" t="str">
        <f t="shared" si="30"/>
        <v>SOCIAL SECURITY TAXES</v>
      </c>
    </row>
    <row r="2115" spans="1:9" x14ac:dyDescent="0.3">
      <c r="A2115" t="str">
        <f>""</f>
        <v/>
      </c>
      <c r="F2115" t="str">
        <f>""</f>
        <v/>
      </c>
      <c r="G2115" t="str">
        <f>""</f>
        <v/>
      </c>
      <c r="I2115" t="str">
        <f t="shared" si="30"/>
        <v>SOCIAL SECURITY TAXES</v>
      </c>
    </row>
    <row r="2116" spans="1:9" x14ac:dyDescent="0.3">
      <c r="A2116" t="str">
        <f>""</f>
        <v/>
      </c>
      <c r="F2116" t="str">
        <f>""</f>
        <v/>
      </c>
      <c r="G2116" t="str">
        <f>""</f>
        <v/>
      </c>
      <c r="I2116" t="str">
        <f t="shared" si="30"/>
        <v>SOCIAL SECURITY TAXES</v>
      </c>
    </row>
    <row r="2117" spans="1:9" x14ac:dyDescent="0.3">
      <c r="A2117" t="str">
        <f>""</f>
        <v/>
      </c>
      <c r="F2117" t="str">
        <f>""</f>
        <v/>
      </c>
      <c r="G2117" t="str">
        <f>""</f>
        <v/>
      </c>
      <c r="I2117" t="str">
        <f t="shared" si="30"/>
        <v>SOCIAL SECURITY TAXES</v>
      </c>
    </row>
    <row r="2118" spans="1:9" x14ac:dyDescent="0.3">
      <c r="A2118" t="str">
        <f>""</f>
        <v/>
      </c>
      <c r="F2118" t="str">
        <f>""</f>
        <v/>
      </c>
      <c r="G2118" t="str">
        <f>""</f>
        <v/>
      </c>
      <c r="I2118" t="str">
        <f t="shared" si="30"/>
        <v>SOCIAL SECURITY TAXES</v>
      </c>
    </row>
    <row r="2119" spans="1:9" x14ac:dyDescent="0.3">
      <c r="A2119" t="str">
        <f>""</f>
        <v/>
      </c>
      <c r="F2119" t="str">
        <f>""</f>
        <v/>
      </c>
      <c r="G2119" t="str">
        <f>""</f>
        <v/>
      </c>
      <c r="I2119" t="str">
        <f t="shared" si="30"/>
        <v>SOCIAL SECURITY TAXES</v>
      </c>
    </row>
    <row r="2120" spans="1:9" x14ac:dyDescent="0.3">
      <c r="A2120" t="str">
        <f>""</f>
        <v/>
      </c>
      <c r="F2120" t="str">
        <f>""</f>
        <v/>
      </c>
      <c r="G2120" t="str">
        <f>""</f>
        <v/>
      </c>
      <c r="I2120" t="str">
        <f t="shared" si="30"/>
        <v>SOCIAL SECURITY TAXES</v>
      </c>
    </row>
    <row r="2121" spans="1:9" x14ac:dyDescent="0.3">
      <c r="A2121" t="str">
        <f>""</f>
        <v/>
      </c>
      <c r="F2121" t="str">
        <f>""</f>
        <v/>
      </c>
      <c r="G2121" t="str">
        <f>""</f>
        <v/>
      </c>
      <c r="I2121" t="str">
        <f t="shared" si="30"/>
        <v>SOCIAL SECURITY TAXES</v>
      </c>
    </row>
    <row r="2122" spans="1:9" x14ac:dyDescent="0.3">
      <c r="A2122" t="str">
        <f>""</f>
        <v/>
      </c>
      <c r="F2122" t="str">
        <f>""</f>
        <v/>
      </c>
      <c r="G2122" t="str">
        <f>""</f>
        <v/>
      </c>
      <c r="I2122" t="str">
        <f t="shared" si="30"/>
        <v>SOCIAL SECURITY TAXES</v>
      </c>
    </row>
    <row r="2123" spans="1:9" x14ac:dyDescent="0.3">
      <c r="A2123" t="str">
        <f>""</f>
        <v/>
      </c>
      <c r="F2123" t="str">
        <f>""</f>
        <v/>
      </c>
      <c r="G2123" t="str">
        <f>""</f>
        <v/>
      </c>
      <c r="I2123" t="str">
        <f t="shared" si="30"/>
        <v>SOCIAL SECURITY TAXES</v>
      </c>
    </row>
    <row r="2124" spans="1:9" x14ac:dyDescent="0.3">
      <c r="A2124" t="str">
        <f>""</f>
        <v/>
      </c>
      <c r="F2124" t="str">
        <f>""</f>
        <v/>
      </c>
      <c r="G2124" t="str">
        <f>""</f>
        <v/>
      </c>
      <c r="I2124" t="str">
        <f t="shared" si="30"/>
        <v>SOCIAL SECURITY TAXES</v>
      </c>
    </row>
    <row r="2125" spans="1:9" x14ac:dyDescent="0.3">
      <c r="A2125" t="str">
        <f>""</f>
        <v/>
      </c>
      <c r="F2125" t="str">
        <f>""</f>
        <v/>
      </c>
      <c r="G2125" t="str">
        <f>""</f>
        <v/>
      </c>
      <c r="I2125" t="str">
        <f t="shared" si="30"/>
        <v>SOCIAL SECURITY TAXES</v>
      </c>
    </row>
    <row r="2126" spans="1:9" x14ac:dyDescent="0.3">
      <c r="A2126" t="str">
        <f>""</f>
        <v/>
      </c>
      <c r="F2126" t="str">
        <f>""</f>
        <v/>
      </c>
      <c r="G2126" t="str">
        <f>""</f>
        <v/>
      </c>
      <c r="I2126" t="str">
        <f t="shared" si="30"/>
        <v>SOCIAL SECURITY TAXES</v>
      </c>
    </row>
    <row r="2127" spans="1:9" x14ac:dyDescent="0.3">
      <c r="A2127" t="str">
        <f>""</f>
        <v/>
      </c>
      <c r="F2127" t="str">
        <f>""</f>
        <v/>
      </c>
      <c r="G2127" t="str">
        <f>""</f>
        <v/>
      </c>
      <c r="I2127" t="str">
        <f t="shared" si="30"/>
        <v>SOCIAL SECURITY TAXES</v>
      </c>
    </row>
    <row r="2128" spans="1:9" x14ac:dyDescent="0.3">
      <c r="A2128" t="str">
        <f>""</f>
        <v/>
      </c>
      <c r="F2128" t="str">
        <f>""</f>
        <v/>
      </c>
      <c r="G2128" t="str">
        <f>""</f>
        <v/>
      </c>
      <c r="I2128" t="str">
        <f t="shared" ref="I2128:I2151" si="31">"SOCIAL SECURITY TAXES"</f>
        <v>SOCIAL SECURITY TAXES</v>
      </c>
    </row>
    <row r="2129" spans="1:9" x14ac:dyDescent="0.3">
      <c r="A2129" t="str">
        <f>""</f>
        <v/>
      </c>
      <c r="F2129" t="str">
        <f>""</f>
        <v/>
      </c>
      <c r="G2129" t="str">
        <f>""</f>
        <v/>
      </c>
      <c r="I2129" t="str">
        <f t="shared" si="31"/>
        <v>SOCIAL SECURITY TAXES</v>
      </c>
    </row>
    <row r="2130" spans="1:9" x14ac:dyDescent="0.3">
      <c r="A2130" t="str">
        <f>""</f>
        <v/>
      </c>
      <c r="F2130" t="str">
        <f>""</f>
        <v/>
      </c>
      <c r="G2130" t="str">
        <f>""</f>
        <v/>
      </c>
      <c r="I2130" t="str">
        <f t="shared" si="31"/>
        <v>SOCIAL SECURITY TAXES</v>
      </c>
    </row>
    <row r="2131" spans="1:9" x14ac:dyDescent="0.3">
      <c r="A2131" t="str">
        <f>""</f>
        <v/>
      </c>
      <c r="F2131" t="str">
        <f>""</f>
        <v/>
      </c>
      <c r="G2131" t="str">
        <f>""</f>
        <v/>
      </c>
      <c r="I2131" t="str">
        <f t="shared" si="31"/>
        <v>SOCIAL SECURITY TAXES</v>
      </c>
    </row>
    <row r="2132" spans="1:9" x14ac:dyDescent="0.3">
      <c r="A2132" t="str">
        <f>""</f>
        <v/>
      </c>
      <c r="F2132" t="str">
        <f>""</f>
        <v/>
      </c>
      <c r="G2132" t="str">
        <f>""</f>
        <v/>
      </c>
      <c r="I2132" t="str">
        <f t="shared" si="31"/>
        <v>SOCIAL SECURITY TAXES</v>
      </c>
    </row>
    <row r="2133" spans="1:9" x14ac:dyDescent="0.3">
      <c r="A2133" t="str">
        <f>""</f>
        <v/>
      </c>
      <c r="F2133" t="str">
        <f>""</f>
        <v/>
      </c>
      <c r="G2133" t="str">
        <f>""</f>
        <v/>
      </c>
      <c r="I2133" t="str">
        <f t="shared" si="31"/>
        <v>SOCIAL SECURITY TAXES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31"/>
        <v>SOCIAL SECURITY TAXES</v>
      </c>
    </row>
    <row r="2135" spans="1:9" x14ac:dyDescent="0.3">
      <c r="A2135" t="str">
        <f>""</f>
        <v/>
      </c>
      <c r="F2135" t="str">
        <f>""</f>
        <v/>
      </c>
      <c r="G2135" t="str">
        <f>""</f>
        <v/>
      </c>
      <c r="I2135" t="str">
        <f t="shared" si="31"/>
        <v>SOCIAL SECURITY TAXES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31"/>
        <v>SOCIAL SECURITY TAXES</v>
      </c>
    </row>
    <row r="2137" spans="1:9" x14ac:dyDescent="0.3">
      <c r="A2137" t="str">
        <f>""</f>
        <v/>
      </c>
      <c r="F2137" t="str">
        <f>""</f>
        <v/>
      </c>
      <c r="G2137" t="str">
        <f>""</f>
        <v/>
      </c>
      <c r="I2137" t="str">
        <f t="shared" si="31"/>
        <v>SOCIAL SECURITY TAXES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31"/>
        <v>SOCIAL SECURITY TAXES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31"/>
        <v>SOCIAL SECURITY TAXES</v>
      </c>
    </row>
    <row r="2140" spans="1:9" x14ac:dyDescent="0.3">
      <c r="A2140" t="str">
        <f>""</f>
        <v/>
      </c>
      <c r="F2140" t="str">
        <f>""</f>
        <v/>
      </c>
      <c r="G2140" t="str">
        <f>""</f>
        <v/>
      </c>
      <c r="I2140" t="str">
        <f t="shared" si="31"/>
        <v>SOCIAL SECURITY TAXES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si="31"/>
        <v>SOCIAL SECURITY TAXES</v>
      </c>
    </row>
    <row r="2142" spans="1:9" x14ac:dyDescent="0.3">
      <c r="A2142" t="str">
        <f>""</f>
        <v/>
      </c>
      <c r="F2142" t="str">
        <f>""</f>
        <v/>
      </c>
      <c r="G2142" t="str">
        <f>""</f>
        <v/>
      </c>
      <c r="I2142" t="str">
        <f t="shared" si="31"/>
        <v>SOCIAL SECURITY TAXES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31"/>
        <v>SOCIAL SECURITY TAXES</v>
      </c>
    </row>
    <row r="2144" spans="1:9" x14ac:dyDescent="0.3">
      <c r="A2144" t="str">
        <f>""</f>
        <v/>
      </c>
      <c r="F2144" t="str">
        <f>""</f>
        <v/>
      </c>
      <c r="G2144" t="str">
        <f>""</f>
        <v/>
      </c>
      <c r="I2144" t="str">
        <f t="shared" si="31"/>
        <v>SOCIAL SECURITY TAXES</v>
      </c>
    </row>
    <row r="2145" spans="1:9" x14ac:dyDescent="0.3">
      <c r="A2145" t="str">
        <f>""</f>
        <v/>
      </c>
      <c r="F2145" t="str">
        <f>""</f>
        <v/>
      </c>
      <c r="G2145" t="str">
        <f>""</f>
        <v/>
      </c>
      <c r="I2145" t="str">
        <f t="shared" si="31"/>
        <v>SOCIAL SECURITY TAXES</v>
      </c>
    </row>
    <row r="2146" spans="1:9" x14ac:dyDescent="0.3">
      <c r="A2146" t="str">
        <f>""</f>
        <v/>
      </c>
      <c r="F2146" t="str">
        <f>""</f>
        <v/>
      </c>
      <c r="G2146" t="str">
        <f>""</f>
        <v/>
      </c>
      <c r="I2146" t="str">
        <f t="shared" si="31"/>
        <v>SOCIAL SECURITY TAXES</v>
      </c>
    </row>
    <row r="2147" spans="1:9" x14ac:dyDescent="0.3">
      <c r="A2147" t="str">
        <f>""</f>
        <v/>
      </c>
      <c r="F2147" t="str">
        <f>""</f>
        <v/>
      </c>
      <c r="G2147" t="str">
        <f>""</f>
        <v/>
      </c>
      <c r="I2147" t="str">
        <f t="shared" si="31"/>
        <v>SOCIAL SECURITY TAXES</v>
      </c>
    </row>
    <row r="2148" spans="1:9" x14ac:dyDescent="0.3">
      <c r="A2148" t="str">
        <f>""</f>
        <v/>
      </c>
      <c r="F2148" t="str">
        <f>"T3 201709064604"</f>
        <v>T3 201709064604</v>
      </c>
      <c r="G2148" t="str">
        <f>"SOCIAL SECURITY TAXES"</f>
        <v>SOCIAL SECURITY TAXES</v>
      </c>
      <c r="H2148" s="2">
        <v>3919.34</v>
      </c>
      <c r="I2148" t="str">
        <f t="shared" si="31"/>
        <v>SOCIAL SECURITY TAXES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31"/>
        <v>SOCIAL SECURITY TAXES</v>
      </c>
    </row>
    <row r="2150" spans="1:9" x14ac:dyDescent="0.3">
      <c r="A2150" t="str">
        <f>""</f>
        <v/>
      </c>
      <c r="F2150" t="str">
        <f>"T3 201709064636"</f>
        <v>T3 201709064636</v>
      </c>
      <c r="G2150" t="str">
        <f>"SOCIAL SECURITY TAXES"</f>
        <v>SOCIAL SECURITY TAXES</v>
      </c>
      <c r="H2150" s="2">
        <v>5352.14</v>
      </c>
      <c r="I2150" t="str">
        <f t="shared" si="31"/>
        <v>SOCIAL SECURITY TAXES</v>
      </c>
    </row>
    <row r="2151" spans="1:9" x14ac:dyDescent="0.3">
      <c r="A2151" t="str">
        <f>""</f>
        <v/>
      </c>
      <c r="F2151" t="str">
        <f>""</f>
        <v/>
      </c>
      <c r="G2151" t="str">
        <f>""</f>
        <v/>
      </c>
      <c r="I2151" t="str">
        <f t="shared" si="31"/>
        <v>SOCIAL SECURITY TAXES</v>
      </c>
    </row>
    <row r="2152" spans="1:9" x14ac:dyDescent="0.3">
      <c r="A2152" t="str">
        <f>""</f>
        <v/>
      </c>
      <c r="F2152" t="str">
        <f>"T4 201709064584"</f>
        <v>T4 201709064584</v>
      </c>
      <c r="G2152" t="str">
        <f>"MEDICARE TAXES"</f>
        <v>MEDICARE TAXES</v>
      </c>
      <c r="H2152" s="2">
        <v>24271.200000000001</v>
      </c>
      <c r="I2152" t="str">
        <f t="shared" ref="I2152:I2183" si="32">"MEDICARE TAXES"</f>
        <v>MEDICARE TAXES</v>
      </c>
    </row>
    <row r="2153" spans="1:9" x14ac:dyDescent="0.3">
      <c r="A2153" t="str">
        <f>""</f>
        <v/>
      </c>
      <c r="F2153" t="str">
        <f>""</f>
        <v/>
      </c>
      <c r="G2153" t="str">
        <f>""</f>
        <v/>
      </c>
      <c r="I2153" t="str">
        <f t="shared" si="32"/>
        <v>MEDICARE TAXES</v>
      </c>
    </row>
    <row r="2154" spans="1:9" x14ac:dyDescent="0.3">
      <c r="A2154" t="str">
        <f>""</f>
        <v/>
      </c>
      <c r="F2154" t="str">
        <f>""</f>
        <v/>
      </c>
      <c r="G2154" t="str">
        <f>""</f>
        <v/>
      </c>
      <c r="I2154" t="str">
        <f t="shared" si="32"/>
        <v>MEDICARE TAXES</v>
      </c>
    </row>
    <row r="2155" spans="1:9" x14ac:dyDescent="0.3">
      <c r="A2155" t="str">
        <f>""</f>
        <v/>
      </c>
      <c r="F2155" t="str">
        <f>""</f>
        <v/>
      </c>
      <c r="G2155" t="str">
        <f>""</f>
        <v/>
      </c>
      <c r="I2155" t="str">
        <f t="shared" si="32"/>
        <v>MEDICARE TAXES</v>
      </c>
    </row>
    <row r="2156" spans="1:9" x14ac:dyDescent="0.3">
      <c r="A2156" t="str">
        <f>""</f>
        <v/>
      </c>
      <c r="F2156" t="str">
        <f>""</f>
        <v/>
      </c>
      <c r="G2156" t="str">
        <f>""</f>
        <v/>
      </c>
      <c r="I2156" t="str">
        <f t="shared" si="32"/>
        <v>MEDICARE TAXES</v>
      </c>
    </row>
    <row r="2157" spans="1:9" x14ac:dyDescent="0.3">
      <c r="A2157" t="str">
        <f>""</f>
        <v/>
      </c>
      <c r="F2157" t="str">
        <f>""</f>
        <v/>
      </c>
      <c r="G2157" t="str">
        <f>""</f>
        <v/>
      </c>
      <c r="I2157" t="str">
        <f t="shared" si="32"/>
        <v>MEDICARE TAXES</v>
      </c>
    </row>
    <row r="2158" spans="1:9" x14ac:dyDescent="0.3">
      <c r="A2158" t="str">
        <f>""</f>
        <v/>
      </c>
      <c r="F2158" t="str">
        <f>""</f>
        <v/>
      </c>
      <c r="G2158" t="str">
        <f>""</f>
        <v/>
      </c>
      <c r="I2158" t="str">
        <f t="shared" si="32"/>
        <v>MEDICARE TAXES</v>
      </c>
    </row>
    <row r="2159" spans="1:9" x14ac:dyDescent="0.3">
      <c r="A2159" t="str">
        <f>""</f>
        <v/>
      </c>
      <c r="F2159" t="str">
        <f>""</f>
        <v/>
      </c>
      <c r="G2159" t="str">
        <f>""</f>
        <v/>
      </c>
      <c r="I2159" t="str">
        <f t="shared" si="32"/>
        <v>MEDICARE TAXES</v>
      </c>
    </row>
    <row r="2160" spans="1:9" x14ac:dyDescent="0.3">
      <c r="A2160" t="str">
        <f>""</f>
        <v/>
      </c>
      <c r="F2160" t="str">
        <f>""</f>
        <v/>
      </c>
      <c r="G2160" t="str">
        <f>""</f>
        <v/>
      </c>
      <c r="I2160" t="str">
        <f t="shared" si="32"/>
        <v>MEDICARE TAXES</v>
      </c>
    </row>
    <row r="2161" spans="1:9" x14ac:dyDescent="0.3">
      <c r="A2161" t="str">
        <f>""</f>
        <v/>
      </c>
      <c r="F2161" t="str">
        <f>""</f>
        <v/>
      </c>
      <c r="G2161" t="str">
        <f>""</f>
        <v/>
      </c>
      <c r="I2161" t="str">
        <f t="shared" si="32"/>
        <v>MEDICARE TAXES</v>
      </c>
    </row>
    <row r="2162" spans="1:9" x14ac:dyDescent="0.3">
      <c r="A2162" t="str">
        <f>""</f>
        <v/>
      </c>
      <c r="F2162" t="str">
        <f>""</f>
        <v/>
      </c>
      <c r="G2162" t="str">
        <f>""</f>
        <v/>
      </c>
      <c r="I2162" t="str">
        <f t="shared" si="32"/>
        <v>MEDICARE TAXES</v>
      </c>
    </row>
    <row r="2163" spans="1:9" x14ac:dyDescent="0.3">
      <c r="A2163" t="str">
        <f>""</f>
        <v/>
      </c>
      <c r="F2163" t="str">
        <f>""</f>
        <v/>
      </c>
      <c r="G2163" t="str">
        <f>""</f>
        <v/>
      </c>
      <c r="I2163" t="str">
        <f t="shared" si="32"/>
        <v>MEDICARE TAXES</v>
      </c>
    </row>
    <row r="2164" spans="1:9" x14ac:dyDescent="0.3">
      <c r="A2164" t="str">
        <f>""</f>
        <v/>
      </c>
      <c r="F2164" t="str">
        <f>""</f>
        <v/>
      </c>
      <c r="G2164" t="str">
        <f>""</f>
        <v/>
      </c>
      <c r="I2164" t="str">
        <f t="shared" si="32"/>
        <v>MEDICARE TAXES</v>
      </c>
    </row>
    <row r="2165" spans="1:9" x14ac:dyDescent="0.3">
      <c r="A2165" t="str">
        <f>""</f>
        <v/>
      </c>
      <c r="F2165" t="str">
        <f>""</f>
        <v/>
      </c>
      <c r="G2165" t="str">
        <f>""</f>
        <v/>
      </c>
      <c r="I2165" t="str">
        <f t="shared" si="32"/>
        <v>MEDICARE TAXES</v>
      </c>
    </row>
    <row r="2166" spans="1:9" x14ac:dyDescent="0.3">
      <c r="A2166" t="str">
        <f>""</f>
        <v/>
      </c>
      <c r="F2166" t="str">
        <f>""</f>
        <v/>
      </c>
      <c r="G2166" t="str">
        <f>""</f>
        <v/>
      </c>
      <c r="I2166" t="str">
        <f t="shared" si="32"/>
        <v>MEDICARE TAXES</v>
      </c>
    </row>
    <row r="2167" spans="1:9" x14ac:dyDescent="0.3">
      <c r="A2167" t="str">
        <f>""</f>
        <v/>
      </c>
      <c r="F2167" t="str">
        <f>""</f>
        <v/>
      </c>
      <c r="G2167" t="str">
        <f>""</f>
        <v/>
      </c>
      <c r="I2167" t="str">
        <f t="shared" si="32"/>
        <v>MEDICARE TAXES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32"/>
        <v>MEDICARE TAXES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32"/>
        <v>MEDICARE TAXES</v>
      </c>
    </row>
    <row r="2170" spans="1:9" x14ac:dyDescent="0.3">
      <c r="A2170" t="str">
        <f>""</f>
        <v/>
      </c>
      <c r="F2170" t="str">
        <f>""</f>
        <v/>
      </c>
      <c r="G2170" t="str">
        <f>""</f>
        <v/>
      </c>
      <c r="I2170" t="str">
        <f t="shared" si="32"/>
        <v>MEDICARE TAXES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32"/>
        <v>MEDICARE TAXES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32"/>
        <v>MEDICARE TAXES</v>
      </c>
    </row>
    <row r="2173" spans="1:9" x14ac:dyDescent="0.3">
      <c r="A2173" t="str">
        <f>""</f>
        <v/>
      </c>
      <c r="F2173" t="str">
        <f>""</f>
        <v/>
      </c>
      <c r="G2173" t="str">
        <f>""</f>
        <v/>
      </c>
      <c r="I2173" t="str">
        <f t="shared" si="32"/>
        <v>MEDICARE TAXES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32"/>
        <v>MEDICARE TAXES</v>
      </c>
    </row>
    <row r="2175" spans="1:9" x14ac:dyDescent="0.3">
      <c r="A2175" t="str">
        <f>""</f>
        <v/>
      </c>
      <c r="F2175" t="str">
        <f>""</f>
        <v/>
      </c>
      <c r="G2175" t="str">
        <f>""</f>
        <v/>
      </c>
      <c r="I2175" t="str">
        <f t="shared" si="32"/>
        <v>MEDICARE TAXES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32"/>
        <v>MEDICARE TAXES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32"/>
        <v>MEDICARE TAXES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32"/>
        <v>MEDICARE TAXES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si="32"/>
        <v>MEDICARE TAXES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32"/>
        <v>MEDICARE TAXES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32"/>
        <v>MEDICARE TAXES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32"/>
        <v>MEDICARE TAXES</v>
      </c>
    </row>
    <row r="2183" spans="1:9" x14ac:dyDescent="0.3">
      <c r="A2183" t="str">
        <f>""</f>
        <v/>
      </c>
      <c r="F2183" t="str">
        <f>""</f>
        <v/>
      </c>
      <c r="G2183" t="str">
        <f>""</f>
        <v/>
      </c>
      <c r="I2183" t="str">
        <f t="shared" si="32"/>
        <v>MEDICARE TAXES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ref="I2184:I2207" si="33">"MEDICARE TAXES"</f>
        <v>MEDICARE TAXES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33"/>
        <v>MEDICARE TAXES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si="33"/>
        <v>MEDICARE TAXES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33"/>
        <v>MEDICARE TAXES</v>
      </c>
    </row>
    <row r="2188" spans="1:9" x14ac:dyDescent="0.3">
      <c r="A2188" t="str">
        <f>""</f>
        <v/>
      </c>
      <c r="F2188" t="str">
        <f>""</f>
        <v/>
      </c>
      <c r="G2188" t="str">
        <f>""</f>
        <v/>
      </c>
      <c r="I2188" t="str">
        <f t="shared" si="33"/>
        <v>MEDICARE TAXES</v>
      </c>
    </row>
    <row r="2189" spans="1:9" x14ac:dyDescent="0.3">
      <c r="A2189" t="str">
        <f>""</f>
        <v/>
      </c>
      <c r="F2189" t="str">
        <f>""</f>
        <v/>
      </c>
      <c r="G2189" t="str">
        <f>""</f>
        <v/>
      </c>
      <c r="I2189" t="str">
        <f t="shared" si="33"/>
        <v>MEDICARE TAXES</v>
      </c>
    </row>
    <row r="2190" spans="1:9" x14ac:dyDescent="0.3">
      <c r="A2190" t="str">
        <f>""</f>
        <v/>
      </c>
      <c r="F2190" t="str">
        <f>""</f>
        <v/>
      </c>
      <c r="G2190" t="str">
        <f>""</f>
        <v/>
      </c>
      <c r="I2190" t="str">
        <f t="shared" si="33"/>
        <v>MEDICARE TAXES</v>
      </c>
    </row>
    <row r="2191" spans="1:9" x14ac:dyDescent="0.3">
      <c r="A2191" t="str">
        <f>""</f>
        <v/>
      </c>
      <c r="F2191" t="str">
        <f>""</f>
        <v/>
      </c>
      <c r="G2191" t="str">
        <f>""</f>
        <v/>
      </c>
      <c r="I2191" t="str">
        <f t="shared" si="33"/>
        <v>MEDICARE TAXES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33"/>
        <v>MEDICARE TAXES</v>
      </c>
    </row>
    <row r="2193" spans="1:9" x14ac:dyDescent="0.3">
      <c r="A2193" t="str">
        <f>""</f>
        <v/>
      </c>
      <c r="F2193" t="str">
        <f>""</f>
        <v/>
      </c>
      <c r="G2193" t="str">
        <f>""</f>
        <v/>
      </c>
      <c r="I2193" t="str">
        <f t="shared" si="33"/>
        <v>MEDICARE TAXES</v>
      </c>
    </row>
    <row r="2194" spans="1:9" x14ac:dyDescent="0.3">
      <c r="A2194" t="str">
        <f>""</f>
        <v/>
      </c>
      <c r="F2194" t="str">
        <f>""</f>
        <v/>
      </c>
      <c r="G2194" t="str">
        <f>""</f>
        <v/>
      </c>
      <c r="I2194" t="str">
        <f t="shared" si="33"/>
        <v>MEDICARE TAXES</v>
      </c>
    </row>
    <row r="2195" spans="1:9" x14ac:dyDescent="0.3">
      <c r="A2195" t="str">
        <f>""</f>
        <v/>
      </c>
      <c r="F2195" t="str">
        <f>""</f>
        <v/>
      </c>
      <c r="G2195" t="str">
        <f>""</f>
        <v/>
      </c>
      <c r="I2195" t="str">
        <f t="shared" si="33"/>
        <v>MEDICARE TAXES</v>
      </c>
    </row>
    <row r="2196" spans="1:9" x14ac:dyDescent="0.3">
      <c r="A2196" t="str">
        <f>""</f>
        <v/>
      </c>
      <c r="F2196" t="str">
        <f>""</f>
        <v/>
      </c>
      <c r="G2196" t="str">
        <f>""</f>
        <v/>
      </c>
      <c r="I2196" t="str">
        <f t="shared" si="33"/>
        <v>MEDICARE TAXES</v>
      </c>
    </row>
    <row r="2197" spans="1:9" x14ac:dyDescent="0.3">
      <c r="A2197" t="str">
        <f>""</f>
        <v/>
      </c>
      <c r="F2197" t="str">
        <f>""</f>
        <v/>
      </c>
      <c r="G2197" t="str">
        <f>""</f>
        <v/>
      </c>
      <c r="I2197" t="str">
        <f t="shared" si="33"/>
        <v>MEDICARE TAXES</v>
      </c>
    </row>
    <row r="2198" spans="1:9" x14ac:dyDescent="0.3">
      <c r="A2198" t="str">
        <f>""</f>
        <v/>
      </c>
      <c r="F2198" t="str">
        <f>""</f>
        <v/>
      </c>
      <c r="G2198" t="str">
        <f>""</f>
        <v/>
      </c>
      <c r="I2198" t="str">
        <f t="shared" si="33"/>
        <v>MEDICARE TAXES</v>
      </c>
    </row>
    <row r="2199" spans="1:9" x14ac:dyDescent="0.3">
      <c r="A2199" t="str">
        <f>""</f>
        <v/>
      </c>
      <c r="F2199" t="str">
        <f>""</f>
        <v/>
      </c>
      <c r="G2199" t="str">
        <f>""</f>
        <v/>
      </c>
      <c r="I2199" t="str">
        <f t="shared" si="33"/>
        <v>MEDICARE TAXES</v>
      </c>
    </row>
    <row r="2200" spans="1:9" x14ac:dyDescent="0.3">
      <c r="A2200" t="str">
        <f>""</f>
        <v/>
      </c>
      <c r="F2200" t="str">
        <f>""</f>
        <v/>
      </c>
      <c r="G2200" t="str">
        <f>""</f>
        <v/>
      </c>
      <c r="I2200" t="str">
        <f t="shared" si="33"/>
        <v>MEDICARE TAXES</v>
      </c>
    </row>
    <row r="2201" spans="1:9" x14ac:dyDescent="0.3">
      <c r="A2201" t="str">
        <f>""</f>
        <v/>
      </c>
      <c r="F2201" t="str">
        <f>""</f>
        <v/>
      </c>
      <c r="G2201" t="str">
        <f>""</f>
        <v/>
      </c>
      <c r="I2201" t="str">
        <f t="shared" si="33"/>
        <v>MEDICARE TAXES</v>
      </c>
    </row>
    <row r="2202" spans="1:9" x14ac:dyDescent="0.3">
      <c r="A2202" t="str">
        <f>""</f>
        <v/>
      </c>
      <c r="F2202" t="str">
        <f>""</f>
        <v/>
      </c>
      <c r="G2202" t="str">
        <f>""</f>
        <v/>
      </c>
      <c r="I2202" t="str">
        <f t="shared" si="33"/>
        <v>MEDICARE TAXES</v>
      </c>
    </row>
    <row r="2203" spans="1:9" x14ac:dyDescent="0.3">
      <c r="A2203" t="str">
        <f>""</f>
        <v/>
      </c>
      <c r="F2203" t="str">
        <f>""</f>
        <v/>
      </c>
      <c r="G2203" t="str">
        <f>""</f>
        <v/>
      </c>
      <c r="I2203" t="str">
        <f t="shared" si="33"/>
        <v>MEDICARE TAXES</v>
      </c>
    </row>
    <row r="2204" spans="1:9" x14ac:dyDescent="0.3">
      <c r="A2204" t="str">
        <f>""</f>
        <v/>
      </c>
      <c r="F2204" t="str">
        <f>"T4 201709064604"</f>
        <v>T4 201709064604</v>
      </c>
      <c r="G2204" t="str">
        <f>"MEDICARE TAXES"</f>
        <v>MEDICARE TAXES</v>
      </c>
      <c r="H2204" s="2">
        <v>916.6</v>
      </c>
      <c r="I2204" t="str">
        <f t="shared" si="33"/>
        <v>MEDICARE TAXES</v>
      </c>
    </row>
    <row r="2205" spans="1:9" x14ac:dyDescent="0.3">
      <c r="A2205" t="str">
        <f>""</f>
        <v/>
      </c>
      <c r="F2205" t="str">
        <f>""</f>
        <v/>
      </c>
      <c r="G2205" t="str">
        <f>""</f>
        <v/>
      </c>
      <c r="I2205" t="str">
        <f t="shared" si="33"/>
        <v>MEDICARE TAXES</v>
      </c>
    </row>
    <row r="2206" spans="1:9" x14ac:dyDescent="0.3">
      <c r="A2206" t="str">
        <f>""</f>
        <v/>
      </c>
      <c r="F2206" t="str">
        <f>"T4 201709064636"</f>
        <v>T4 201709064636</v>
      </c>
      <c r="G2206" t="str">
        <f>"MEDICARE TAXES"</f>
        <v>MEDICARE TAXES</v>
      </c>
      <c r="H2206" s="2">
        <v>1251.72</v>
      </c>
      <c r="I2206" t="str">
        <f t="shared" si="33"/>
        <v>MEDICARE TAXES</v>
      </c>
    </row>
    <row r="2207" spans="1:9" x14ac:dyDescent="0.3">
      <c r="A2207" t="str">
        <f>""</f>
        <v/>
      </c>
      <c r="F2207" t="str">
        <f>""</f>
        <v/>
      </c>
      <c r="G2207" t="str">
        <f>""</f>
        <v/>
      </c>
      <c r="I2207" t="str">
        <f t="shared" si="33"/>
        <v>MEDICARE TAXES</v>
      </c>
    </row>
    <row r="2208" spans="1:9" x14ac:dyDescent="0.3">
      <c r="A2208" t="str">
        <f>"IRSPY"</f>
        <v>IRSPY</v>
      </c>
      <c r="B2208" t="s">
        <v>490</v>
      </c>
      <c r="C2208">
        <v>0</v>
      </c>
      <c r="D2208" s="2">
        <v>213801.62</v>
      </c>
      <c r="E2208" s="1">
        <v>43000</v>
      </c>
      <c r="F2208" t="str">
        <f>"T1 201709084855"</f>
        <v>T1 201709084855</v>
      </c>
      <c r="G2208" t="str">
        <f>"FEDERAL WITHHOLDING"</f>
        <v>FEDERAL WITHHOLDING</v>
      </c>
      <c r="H2208" s="2">
        <v>-1.1000000000000001</v>
      </c>
      <c r="I2208" t="str">
        <f>"FEDERAL WITHHOLDING"</f>
        <v>FEDERAL WITHHOLDING</v>
      </c>
    </row>
    <row r="2209" spans="1:9" x14ac:dyDescent="0.3">
      <c r="A2209" t="str">
        <f>""</f>
        <v/>
      </c>
      <c r="F2209" t="str">
        <f>"T3 201709084855"</f>
        <v>T3 201709084855</v>
      </c>
      <c r="G2209" t="str">
        <f>"SOCIAL SECURITY TAXES"</f>
        <v>SOCIAL SECURITY TAXES</v>
      </c>
      <c r="H2209" s="2">
        <v>-0.9</v>
      </c>
      <c r="I2209" t="str">
        <f>"SOCIAL SECURITY TAXES"</f>
        <v>SOCIAL SECURITY TAXES</v>
      </c>
    </row>
    <row r="2210" spans="1:9" x14ac:dyDescent="0.3">
      <c r="A2210" t="str">
        <f>""</f>
        <v/>
      </c>
      <c r="F2210" t="str">
        <f>""</f>
        <v/>
      </c>
      <c r="G2210" t="str">
        <f>""</f>
        <v/>
      </c>
      <c r="I2210" t="str">
        <f>"SOCIAL SECURITY TAXES"</f>
        <v>SOCIAL SECURITY TAXES</v>
      </c>
    </row>
    <row r="2211" spans="1:9" x14ac:dyDescent="0.3">
      <c r="A2211" t="str">
        <f>""</f>
        <v/>
      </c>
      <c r="F2211" t="str">
        <f>"T4 201709084855"</f>
        <v>T4 201709084855</v>
      </c>
      <c r="G2211" t="str">
        <f>"MEDICARE TAXES"</f>
        <v>MEDICARE TAXES</v>
      </c>
      <c r="H2211" s="2">
        <v>-0.22</v>
      </c>
      <c r="I2211" t="str">
        <f>"MEDICARE TAXES"</f>
        <v>MEDICARE TAXES</v>
      </c>
    </row>
    <row r="2212" spans="1:9" x14ac:dyDescent="0.3">
      <c r="A2212" t="str">
        <f>""</f>
        <v/>
      </c>
      <c r="F2212" t="str">
        <f>""</f>
        <v/>
      </c>
      <c r="G2212" t="str">
        <f>""</f>
        <v/>
      </c>
      <c r="I2212" t="str">
        <f>"MEDICARE TAXES"</f>
        <v>MEDICARE TAXES</v>
      </c>
    </row>
    <row r="2213" spans="1:9" x14ac:dyDescent="0.3">
      <c r="A2213" t="str">
        <f>""</f>
        <v/>
      </c>
      <c r="F2213" t="str">
        <f>"T1 201709205019"</f>
        <v>T1 201709205019</v>
      </c>
      <c r="G2213" t="str">
        <f>"FEDERAL WITHHOLDING"</f>
        <v>FEDERAL WITHHOLDING</v>
      </c>
      <c r="H2213" s="2">
        <v>77285.14</v>
      </c>
      <c r="I2213" t="str">
        <f>"FEDERAL WITHHOLDING"</f>
        <v>FEDERAL WITHHOLDING</v>
      </c>
    </row>
    <row r="2214" spans="1:9" x14ac:dyDescent="0.3">
      <c r="A2214" t="str">
        <f>""</f>
        <v/>
      </c>
      <c r="F2214" t="str">
        <f>"T1 201709205020"</f>
        <v>T1 201709205020</v>
      </c>
      <c r="G2214" t="str">
        <f>"FEDERAL WITHHOLDING"</f>
        <v>FEDERAL WITHHOLDING</v>
      </c>
      <c r="H2214" s="2">
        <v>3452.74</v>
      </c>
      <c r="I2214" t="str">
        <f>"FEDERAL WITHHOLDING"</f>
        <v>FEDERAL WITHHOLDING</v>
      </c>
    </row>
    <row r="2215" spans="1:9" x14ac:dyDescent="0.3">
      <c r="A2215" t="str">
        <f>""</f>
        <v/>
      </c>
      <c r="F2215" t="str">
        <f>"T1 201709205022"</f>
        <v>T1 201709205022</v>
      </c>
      <c r="G2215" t="str">
        <f>"FEDERAL WITHHOLDING"</f>
        <v>FEDERAL WITHHOLDING</v>
      </c>
      <c r="H2215" s="2">
        <v>4428.8999999999996</v>
      </c>
      <c r="I2215" t="str">
        <f>"FEDERAL WITHHOLDING"</f>
        <v>FEDERAL WITHHOLDING</v>
      </c>
    </row>
    <row r="2216" spans="1:9" x14ac:dyDescent="0.3">
      <c r="A2216" t="str">
        <f>""</f>
        <v/>
      </c>
      <c r="F2216" t="str">
        <f>"T3 201709205019"</f>
        <v>T3 201709205019</v>
      </c>
      <c r="G2216" t="str">
        <f>"SOCIAL SECURITY TAXES"</f>
        <v>SOCIAL SECURITY TAXES</v>
      </c>
      <c r="H2216" s="2">
        <v>94983.94</v>
      </c>
      <c r="I2216" t="str">
        <f t="shared" ref="I2216:I2247" si="34">"SOCIAL SECURITY TAXES"</f>
        <v>SOCIAL SECURITY TAXES</v>
      </c>
    </row>
    <row r="2217" spans="1:9" x14ac:dyDescent="0.3">
      <c r="A2217" t="str">
        <f>""</f>
        <v/>
      </c>
      <c r="F2217" t="str">
        <f>""</f>
        <v/>
      </c>
      <c r="G2217" t="str">
        <f>""</f>
        <v/>
      </c>
      <c r="I2217" t="str">
        <f t="shared" si="34"/>
        <v>SOCIAL SECURITY TAXES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34"/>
        <v>SOCIAL SECURITY TAXES</v>
      </c>
    </row>
    <row r="2219" spans="1:9" x14ac:dyDescent="0.3">
      <c r="A2219" t="str">
        <f>""</f>
        <v/>
      </c>
      <c r="F2219" t="str">
        <f>""</f>
        <v/>
      </c>
      <c r="G2219" t="str">
        <f>""</f>
        <v/>
      </c>
      <c r="I2219" t="str">
        <f t="shared" si="34"/>
        <v>SOCIAL SECURITY TAXES</v>
      </c>
    </row>
    <row r="2220" spans="1:9" x14ac:dyDescent="0.3">
      <c r="A2220" t="str">
        <f>""</f>
        <v/>
      </c>
      <c r="F2220" t="str">
        <f>""</f>
        <v/>
      </c>
      <c r="G2220" t="str">
        <f>""</f>
        <v/>
      </c>
      <c r="I2220" t="str">
        <f t="shared" si="34"/>
        <v>SOCIAL SECURITY TAXES</v>
      </c>
    </row>
    <row r="2221" spans="1:9" x14ac:dyDescent="0.3">
      <c r="A2221" t="str">
        <f>""</f>
        <v/>
      </c>
      <c r="F2221" t="str">
        <f>""</f>
        <v/>
      </c>
      <c r="G2221" t="str">
        <f>""</f>
        <v/>
      </c>
      <c r="I2221" t="str">
        <f t="shared" si="34"/>
        <v>SOCIAL SECURITY TAXES</v>
      </c>
    </row>
    <row r="2222" spans="1:9" x14ac:dyDescent="0.3">
      <c r="A2222" t="str">
        <f>""</f>
        <v/>
      </c>
      <c r="F2222" t="str">
        <f>""</f>
        <v/>
      </c>
      <c r="G2222" t="str">
        <f>""</f>
        <v/>
      </c>
      <c r="I2222" t="str">
        <f t="shared" si="34"/>
        <v>SOCIAL SECURITY TAXES</v>
      </c>
    </row>
    <row r="2223" spans="1:9" x14ac:dyDescent="0.3">
      <c r="A2223" t="str">
        <f>""</f>
        <v/>
      </c>
      <c r="F2223" t="str">
        <f>""</f>
        <v/>
      </c>
      <c r="G2223" t="str">
        <f>""</f>
        <v/>
      </c>
      <c r="I2223" t="str">
        <f t="shared" si="34"/>
        <v>SOCIAL SECURITY TAXES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34"/>
        <v>SOCIAL SECURITY TAXES</v>
      </c>
    </row>
    <row r="2225" spans="1:9" x14ac:dyDescent="0.3">
      <c r="A2225" t="str">
        <f>""</f>
        <v/>
      </c>
      <c r="F2225" t="str">
        <f>""</f>
        <v/>
      </c>
      <c r="G2225" t="str">
        <f>""</f>
        <v/>
      </c>
      <c r="I2225" t="str">
        <f t="shared" si="34"/>
        <v>SOCIAL SECURITY TAXES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34"/>
        <v>SOCIAL SECURITY TAXES</v>
      </c>
    </row>
    <row r="2227" spans="1:9" x14ac:dyDescent="0.3">
      <c r="A2227" t="str">
        <f>""</f>
        <v/>
      </c>
      <c r="F2227" t="str">
        <f>""</f>
        <v/>
      </c>
      <c r="G2227" t="str">
        <f>""</f>
        <v/>
      </c>
      <c r="I2227" t="str">
        <f t="shared" si="34"/>
        <v>SOCIAL SECURITY TAXES</v>
      </c>
    </row>
    <row r="2228" spans="1:9" x14ac:dyDescent="0.3">
      <c r="A2228" t="str">
        <f>""</f>
        <v/>
      </c>
      <c r="F2228" t="str">
        <f>""</f>
        <v/>
      </c>
      <c r="G2228" t="str">
        <f>""</f>
        <v/>
      </c>
      <c r="I2228" t="str">
        <f t="shared" si="34"/>
        <v>SOCIAL SECURITY TAXES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34"/>
        <v>SOCIAL SECURITY TAXES</v>
      </c>
    </row>
    <row r="2230" spans="1:9" x14ac:dyDescent="0.3">
      <c r="A2230" t="str">
        <f>""</f>
        <v/>
      </c>
      <c r="F2230" t="str">
        <f>""</f>
        <v/>
      </c>
      <c r="G2230" t="str">
        <f>""</f>
        <v/>
      </c>
      <c r="I2230" t="str">
        <f t="shared" si="34"/>
        <v>SOCIAL SECURITY TAXES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34"/>
        <v>SOCIAL SECURITY TAXES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34"/>
        <v>SOCIAL SECURITY TAXES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34"/>
        <v>SOCIAL SECURITY TAXES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34"/>
        <v>SOCIAL SECURITY TAXES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34"/>
        <v>SOCIAL SECURITY TAXES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34"/>
        <v>SOCIAL SECURITY TAXES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si="34"/>
        <v>SOCIAL SECURITY TAXES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si="34"/>
        <v>SOCIAL SECURITY TAXES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34"/>
        <v>SOCIAL SECURITY TAXES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si="34"/>
        <v>SOCIAL SECURITY TAXES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34"/>
        <v>SOCIAL SECURITY TAXES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34"/>
        <v>SOCIAL SECURITY TAXES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34"/>
        <v>SOCIAL SECURITY TAXES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34"/>
        <v>SOCIAL SECURITY TAXES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34"/>
        <v>SOCIAL SECURITY TAXES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34"/>
        <v>SOCIAL SECURITY TAXES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34"/>
        <v>SOCIAL SECURITY TAXES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ref="I2248:I2271" si="35">"SOCIAL SECURITY TAXES"</f>
        <v>SOCIAL SECURITY TAXES</v>
      </c>
    </row>
    <row r="2249" spans="1:9" x14ac:dyDescent="0.3">
      <c r="A2249" t="str">
        <f>""</f>
        <v/>
      </c>
      <c r="F2249" t="str">
        <f>""</f>
        <v/>
      </c>
      <c r="G2249" t="str">
        <f>""</f>
        <v/>
      </c>
      <c r="I2249" t="str">
        <f t="shared" si="35"/>
        <v>SOCIAL SECURITY TAXES</v>
      </c>
    </row>
    <row r="2250" spans="1:9" x14ac:dyDescent="0.3">
      <c r="A2250" t="str">
        <f>""</f>
        <v/>
      </c>
      <c r="F2250" t="str">
        <f>""</f>
        <v/>
      </c>
      <c r="G2250" t="str">
        <f>""</f>
        <v/>
      </c>
      <c r="I2250" t="str">
        <f t="shared" si="35"/>
        <v>SOCIAL SECURITY TAXES</v>
      </c>
    </row>
    <row r="2251" spans="1:9" x14ac:dyDescent="0.3">
      <c r="A2251" t="str">
        <f>""</f>
        <v/>
      </c>
      <c r="F2251" t="str">
        <f>""</f>
        <v/>
      </c>
      <c r="G2251" t="str">
        <f>""</f>
        <v/>
      </c>
      <c r="I2251" t="str">
        <f t="shared" si="35"/>
        <v>SOCIAL SECURITY TAXES</v>
      </c>
    </row>
    <row r="2252" spans="1:9" x14ac:dyDescent="0.3">
      <c r="A2252" t="str">
        <f>""</f>
        <v/>
      </c>
      <c r="F2252" t="str">
        <f>""</f>
        <v/>
      </c>
      <c r="G2252" t="str">
        <f>""</f>
        <v/>
      </c>
      <c r="I2252" t="str">
        <f t="shared" si="35"/>
        <v>SOCIAL SECURITY TAXES</v>
      </c>
    </row>
    <row r="2253" spans="1:9" x14ac:dyDescent="0.3">
      <c r="A2253" t="str">
        <f>""</f>
        <v/>
      </c>
      <c r="F2253" t="str">
        <f>""</f>
        <v/>
      </c>
      <c r="G2253" t="str">
        <f>""</f>
        <v/>
      </c>
      <c r="I2253" t="str">
        <f t="shared" si="35"/>
        <v>SOCIAL SECURITY TAXES</v>
      </c>
    </row>
    <row r="2254" spans="1:9" x14ac:dyDescent="0.3">
      <c r="A2254" t="str">
        <f>""</f>
        <v/>
      </c>
      <c r="F2254" t="str">
        <f>""</f>
        <v/>
      </c>
      <c r="G2254" t="str">
        <f>""</f>
        <v/>
      </c>
      <c r="I2254" t="str">
        <f t="shared" si="35"/>
        <v>SOCIAL SECURITY TAXES</v>
      </c>
    </row>
    <row r="2255" spans="1:9" x14ac:dyDescent="0.3">
      <c r="A2255" t="str">
        <f>""</f>
        <v/>
      </c>
      <c r="F2255" t="str">
        <f>""</f>
        <v/>
      </c>
      <c r="G2255" t="str">
        <f>""</f>
        <v/>
      </c>
      <c r="I2255" t="str">
        <f t="shared" si="35"/>
        <v>SOCIAL SECURITY TAXES</v>
      </c>
    </row>
    <row r="2256" spans="1:9" x14ac:dyDescent="0.3">
      <c r="A2256" t="str">
        <f>""</f>
        <v/>
      </c>
      <c r="F2256" t="str">
        <f>""</f>
        <v/>
      </c>
      <c r="G2256" t="str">
        <f>""</f>
        <v/>
      </c>
      <c r="I2256" t="str">
        <f t="shared" si="35"/>
        <v>SOCIAL SECURITY TAXES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si="35"/>
        <v>SOCIAL SECURITY TAXES</v>
      </c>
    </row>
    <row r="2258" spans="1:9" x14ac:dyDescent="0.3">
      <c r="A2258" t="str">
        <f>""</f>
        <v/>
      </c>
      <c r="F2258" t="str">
        <f>""</f>
        <v/>
      </c>
      <c r="G2258" t="str">
        <f>""</f>
        <v/>
      </c>
      <c r="I2258" t="str">
        <f t="shared" si="35"/>
        <v>SOCIAL SECURITY TAXES</v>
      </c>
    </row>
    <row r="2259" spans="1:9" x14ac:dyDescent="0.3">
      <c r="A2259" t="str">
        <f>""</f>
        <v/>
      </c>
      <c r="F2259" t="str">
        <f>""</f>
        <v/>
      </c>
      <c r="G2259" t="str">
        <f>""</f>
        <v/>
      </c>
      <c r="I2259" t="str">
        <f t="shared" si="35"/>
        <v>SOCIAL SECURITY TAXES</v>
      </c>
    </row>
    <row r="2260" spans="1:9" x14ac:dyDescent="0.3">
      <c r="A2260" t="str">
        <f>""</f>
        <v/>
      </c>
      <c r="F2260" t="str">
        <f>""</f>
        <v/>
      </c>
      <c r="G2260" t="str">
        <f>""</f>
        <v/>
      </c>
      <c r="I2260" t="str">
        <f t="shared" si="35"/>
        <v>SOCIAL SECURITY TAXES</v>
      </c>
    </row>
    <row r="2261" spans="1:9" x14ac:dyDescent="0.3">
      <c r="A2261" t="str">
        <f>""</f>
        <v/>
      </c>
      <c r="F2261" t="str">
        <f>""</f>
        <v/>
      </c>
      <c r="G2261" t="str">
        <f>""</f>
        <v/>
      </c>
      <c r="I2261" t="str">
        <f t="shared" si="35"/>
        <v>SOCIAL SECURITY TAXES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35"/>
        <v>SOCIAL SECURITY TAXES</v>
      </c>
    </row>
    <row r="2263" spans="1:9" x14ac:dyDescent="0.3">
      <c r="A2263" t="str">
        <f>""</f>
        <v/>
      </c>
      <c r="F2263" t="str">
        <f>""</f>
        <v/>
      </c>
      <c r="G2263" t="str">
        <f>""</f>
        <v/>
      </c>
      <c r="I2263" t="str">
        <f t="shared" si="35"/>
        <v>SOCIAL SECURITY TAXES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35"/>
        <v>SOCIAL SECURITY TAXES</v>
      </c>
    </row>
    <row r="2265" spans="1:9" x14ac:dyDescent="0.3">
      <c r="A2265" t="str">
        <f>""</f>
        <v/>
      </c>
      <c r="F2265" t="str">
        <f>""</f>
        <v/>
      </c>
      <c r="G2265" t="str">
        <f>""</f>
        <v/>
      </c>
      <c r="I2265" t="str">
        <f t="shared" si="35"/>
        <v>SOCIAL SECURITY TAXES</v>
      </c>
    </row>
    <row r="2266" spans="1:9" x14ac:dyDescent="0.3">
      <c r="A2266" t="str">
        <f>""</f>
        <v/>
      </c>
      <c r="F2266" t="str">
        <f>""</f>
        <v/>
      </c>
      <c r="G2266" t="str">
        <f>""</f>
        <v/>
      </c>
      <c r="I2266" t="str">
        <f t="shared" si="35"/>
        <v>SOCIAL SECURITY TAXES</v>
      </c>
    </row>
    <row r="2267" spans="1:9" x14ac:dyDescent="0.3">
      <c r="A2267" t="str">
        <f>""</f>
        <v/>
      </c>
      <c r="F2267" t="str">
        <f>""</f>
        <v/>
      </c>
      <c r="G2267" t="str">
        <f>""</f>
        <v/>
      </c>
      <c r="I2267" t="str">
        <f t="shared" si="35"/>
        <v>SOCIAL SECURITY TAXES</v>
      </c>
    </row>
    <row r="2268" spans="1:9" x14ac:dyDescent="0.3">
      <c r="A2268" t="str">
        <f>""</f>
        <v/>
      </c>
      <c r="F2268" t="str">
        <f>"T3 201709205020"</f>
        <v>T3 201709205020</v>
      </c>
      <c r="G2268" t="str">
        <f>"SOCIAL SECURITY TAXES"</f>
        <v>SOCIAL SECURITY TAXES</v>
      </c>
      <c r="H2268" s="2">
        <v>3824.58</v>
      </c>
      <c r="I2268" t="str">
        <f t="shared" si="35"/>
        <v>SOCIAL SECURITY TAXES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si="35"/>
        <v>SOCIAL SECURITY TAXES</v>
      </c>
    </row>
    <row r="2270" spans="1:9" x14ac:dyDescent="0.3">
      <c r="A2270" t="str">
        <f>""</f>
        <v/>
      </c>
      <c r="F2270" t="str">
        <f>"T3 201709205022"</f>
        <v>T3 201709205022</v>
      </c>
      <c r="G2270" t="str">
        <f>"SOCIAL SECURITY TAXES"</f>
        <v>SOCIAL SECURITY TAXES</v>
      </c>
      <c r="H2270" s="2">
        <v>5446.22</v>
      </c>
      <c r="I2270" t="str">
        <f t="shared" si="35"/>
        <v>SOCIAL SECURITY TAXES</v>
      </c>
    </row>
    <row r="2271" spans="1:9" x14ac:dyDescent="0.3">
      <c r="A2271" t="str">
        <f>""</f>
        <v/>
      </c>
      <c r="F2271" t="str">
        <f>""</f>
        <v/>
      </c>
      <c r="G2271" t="str">
        <f>""</f>
        <v/>
      </c>
      <c r="I2271" t="str">
        <f t="shared" si="35"/>
        <v>SOCIAL SECURITY TAXES</v>
      </c>
    </row>
    <row r="2272" spans="1:9" x14ac:dyDescent="0.3">
      <c r="A2272" t="str">
        <f>""</f>
        <v/>
      </c>
      <c r="F2272" t="str">
        <f>"T4 201709205019"</f>
        <v>T4 201709205019</v>
      </c>
      <c r="G2272" t="str">
        <f>"MEDICARE TAXES"</f>
        <v>MEDICARE TAXES</v>
      </c>
      <c r="H2272" s="2">
        <v>22214.16</v>
      </c>
      <c r="I2272" t="str">
        <f t="shared" ref="I2272:I2303" si="36">"MEDICARE TAXES"</f>
        <v>MEDICARE TAXES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36"/>
        <v>MEDICARE TAXES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36"/>
        <v>MEDICARE TAXES</v>
      </c>
    </row>
    <row r="2275" spans="1:9" x14ac:dyDescent="0.3">
      <c r="A2275" t="str">
        <f>""</f>
        <v/>
      </c>
      <c r="F2275" t="str">
        <f>""</f>
        <v/>
      </c>
      <c r="G2275" t="str">
        <f>""</f>
        <v/>
      </c>
      <c r="I2275" t="str">
        <f t="shared" si="36"/>
        <v>MEDICARE TAXES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36"/>
        <v>MEDICARE TAXES</v>
      </c>
    </row>
    <row r="2277" spans="1:9" x14ac:dyDescent="0.3">
      <c r="A2277" t="str">
        <f>""</f>
        <v/>
      </c>
      <c r="F2277" t="str">
        <f>""</f>
        <v/>
      </c>
      <c r="G2277" t="str">
        <f>""</f>
        <v/>
      </c>
      <c r="I2277" t="str">
        <f t="shared" si="36"/>
        <v>MEDICARE TAXES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36"/>
        <v>MEDICARE TAXES</v>
      </c>
    </row>
    <row r="2279" spans="1:9" x14ac:dyDescent="0.3">
      <c r="A2279" t="str">
        <f>""</f>
        <v/>
      </c>
      <c r="F2279" t="str">
        <f>""</f>
        <v/>
      </c>
      <c r="G2279" t="str">
        <f>""</f>
        <v/>
      </c>
      <c r="I2279" t="str">
        <f t="shared" si="36"/>
        <v>MEDICARE TAXES</v>
      </c>
    </row>
    <row r="2280" spans="1:9" x14ac:dyDescent="0.3">
      <c r="A2280" t="str">
        <f>""</f>
        <v/>
      </c>
      <c r="F2280" t="str">
        <f>""</f>
        <v/>
      </c>
      <c r="G2280" t="str">
        <f>""</f>
        <v/>
      </c>
      <c r="I2280" t="str">
        <f t="shared" si="36"/>
        <v>MEDICARE TAXES</v>
      </c>
    </row>
    <row r="2281" spans="1:9" x14ac:dyDescent="0.3">
      <c r="A2281" t="str">
        <f>""</f>
        <v/>
      </c>
      <c r="F2281" t="str">
        <f>""</f>
        <v/>
      </c>
      <c r="G2281" t="str">
        <f>""</f>
        <v/>
      </c>
      <c r="I2281" t="str">
        <f t="shared" si="36"/>
        <v>MEDICARE TAXES</v>
      </c>
    </row>
    <row r="2282" spans="1:9" x14ac:dyDescent="0.3">
      <c r="A2282" t="str">
        <f>""</f>
        <v/>
      </c>
      <c r="F2282" t="str">
        <f>""</f>
        <v/>
      </c>
      <c r="G2282" t="str">
        <f>""</f>
        <v/>
      </c>
      <c r="I2282" t="str">
        <f t="shared" si="36"/>
        <v>MEDICARE TAXES</v>
      </c>
    </row>
    <row r="2283" spans="1:9" x14ac:dyDescent="0.3">
      <c r="A2283" t="str">
        <f>""</f>
        <v/>
      </c>
      <c r="F2283" t="str">
        <f>""</f>
        <v/>
      </c>
      <c r="G2283" t="str">
        <f>""</f>
        <v/>
      </c>
      <c r="I2283" t="str">
        <f t="shared" si="36"/>
        <v>MEDICARE TAXES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36"/>
        <v>MEDICARE TAXES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si="36"/>
        <v>MEDICARE TAXES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36"/>
        <v>MEDICARE TAXES</v>
      </c>
    </row>
    <row r="2287" spans="1:9" x14ac:dyDescent="0.3">
      <c r="A2287" t="str">
        <f>""</f>
        <v/>
      </c>
      <c r="F2287" t="str">
        <f>""</f>
        <v/>
      </c>
      <c r="G2287" t="str">
        <f>""</f>
        <v/>
      </c>
      <c r="I2287" t="str">
        <f t="shared" si="36"/>
        <v>MEDICARE TAXES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si="36"/>
        <v>MEDICARE TAXES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si="36"/>
        <v>MEDICARE TAXES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36"/>
        <v>MEDICARE TAXES</v>
      </c>
    </row>
    <row r="2291" spans="1:9" x14ac:dyDescent="0.3">
      <c r="A2291" t="str">
        <f>""</f>
        <v/>
      </c>
      <c r="F2291" t="str">
        <f>""</f>
        <v/>
      </c>
      <c r="G2291" t="str">
        <f>""</f>
        <v/>
      </c>
      <c r="I2291" t="str">
        <f t="shared" si="36"/>
        <v>MEDICARE TAXES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36"/>
        <v>MEDICARE TAXES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36"/>
        <v>MEDICARE TAXES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36"/>
        <v>MEDICARE TAXES</v>
      </c>
    </row>
    <row r="2295" spans="1:9" x14ac:dyDescent="0.3">
      <c r="A2295" t="str">
        <f>""</f>
        <v/>
      </c>
      <c r="F2295" t="str">
        <f>""</f>
        <v/>
      </c>
      <c r="G2295" t="str">
        <f>""</f>
        <v/>
      </c>
      <c r="I2295" t="str">
        <f t="shared" si="36"/>
        <v>MEDICARE TAXES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36"/>
        <v>MEDICARE TAXES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36"/>
        <v>MEDICARE TAXES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36"/>
        <v>MEDICARE TAXES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36"/>
        <v>MEDICARE TAXES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si="36"/>
        <v>MEDICARE TAXES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si="36"/>
        <v>MEDICARE TAXES</v>
      </c>
    </row>
    <row r="2302" spans="1:9" x14ac:dyDescent="0.3">
      <c r="A2302" t="str">
        <f>""</f>
        <v/>
      </c>
      <c r="F2302" t="str">
        <f>""</f>
        <v/>
      </c>
      <c r="G2302" t="str">
        <f>""</f>
        <v/>
      </c>
      <c r="I2302" t="str">
        <f t="shared" si="36"/>
        <v>MEDICARE TAXES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36"/>
        <v>MEDICARE TAXES</v>
      </c>
    </row>
    <row r="2304" spans="1:9" x14ac:dyDescent="0.3">
      <c r="A2304" t="str">
        <f>""</f>
        <v/>
      </c>
      <c r="F2304" t="str">
        <f>""</f>
        <v/>
      </c>
      <c r="G2304" t="str">
        <f>""</f>
        <v/>
      </c>
      <c r="I2304" t="str">
        <f t="shared" ref="I2304:I2327" si="37">"MEDICARE TAXES"</f>
        <v>MEDICARE TAXES</v>
      </c>
    </row>
    <row r="2305" spans="1:9" x14ac:dyDescent="0.3">
      <c r="A2305" t="str">
        <f>""</f>
        <v/>
      </c>
      <c r="F2305" t="str">
        <f>""</f>
        <v/>
      </c>
      <c r="G2305" t="str">
        <f>""</f>
        <v/>
      </c>
      <c r="I2305" t="str">
        <f t="shared" si="37"/>
        <v>MEDICARE TAXES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37"/>
        <v>MEDICARE TAXES</v>
      </c>
    </row>
    <row r="2307" spans="1:9" x14ac:dyDescent="0.3">
      <c r="A2307" t="str">
        <f>""</f>
        <v/>
      </c>
      <c r="F2307" t="str">
        <f>""</f>
        <v/>
      </c>
      <c r="G2307" t="str">
        <f>""</f>
        <v/>
      </c>
      <c r="I2307" t="str">
        <f t="shared" si="37"/>
        <v>MEDICARE TAXES</v>
      </c>
    </row>
    <row r="2308" spans="1:9" x14ac:dyDescent="0.3">
      <c r="A2308" t="str">
        <f>""</f>
        <v/>
      </c>
      <c r="F2308" t="str">
        <f>""</f>
        <v/>
      </c>
      <c r="G2308" t="str">
        <f>""</f>
        <v/>
      </c>
      <c r="I2308" t="str">
        <f t="shared" si="37"/>
        <v>MEDICARE TAXES</v>
      </c>
    </row>
    <row r="2309" spans="1:9" x14ac:dyDescent="0.3">
      <c r="A2309" t="str">
        <f>""</f>
        <v/>
      </c>
      <c r="F2309" t="str">
        <f>""</f>
        <v/>
      </c>
      <c r="G2309" t="str">
        <f>""</f>
        <v/>
      </c>
      <c r="I2309" t="str">
        <f t="shared" si="37"/>
        <v>MEDICARE TAXES</v>
      </c>
    </row>
    <row r="2310" spans="1:9" x14ac:dyDescent="0.3">
      <c r="A2310" t="str">
        <f>""</f>
        <v/>
      </c>
      <c r="F2310" t="str">
        <f>""</f>
        <v/>
      </c>
      <c r="G2310" t="str">
        <f>""</f>
        <v/>
      </c>
      <c r="I2310" t="str">
        <f t="shared" si="37"/>
        <v>MEDICARE TAXES</v>
      </c>
    </row>
    <row r="2311" spans="1:9" x14ac:dyDescent="0.3">
      <c r="A2311" t="str">
        <f>""</f>
        <v/>
      </c>
      <c r="F2311" t="str">
        <f>""</f>
        <v/>
      </c>
      <c r="G2311" t="str">
        <f>""</f>
        <v/>
      </c>
      <c r="I2311" t="str">
        <f t="shared" si="37"/>
        <v>MEDICARE TAXES</v>
      </c>
    </row>
    <row r="2312" spans="1:9" x14ac:dyDescent="0.3">
      <c r="A2312" t="str">
        <f>""</f>
        <v/>
      </c>
      <c r="F2312" t="str">
        <f>""</f>
        <v/>
      </c>
      <c r="G2312" t="str">
        <f>""</f>
        <v/>
      </c>
      <c r="I2312" t="str">
        <f t="shared" si="37"/>
        <v>MEDICARE TAXES</v>
      </c>
    </row>
    <row r="2313" spans="1:9" x14ac:dyDescent="0.3">
      <c r="A2313" t="str">
        <f>""</f>
        <v/>
      </c>
      <c r="F2313" t="str">
        <f>""</f>
        <v/>
      </c>
      <c r="G2313" t="str">
        <f>""</f>
        <v/>
      </c>
      <c r="I2313" t="str">
        <f t="shared" si="37"/>
        <v>MEDICARE TAXES</v>
      </c>
    </row>
    <row r="2314" spans="1:9" x14ac:dyDescent="0.3">
      <c r="A2314" t="str">
        <f>""</f>
        <v/>
      </c>
      <c r="F2314" t="str">
        <f>""</f>
        <v/>
      </c>
      <c r="G2314" t="str">
        <f>""</f>
        <v/>
      </c>
      <c r="I2314" t="str">
        <f t="shared" si="37"/>
        <v>MEDICARE TAXES</v>
      </c>
    </row>
    <row r="2315" spans="1:9" x14ac:dyDescent="0.3">
      <c r="A2315" t="str">
        <f>""</f>
        <v/>
      </c>
      <c r="F2315" t="str">
        <f>""</f>
        <v/>
      </c>
      <c r="G2315" t="str">
        <f>""</f>
        <v/>
      </c>
      <c r="I2315" t="str">
        <f t="shared" si="37"/>
        <v>MEDICARE TAXES</v>
      </c>
    </row>
    <row r="2316" spans="1:9" x14ac:dyDescent="0.3">
      <c r="A2316" t="str">
        <f>""</f>
        <v/>
      </c>
      <c r="F2316" t="str">
        <f>""</f>
        <v/>
      </c>
      <c r="G2316" t="str">
        <f>""</f>
        <v/>
      </c>
      <c r="I2316" t="str">
        <f t="shared" si="37"/>
        <v>MEDICARE TAXES</v>
      </c>
    </row>
    <row r="2317" spans="1:9" x14ac:dyDescent="0.3">
      <c r="A2317" t="str">
        <f>""</f>
        <v/>
      </c>
      <c r="F2317" t="str">
        <f>""</f>
        <v/>
      </c>
      <c r="G2317" t="str">
        <f>""</f>
        <v/>
      </c>
      <c r="I2317" t="str">
        <f t="shared" si="37"/>
        <v>MEDICARE TAXES</v>
      </c>
    </row>
    <row r="2318" spans="1:9" x14ac:dyDescent="0.3">
      <c r="A2318" t="str">
        <f>""</f>
        <v/>
      </c>
      <c r="F2318" t="str">
        <f>""</f>
        <v/>
      </c>
      <c r="G2318" t="str">
        <f>""</f>
        <v/>
      </c>
      <c r="I2318" t="str">
        <f t="shared" si="37"/>
        <v>MEDICARE TAXES</v>
      </c>
    </row>
    <row r="2319" spans="1:9" x14ac:dyDescent="0.3">
      <c r="A2319" t="str">
        <f>""</f>
        <v/>
      </c>
      <c r="F2319" t="str">
        <f>""</f>
        <v/>
      </c>
      <c r="G2319" t="str">
        <f>""</f>
        <v/>
      </c>
      <c r="I2319" t="str">
        <f t="shared" si="37"/>
        <v>MEDICARE TAXES</v>
      </c>
    </row>
    <row r="2320" spans="1:9" x14ac:dyDescent="0.3">
      <c r="A2320" t="str">
        <f>""</f>
        <v/>
      </c>
      <c r="F2320" t="str">
        <f>""</f>
        <v/>
      </c>
      <c r="G2320" t="str">
        <f>""</f>
        <v/>
      </c>
      <c r="I2320" t="str">
        <f t="shared" si="37"/>
        <v>MEDICARE TAXES</v>
      </c>
    </row>
    <row r="2321" spans="1:9" x14ac:dyDescent="0.3">
      <c r="A2321" t="str">
        <f>""</f>
        <v/>
      </c>
      <c r="F2321" t="str">
        <f>""</f>
        <v/>
      </c>
      <c r="G2321" t="str">
        <f>""</f>
        <v/>
      </c>
      <c r="I2321" t="str">
        <f t="shared" si="37"/>
        <v>MEDICARE TAXES</v>
      </c>
    </row>
    <row r="2322" spans="1:9" x14ac:dyDescent="0.3">
      <c r="A2322" t="str">
        <f>""</f>
        <v/>
      </c>
      <c r="F2322" t="str">
        <f>""</f>
        <v/>
      </c>
      <c r="G2322" t="str">
        <f>""</f>
        <v/>
      </c>
      <c r="I2322" t="str">
        <f t="shared" si="37"/>
        <v>MEDICARE TAXES</v>
      </c>
    </row>
    <row r="2323" spans="1:9" x14ac:dyDescent="0.3">
      <c r="A2323" t="str">
        <f>""</f>
        <v/>
      </c>
      <c r="F2323" t="str">
        <f>""</f>
        <v/>
      </c>
      <c r="G2323" t="str">
        <f>""</f>
        <v/>
      </c>
      <c r="I2323" t="str">
        <f t="shared" si="37"/>
        <v>MEDICARE TAXES</v>
      </c>
    </row>
    <row r="2324" spans="1:9" x14ac:dyDescent="0.3">
      <c r="A2324" t="str">
        <f>""</f>
        <v/>
      </c>
      <c r="F2324" t="str">
        <f>"T4 201709205020"</f>
        <v>T4 201709205020</v>
      </c>
      <c r="G2324" t="str">
        <f>"MEDICARE TAXES"</f>
        <v>MEDICARE TAXES</v>
      </c>
      <c r="H2324" s="2">
        <v>894.44</v>
      </c>
      <c r="I2324" t="str">
        <f t="shared" si="37"/>
        <v>MEDICARE TAXES</v>
      </c>
    </row>
    <row r="2325" spans="1:9" x14ac:dyDescent="0.3">
      <c r="A2325" t="str">
        <f>""</f>
        <v/>
      </c>
      <c r="F2325" t="str">
        <f>""</f>
        <v/>
      </c>
      <c r="G2325" t="str">
        <f>""</f>
        <v/>
      </c>
      <c r="I2325" t="str">
        <f t="shared" si="37"/>
        <v>MEDICARE TAXES</v>
      </c>
    </row>
    <row r="2326" spans="1:9" x14ac:dyDescent="0.3">
      <c r="A2326" t="str">
        <f>""</f>
        <v/>
      </c>
      <c r="F2326" t="str">
        <f>"T4 201709205022"</f>
        <v>T4 201709205022</v>
      </c>
      <c r="G2326" t="str">
        <f>"MEDICARE TAXES"</f>
        <v>MEDICARE TAXES</v>
      </c>
      <c r="H2326" s="2">
        <v>1273.72</v>
      </c>
      <c r="I2326" t="str">
        <f t="shared" si="37"/>
        <v>MEDICARE TAXES</v>
      </c>
    </row>
    <row r="2327" spans="1:9" x14ac:dyDescent="0.3">
      <c r="A2327" t="str">
        <f>""</f>
        <v/>
      </c>
      <c r="F2327" t="str">
        <f>""</f>
        <v/>
      </c>
      <c r="G2327" t="str">
        <f>""</f>
        <v/>
      </c>
      <c r="I2327" t="str">
        <f t="shared" si="37"/>
        <v>MEDICARE TAXES</v>
      </c>
    </row>
    <row r="2328" spans="1:9" x14ac:dyDescent="0.3">
      <c r="A2328" t="str">
        <f>"004638"</f>
        <v>004638</v>
      </c>
      <c r="B2328" t="s">
        <v>491</v>
      </c>
      <c r="C2328">
        <v>45837</v>
      </c>
      <c r="D2328" s="2">
        <v>72.41</v>
      </c>
      <c r="E2328" s="1">
        <v>42986</v>
      </c>
      <c r="F2328" t="str">
        <f>"C64201709064584"</f>
        <v>C64201709064584</v>
      </c>
      <c r="G2328" t="str">
        <f>"CASE #912745322"</f>
        <v>CASE #912745322</v>
      </c>
      <c r="H2328" s="2">
        <v>72.41</v>
      </c>
      <c r="I2328" t="str">
        <f>"CASE #912745322"</f>
        <v>CASE #912745322</v>
      </c>
    </row>
    <row r="2329" spans="1:9" x14ac:dyDescent="0.3">
      <c r="A2329" t="str">
        <f>"004638"</f>
        <v>004638</v>
      </c>
      <c r="B2329" t="s">
        <v>491</v>
      </c>
      <c r="C2329">
        <v>45866</v>
      </c>
      <c r="D2329" s="2">
        <v>72.41</v>
      </c>
      <c r="E2329" s="1">
        <v>43000</v>
      </c>
      <c r="F2329" t="str">
        <f>"C64201709205019"</f>
        <v>C64201709205019</v>
      </c>
      <c r="G2329" t="str">
        <f>"CASE #912745322"</f>
        <v>CASE #912745322</v>
      </c>
      <c r="H2329" s="2">
        <v>72.41</v>
      </c>
      <c r="I2329" t="str">
        <f>"CASE #912745322"</f>
        <v>CASE #912745322</v>
      </c>
    </row>
    <row r="2330" spans="1:9" x14ac:dyDescent="0.3">
      <c r="A2330" t="str">
        <f>"001507"</f>
        <v>001507</v>
      </c>
      <c r="B2330" t="s">
        <v>492</v>
      </c>
      <c r="C2330">
        <v>0</v>
      </c>
      <c r="D2330" s="2">
        <v>27244.240000000002</v>
      </c>
      <c r="E2330" s="1">
        <v>43004</v>
      </c>
      <c r="F2330" t="str">
        <f>"201709265123"</f>
        <v>201709265123</v>
      </c>
      <c r="G2330" t="str">
        <f>"MONUMENTAL LIFE INS CO"</f>
        <v>MONUMENTAL LIFE INS CO</v>
      </c>
      <c r="H2330" s="2">
        <v>27244.240000000002</v>
      </c>
      <c r="I2330" t="str">
        <f>"MONUMENTAL LIFE INS CO"</f>
        <v>MONUMENTAL LIFE INS CO</v>
      </c>
    </row>
    <row r="2331" spans="1:9" x14ac:dyDescent="0.3">
      <c r="A2331" t="str">
        <f>"002456"</f>
        <v>002456</v>
      </c>
      <c r="B2331" t="s">
        <v>493</v>
      </c>
      <c r="C2331">
        <v>0</v>
      </c>
      <c r="D2331" s="2">
        <v>731.02</v>
      </c>
      <c r="E2331" s="1">
        <v>43004</v>
      </c>
      <c r="F2331" t="str">
        <f>"LIX201709064584"</f>
        <v>LIX201709064584</v>
      </c>
      <c r="G2331" t="str">
        <f>"TEXAS LIFE/OLIVO GROUP"</f>
        <v>TEXAS LIFE/OLIVO GROUP</v>
      </c>
      <c r="H2331" s="2">
        <v>365.51</v>
      </c>
      <c r="I2331" t="str">
        <f>"TEXAS LIFE/OLIVO GROUP"</f>
        <v>TEXAS LIFE/OLIVO GROUP</v>
      </c>
    </row>
    <row r="2332" spans="1:9" x14ac:dyDescent="0.3">
      <c r="A2332" t="str">
        <f>""</f>
        <v/>
      </c>
      <c r="F2332" t="str">
        <f>"LIX201709205019"</f>
        <v>LIX201709205019</v>
      </c>
      <c r="G2332" t="str">
        <f>"TEXAS LIFE/OLIVO GROUP"</f>
        <v>TEXAS LIFE/OLIVO GROUP</v>
      </c>
      <c r="H2332" s="2">
        <v>365.51</v>
      </c>
      <c r="I2332" t="str">
        <f>"TEXAS LIFE/OLIVO GROUP"</f>
        <v>TEXAS LIFE/OLIVO GROUP</v>
      </c>
    </row>
    <row r="2333" spans="1:9" x14ac:dyDescent="0.3">
      <c r="A2333" t="str">
        <f>"TACHEB"</f>
        <v>TACHEB</v>
      </c>
      <c r="B2333" t="s">
        <v>494</v>
      </c>
      <c r="C2333">
        <v>45872</v>
      </c>
      <c r="D2333" s="2">
        <v>314696.68</v>
      </c>
      <c r="E2333" s="1">
        <v>43004</v>
      </c>
      <c r="F2333" t="str">
        <f>"201709265124"</f>
        <v>201709265124</v>
      </c>
      <c r="G2333" t="str">
        <f>"Retirees Sept 2017"</f>
        <v>Retirees Sept 2017</v>
      </c>
      <c r="H2333" s="2">
        <v>15018.3</v>
      </c>
      <c r="I2333" t="str">
        <f>"TAC HEALTH BENEFITS POOL"</f>
        <v>TAC HEALTH BENEFITS POOL</v>
      </c>
    </row>
    <row r="2334" spans="1:9" x14ac:dyDescent="0.3">
      <c r="A2334" t="str">
        <f>""</f>
        <v/>
      </c>
      <c r="F2334" t="str">
        <f>"2EC201709064584"</f>
        <v>2EC201709064584</v>
      </c>
      <c r="G2334" t="str">
        <f>"BCBS PAYABLE"</f>
        <v>BCBS PAYABLE</v>
      </c>
      <c r="H2334" s="2">
        <v>43598.879999999997</v>
      </c>
      <c r="I2334" t="str">
        <f t="shared" ref="I2334:I2365" si="38">"BCBS PAYABLE"</f>
        <v>BCBS PAYABLE</v>
      </c>
    </row>
    <row r="2335" spans="1:9" x14ac:dyDescent="0.3">
      <c r="A2335" t="str">
        <f>""</f>
        <v/>
      </c>
      <c r="F2335" t="str">
        <f>""</f>
        <v/>
      </c>
      <c r="G2335" t="str">
        <f>""</f>
        <v/>
      </c>
      <c r="I2335" t="str">
        <f t="shared" si="38"/>
        <v>BCBS PAYABLE</v>
      </c>
    </row>
    <row r="2336" spans="1:9" x14ac:dyDescent="0.3">
      <c r="A2336" t="str">
        <f>""</f>
        <v/>
      </c>
      <c r="F2336" t="str">
        <f>""</f>
        <v/>
      </c>
      <c r="G2336" t="str">
        <f>""</f>
        <v/>
      </c>
      <c r="I2336" t="str">
        <f t="shared" si="38"/>
        <v>BCBS PAYABLE</v>
      </c>
    </row>
    <row r="2337" spans="1:9" x14ac:dyDescent="0.3">
      <c r="A2337" t="str">
        <f>""</f>
        <v/>
      </c>
      <c r="F2337" t="str">
        <f>""</f>
        <v/>
      </c>
      <c r="G2337" t="str">
        <f>""</f>
        <v/>
      </c>
      <c r="I2337" t="str">
        <f t="shared" si="38"/>
        <v>BCBS PAYABLE</v>
      </c>
    </row>
    <row r="2338" spans="1:9" x14ac:dyDescent="0.3">
      <c r="A2338" t="str">
        <f>""</f>
        <v/>
      </c>
      <c r="F2338" t="str">
        <f>""</f>
        <v/>
      </c>
      <c r="G2338" t="str">
        <f>""</f>
        <v/>
      </c>
      <c r="I2338" t="str">
        <f t="shared" si="38"/>
        <v>BCBS PAYABLE</v>
      </c>
    </row>
    <row r="2339" spans="1:9" x14ac:dyDescent="0.3">
      <c r="A2339" t="str">
        <f>""</f>
        <v/>
      </c>
      <c r="F2339" t="str">
        <f>""</f>
        <v/>
      </c>
      <c r="G2339" t="str">
        <f>""</f>
        <v/>
      </c>
      <c r="I2339" t="str">
        <f t="shared" si="38"/>
        <v>BCBS PAYABLE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38"/>
        <v>BCBS PAYABLE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38"/>
        <v>BCBS PAYABLE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38"/>
        <v>BCBS PAYABLE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38"/>
        <v>BCBS PAYABLE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si="38"/>
        <v>BCBS PAYABLE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si="38"/>
        <v>BCBS PAYABLE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38"/>
        <v>BCBS PAYABLE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38"/>
        <v>BCBS PAYABLE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38"/>
        <v>BCBS PAYABLE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si="38"/>
        <v>BCBS PAYABLE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38"/>
        <v>BCBS PAYABLE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38"/>
        <v>BCBS PAYABLE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38"/>
        <v>BCBS PAYABLE</v>
      </c>
    </row>
    <row r="2353" spans="1:9" x14ac:dyDescent="0.3">
      <c r="A2353" t="str">
        <f>""</f>
        <v/>
      </c>
      <c r="F2353" t="str">
        <f>""</f>
        <v/>
      </c>
      <c r="G2353" t="str">
        <f>""</f>
        <v/>
      </c>
      <c r="I2353" t="str">
        <f t="shared" si="38"/>
        <v>BCBS PAYABLE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38"/>
        <v>BCBS PAYABLE</v>
      </c>
    </row>
    <row r="2355" spans="1:9" x14ac:dyDescent="0.3">
      <c r="A2355" t="str">
        <f>""</f>
        <v/>
      </c>
      <c r="F2355" t="str">
        <f>""</f>
        <v/>
      </c>
      <c r="G2355" t="str">
        <f>""</f>
        <v/>
      </c>
      <c r="I2355" t="str">
        <f t="shared" si="38"/>
        <v>BCBS PAYABLE</v>
      </c>
    </row>
    <row r="2356" spans="1:9" x14ac:dyDescent="0.3">
      <c r="A2356" t="str">
        <f>""</f>
        <v/>
      </c>
      <c r="F2356" t="str">
        <f>""</f>
        <v/>
      </c>
      <c r="G2356" t="str">
        <f>""</f>
        <v/>
      </c>
      <c r="I2356" t="str">
        <f t="shared" si="38"/>
        <v>BCBS PAYABLE</v>
      </c>
    </row>
    <row r="2357" spans="1:9" x14ac:dyDescent="0.3">
      <c r="A2357" t="str">
        <f>""</f>
        <v/>
      </c>
      <c r="F2357" t="str">
        <f>""</f>
        <v/>
      </c>
      <c r="G2357" t="str">
        <f>""</f>
        <v/>
      </c>
      <c r="I2357" t="str">
        <f t="shared" si="38"/>
        <v>BCBS PAYABLE</v>
      </c>
    </row>
    <row r="2358" spans="1:9" x14ac:dyDescent="0.3">
      <c r="A2358" t="str">
        <f>""</f>
        <v/>
      </c>
      <c r="F2358" t="str">
        <f>""</f>
        <v/>
      </c>
      <c r="G2358" t="str">
        <f>""</f>
        <v/>
      </c>
      <c r="I2358" t="str">
        <f t="shared" si="38"/>
        <v>BCBS PAYABLE</v>
      </c>
    </row>
    <row r="2359" spans="1:9" x14ac:dyDescent="0.3">
      <c r="A2359" t="str">
        <f>""</f>
        <v/>
      </c>
      <c r="F2359" t="str">
        <f>""</f>
        <v/>
      </c>
      <c r="G2359" t="str">
        <f>""</f>
        <v/>
      </c>
      <c r="I2359" t="str">
        <f t="shared" si="38"/>
        <v>BCBS PAYABLE</v>
      </c>
    </row>
    <row r="2360" spans="1:9" x14ac:dyDescent="0.3">
      <c r="A2360" t="str">
        <f>""</f>
        <v/>
      </c>
      <c r="F2360" t="str">
        <f>""</f>
        <v/>
      </c>
      <c r="G2360" t="str">
        <f>""</f>
        <v/>
      </c>
      <c r="I2360" t="str">
        <f t="shared" si="38"/>
        <v>BCBS PAYABLE</v>
      </c>
    </row>
    <row r="2361" spans="1:9" x14ac:dyDescent="0.3">
      <c r="A2361" t="str">
        <f>""</f>
        <v/>
      </c>
      <c r="F2361" t="str">
        <f>""</f>
        <v/>
      </c>
      <c r="G2361" t="str">
        <f>""</f>
        <v/>
      </c>
      <c r="I2361" t="str">
        <f t="shared" si="38"/>
        <v>BCBS PAYABLE</v>
      </c>
    </row>
    <row r="2362" spans="1:9" x14ac:dyDescent="0.3">
      <c r="A2362" t="str">
        <f>""</f>
        <v/>
      </c>
      <c r="F2362" t="str">
        <f>""</f>
        <v/>
      </c>
      <c r="G2362" t="str">
        <f>""</f>
        <v/>
      </c>
      <c r="I2362" t="str">
        <f t="shared" si="38"/>
        <v>BCBS PAYABLE</v>
      </c>
    </row>
    <row r="2363" spans="1:9" x14ac:dyDescent="0.3">
      <c r="A2363" t="str">
        <f>""</f>
        <v/>
      </c>
      <c r="F2363" t="str">
        <f>""</f>
        <v/>
      </c>
      <c r="G2363" t="str">
        <f>""</f>
        <v/>
      </c>
      <c r="I2363" t="str">
        <f t="shared" si="38"/>
        <v>BCBS PAYABLE</v>
      </c>
    </row>
    <row r="2364" spans="1:9" x14ac:dyDescent="0.3">
      <c r="A2364" t="str">
        <f>""</f>
        <v/>
      </c>
      <c r="F2364" t="str">
        <f>""</f>
        <v/>
      </c>
      <c r="G2364" t="str">
        <f>""</f>
        <v/>
      </c>
      <c r="I2364" t="str">
        <f t="shared" si="38"/>
        <v>BCBS PAYABLE</v>
      </c>
    </row>
    <row r="2365" spans="1:9" x14ac:dyDescent="0.3">
      <c r="A2365" t="str">
        <f>""</f>
        <v/>
      </c>
      <c r="F2365" t="str">
        <f>""</f>
        <v/>
      </c>
      <c r="G2365" t="str">
        <f>""</f>
        <v/>
      </c>
      <c r="I2365" t="str">
        <f t="shared" si="38"/>
        <v>BCBS PAYABLE</v>
      </c>
    </row>
    <row r="2366" spans="1:9" x14ac:dyDescent="0.3">
      <c r="A2366" t="str">
        <f>""</f>
        <v/>
      </c>
      <c r="F2366" t="str">
        <f>""</f>
        <v/>
      </c>
      <c r="G2366" t="str">
        <f>""</f>
        <v/>
      </c>
      <c r="I2366" t="str">
        <f t="shared" ref="I2366:I2397" si="39">"BCBS PAYABLE"</f>
        <v>BCBS PAYABLE</v>
      </c>
    </row>
    <row r="2367" spans="1:9" x14ac:dyDescent="0.3">
      <c r="A2367" t="str">
        <f>""</f>
        <v/>
      </c>
      <c r="F2367" t="str">
        <f>"2EC201709064604"</f>
        <v>2EC201709064604</v>
      </c>
      <c r="G2367" t="str">
        <f>"BCBS PAYABLE"</f>
        <v>BCBS PAYABLE</v>
      </c>
      <c r="H2367" s="2">
        <v>1709.76</v>
      </c>
      <c r="I2367" t="str">
        <f t="shared" si="39"/>
        <v>BCBS PAYABLE</v>
      </c>
    </row>
    <row r="2368" spans="1:9" x14ac:dyDescent="0.3">
      <c r="A2368" t="str">
        <f>""</f>
        <v/>
      </c>
      <c r="F2368" t="str">
        <f>""</f>
        <v/>
      </c>
      <c r="G2368" t="str">
        <f>""</f>
        <v/>
      </c>
      <c r="I2368" t="str">
        <f t="shared" si="39"/>
        <v>BCBS PAYABLE</v>
      </c>
    </row>
    <row r="2369" spans="1:9" x14ac:dyDescent="0.3">
      <c r="A2369" t="str">
        <f>""</f>
        <v/>
      </c>
      <c r="F2369" t="str">
        <f>"2EC201709205019"</f>
        <v>2EC201709205019</v>
      </c>
      <c r="G2369" t="str">
        <f>"BCBS PAYABLE"</f>
        <v>BCBS PAYABLE</v>
      </c>
      <c r="H2369" s="2">
        <v>42744</v>
      </c>
      <c r="I2369" t="str">
        <f t="shared" si="39"/>
        <v>BCBS PAYABLE</v>
      </c>
    </row>
    <row r="2370" spans="1:9" x14ac:dyDescent="0.3">
      <c r="A2370" t="str">
        <f>""</f>
        <v/>
      </c>
      <c r="F2370" t="str">
        <f>""</f>
        <v/>
      </c>
      <c r="G2370" t="str">
        <f>""</f>
        <v/>
      </c>
      <c r="I2370" t="str">
        <f t="shared" si="39"/>
        <v>BCBS PAYABLE</v>
      </c>
    </row>
    <row r="2371" spans="1:9" x14ac:dyDescent="0.3">
      <c r="A2371" t="str">
        <f>""</f>
        <v/>
      </c>
      <c r="F2371" t="str">
        <f>""</f>
        <v/>
      </c>
      <c r="G2371" t="str">
        <f>""</f>
        <v/>
      </c>
      <c r="I2371" t="str">
        <f t="shared" si="39"/>
        <v>BCBS PAYABLE</v>
      </c>
    </row>
    <row r="2372" spans="1:9" x14ac:dyDescent="0.3">
      <c r="A2372" t="str">
        <f>""</f>
        <v/>
      </c>
      <c r="F2372" t="str">
        <f>""</f>
        <v/>
      </c>
      <c r="G2372" t="str">
        <f>""</f>
        <v/>
      </c>
      <c r="I2372" t="str">
        <f t="shared" si="39"/>
        <v>BCBS PAYABLE</v>
      </c>
    </row>
    <row r="2373" spans="1:9" x14ac:dyDescent="0.3">
      <c r="A2373" t="str">
        <f>""</f>
        <v/>
      </c>
      <c r="F2373" t="str">
        <f>""</f>
        <v/>
      </c>
      <c r="G2373" t="str">
        <f>""</f>
        <v/>
      </c>
      <c r="I2373" t="str">
        <f t="shared" si="39"/>
        <v>BCBS PAYABLE</v>
      </c>
    </row>
    <row r="2374" spans="1:9" x14ac:dyDescent="0.3">
      <c r="A2374" t="str">
        <f>""</f>
        <v/>
      </c>
      <c r="F2374" t="str">
        <f>""</f>
        <v/>
      </c>
      <c r="G2374" t="str">
        <f>""</f>
        <v/>
      </c>
      <c r="I2374" t="str">
        <f t="shared" si="39"/>
        <v>BCBS PAYABLE</v>
      </c>
    </row>
    <row r="2375" spans="1:9" x14ac:dyDescent="0.3">
      <c r="A2375" t="str">
        <f>""</f>
        <v/>
      </c>
      <c r="F2375" t="str">
        <f>""</f>
        <v/>
      </c>
      <c r="G2375" t="str">
        <f>""</f>
        <v/>
      </c>
      <c r="I2375" t="str">
        <f t="shared" si="39"/>
        <v>BCBS PAYABLE</v>
      </c>
    </row>
    <row r="2376" spans="1:9" x14ac:dyDescent="0.3">
      <c r="A2376" t="str">
        <f>""</f>
        <v/>
      </c>
      <c r="F2376" t="str">
        <f>""</f>
        <v/>
      </c>
      <c r="G2376" t="str">
        <f>""</f>
        <v/>
      </c>
      <c r="I2376" t="str">
        <f t="shared" si="39"/>
        <v>BCBS PAYABLE</v>
      </c>
    </row>
    <row r="2377" spans="1:9" x14ac:dyDescent="0.3">
      <c r="A2377" t="str">
        <f>""</f>
        <v/>
      </c>
      <c r="F2377" t="str">
        <f>""</f>
        <v/>
      </c>
      <c r="G2377" t="str">
        <f>""</f>
        <v/>
      </c>
      <c r="I2377" t="str">
        <f t="shared" si="39"/>
        <v>BCBS PAYABLE</v>
      </c>
    </row>
    <row r="2378" spans="1:9" x14ac:dyDescent="0.3">
      <c r="A2378" t="str">
        <f>""</f>
        <v/>
      </c>
      <c r="F2378" t="str">
        <f>""</f>
        <v/>
      </c>
      <c r="G2378" t="str">
        <f>""</f>
        <v/>
      </c>
      <c r="I2378" t="str">
        <f t="shared" si="39"/>
        <v>BCBS PAYABLE</v>
      </c>
    </row>
    <row r="2379" spans="1:9" x14ac:dyDescent="0.3">
      <c r="A2379" t="str">
        <f>""</f>
        <v/>
      </c>
      <c r="F2379" t="str">
        <f>""</f>
        <v/>
      </c>
      <c r="G2379" t="str">
        <f>""</f>
        <v/>
      </c>
      <c r="I2379" t="str">
        <f t="shared" si="39"/>
        <v>BCBS PAYABLE</v>
      </c>
    </row>
    <row r="2380" spans="1:9" x14ac:dyDescent="0.3">
      <c r="A2380" t="str">
        <f>""</f>
        <v/>
      </c>
      <c r="F2380" t="str">
        <f>""</f>
        <v/>
      </c>
      <c r="G2380" t="str">
        <f>""</f>
        <v/>
      </c>
      <c r="I2380" t="str">
        <f t="shared" si="39"/>
        <v>BCBS PAYABLE</v>
      </c>
    </row>
    <row r="2381" spans="1:9" x14ac:dyDescent="0.3">
      <c r="A2381" t="str">
        <f>""</f>
        <v/>
      </c>
      <c r="F2381" t="str">
        <f>""</f>
        <v/>
      </c>
      <c r="G2381" t="str">
        <f>""</f>
        <v/>
      </c>
      <c r="I2381" t="str">
        <f t="shared" si="39"/>
        <v>BCBS PAYABLE</v>
      </c>
    </row>
    <row r="2382" spans="1:9" x14ac:dyDescent="0.3">
      <c r="A2382" t="str">
        <f>""</f>
        <v/>
      </c>
      <c r="F2382" t="str">
        <f>""</f>
        <v/>
      </c>
      <c r="G2382" t="str">
        <f>""</f>
        <v/>
      </c>
      <c r="I2382" t="str">
        <f t="shared" si="39"/>
        <v>BCBS PAYABLE</v>
      </c>
    </row>
    <row r="2383" spans="1:9" x14ac:dyDescent="0.3">
      <c r="A2383" t="str">
        <f>""</f>
        <v/>
      </c>
      <c r="F2383" t="str">
        <f>""</f>
        <v/>
      </c>
      <c r="G2383" t="str">
        <f>""</f>
        <v/>
      </c>
      <c r="I2383" t="str">
        <f t="shared" si="39"/>
        <v>BCBS PAYABLE</v>
      </c>
    </row>
    <row r="2384" spans="1:9" x14ac:dyDescent="0.3">
      <c r="A2384" t="str">
        <f>""</f>
        <v/>
      </c>
      <c r="F2384" t="str">
        <f>""</f>
        <v/>
      </c>
      <c r="G2384" t="str">
        <f>""</f>
        <v/>
      </c>
      <c r="I2384" t="str">
        <f t="shared" si="39"/>
        <v>BCBS PAYABLE</v>
      </c>
    </row>
    <row r="2385" spans="1:9" x14ac:dyDescent="0.3">
      <c r="A2385" t="str">
        <f>""</f>
        <v/>
      </c>
      <c r="F2385" t="str">
        <f>""</f>
        <v/>
      </c>
      <c r="G2385" t="str">
        <f>""</f>
        <v/>
      </c>
      <c r="I2385" t="str">
        <f t="shared" si="39"/>
        <v>BCBS PAYABLE</v>
      </c>
    </row>
    <row r="2386" spans="1:9" x14ac:dyDescent="0.3">
      <c r="A2386" t="str">
        <f>""</f>
        <v/>
      </c>
      <c r="F2386" t="str">
        <f>""</f>
        <v/>
      </c>
      <c r="G2386" t="str">
        <f>""</f>
        <v/>
      </c>
      <c r="I2386" t="str">
        <f t="shared" si="39"/>
        <v>BCBS PAYABLE</v>
      </c>
    </row>
    <row r="2387" spans="1:9" x14ac:dyDescent="0.3">
      <c r="A2387" t="str">
        <f>""</f>
        <v/>
      </c>
      <c r="F2387" t="str">
        <f>""</f>
        <v/>
      </c>
      <c r="G2387" t="str">
        <f>""</f>
        <v/>
      </c>
      <c r="I2387" t="str">
        <f t="shared" si="39"/>
        <v>BCBS PAYABLE</v>
      </c>
    </row>
    <row r="2388" spans="1:9" x14ac:dyDescent="0.3">
      <c r="A2388" t="str">
        <f>""</f>
        <v/>
      </c>
      <c r="F2388" t="str">
        <f>""</f>
        <v/>
      </c>
      <c r="G2388" t="str">
        <f>""</f>
        <v/>
      </c>
      <c r="I2388" t="str">
        <f t="shared" si="39"/>
        <v>BCBS PAYABLE</v>
      </c>
    </row>
    <row r="2389" spans="1:9" x14ac:dyDescent="0.3">
      <c r="A2389" t="str">
        <f>""</f>
        <v/>
      </c>
      <c r="F2389" t="str">
        <f>""</f>
        <v/>
      </c>
      <c r="G2389" t="str">
        <f>""</f>
        <v/>
      </c>
      <c r="I2389" t="str">
        <f t="shared" si="39"/>
        <v>BCBS PAYABLE</v>
      </c>
    </row>
    <row r="2390" spans="1:9" x14ac:dyDescent="0.3">
      <c r="A2390" t="str">
        <f>""</f>
        <v/>
      </c>
      <c r="F2390" t="str">
        <f>""</f>
        <v/>
      </c>
      <c r="G2390" t="str">
        <f>""</f>
        <v/>
      </c>
      <c r="I2390" t="str">
        <f t="shared" si="39"/>
        <v>BCBS PAYABLE</v>
      </c>
    </row>
    <row r="2391" spans="1:9" x14ac:dyDescent="0.3">
      <c r="A2391" t="str">
        <f>""</f>
        <v/>
      </c>
      <c r="F2391" t="str">
        <f>""</f>
        <v/>
      </c>
      <c r="G2391" t="str">
        <f>""</f>
        <v/>
      </c>
      <c r="I2391" t="str">
        <f t="shared" si="39"/>
        <v>BCBS PAYABLE</v>
      </c>
    </row>
    <row r="2392" spans="1:9" x14ac:dyDescent="0.3">
      <c r="A2392" t="str">
        <f>""</f>
        <v/>
      </c>
      <c r="F2392" t="str">
        <f>""</f>
        <v/>
      </c>
      <c r="G2392" t="str">
        <f>""</f>
        <v/>
      </c>
      <c r="I2392" t="str">
        <f t="shared" si="39"/>
        <v>BCBS PAYABLE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39"/>
        <v>BCBS PAYABLE</v>
      </c>
    </row>
    <row r="2394" spans="1:9" x14ac:dyDescent="0.3">
      <c r="A2394" t="str">
        <f>""</f>
        <v/>
      </c>
      <c r="F2394" t="str">
        <f>""</f>
        <v/>
      </c>
      <c r="G2394" t="str">
        <f>""</f>
        <v/>
      </c>
      <c r="I2394" t="str">
        <f t="shared" si="39"/>
        <v>BCBS PAYABLE</v>
      </c>
    </row>
    <row r="2395" spans="1:9" x14ac:dyDescent="0.3">
      <c r="A2395" t="str">
        <f>""</f>
        <v/>
      </c>
      <c r="F2395" t="str">
        <f>""</f>
        <v/>
      </c>
      <c r="G2395" t="str">
        <f>""</f>
        <v/>
      </c>
      <c r="I2395" t="str">
        <f t="shared" si="39"/>
        <v>BCBS PAYABLE</v>
      </c>
    </row>
    <row r="2396" spans="1:9" x14ac:dyDescent="0.3">
      <c r="A2396" t="str">
        <f>""</f>
        <v/>
      </c>
      <c r="F2396" t="str">
        <f>""</f>
        <v/>
      </c>
      <c r="G2396" t="str">
        <f>""</f>
        <v/>
      </c>
      <c r="I2396" t="str">
        <f t="shared" si="39"/>
        <v>BCBS PAYABLE</v>
      </c>
    </row>
    <row r="2397" spans="1:9" x14ac:dyDescent="0.3">
      <c r="A2397" t="str">
        <f>""</f>
        <v/>
      </c>
      <c r="F2397" t="str">
        <f>""</f>
        <v/>
      </c>
      <c r="G2397" t="str">
        <f>""</f>
        <v/>
      </c>
      <c r="I2397" t="str">
        <f t="shared" si="39"/>
        <v>BCBS PAYABLE</v>
      </c>
    </row>
    <row r="2398" spans="1:9" x14ac:dyDescent="0.3">
      <c r="A2398" t="str">
        <f>""</f>
        <v/>
      </c>
      <c r="F2398" t="str">
        <f>""</f>
        <v/>
      </c>
      <c r="G2398" t="str">
        <f>""</f>
        <v/>
      </c>
      <c r="I2398" t="str">
        <f t="shared" ref="I2398:I2429" si="40">"BCBS PAYABLE"</f>
        <v>BCBS PAYABLE</v>
      </c>
    </row>
    <row r="2399" spans="1:9" x14ac:dyDescent="0.3">
      <c r="A2399" t="str">
        <f>""</f>
        <v/>
      </c>
      <c r="F2399" t="str">
        <f>""</f>
        <v/>
      </c>
      <c r="G2399" t="str">
        <f>""</f>
        <v/>
      </c>
      <c r="I2399" t="str">
        <f t="shared" si="40"/>
        <v>BCBS PAYABLE</v>
      </c>
    </row>
    <row r="2400" spans="1:9" x14ac:dyDescent="0.3">
      <c r="A2400" t="str">
        <f>""</f>
        <v/>
      </c>
      <c r="F2400" t="str">
        <f>""</f>
        <v/>
      </c>
      <c r="G2400" t="str">
        <f>""</f>
        <v/>
      </c>
      <c r="I2400" t="str">
        <f t="shared" si="40"/>
        <v>BCBS PAYABLE</v>
      </c>
    </row>
    <row r="2401" spans="1:9" x14ac:dyDescent="0.3">
      <c r="A2401" t="str">
        <f>""</f>
        <v/>
      </c>
      <c r="F2401" t="str">
        <f>""</f>
        <v/>
      </c>
      <c r="G2401" t="str">
        <f>""</f>
        <v/>
      </c>
      <c r="I2401" t="str">
        <f t="shared" si="40"/>
        <v>BCBS PAYABLE</v>
      </c>
    </row>
    <row r="2402" spans="1:9" x14ac:dyDescent="0.3">
      <c r="A2402" t="str">
        <f>""</f>
        <v/>
      </c>
      <c r="F2402" t="str">
        <f>"2EC201709205020"</f>
        <v>2EC201709205020</v>
      </c>
      <c r="G2402" t="str">
        <f>"BCBS PAYABLE"</f>
        <v>BCBS PAYABLE</v>
      </c>
      <c r="H2402" s="2">
        <v>1709.76</v>
      </c>
      <c r="I2402" t="str">
        <f t="shared" si="40"/>
        <v>BCBS PAYABLE</v>
      </c>
    </row>
    <row r="2403" spans="1:9" x14ac:dyDescent="0.3">
      <c r="A2403" t="str">
        <f>""</f>
        <v/>
      </c>
      <c r="F2403" t="str">
        <f>""</f>
        <v/>
      </c>
      <c r="G2403" t="str">
        <f>""</f>
        <v/>
      </c>
      <c r="I2403" t="str">
        <f t="shared" si="40"/>
        <v>BCBS PAYABLE</v>
      </c>
    </row>
    <row r="2404" spans="1:9" x14ac:dyDescent="0.3">
      <c r="A2404" t="str">
        <f>""</f>
        <v/>
      </c>
      <c r="F2404" t="str">
        <f>"2EF201709064584"</f>
        <v>2EF201709064584</v>
      </c>
      <c r="G2404" t="str">
        <f>"BCBS PAYABLE"</f>
        <v>BCBS PAYABLE</v>
      </c>
      <c r="H2404" s="2">
        <v>2548.1999999999998</v>
      </c>
      <c r="I2404" t="str">
        <f t="shared" si="40"/>
        <v>BCBS PAYABLE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si="40"/>
        <v>BCBS PAYABLE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40"/>
        <v>BCBS PAYABLE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si="40"/>
        <v>BCBS PAYABLE</v>
      </c>
    </row>
    <row r="2408" spans="1:9" x14ac:dyDescent="0.3">
      <c r="A2408" t="str">
        <f>""</f>
        <v/>
      </c>
      <c r="F2408" t="str">
        <f>"2EF201709205019"</f>
        <v>2EF201709205019</v>
      </c>
      <c r="G2408" t="str">
        <f>"BCBS PAYABLE"</f>
        <v>BCBS PAYABLE</v>
      </c>
      <c r="H2408" s="2">
        <v>2548.1999999999998</v>
      </c>
      <c r="I2408" t="str">
        <f t="shared" si="40"/>
        <v>BCBS PAYABLE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si="40"/>
        <v>BCBS PAYABLE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40"/>
        <v>BCBS PAYABLE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40"/>
        <v>BCBS PAYABLE</v>
      </c>
    </row>
    <row r="2412" spans="1:9" x14ac:dyDescent="0.3">
      <c r="A2412" t="str">
        <f>""</f>
        <v/>
      </c>
      <c r="F2412" t="str">
        <f>"2EO201709064584"</f>
        <v>2EO201709064584</v>
      </c>
      <c r="G2412" t="str">
        <f>"BCBS PAYABLE"</f>
        <v>BCBS PAYABLE</v>
      </c>
      <c r="H2412" s="2">
        <v>83653.62</v>
      </c>
      <c r="I2412" t="str">
        <f t="shared" si="40"/>
        <v>BCBS PAYABLE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40"/>
        <v>BCBS PAYABLE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si="40"/>
        <v>BCBS PAYABLE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40"/>
        <v>BCBS PAYABLE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40"/>
        <v>BCBS PAYABLE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40"/>
        <v>BCBS PAYABLE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40"/>
        <v>BCBS PAYABLE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40"/>
        <v>BCBS PAYABLE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40"/>
        <v>BCBS PAYABLE</v>
      </c>
    </row>
    <row r="2421" spans="1:9" x14ac:dyDescent="0.3">
      <c r="A2421" t="str">
        <f>""</f>
        <v/>
      </c>
      <c r="F2421" t="str">
        <f>""</f>
        <v/>
      </c>
      <c r="G2421" t="str">
        <f>""</f>
        <v/>
      </c>
      <c r="I2421" t="str">
        <f t="shared" si="40"/>
        <v>BCBS PAYABLE</v>
      </c>
    </row>
    <row r="2422" spans="1:9" x14ac:dyDescent="0.3">
      <c r="A2422" t="str">
        <f>""</f>
        <v/>
      </c>
      <c r="F2422" t="str">
        <f>""</f>
        <v/>
      </c>
      <c r="G2422" t="str">
        <f>""</f>
        <v/>
      </c>
      <c r="I2422" t="str">
        <f t="shared" si="40"/>
        <v>BCBS PAYABLE</v>
      </c>
    </row>
    <row r="2423" spans="1:9" x14ac:dyDescent="0.3">
      <c r="A2423" t="str">
        <f>""</f>
        <v/>
      </c>
      <c r="F2423" t="str">
        <f>""</f>
        <v/>
      </c>
      <c r="G2423" t="str">
        <f>""</f>
        <v/>
      </c>
      <c r="I2423" t="str">
        <f t="shared" si="40"/>
        <v>BCBS PAYABLE</v>
      </c>
    </row>
    <row r="2424" spans="1:9" x14ac:dyDescent="0.3">
      <c r="A2424" t="str">
        <f>""</f>
        <v/>
      </c>
      <c r="F2424" t="str">
        <f>""</f>
        <v/>
      </c>
      <c r="G2424" t="str">
        <f>""</f>
        <v/>
      </c>
      <c r="I2424" t="str">
        <f t="shared" si="40"/>
        <v>BCBS PAYABLE</v>
      </c>
    </row>
    <row r="2425" spans="1:9" x14ac:dyDescent="0.3">
      <c r="A2425" t="str">
        <f>""</f>
        <v/>
      </c>
      <c r="F2425" t="str">
        <f>""</f>
        <v/>
      </c>
      <c r="G2425" t="str">
        <f>""</f>
        <v/>
      </c>
      <c r="I2425" t="str">
        <f t="shared" si="40"/>
        <v>BCBS PAYABLE</v>
      </c>
    </row>
    <row r="2426" spans="1:9" x14ac:dyDescent="0.3">
      <c r="A2426" t="str">
        <f>""</f>
        <v/>
      </c>
      <c r="F2426" t="str">
        <f>""</f>
        <v/>
      </c>
      <c r="G2426" t="str">
        <f>""</f>
        <v/>
      </c>
      <c r="I2426" t="str">
        <f t="shared" si="40"/>
        <v>BCBS PAYABLE</v>
      </c>
    </row>
    <row r="2427" spans="1:9" x14ac:dyDescent="0.3">
      <c r="A2427" t="str">
        <f>""</f>
        <v/>
      </c>
      <c r="F2427" t="str">
        <f>""</f>
        <v/>
      </c>
      <c r="G2427" t="str">
        <f>""</f>
        <v/>
      </c>
      <c r="I2427" t="str">
        <f t="shared" si="40"/>
        <v>BCBS PAYABLE</v>
      </c>
    </row>
    <row r="2428" spans="1:9" x14ac:dyDescent="0.3">
      <c r="A2428" t="str">
        <f>""</f>
        <v/>
      </c>
      <c r="F2428" t="str">
        <f>""</f>
        <v/>
      </c>
      <c r="G2428" t="str">
        <f>""</f>
        <v/>
      </c>
      <c r="I2428" t="str">
        <f t="shared" si="40"/>
        <v>BCBS PAYABLE</v>
      </c>
    </row>
    <row r="2429" spans="1:9" x14ac:dyDescent="0.3">
      <c r="A2429" t="str">
        <f>""</f>
        <v/>
      </c>
      <c r="F2429" t="str">
        <f>""</f>
        <v/>
      </c>
      <c r="G2429" t="str">
        <f>""</f>
        <v/>
      </c>
      <c r="I2429" t="str">
        <f t="shared" si="40"/>
        <v>BCBS PAYABLE</v>
      </c>
    </row>
    <row r="2430" spans="1:9" x14ac:dyDescent="0.3">
      <c r="A2430" t="str">
        <f>""</f>
        <v/>
      </c>
      <c r="F2430" t="str">
        <f>""</f>
        <v/>
      </c>
      <c r="G2430" t="str">
        <f>""</f>
        <v/>
      </c>
      <c r="I2430" t="str">
        <f t="shared" ref="I2430:I2461" si="41">"BCBS PAYABLE"</f>
        <v>BCBS PAYABLE</v>
      </c>
    </row>
    <row r="2431" spans="1:9" x14ac:dyDescent="0.3">
      <c r="A2431" t="str">
        <f>""</f>
        <v/>
      </c>
      <c r="F2431" t="str">
        <f>""</f>
        <v/>
      </c>
      <c r="G2431" t="str">
        <f>""</f>
        <v/>
      </c>
      <c r="I2431" t="str">
        <f t="shared" si="41"/>
        <v>BCBS PAYABLE</v>
      </c>
    </row>
    <row r="2432" spans="1:9" x14ac:dyDescent="0.3">
      <c r="A2432" t="str">
        <f>""</f>
        <v/>
      </c>
      <c r="F2432" t="str">
        <f>""</f>
        <v/>
      </c>
      <c r="G2432" t="str">
        <f>""</f>
        <v/>
      </c>
      <c r="I2432" t="str">
        <f t="shared" si="41"/>
        <v>BCBS PAYABLE</v>
      </c>
    </row>
    <row r="2433" spans="1:9" x14ac:dyDescent="0.3">
      <c r="A2433" t="str">
        <f>""</f>
        <v/>
      </c>
      <c r="F2433" t="str">
        <f>""</f>
        <v/>
      </c>
      <c r="G2433" t="str">
        <f>""</f>
        <v/>
      </c>
      <c r="I2433" t="str">
        <f t="shared" si="41"/>
        <v>BCBS PAYABLE</v>
      </c>
    </row>
    <row r="2434" spans="1:9" x14ac:dyDescent="0.3">
      <c r="A2434" t="str">
        <f>""</f>
        <v/>
      </c>
      <c r="F2434" t="str">
        <f>""</f>
        <v/>
      </c>
      <c r="G2434" t="str">
        <f>""</f>
        <v/>
      </c>
      <c r="I2434" t="str">
        <f t="shared" si="41"/>
        <v>BCBS PAYABLE</v>
      </c>
    </row>
    <row r="2435" spans="1:9" x14ac:dyDescent="0.3">
      <c r="A2435" t="str">
        <f>""</f>
        <v/>
      </c>
      <c r="F2435" t="str">
        <f>""</f>
        <v/>
      </c>
      <c r="G2435" t="str">
        <f>""</f>
        <v/>
      </c>
      <c r="I2435" t="str">
        <f t="shared" si="41"/>
        <v>BCBS PAYABLE</v>
      </c>
    </row>
    <row r="2436" spans="1:9" x14ac:dyDescent="0.3">
      <c r="A2436" t="str">
        <f>""</f>
        <v/>
      </c>
      <c r="F2436" t="str">
        <f>""</f>
        <v/>
      </c>
      <c r="G2436" t="str">
        <f>""</f>
        <v/>
      </c>
      <c r="I2436" t="str">
        <f t="shared" si="41"/>
        <v>BCBS PAYABLE</v>
      </c>
    </row>
    <row r="2437" spans="1:9" x14ac:dyDescent="0.3">
      <c r="A2437" t="str">
        <f>""</f>
        <v/>
      </c>
      <c r="F2437" t="str">
        <f>""</f>
        <v/>
      </c>
      <c r="G2437" t="str">
        <f>""</f>
        <v/>
      </c>
      <c r="I2437" t="str">
        <f t="shared" si="41"/>
        <v>BCBS PAYABLE</v>
      </c>
    </row>
    <row r="2438" spans="1:9" x14ac:dyDescent="0.3">
      <c r="A2438" t="str">
        <f>""</f>
        <v/>
      </c>
      <c r="F2438" t="str">
        <f>""</f>
        <v/>
      </c>
      <c r="G2438" t="str">
        <f>""</f>
        <v/>
      </c>
      <c r="I2438" t="str">
        <f t="shared" si="41"/>
        <v>BCBS PAYABLE</v>
      </c>
    </row>
    <row r="2439" spans="1:9" x14ac:dyDescent="0.3">
      <c r="A2439" t="str">
        <f>""</f>
        <v/>
      </c>
      <c r="F2439" t="str">
        <f>""</f>
        <v/>
      </c>
      <c r="G2439" t="str">
        <f>""</f>
        <v/>
      </c>
      <c r="I2439" t="str">
        <f t="shared" si="41"/>
        <v>BCBS PAYABLE</v>
      </c>
    </row>
    <row r="2440" spans="1:9" x14ac:dyDescent="0.3">
      <c r="A2440" t="str">
        <f>""</f>
        <v/>
      </c>
      <c r="F2440" t="str">
        <f>""</f>
        <v/>
      </c>
      <c r="G2440" t="str">
        <f>""</f>
        <v/>
      </c>
      <c r="I2440" t="str">
        <f t="shared" si="41"/>
        <v>BCBS PAYABLE</v>
      </c>
    </row>
    <row r="2441" spans="1:9" x14ac:dyDescent="0.3">
      <c r="A2441" t="str">
        <f>""</f>
        <v/>
      </c>
      <c r="F2441" t="str">
        <f>""</f>
        <v/>
      </c>
      <c r="G2441" t="str">
        <f>""</f>
        <v/>
      </c>
      <c r="I2441" t="str">
        <f t="shared" si="41"/>
        <v>BCBS PAYABLE</v>
      </c>
    </row>
    <row r="2442" spans="1:9" x14ac:dyDescent="0.3">
      <c r="A2442" t="str">
        <f>""</f>
        <v/>
      </c>
      <c r="F2442" t="str">
        <f>""</f>
        <v/>
      </c>
      <c r="G2442" t="str">
        <f>""</f>
        <v/>
      </c>
      <c r="I2442" t="str">
        <f t="shared" si="41"/>
        <v>BCBS PAYABLE</v>
      </c>
    </row>
    <row r="2443" spans="1:9" x14ac:dyDescent="0.3">
      <c r="A2443" t="str">
        <f>""</f>
        <v/>
      </c>
      <c r="F2443" t="str">
        <f>""</f>
        <v/>
      </c>
      <c r="G2443" t="str">
        <f>""</f>
        <v/>
      </c>
      <c r="I2443" t="str">
        <f t="shared" si="41"/>
        <v>BCBS PAYABLE</v>
      </c>
    </row>
    <row r="2444" spans="1:9" x14ac:dyDescent="0.3">
      <c r="A2444" t="str">
        <f>""</f>
        <v/>
      </c>
      <c r="F2444" t="str">
        <f>""</f>
        <v/>
      </c>
      <c r="G2444" t="str">
        <f>""</f>
        <v/>
      </c>
      <c r="I2444" t="str">
        <f t="shared" si="41"/>
        <v>BCBS PAYABLE</v>
      </c>
    </row>
    <row r="2445" spans="1:9" x14ac:dyDescent="0.3">
      <c r="A2445" t="str">
        <f>""</f>
        <v/>
      </c>
      <c r="F2445" t="str">
        <f>""</f>
        <v/>
      </c>
      <c r="G2445" t="str">
        <f>""</f>
        <v/>
      </c>
      <c r="I2445" t="str">
        <f t="shared" si="41"/>
        <v>BCBS PAYABLE</v>
      </c>
    </row>
    <row r="2446" spans="1:9" x14ac:dyDescent="0.3">
      <c r="A2446" t="str">
        <f>""</f>
        <v/>
      </c>
      <c r="F2446" t="str">
        <f>""</f>
        <v/>
      </c>
      <c r="G2446" t="str">
        <f>""</f>
        <v/>
      </c>
      <c r="I2446" t="str">
        <f t="shared" si="41"/>
        <v>BCBS PAYABLE</v>
      </c>
    </row>
    <row r="2447" spans="1:9" x14ac:dyDescent="0.3">
      <c r="A2447" t="str">
        <f>""</f>
        <v/>
      </c>
      <c r="F2447" t="str">
        <f>""</f>
        <v/>
      </c>
      <c r="G2447" t="str">
        <f>""</f>
        <v/>
      </c>
      <c r="I2447" t="str">
        <f t="shared" si="41"/>
        <v>BCBS PAYABLE</v>
      </c>
    </row>
    <row r="2448" spans="1:9" x14ac:dyDescent="0.3">
      <c r="A2448" t="str">
        <f>""</f>
        <v/>
      </c>
      <c r="F2448" t="str">
        <f>""</f>
        <v/>
      </c>
      <c r="G2448" t="str">
        <f>""</f>
        <v/>
      </c>
      <c r="I2448" t="str">
        <f t="shared" si="41"/>
        <v>BCBS PAYABLE</v>
      </c>
    </row>
    <row r="2449" spans="1:9" x14ac:dyDescent="0.3">
      <c r="A2449" t="str">
        <f>""</f>
        <v/>
      </c>
      <c r="F2449" t="str">
        <f>""</f>
        <v/>
      </c>
      <c r="G2449" t="str">
        <f>""</f>
        <v/>
      </c>
      <c r="I2449" t="str">
        <f t="shared" si="41"/>
        <v>BCBS PAYABLE</v>
      </c>
    </row>
    <row r="2450" spans="1:9" x14ac:dyDescent="0.3">
      <c r="A2450" t="str">
        <f>""</f>
        <v/>
      </c>
      <c r="F2450" t="str">
        <f>""</f>
        <v/>
      </c>
      <c r="G2450" t="str">
        <f>""</f>
        <v/>
      </c>
      <c r="I2450" t="str">
        <f t="shared" si="41"/>
        <v>BCBS PAYABLE</v>
      </c>
    </row>
    <row r="2451" spans="1:9" x14ac:dyDescent="0.3">
      <c r="A2451" t="str">
        <f>""</f>
        <v/>
      </c>
      <c r="F2451" t="str">
        <f>""</f>
        <v/>
      </c>
      <c r="G2451" t="str">
        <f>""</f>
        <v/>
      </c>
      <c r="I2451" t="str">
        <f t="shared" si="41"/>
        <v>BCBS PAYABLE</v>
      </c>
    </row>
    <row r="2452" spans="1:9" x14ac:dyDescent="0.3">
      <c r="A2452" t="str">
        <f>""</f>
        <v/>
      </c>
      <c r="F2452" t="str">
        <f>"2EO201709064604"</f>
        <v>2EO201709064604</v>
      </c>
      <c r="G2452" t="str">
        <f>"BCBS PAYABLE"</f>
        <v>BCBS PAYABLE</v>
      </c>
      <c r="H2452" s="2">
        <v>3420.78</v>
      </c>
      <c r="I2452" t="str">
        <f t="shared" si="41"/>
        <v>BCBS PAYABLE</v>
      </c>
    </row>
    <row r="2453" spans="1:9" x14ac:dyDescent="0.3">
      <c r="A2453" t="str">
        <f>""</f>
        <v/>
      </c>
      <c r="F2453" t="str">
        <f>"2EO201709084855"</f>
        <v>2EO201709084855</v>
      </c>
      <c r="G2453" t="str">
        <f>"BCBS PAYABLE"</f>
        <v>BCBS PAYABLE</v>
      </c>
      <c r="H2453" s="2">
        <v>621.96</v>
      </c>
      <c r="I2453" t="str">
        <f t="shared" si="41"/>
        <v>BCBS PAYABLE</v>
      </c>
    </row>
    <row r="2454" spans="1:9" x14ac:dyDescent="0.3">
      <c r="A2454" t="str">
        <f>""</f>
        <v/>
      </c>
      <c r="F2454" t="str">
        <f>"2EO201709205019"</f>
        <v>2EO201709205019</v>
      </c>
      <c r="G2454" t="str">
        <f>"BCBS PAYABLE"</f>
        <v>BCBS PAYABLE</v>
      </c>
      <c r="H2454" s="2">
        <v>83031.66</v>
      </c>
      <c r="I2454" t="str">
        <f t="shared" si="41"/>
        <v>BCBS PAYABLE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41"/>
        <v>BCBS PAYABLE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41"/>
        <v>BCBS PAYABLE</v>
      </c>
    </row>
    <row r="2457" spans="1:9" x14ac:dyDescent="0.3">
      <c r="A2457" t="str">
        <f>""</f>
        <v/>
      </c>
      <c r="F2457" t="str">
        <f>""</f>
        <v/>
      </c>
      <c r="G2457" t="str">
        <f>""</f>
        <v/>
      </c>
      <c r="I2457" t="str">
        <f t="shared" si="41"/>
        <v>BCBS PAYABLE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si="41"/>
        <v>BCBS PAYABLE</v>
      </c>
    </row>
    <row r="2459" spans="1:9" x14ac:dyDescent="0.3">
      <c r="A2459" t="str">
        <f>""</f>
        <v/>
      </c>
      <c r="F2459" t="str">
        <f>""</f>
        <v/>
      </c>
      <c r="G2459" t="str">
        <f>""</f>
        <v/>
      </c>
      <c r="I2459" t="str">
        <f t="shared" si="41"/>
        <v>BCBS PAYABLE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41"/>
        <v>BCBS PAYABLE</v>
      </c>
    </row>
    <row r="2461" spans="1:9" x14ac:dyDescent="0.3">
      <c r="A2461" t="str">
        <f>""</f>
        <v/>
      </c>
      <c r="F2461" t="str">
        <f>""</f>
        <v/>
      </c>
      <c r="G2461" t="str">
        <f>""</f>
        <v/>
      </c>
      <c r="I2461" t="str">
        <f t="shared" si="41"/>
        <v>BCBS PAYABLE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ref="I2462:I2493" si="42">"BCBS PAYABLE"</f>
        <v>BCBS PAYABLE</v>
      </c>
    </row>
    <row r="2463" spans="1:9" x14ac:dyDescent="0.3">
      <c r="A2463" t="str">
        <f>""</f>
        <v/>
      </c>
      <c r="F2463" t="str">
        <f>""</f>
        <v/>
      </c>
      <c r="G2463" t="str">
        <f>""</f>
        <v/>
      </c>
      <c r="I2463" t="str">
        <f t="shared" si="42"/>
        <v>BCBS PAYABLE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42"/>
        <v>BCBS PAYABLE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si="42"/>
        <v>BCBS PAYABLE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42"/>
        <v>BCBS PAYABLE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42"/>
        <v>BCBS PAYABLE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42"/>
        <v>BCBS PAYABLE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42"/>
        <v>BCBS PAYABLE</v>
      </c>
    </row>
    <row r="2470" spans="1:9" x14ac:dyDescent="0.3">
      <c r="A2470" t="str">
        <f>""</f>
        <v/>
      </c>
      <c r="F2470" t="str">
        <f>""</f>
        <v/>
      </c>
      <c r="G2470" t="str">
        <f>""</f>
        <v/>
      </c>
      <c r="I2470" t="str">
        <f t="shared" si="42"/>
        <v>BCBS PAYABLE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si="42"/>
        <v>BCBS PAYABLE</v>
      </c>
    </row>
    <row r="2472" spans="1:9" x14ac:dyDescent="0.3">
      <c r="A2472" t="str">
        <f>""</f>
        <v/>
      </c>
      <c r="F2472" t="str">
        <f>""</f>
        <v/>
      </c>
      <c r="G2472" t="str">
        <f>""</f>
        <v/>
      </c>
      <c r="I2472" t="str">
        <f t="shared" si="42"/>
        <v>BCBS PAYABLE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42"/>
        <v>BCBS PAYABLE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42"/>
        <v>BCBS PAYABLE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42"/>
        <v>BCBS PAYABLE</v>
      </c>
    </row>
    <row r="2476" spans="1:9" x14ac:dyDescent="0.3">
      <c r="A2476" t="str">
        <f>""</f>
        <v/>
      </c>
      <c r="F2476" t="str">
        <f>""</f>
        <v/>
      </c>
      <c r="G2476" t="str">
        <f>""</f>
        <v/>
      </c>
      <c r="I2476" t="str">
        <f t="shared" si="42"/>
        <v>BCBS PAYABLE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42"/>
        <v>BCBS PAYABLE</v>
      </c>
    </row>
    <row r="2478" spans="1:9" x14ac:dyDescent="0.3">
      <c r="A2478" t="str">
        <f>""</f>
        <v/>
      </c>
      <c r="F2478" t="str">
        <f>""</f>
        <v/>
      </c>
      <c r="G2478" t="str">
        <f>""</f>
        <v/>
      </c>
      <c r="I2478" t="str">
        <f t="shared" si="42"/>
        <v>BCBS PAYABLE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42"/>
        <v>BCBS PAYABLE</v>
      </c>
    </row>
    <row r="2480" spans="1:9" x14ac:dyDescent="0.3">
      <c r="A2480" t="str">
        <f>""</f>
        <v/>
      </c>
      <c r="F2480" t="str">
        <f>""</f>
        <v/>
      </c>
      <c r="G2480" t="str">
        <f>""</f>
        <v/>
      </c>
      <c r="I2480" t="str">
        <f t="shared" si="42"/>
        <v>BCBS PAYABLE</v>
      </c>
    </row>
    <row r="2481" spans="1:9" x14ac:dyDescent="0.3">
      <c r="A2481" t="str">
        <f>""</f>
        <v/>
      </c>
      <c r="F2481" t="str">
        <f>""</f>
        <v/>
      </c>
      <c r="G2481" t="str">
        <f>""</f>
        <v/>
      </c>
      <c r="I2481" t="str">
        <f t="shared" si="42"/>
        <v>BCBS PAYABLE</v>
      </c>
    </row>
    <row r="2482" spans="1:9" x14ac:dyDescent="0.3">
      <c r="A2482" t="str">
        <f>""</f>
        <v/>
      </c>
      <c r="F2482" t="str">
        <f>""</f>
        <v/>
      </c>
      <c r="G2482" t="str">
        <f>""</f>
        <v/>
      </c>
      <c r="I2482" t="str">
        <f t="shared" si="42"/>
        <v>BCBS PAYABLE</v>
      </c>
    </row>
    <row r="2483" spans="1:9" x14ac:dyDescent="0.3">
      <c r="A2483" t="str">
        <f>""</f>
        <v/>
      </c>
      <c r="F2483" t="str">
        <f>""</f>
        <v/>
      </c>
      <c r="G2483" t="str">
        <f>""</f>
        <v/>
      </c>
      <c r="I2483" t="str">
        <f t="shared" si="42"/>
        <v>BCBS PAYABLE</v>
      </c>
    </row>
    <row r="2484" spans="1:9" x14ac:dyDescent="0.3">
      <c r="A2484" t="str">
        <f>""</f>
        <v/>
      </c>
      <c r="F2484" t="str">
        <f>""</f>
        <v/>
      </c>
      <c r="G2484" t="str">
        <f>""</f>
        <v/>
      </c>
      <c r="I2484" t="str">
        <f t="shared" si="42"/>
        <v>BCBS PAYABLE</v>
      </c>
    </row>
    <row r="2485" spans="1:9" x14ac:dyDescent="0.3">
      <c r="A2485" t="str">
        <f>""</f>
        <v/>
      </c>
      <c r="F2485" t="str">
        <f>""</f>
        <v/>
      </c>
      <c r="G2485" t="str">
        <f>""</f>
        <v/>
      </c>
      <c r="I2485" t="str">
        <f t="shared" si="42"/>
        <v>BCBS PAYABLE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 t="shared" si="42"/>
        <v>BCBS PAYABLE</v>
      </c>
    </row>
    <row r="2487" spans="1:9" x14ac:dyDescent="0.3">
      <c r="A2487" t="str">
        <f>""</f>
        <v/>
      </c>
      <c r="F2487" t="str">
        <f>""</f>
        <v/>
      </c>
      <c r="G2487" t="str">
        <f>""</f>
        <v/>
      </c>
      <c r="I2487" t="str">
        <f t="shared" si="42"/>
        <v>BCBS PAYABLE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 t="shared" si="42"/>
        <v>BCBS PAYABLE</v>
      </c>
    </row>
    <row r="2489" spans="1:9" x14ac:dyDescent="0.3">
      <c r="A2489" t="str">
        <f>""</f>
        <v/>
      </c>
      <c r="F2489" t="str">
        <f>""</f>
        <v/>
      </c>
      <c r="G2489" t="str">
        <f>""</f>
        <v/>
      </c>
      <c r="I2489" t="str">
        <f t="shared" si="42"/>
        <v>BCBS PAYABLE</v>
      </c>
    </row>
    <row r="2490" spans="1:9" x14ac:dyDescent="0.3">
      <c r="A2490" t="str">
        <f>""</f>
        <v/>
      </c>
      <c r="F2490" t="str">
        <f>""</f>
        <v/>
      </c>
      <c r="G2490" t="str">
        <f>""</f>
        <v/>
      </c>
      <c r="I2490" t="str">
        <f t="shared" si="42"/>
        <v>BCBS PAYABLE</v>
      </c>
    </row>
    <row r="2491" spans="1:9" x14ac:dyDescent="0.3">
      <c r="A2491" t="str">
        <f>""</f>
        <v/>
      </c>
      <c r="F2491" t="str">
        <f>""</f>
        <v/>
      </c>
      <c r="G2491" t="str">
        <f>""</f>
        <v/>
      </c>
      <c r="I2491" t="str">
        <f t="shared" si="42"/>
        <v>BCBS PAYABLE</v>
      </c>
    </row>
    <row r="2492" spans="1:9" x14ac:dyDescent="0.3">
      <c r="A2492" t="str">
        <f>""</f>
        <v/>
      </c>
      <c r="F2492" t="str">
        <f>""</f>
        <v/>
      </c>
      <c r="G2492" t="str">
        <f>""</f>
        <v/>
      </c>
      <c r="I2492" t="str">
        <f t="shared" si="42"/>
        <v>BCBS PAYABLE</v>
      </c>
    </row>
    <row r="2493" spans="1:9" x14ac:dyDescent="0.3">
      <c r="A2493" t="str">
        <f>""</f>
        <v/>
      </c>
      <c r="F2493" t="str">
        <f>""</f>
        <v/>
      </c>
      <c r="G2493" t="str">
        <f>""</f>
        <v/>
      </c>
      <c r="I2493" t="str">
        <f t="shared" si="42"/>
        <v>BCBS PAYABLE</v>
      </c>
    </row>
    <row r="2494" spans="1:9" x14ac:dyDescent="0.3">
      <c r="A2494" t="str">
        <f>""</f>
        <v/>
      </c>
      <c r="F2494" t="str">
        <f>"2EO201709205020"</f>
        <v>2EO201709205020</v>
      </c>
      <c r="G2494" t="str">
        <f>"BCBS PAYABLE"</f>
        <v>BCBS PAYABLE</v>
      </c>
      <c r="H2494" s="2">
        <v>3420.78</v>
      </c>
      <c r="I2494" t="str">
        <f t="shared" ref="I2494:I2530" si="43">"BCBS PAYABLE"</f>
        <v>BCBS PAYABLE</v>
      </c>
    </row>
    <row r="2495" spans="1:9" x14ac:dyDescent="0.3">
      <c r="A2495" t="str">
        <f>""</f>
        <v/>
      </c>
      <c r="F2495" t="str">
        <f>"2ES201709064584"</f>
        <v>2ES201709064584</v>
      </c>
      <c r="G2495" t="str">
        <f>"BCBS PAYABLE"</f>
        <v>BCBS PAYABLE</v>
      </c>
      <c r="H2495" s="2">
        <v>15335.39</v>
      </c>
      <c r="I2495" t="str">
        <f t="shared" si="43"/>
        <v>BCBS PAYABLE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43"/>
        <v>BCBS PAYABLE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si="43"/>
        <v>BCBS PAYABLE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43"/>
        <v>BCBS PAYABLE</v>
      </c>
    </row>
    <row r="2499" spans="1:9" x14ac:dyDescent="0.3">
      <c r="A2499" t="str">
        <f>""</f>
        <v/>
      </c>
      <c r="F2499" t="str">
        <f>""</f>
        <v/>
      </c>
      <c r="G2499" t="str">
        <f>""</f>
        <v/>
      </c>
      <c r="I2499" t="str">
        <f t="shared" si="43"/>
        <v>BCBS PAYABLE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 t="shared" si="43"/>
        <v>BCBS PAYABLE</v>
      </c>
    </row>
    <row r="2501" spans="1:9" x14ac:dyDescent="0.3">
      <c r="A2501" t="str">
        <f>""</f>
        <v/>
      </c>
      <c r="F2501" t="str">
        <f>""</f>
        <v/>
      </c>
      <c r="G2501" t="str">
        <f>""</f>
        <v/>
      </c>
      <c r="I2501" t="str">
        <f t="shared" si="43"/>
        <v>BCBS PAYABLE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 t="shared" si="43"/>
        <v>BCBS PAYABLE</v>
      </c>
    </row>
    <row r="2503" spans="1:9" x14ac:dyDescent="0.3">
      <c r="A2503" t="str">
        <f>""</f>
        <v/>
      </c>
      <c r="F2503" t="str">
        <f>""</f>
        <v/>
      </c>
      <c r="G2503" t="str">
        <f>""</f>
        <v/>
      </c>
      <c r="I2503" t="str">
        <f t="shared" si="43"/>
        <v>BCBS PAYABLE</v>
      </c>
    </row>
    <row r="2504" spans="1:9" x14ac:dyDescent="0.3">
      <c r="A2504" t="str">
        <f>""</f>
        <v/>
      </c>
      <c r="F2504" t="str">
        <f>""</f>
        <v/>
      </c>
      <c r="G2504" t="str">
        <f>""</f>
        <v/>
      </c>
      <c r="I2504" t="str">
        <f t="shared" si="43"/>
        <v>BCBS PAYABLE</v>
      </c>
    </row>
    <row r="2505" spans="1:9" x14ac:dyDescent="0.3">
      <c r="A2505" t="str">
        <f>""</f>
        <v/>
      </c>
      <c r="F2505" t="str">
        <f>""</f>
        <v/>
      </c>
      <c r="G2505" t="str">
        <f>""</f>
        <v/>
      </c>
      <c r="I2505" t="str">
        <f t="shared" si="43"/>
        <v>BCBS PAYABLE</v>
      </c>
    </row>
    <row r="2506" spans="1:9" x14ac:dyDescent="0.3">
      <c r="A2506" t="str">
        <f>""</f>
        <v/>
      </c>
      <c r="F2506" t="str">
        <f>""</f>
        <v/>
      </c>
      <c r="G2506" t="str">
        <f>""</f>
        <v/>
      </c>
      <c r="I2506" t="str">
        <f t="shared" si="43"/>
        <v>BCBS PAYABLE</v>
      </c>
    </row>
    <row r="2507" spans="1:9" x14ac:dyDescent="0.3">
      <c r="A2507" t="str">
        <f>""</f>
        <v/>
      </c>
      <c r="F2507" t="str">
        <f>""</f>
        <v/>
      </c>
      <c r="G2507" t="str">
        <f>""</f>
        <v/>
      </c>
      <c r="I2507" t="str">
        <f t="shared" si="43"/>
        <v>BCBS PAYABLE</v>
      </c>
    </row>
    <row r="2508" spans="1:9" x14ac:dyDescent="0.3">
      <c r="A2508" t="str">
        <f>""</f>
        <v/>
      </c>
      <c r="F2508" t="str">
        <f>""</f>
        <v/>
      </c>
      <c r="G2508" t="str">
        <f>""</f>
        <v/>
      </c>
      <c r="I2508" t="str">
        <f t="shared" si="43"/>
        <v>BCBS PAYABLE</v>
      </c>
    </row>
    <row r="2509" spans="1:9" x14ac:dyDescent="0.3">
      <c r="A2509" t="str">
        <f>""</f>
        <v/>
      </c>
      <c r="F2509" t="str">
        <f>""</f>
        <v/>
      </c>
      <c r="G2509" t="str">
        <f>""</f>
        <v/>
      </c>
      <c r="I2509" t="str">
        <f t="shared" si="43"/>
        <v>BCBS PAYABLE</v>
      </c>
    </row>
    <row r="2510" spans="1:9" x14ac:dyDescent="0.3">
      <c r="A2510" t="str">
        <f>""</f>
        <v/>
      </c>
      <c r="F2510" t="str">
        <f>""</f>
        <v/>
      </c>
      <c r="G2510" t="str">
        <f>""</f>
        <v/>
      </c>
      <c r="I2510" t="str">
        <f t="shared" si="43"/>
        <v>BCBS PAYABLE</v>
      </c>
    </row>
    <row r="2511" spans="1:9" x14ac:dyDescent="0.3">
      <c r="A2511" t="str">
        <f>""</f>
        <v/>
      </c>
      <c r="F2511" t="str">
        <f>""</f>
        <v/>
      </c>
      <c r="G2511" t="str">
        <f>""</f>
        <v/>
      </c>
      <c r="I2511" t="str">
        <f t="shared" si="43"/>
        <v>BCBS PAYABLE</v>
      </c>
    </row>
    <row r="2512" spans="1:9" x14ac:dyDescent="0.3">
      <c r="A2512" t="str">
        <f>""</f>
        <v/>
      </c>
      <c r="F2512" t="str">
        <f>""</f>
        <v/>
      </c>
      <c r="G2512" t="str">
        <f>""</f>
        <v/>
      </c>
      <c r="I2512" t="str">
        <f t="shared" si="43"/>
        <v>BCBS PAYABLE</v>
      </c>
    </row>
    <row r="2513" spans="1:9" x14ac:dyDescent="0.3">
      <c r="A2513" t="str">
        <f>""</f>
        <v/>
      </c>
      <c r="F2513" t="str">
        <f>"2ES201709205019"</f>
        <v>2ES201709205019</v>
      </c>
      <c r="G2513" t="str">
        <f>"BCBS PAYABLE"</f>
        <v>BCBS PAYABLE</v>
      </c>
      <c r="H2513" s="2">
        <v>15335.39</v>
      </c>
      <c r="I2513" t="str">
        <f t="shared" si="43"/>
        <v>BCBS PAYABLE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43"/>
        <v>BCBS PAYABLE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43"/>
        <v>BCBS PAYABLE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43"/>
        <v>BCBS PAYABLE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si="43"/>
        <v>BCBS PAYABLE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43"/>
        <v>BCBS PAYABLE</v>
      </c>
    </row>
    <row r="2519" spans="1:9" x14ac:dyDescent="0.3">
      <c r="A2519" t="str">
        <f>""</f>
        <v/>
      </c>
      <c r="F2519" t="str">
        <f>""</f>
        <v/>
      </c>
      <c r="G2519" t="str">
        <f>""</f>
        <v/>
      </c>
      <c r="I2519" t="str">
        <f t="shared" si="43"/>
        <v>BCBS PAYABLE</v>
      </c>
    </row>
    <row r="2520" spans="1:9" x14ac:dyDescent="0.3">
      <c r="A2520" t="str">
        <f>""</f>
        <v/>
      </c>
      <c r="F2520" t="str">
        <f>""</f>
        <v/>
      </c>
      <c r="G2520" t="str">
        <f>""</f>
        <v/>
      </c>
      <c r="I2520" t="str">
        <f t="shared" si="43"/>
        <v>BCBS PAYABLE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43"/>
        <v>BCBS PAYABLE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43"/>
        <v>BCBS PAYABLE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43"/>
        <v>BCBS PAYABLE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si="43"/>
        <v>BCBS PAYABLE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43"/>
        <v>BCBS PAYABLE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43"/>
        <v>BCBS PAYABLE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si="43"/>
        <v>BCBS PAYABLE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43"/>
        <v>BCBS PAYABLE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si="43"/>
        <v>BCBS PAYABLE</v>
      </c>
    </row>
    <row r="2530" spans="1:9" x14ac:dyDescent="0.3">
      <c r="A2530" t="str">
        <f>""</f>
        <v/>
      </c>
      <c r="F2530" t="str">
        <f>""</f>
        <v/>
      </c>
      <c r="G2530" t="str">
        <f>""</f>
        <v/>
      </c>
      <c r="I2530" t="str">
        <f t="shared" si="43"/>
        <v>BCBS PAYABLE</v>
      </c>
    </row>
    <row r="2531" spans="1:9" x14ac:dyDescent="0.3">
      <c r="A2531" t="str">
        <f>"TAGO"</f>
        <v>TAGO</v>
      </c>
      <c r="B2531" t="s">
        <v>495</v>
      </c>
      <c r="C2531">
        <v>0</v>
      </c>
      <c r="D2531" s="2">
        <v>4023.6</v>
      </c>
      <c r="E2531" s="1">
        <v>42986</v>
      </c>
      <c r="F2531" t="str">
        <f>"C18201709064604"</f>
        <v>C18201709064604</v>
      </c>
      <c r="G2531" t="str">
        <f>"CAUSE# 0011635329"</f>
        <v>CAUSE# 0011635329</v>
      </c>
      <c r="H2531" s="2">
        <v>603.23</v>
      </c>
      <c r="I2531" t="str">
        <f>"CAUSE# 0011635329"</f>
        <v>CAUSE# 0011635329</v>
      </c>
    </row>
    <row r="2532" spans="1:9" x14ac:dyDescent="0.3">
      <c r="A2532" t="str">
        <f>""</f>
        <v/>
      </c>
      <c r="F2532" t="str">
        <f>"C2 201709064604"</f>
        <v>C2 201709064604</v>
      </c>
      <c r="G2532" t="str">
        <f>"0012982132CCL7445"</f>
        <v>0012982132CCL7445</v>
      </c>
      <c r="H2532" s="2">
        <v>692.31</v>
      </c>
      <c r="I2532" t="str">
        <f>"0012982132CCL7445"</f>
        <v>0012982132CCL7445</v>
      </c>
    </row>
    <row r="2533" spans="1:9" x14ac:dyDescent="0.3">
      <c r="A2533" t="str">
        <f>""</f>
        <v/>
      </c>
      <c r="F2533" t="str">
        <f>"C20201709064584"</f>
        <v>C20201709064584</v>
      </c>
      <c r="G2533" t="str">
        <f>"001003981107-12252"</f>
        <v>001003981107-12252</v>
      </c>
      <c r="H2533" s="2">
        <v>115.39</v>
      </c>
      <c r="I2533" t="str">
        <f>"001003981107-12252"</f>
        <v>001003981107-12252</v>
      </c>
    </row>
    <row r="2534" spans="1:9" x14ac:dyDescent="0.3">
      <c r="A2534" t="str">
        <f>""</f>
        <v/>
      </c>
      <c r="F2534" t="str">
        <f>"C39201709064584"</f>
        <v>C39201709064584</v>
      </c>
      <c r="G2534" t="str">
        <f>"0012352184423-1520"</f>
        <v>0012352184423-1520</v>
      </c>
      <c r="H2534" s="2">
        <v>273.23</v>
      </c>
      <c r="I2534" t="str">
        <f>"0012352184423-1520"</f>
        <v>0012352184423-1520</v>
      </c>
    </row>
    <row r="2535" spans="1:9" x14ac:dyDescent="0.3">
      <c r="A2535" t="str">
        <f>""</f>
        <v/>
      </c>
      <c r="F2535" t="str">
        <f>"C42201709064584"</f>
        <v>C42201709064584</v>
      </c>
      <c r="G2535" t="str">
        <f>"001236769211-14410"</f>
        <v>001236769211-14410</v>
      </c>
      <c r="H2535" s="2">
        <v>230.31</v>
      </c>
      <c r="I2535" t="str">
        <f>"001236769211-14410"</f>
        <v>001236769211-14410</v>
      </c>
    </row>
    <row r="2536" spans="1:9" x14ac:dyDescent="0.3">
      <c r="A2536" t="str">
        <f>""</f>
        <v/>
      </c>
      <c r="F2536" t="str">
        <f>"C46201709064584"</f>
        <v>C46201709064584</v>
      </c>
      <c r="G2536" t="str">
        <f>"CAUSE# 11-14911"</f>
        <v>CAUSE# 11-14911</v>
      </c>
      <c r="H2536" s="2">
        <v>238.62</v>
      </c>
      <c r="I2536" t="str">
        <f>"CAUSE# 11-14911"</f>
        <v>CAUSE# 11-14911</v>
      </c>
    </row>
    <row r="2537" spans="1:9" x14ac:dyDescent="0.3">
      <c r="A2537" t="str">
        <f>""</f>
        <v/>
      </c>
      <c r="F2537" t="str">
        <f>"C53201709064584"</f>
        <v>C53201709064584</v>
      </c>
      <c r="G2537" t="str">
        <f>"0012453366"</f>
        <v>0012453366</v>
      </c>
      <c r="H2537" s="2">
        <v>207.69</v>
      </c>
      <c r="I2537" t="str">
        <f>"0012453366"</f>
        <v>0012453366</v>
      </c>
    </row>
    <row r="2538" spans="1:9" x14ac:dyDescent="0.3">
      <c r="A2538" t="str">
        <f>""</f>
        <v/>
      </c>
      <c r="F2538" t="str">
        <f>"C59201709064584"</f>
        <v>C59201709064584</v>
      </c>
      <c r="G2538" t="str">
        <f>"0012936495140043"</f>
        <v>0012936495140043</v>
      </c>
      <c r="H2538" s="2">
        <v>226.15</v>
      </c>
      <c r="I2538" t="str">
        <f>"0012936495140043"</f>
        <v>0012936495140043</v>
      </c>
    </row>
    <row r="2539" spans="1:9" x14ac:dyDescent="0.3">
      <c r="A2539" t="str">
        <f>""</f>
        <v/>
      </c>
      <c r="F2539" t="str">
        <f>"C60201709064584"</f>
        <v>C60201709064584</v>
      </c>
      <c r="G2539" t="str">
        <f>"00130730762012V300"</f>
        <v>00130730762012V300</v>
      </c>
      <c r="H2539" s="2">
        <v>399.32</v>
      </c>
      <c r="I2539" t="str">
        <f>"00130730762012V300"</f>
        <v>00130730762012V300</v>
      </c>
    </row>
    <row r="2540" spans="1:9" x14ac:dyDescent="0.3">
      <c r="A2540" t="str">
        <f>""</f>
        <v/>
      </c>
      <c r="F2540" t="str">
        <f>"C61201709064584"</f>
        <v>C61201709064584</v>
      </c>
      <c r="G2540" t="str">
        <f>"001174398213713"</f>
        <v>001174398213713</v>
      </c>
      <c r="H2540" s="2">
        <v>6.42</v>
      </c>
      <c r="I2540" t="str">
        <f>"001174398213713"</f>
        <v>001174398213713</v>
      </c>
    </row>
    <row r="2541" spans="1:9" x14ac:dyDescent="0.3">
      <c r="A2541" t="str">
        <f>""</f>
        <v/>
      </c>
      <c r="F2541" t="str">
        <f>"C62201709064584"</f>
        <v>C62201709064584</v>
      </c>
      <c r="G2541" t="str">
        <f>"# 0012128865"</f>
        <v># 0012128865</v>
      </c>
      <c r="H2541" s="2">
        <v>243.23</v>
      </c>
      <c r="I2541" t="str">
        <f>"# 0012128865"</f>
        <v># 0012128865</v>
      </c>
    </row>
    <row r="2542" spans="1:9" x14ac:dyDescent="0.3">
      <c r="A2542" t="str">
        <f>""</f>
        <v/>
      </c>
      <c r="F2542" t="str">
        <f>"C63201709064584"</f>
        <v>C63201709064584</v>
      </c>
      <c r="G2542" t="str">
        <f>"00132751231517246"</f>
        <v>00132751231517246</v>
      </c>
      <c r="H2542" s="2">
        <v>46.15</v>
      </c>
      <c r="I2542" t="str">
        <f>"00132751231517246"</f>
        <v>00132751231517246</v>
      </c>
    </row>
    <row r="2543" spans="1:9" x14ac:dyDescent="0.3">
      <c r="A2543" t="str">
        <f>""</f>
        <v/>
      </c>
      <c r="F2543" t="str">
        <f>"C65201709064584"</f>
        <v>C65201709064584</v>
      </c>
      <c r="G2543" t="str">
        <f>"12-14956"</f>
        <v>12-14956</v>
      </c>
      <c r="H2543" s="2">
        <v>411.1</v>
      </c>
      <c r="I2543" t="str">
        <f>"12-14956"</f>
        <v>12-14956</v>
      </c>
    </row>
    <row r="2544" spans="1:9" x14ac:dyDescent="0.3">
      <c r="A2544" t="str">
        <f>""</f>
        <v/>
      </c>
      <c r="F2544" t="str">
        <f>"C66201709064584"</f>
        <v>C66201709064584</v>
      </c>
      <c r="G2544" t="str">
        <f>"# 0012871801"</f>
        <v># 0012871801</v>
      </c>
      <c r="H2544" s="2">
        <v>90</v>
      </c>
      <c r="I2544" t="str">
        <f>"# 0012871801"</f>
        <v># 0012871801</v>
      </c>
    </row>
    <row r="2545" spans="1:9" x14ac:dyDescent="0.3">
      <c r="A2545" t="str">
        <f>""</f>
        <v/>
      </c>
      <c r="F2545" t="str">
        <f>"C66201709064636"</f>
        <v>C66201709064636</v>
      </c>
      <c r="G2545" t="str">
        <f>"CAUSE#D1FM13007058"</f>
        <v>CAUSE#D1FM13007058</v>
      </c>
      <c r="H2545" s="2">
        <v>138.46</v>
      </c>
      <c r="I2545" t="str">
        <f>"CAUSE#D1FM13007058"</f>
        <v>CAUSE#D1FM13007058</v>
      </c>
    </row>
    <row r="2546" spans="1:9" x14ac:dyDescent="0.3">
      <c r="A2546" t="str">
        <f>""</f>
        <v/>
      </c>
      <c r="F2546" t="str">
        <f>"C67201709064584"</f>
        <v>C67201709064584</v>
      </c>
      <c r="G2546" t="str">
        <f>"13154657"</f>
        <v>13154657</v>
      </c>
      <c r="H2546" s="2">
        <v>101.99</v>
      </c>
      <c r="I2546" t="str">
        <f>"13154657"</f>
        <v>13154657</v>
      </c>
    </row>
    <row r="2547" spans="1:9" x14ac:dyDescent="0.3">
      <c r="A2547" t="str">
        <f>"TAGO"</f>
        <v>TAGO</v>
      </c>
      <c r="B2547" t="s">
        <v>495</v>
      </c>
      <c r="C2547">
        <v>0</v>
      </c>
      <c r="D2547" s="2">
        <v>4023.6</v>
      </c>
      <c r="E2547" s="1">
        <v>43000</v>
      </c>
      <c r="F2547" t="str">
        <f>"C18201709205020"</f>
        <v>C18201709205020</v>
      </c>
      <c r="G2547" t="str">
        <f>"CAUSE# 0011635329"</f>
        <v>CAUSE# 0011635329</v>
      </c>
      <c r="H2547" s="2">
        <v>603.23</v>
      </c>
      <c r="I2547" t="str">
        <f>"CAUSE# 0011635329"</f>
        <v>CAUSE# 0011635329</v>
      </c>
    </row>
    <row r="2548" spans="1:9" x14ac:dyDescent="0.3">
      <c r="A2548" t="str">
        <f>""</f>
        <v/>
      </c>
      <c r="F2548" t="str">
        <f>"C2 201709205020"</f>
        <v>C2 201709205020</v>
      </c>
      <c r="G2548" t="str">
        <f>"0012982132CCL7445"</f>
        <v>0012982132CCL7445</v>
      </c>
      <c r="H2548" s="2">
        <v>692.31</v>
      </c>
      <c r="I2548" t="str">
        <f>"0012982132CCL7445"</f>
        <v>0012982132CCL7445</v>
      </c>
    </row>
    <row r="2549" spans="1:9" x14ac:dyDescent="0.3">
      <c r="A2549" t="str">
        <f>""</f>
        <v/>
      </c>
      <c r="F2549" t="str">
        <f>"C20201709205019"</f>
        <v>C20201709205019</v>
      </c>
      <c r="G2549" t="str">
        <f>"001003981107-12252"</f>
        <v>001003981107-12252</v>
      </c>
      <c r="H2549" s="2">
        <v>115.39</v>
      </c>
      <c r="I2549" t="str">
        <f>"001003981107-12252"</f>
        <v>001003981107-12252</v>
      </c>
    </row>
    <row r="2550" spans="1:9" x14ac:dyDescent="0.3">
      <c r="A2550" t="str">
        <f>""</f>
        <v/>
      </c>
      <c r="F2550" t="str">
        <f>"C39201709205019"</f>
        <v>C39201709205019</v>
      </c>
      <c r="G2550" t="str">
        <f>"0012352184423-1520"</f>
        <v>0012352184423-1520</v>
      </c>
      <c r="H2550" s="2">
        <v>273.23</v>
      </c>
      <c r="I2550" t="str">
        <f>"0012352184423-1520"</f>
        <v>0012352184423-1520</v>
      </c>
    </row>
    <row r="2551" spans="1:9" x14ac:dyDescent="0.3">
      <c r="A2551" t="str">
        <f>""</f>
        <v/>
      </c>
      <c r="F2551" t="str">
        <f>"C42201709205019"</f>
        <v>C42201709205019</v>
      </c>
      <c r="G2551" t="str">
        <f>"001236769211-14410"</f>
        <v>001236769211-14410</v>
      </c>
      <c r="H2551" s="2">
        <v>230.31</v>
      </c>
      <c r="I2551" t="str">
        <f>"001236769211-14410"</f>
        <v>001236769211-14410</v>
      </c>
    </row>
    <row r="2552" spans="1:9" x14ac:dyDescent="0.3">
      <c r="A2552" t="str">
        <f>""</f>
        <v/>
      </c>
      <c r="F2552" t="str">
        <f>"C46201709205019"</f>
        <v>C46201709205019</v>
      </c>
      <c r="G2552" t="str">
        <f>"CAUSE# 11-14911"</f>
        <v>CAUSE# 11-14911</v>
      </c>
      <c r="H2552" s="2">
        <v>238.62</v>
      </c>
      <c r="I2552" t="str">
        <f>"CAUSE# 11-14911"</f>
        <v>CAUSE# 11-14911</v>
      </c>
    </row>
    <row r="2553" spans="1:9" x14ac:dyDescent="0.3">
      <c r="A2553" t="str">
        <f>""</f>
        <v/>
      </c>
      <c r="F2553" t="str">
        <f>"C53201709205019"</f>
        <v>C53201709205019</v>
      </c>
      <c r="G2553" t="str">
        <f>"0012453366"</f>
        <v>0012453366</v>
      </c>
      <c r="H2553" s="2">
        <v>207.69</v>
      </c>
      <c r="I2553" t="str">
        <f>"0012453366"</f>
        <v>0012453366</v>
      </c>
    </row>
    <row r="2554" spans="1:9" x14ac:dyDescent="0.3">
      <c r="A2554" t="str">
        <f>""</f>
        <v/>
      </c>
      <c r="F2554" t="str">
        <f>"C59201709205019"</f>
        <v>C59201709205019</v>
      </c>
      <c r="G2554" t="str">
        <f>"0012936495140043"</f>
        <v>0012936495140043</v>
      </c>
      <c r="H2554" s="2">
        <v>226.15</v>
      </c>
      <c r="I2554" t="str">
        <f>"0012936495140043"</f>
        <v>0012936495140043</v>
      </c>
    </row>
    <row r="2555" spans="1:9" x14ac:dyDescent="0.3">
      <c r="A2555" t="str">
        <f>""</f>
        <v/>
      </c>
      <c r="F2555" t="str">
        <f>"C60201709205019"</f>
        <v>C60201709205019</v>
      </c>
      <c r="G2555" t="str">
        <f>"00130730762012V300"</f>
        <v>00130730762012V300</v>
      </c>
      <c r="H2555" s="2">
        <v>399.32</v>
      </c>
      <c r="I2555" t="str">
        <f>"00130730762012V300"</f>
        <v>00130730762012V300</v>
      </c>
    </row>
    <row r="2556" spans="1:9" x14ac:dyDescent="0.3">
      <c r="A2556" t="str">
        <f>""</f>
        <v/>
      </c>
      <c r="F2556" t="str">
        <f>"C61201709205019"</f>
        <v>C61201709205019</v>
      </c>
      <c r="G2556" t="str">
        <f>"001174398213713"</f>
        <v>001174398213713</v>
      </c>
      <c r="H2556" s="2">
        <v>6.42</v>
      </c>
      <c r="I2556" t="str">
        <f>"001174398213713"</f>
        <v>001174398213713</v>
      </c>
    </row>
    <row r="2557" spans="1:9" x14ac:dyDescent="0.3">
      <c r="A2557" t="str">
        <f>""</f>
        <v/>
      </c>
      <c r="F2557" t="str">
        <f>"C62201709205019"</f>
        <v>C62201709205019</v>
      </c>
      <c r="G2557" t="str">
        <f>"# 0012128865"</f>
        <v># 0012128865</v>
      </c>
      <c r="H2557" s="2">
        <v>243.23</v>
      </c>
      <c r="I2557" t="str">
        <f>"# 0012128865"</f>
        <v># 0012128865</v>
      </c>
    </row>
    <row r="2558" spans="1:9" x14ac:dyDescent="0.3">
      <c r="A2558" t="str">
        <f>""</f>
        <v/>
      </c>
      <c r="F2558" t="str">
        <f>"C63201709205019"</f>
        <v>C63201709205019</v>
      </c>
      <c r="G2558" t="str">
        <f>"00132751231517246"</f>
        <v>00132751231517246</v>
      </c>
      <c r="H2558" s="2">
        <v>46.15</v>
      </c>
      <c r="I2558" t="str">
        <f>"00132751231517246"</f>
        <v>00132751231517246</v>
      </c>
    </row>
    <row r="2559" spans="1:9" x14ac:dyDescent="0.3">
      <c r="A2559" t="str">
        <f>""</f>
        <v/>
      </c>
      <c r="F2559" t="str">
        <f>"C65201709205019"</f>
        <v>C65201709205019</v>
      </c>
      <c r="G2559" t="str">
        <f>"12-14956"</f>
        <v>12-14956</v>
      </c>
      <c r="H2559" s="2">
        <v>411.1</v>
      </c>
      <c r="I2559" t="str">
        <f>"12-14956"</f>
        <v>12-14956</v>
      </c>
    </row>
    <row r="2560" spans="1:9" x14ac:dyDescent="0.3">
      <c r="A2560" t="str">
        <f>""</f>
        <v/>
      </c>
      <c r="F2560" t="str">
        <f>"C66201709205019"</f>
        <v>C66201709205019</v>
      </c>
      <c r="G2560" t="str">
        <f>"# 0012871801"</f>
        <v># 0012871801</v>
      </c>
      <c r="H2560" s="2">
        <v>90</v>
      </c>
      <c r="I2560" t="str">
        <f>"# 0012871801"</f>
        <v># 0012871801</v>
      </c>
    </row>
    <row r="2561" spans="1:9" x14ac:dyDescent="0.3">
      <c r="A2561" t="str">
        <f>""</f>
        <v/>
      </c>
      <c r="F2561" t="str">
        <f>"C66201709205022"</f>
        <v>C66201709205022</v>
      </c>
      <c r="G2561" t="str">
        <f>"CAUSE#D1FM13007058"</f>
        <v>CAUSE#D1FM13007058</v>
      </c>
      <c r="H2561" s="2">
        <v>138.46</v>
      </c>
      <c r="I2561" t="str">
        <f>"CAUSE#D1FM13007058"</f>
        <v>CAUSE#D1FM13007058</v>
      </c>
    </row>
    <row r="2562" spans="1:9" x14ac:dyDescent="0.3">
      <c r="A2562" t="str">
        <f>""</f>
        <v/>
      </c>
      <c r="F2562" t="str">
        <f>"C67201709205019"</f>
        <v>C67201709205019</v>
      </c>
      <c r="G2562" t="str">
        <f>"13154657"</f>
        <v>13154657</v>
      </c>
      <c r="H2562" s="2">
        <v>101.99</v>
      </c>
      <c r="I2562" t="str">
        <f>"13154657"</f>
        <v>13154657</v>
      </c>
    </row>
    <row r="2563" spans="1:9" x14ac:dyDescent="0.3">
      <c r="A2563" t="str">
        <f>"TCDRS"</f>
        <v>TCDRS</v>
      </c>
      <c r="B2563" t="s">
        <v>496</v>
      </c>
      <c r="C2563">
        <v>0</v>
      </c>
      <c r="D2563" s="2">
        <v>309711.35999999999</v>
      </c>
      <c r="E2563" s="1">
        <v>43000</v>
      </c>
      <c r="F2563" t="str">
        <f>"RET201709064584"</f>
        <v>RET201709064584</v>
      </c>
      <c r="G2563" t="str">
        <f>"TEXAS COUNTY &amp; DISTRICT RET"</f>
        <v>TEXAS COUNTY &amp; DISTRICT RET</v>
      </c>
      <c r="H2563" s="2">
        <v>147311.63</v>
      </c>
      <c r="I2563" t="str">
        <f t="shared" ref="I2563:I2594" si="44">"TEXAS COUNTY &amp; DISTRICT RET"</f>
        <v>TEXAS COUNTY &amp; DISTRICT RET</v>
      </c>
    </row>
    <row r="2564" spans="1:9" x14ac:dyDescent="0.3">
      <c r="A2564" t="str">
        <f>""</f>
        <v/>
      </c>
      <c r="F2564" t="str">
        <f>""</f>
        <v/>
      </c>
      <c r="G2564" t="str">
        <f>""</f>
        <v/>
      </c>
      <c r="I2564" t="str">
        <f t="shared" si="44"/>
        <v>TEXAS COUNTY &amp; DISTRICT RET</v>
      </c>
    </row>
    <row r="2565" spans="1:9" x14ac:dyDescent="0.3">
      <c r="A2565" t="str">
        <f>""</f>
        <v/>
      </c>
      <c r="F2565" t="str">
        <f>""</f>
        <v/>
      </c>
      <c r="G2565" t="str">
        <f>""</f>
        <v/>
      </c>
      <c r="I2565" t="str">
        <f t="shared" si="44"/>
        <v>TEXAS COUNTY &amp; DISTRICT RET</v>
      </c>
    </row>
    <row r="2566" spans="1:9" x14ac:dyDescent="0.3">
      <c r="A2566" t="str">
        <f>""</f>
        <v/>
      </c>
      <c r="F2566" t="str">
        <f>""</f>
        <v/>
      </c>
      <c r="G2566" t="str">
        <f>""</f>
        <v/>
      </c>
      <c r="I2566" t="str">
        <f t="shared" si="44"/>
        <v>TEXAS COUNTY &amp; DISTRICT RET</v>
      </c>
    </row>
    <row r="2567" spans="1:9" x14ac:dyDescent="0.3">
      <c r="A2567" t="str">
        <f>""</f>
        <v/>
      </c>
      <c r="F2567" t="str">
        <f>""</f>
        <v/>
      </c>
      <c r="G2567" t="str">
        <f>""</f>
        <v/>
      </c>
      <c r="I2567" t="str">
        <f t="shared" si="44"/>
        <v>TEXAS COUNTY &amp; DISTRICT RET</v>
      </c>
    </row>
    <row r="2568" spans="1:9" x14ac:dyDescent="0.3">
      <c r="A2568" t="str">
        <f>""</f>
        <v/>
      </c>
      <c r="F2568" t="str">
        <f>""</f>
        <v/>
      </c>
      <c r="G2568" t="str">
        <f>""</f>
        <v/>
      </c>
      <c r="I2568" t="str">
        <f t="shared" si="44"/>
        <v>TEXAS COUNTY &amp; DISTRICT RET</v>
      </c>
    </row>
    <row r="2569" spans="1:9" x14ac:dyDescent="0.3">
      <c r="A2569" t="str">
        <f>""</f>
        <v/>
      </c>
      <c r="F2569" t="str">
        <f>""</f>
        <v/>
      </c>
      <c r="G2569" t="str">
        <f>""</f>
        <v/>
      </c>
      <c r="I2569" t="str">
        <f t="shared" si="44"/>
        <v>TEXAS COUNTY &amp; DISTRICT RET</v>
      </c>
    </row>
    <row r="2570" spans="1:9" x14ac:dyDescent="0.3">
      <c r="A2570" t="str">
        <f>""</f>
        <v/>
      </c>
      <c r="F2570" t="str">
        <f>""</f>
        <v/>
      </c>
      <c r="G2570" t="str">
        <f>""</f>
        <v/>
      </c>
      <c r="I2570" t="str">
        <f t="shared" si="44"/>
        <v>TEXAS COUNTY &amp; DISTRICT RET</v>
      </c>
    </row>
    <row r="2571" spans="1:9" x14ac:dyDescent="0.3">
      <c r="A2571" t="str">
        <f>""</f>
        <v/>
      </c>
      <c r="F2571" t="str">
        <f>""</f>
        <v/>
      </c>
      <c r="G2571" t="str">
        <f>""</f>
        <v/>
      </c>
      <c r="I2571" t="str">
        <f t="shared" si="44"/>
        <v>TEXAS COUNTY &amp; DISTRICT RET</v>
      </c>
    </row>
    <row r="2572" spans="1:9" x14ac:dyDescent="0.3">
      <c r="A2572" t="str">
        <f>""</f>
        <v/>
      </c>
      <c r="F2572" t="str">
        <f>""</f>
        <v/>
      </c>
      <c r="G2572" t="str">
        <f>""</f>
        <v/>
      </c>
      <c r="I2572" t="str">
        <f t="shared" si="44"/>
        <v>TEXAS COUNTY &amp; DISTRICT RET</v>
      </c>
    </row>
    <row r="2573" spans="1:9" x14ac:dyDescent="0.3">
      <c r="A2573" t="str">
        <f>""</f>
        <v/>
      </c>
      <c r="F2573" t="str">
        <f>""</f>
        <v/>
      </c>
      <c r="G2573" t="str">
        <f>""</f>
        <v/>
      </c>
      <c r="I2573" t="str">
        <f t="shared" si="44"/>
        <v>TEXAS COUNTY &amp; DISTRICT RET</v>
      </c>
    </row>
    <row r="2574" spans="1:9" x14ac:dyDescent="0.3">
      <c r="A2574" t="str">
        <f>""</f>
        <v/>
      </c>
      <c r="F2574" t="str">
        <f>""</f>
        <v/>
      </c>
      <c r="G2574" t="str">
        <f>""</f>
        <v/>
      </c>
      <c r="I2574" t="str">
        <f t="shared" si="44"/>
        <v>TEXAS COUNTY &amp; DISTRICT RET</v>
      </c>
    </row>
    <row r="2575" spans="1:9" x14ac:dyDescent="0.3">
      <c r="A2575" t="str">
        <f>""</f>
        <v/>
      </c>
      <c r="F2575" t="str">
        <f>""</f>
        <v/>
      </c>
      <c r="G2575" t="str">
        <f>""</f>
        <v/>
      </c>
      <c r="I2575" t="str">
        <f t="shared" si="44"/>
        <v>TEXAS COUNTY &amp; DISTRICT RET</v>
      </c>
    </row>
    <row r="2576" spans="1:9" x14ac:dyDescent="0.3">
      <c r="A2576" t="str">
        <f>""</f>
        <v/>
      </c>
      <c r="F2576" t="str">
        <f>""</f>
        <v/>
      </c>
      <c r="G2576" t="str">
        <f>""</f>
        <v/>
      </c>
      <c r="I2576" t="str">
        <f t="shared" si="44"/>
        <v>TEXAS COUNTY &amp; DISTRICT RET</v>
      </c>
    </row>
    <row r="2577" spans="1:9" x14ac:dyDescent="0.3">
      <c r="A2577" t="str">
        <f>""</f>
        <v/>
      </c>
      <c r="F2577" t="str">
        <f>""</f>
        <v/>
      </c>
      <c r="G2577" t="str">
        <f>""</f>
        <v/>
      </c>
      <c r="I2577" t="str">
        <f t="shared" si="44"/>
        <v>TEXAS COUNTY &amp; DISTRICT RET</v>
      </c>
    </row>
    <row r="2578" spans="1:9" x14ac:dyDescent="0.3">
      <c r="A2578" t="str">
        <f>""</f>
        <v/>
      </c>
      <c r="F2578" t="str">
        <f>""</f>
        <v/>
      </c>
      <c r="G2578" t="str">
        <f>""</f>
        <v/>
      </c>
      <c r="I2578" t="str">
        <f t="shared" si="44"/>
        <v>TEXAS COUNTY &amp; DISTRICT RET</v>
      </c>
    </row>
    <row r="2579" spans="1:9" x14ac:dyDescent="0.3">
      <c r="A2579" t="str">
        <f>""</f>
        <v/>
      </c>
      <c r="F2579" t="str">
        <f>""</f>
        <v/>
      </c>
      <c r="G2579" t="str">
        <f>""</f>
        <v/>
      </c>
      <c r="I2579" t="str">
        <f t="shared" si="44"/>
        <v>TEXAS COUNTY &amp; DISTRICT RET</v>
      </c>
    </row>
    <row r="2580" spans="1:9" x14ac:dyDescent="0.3">
      <c r="A2580" t="str">
        <f>""</f>
        <v/>
      </c>
      <c r="F2580" t="str">
        <f>""</f>
        <v/>
      </c>
      <c r="G2580" t="str">
        <f>""</f>
        <v/>
      </c>
      <c r="I2580" t="str">
        <f t="shared" si="44"/>
        <v>TEXAS COUNTY &amp; DISTRICT RET</v>
      </c>
    </row>
    <row r="2581" spans="1:9" x14ac:dyDescent="0.3">
      <c r="A2581" t="str">
        <f>""</f>
        <v/>
      </c>
      <c r="F2581" t="str">
        <f>""</f>
        <v/>
      </c>
      <c r="G2581" t="str">
        <f>""</f>
        <v/>
      </c>
      <c r="I2581" t="str">
        <f t="shared" si="44"/>
        <v>TEXAS COUNTY &amp; DISTRICT RET</v>
      </c>
    </row>
    <row r="2582" spans="1:9" x14ac:dyDescent="0.3">
      <c r="A2582" t="str">
        <f>""</f>
        <v/>
      </c>
      <c r="F2582" t="str">
        <f>""</f>
        <v/>
      </c>
      <c r="G2582" t="str">
        <f>""</f>
        <v/>
      </c>
      <c r="I2582" t="str">
        <f t="shared" si="44"/>
        <v>TEXAS COUNTY &amp; DISTRICT RET</v>
      </c>
    </row>
    <row r="2583" spans="1:9" x14ac:dyDescent="0.3">
      <c r="A2583" t="str">
        <f>""</f>
        <v/>
      </c>
      <c r="F2583" t="str">
        <f>""</f>
        <v/>
      </c>
      <c r="G2583" t="str">
        <f>""</f>
        <v/>
      </c>
      <c r="I2583" t="str">
        <f t="shared" si="44"/>
        <v>TEXAS COUNTY &amp; DISTRICT RET</v>
      </c>
    </row>
    <row r="2584" spans="1:9" x14ac:dyDescent="0.3">
      <c r="A2584" t="str">
        <f>""</f>
        <v/>
      </c>
      <c r="F2584" t="str">
        <f>""</f>
        <v/>
      </c>
      <c r="G2584" t="str">
        <f>""</f>
        <v/>
      </c>
      <c r="I2584" t="str">
        <f t="shared" si="44"/>
        <v>TEXAS COUNTY &amp; DISTRICT RET</v>
      </c>
    </row>
    <row r="2585" spans="1:9" x14ac:dyDescent="0.3">
      <c r="A2585" t="str">
        <f>""</f>
        <v/>
      </c>
      <c r="F2585" t="str">
        <f>""</f>
        <v/>
      </c>
      <c r="G2585" t="str">
        <f>""</f>
        <v/>
      </c>
      <c r="I2585" t="str">
        <f t="shared" si="44"/>
        <v>TEXAS COUNTY &amp; DISTRICT RET</v>
      </c>
    </row>
    <row r="2586" spans="1:9" x14ac:dyDescent="0.3">
      <c r="A2586" t="str">
        <f>""</f>
        <v/>
      </c>
      <c r="F2586" t="str">
        <f>""</f>
        <v/>
      </c>
      <c r="G2586" t="str">
        <f>""</f>
        <v/>
      </c>
      <c r="I2586" t="str">
        <f t="shared" si="44"/>
        <v>TEXAS COUNTY &amp; DISTRICT RET</v>
      </c>
    </row>
    <row r="2587" spans="1:9" x14ac:dyDescent="0.3">
      <c r="A2587" t="str">
        <f>""</f>
        <v/>
      </c>
      <c r="F2587" t="str">
        <f>""</f>
        <v/>
      </c>
      <c r="G2587" t="str">
        <f>""</f>
        <v/>
      </c>
      <c r="I2587" t="str">
        <f t="shared" si="44"/>
        <v>TEXAS COUNTY &amp; DISTRICT RET</v>
      </c>
    </row>
    <row r="2588" spans="1:9" x14ac:dyDescent="0.3">
      <c r="A2588" t="str">
        <f>""</f>
        <v/>
      </c>
      <c r="F2588" t="str">
        <f>""</f>
        <v/>
      </c>
      <c r="G2588" t="str">
        <f>""</f>
        <v/>
      </c>
      <c r="I2588" t="str">
        <f t="shared" si="44"/>
        <v>TEXAS COUNTY &amp; DISTRICT RET</v>
      </c>
    </row>
    <row r="2589" spans="1:9" x14ac:dyDescent="0.3">
      <c r="A2589" t="str">
        <f>""</f>
        <v/>
      </c>
      <c r="F2589" t="str">
        <f>""</f>
        <v/>
      </c>
      <c r="G2589" t="str">
        <f>""</f>
        <v/>
      </c>
      <c r="I2589" t="str">
        <f t="shared" si="44"/>
        <v>TEXAS COUNTY &amp; DISTRICT RET</v>
      </c>
    </row>
    <row r="2590" spans="1:9" x14ac:dyDescent="0.3">
      <c r="A2590" t="str">
        <f>""</f>
        <v/>
      </c>
      <c r="F2590" t="str">
        <f>""</f>
        <v/>
      </c>
      <c r="G2590" t="str">
        <f>""</f>
        <v/>
      </c>
      <c r="I2590" t="str">
        <f t="shared" si="44"/>
        <v>TEXAS COUNTY &amp; DISTRICT RET</v>
      </c>
    </row>
    <row r="2591" spans="1:9" x14ac:dyDescent="0.3">
      <c r="A2591" t="str">
        <f>""</f>
        <v/>
      </c>
      <c r="F2591" t="str">
        <f>""</f>
        <v/>
      </c>
      <c r="G2591" t="str">
        <f>""</f>
        <v/>
      </c>
      <c r="I2591" t="str">
        <f t="shared" si="44"/>
        <v>TEXAS COUNTY &amp; DISTRICT RET</v>
      </c>
    </row>
    <row r="2592" spans="1:9" x14ac:dyDescent="0.3">
      <c r="A2592" t="str">
        <f>""</f>
        <v/>
      </c>
      <c r="F2592" t="str">
        <f>""</f>
        <v/>
      </c>
      <c r="G2592" t="str">
        <f>""</f>
        <v/>
      </c>
      <c r="I2592" t="str">
        <f t="shared" si="44"/>
        <v>TEXAS COUNTY &amp; DISTRICT RET</v>
      </c>
    </row>
    <row r="2593" spans="1:9" x14ac:dyDescent="0.3">
      <c r="A2593" t="str">
        <f>""</f>
        <v/>
      </c>
      <c r="F2593" t="str">
        <f>""</f>
        <v/>
      </c>
      <c r="G2593" t="str">
        <f>""</f>
        <v/>
      </c>
      <c r="I2593" t="str">
        <f t="shared" si="44"/>
        <v>TEXAS COUNTY &amp; DISTRICT RET</v>
      </c>
    </row>
    <row r="2594" spans="1:9" x14ac:dyDescent="0.3">
      <c r="A2594" t="str">
        <f>""</f>
        <v/>
      </c>
      <c r="F2594" t="str">
        <f>""</f>
        <v/>
      </c>
      <c r="G2594" t="str">
        <f>""</f>
        <v/>
      </c>
      <c r="I2594" t="str">
        <f t="shared" si="44"/>
        <v>TEXAS COUNTY &amp; DISTRICT RET</v>
      </c>
    </row>
    <row r="2595" spans="1:9" x14ac:dyDescent="0.3">
      <c r="A2595" t="str">
        <f>""</f>
        <v/>
      </c>
      <c r="F2595" t="str">
        <f>""</f>
        <v/>
      </c>
      <c r="G2595" t="str">
        <f>""</f>
        <v/>
      </c>
      <c r="I2595" t="str">
        <f t="shared" ref="I2595:I2613" si="45">"TEXAS COUNTY &amp; DISTRICT RET"</f>
        <v>TEXAS COUNTY &amp; DISTRICT RET</v>
      </c>
    </row>
    <row r="2596" spans="1:9" x14ac:dyDescent="0.3">
      <c r="A2596" t="str">
        <f>""</f>
        <v/>
      </c>
      <c r="F2596" t="str">
        <f>""</f>
        <v/>
      </c>
      <c r="G2596" t="str">
        <f>""</f>
        <v/>
      </c>
      <c r="I2596" t="str">
        <f t="shared" si="45"/>
        <v>TEXAS COUNTY &amp; DISTRICT RET</v>
      </c>
    </row>
    <row r="2597" spans="1:9" x14ac:dyDescent="0.3">
      <c r="A2597" t="str">
        <f>""</f>
        <v/>
      </c>
      <c r="F2597" t="str">
        <f>""</f>
        <v/>
      </c>
      <c r="G2597" t="str">
        <f>""</f>
        <v/>
      </c>
      <c r="I2597" t="str">
        <f t="shared" si="45"/>
        <v>TEXAS COUNTY &amp; DISTRICT RET</v>
      </c>
    </row>
    <row r="2598" spans="1:9" x14ac:dyDescent="0.3">
      <c r="A2598" t="str">
        <f>""</f>
        <v/>
      </c>
      <c r="F2598" t="str">
        <f>""</f>
        <v/>
      </c>
      <c r="G2598" t="str">
        <f>""</f>
        <v/>
      </c>
      <c r="I2598" t="str">
        <f t="shared" si="45"/>
        <v>TEXAS COUNTY &amp; DISTRICT RET</v>
      </c>
    </row>
    <row r="2599" spans="1:9" x14ac:dyDescent="0.3">
      <c r="A2599" t="str">
        <f>""</f>
        <v/>
      </c>
      <c r="F2599" t="str">
        <f>""</f>
        <v/>
      </c>
      <c r="G2599" t="str">
        <f>""</f>
        <v/>
      </c>
      <c r="I2599" t="str">
        <f t="shared" si="45"/>
        <v>TEXAS COUNTY &amp; DISTRICT RET</v>
      </c>
    </row>
    <row r="2600" spans="1:9" x14ac:dyDescent="0.3">
      <c r="A2600" t="str">
        <f>""</f>
        <v/>
      </c>
      <c r="F2600" t="str">
        <f>""</f>
        <v/>
      </c>
      <c r="G2600" t="str">
        <f>""</f>
        <v/>
      </c>
      <c r="I2600" t="str">
        <f t="shared" si="45"/>
        <v>TEXAS COUNTY &amp; DISTRICT RET</v>
      </c>
    </row>
    <row r="2601" spans="1:9" x14ac:dyDescent="0.3">
      <c r="A2601" t="str">
        <f>""</f>
        <v/>
      </c>
      <c r="F2601" t="str">
        <f>""</f>
        <v/>
      </c>
      <c r="G2601" t="str">
        <f>""</f>
        <v/>
      </c>
      <c r="I2601" t="str">
        <f t="shared" si="45"/>
        <v>TEXAS COUNTY &amp; DISTRICT RET</v>
      </c>
    </row>
    <row r="2602" spans="1:9" x14ac:dyDescent="0.3">
      <c r="A2602" t="str">
        <f>""</f>
        <v/>
      </c>
      <c r="F2602" t="str">
        <f>""</f>
        <v/>
      </c>
      <c r="G2602" t="str">
        <f>""</f>
        <v/>
      </c>
      <c r="I2602" t="str">
        <f t="shared" si="45"/>
        <v>TEXAS COUNTY &amp; DISTRICT RET</v>
      </c>
    </row>
    <row r="2603" spans="1:9" x14ac:dyDescent="0.3">
      <c r="A2603" t="str">
        <f>""</f>
        <v/>
      </c>
      <c r="F2603" t="str">
        <f>""</f>
        <v/>
      </c>
      <c r="G2603" t="str">
        <f>""</f>
        <v/>
      </c>
      <c r="I2603" t="str">
        <f t="shared" si="45"/>
        <v>TEXAS COUNTY &amp; DISTRICT RET</v>
      </c>
    </row>
    <row r="2604" spans="1:9" x14ac:dyDescent="0.3">
      <c r="A2604" t="str">
        <f>""</f>
        <v/>
      </c>
      <c r="F2604" t="str">
        <f>""</f>
        <v/>
      </c>
      <c r="G2604" t="str">
        <f>""</f>
        <v/>
      </c>
      <c r="I2604" t="str">
        <f t="shared" si="45"/>
        <v>TEXAS COUNTY &amp; DISTRICT RET</v>
      </c>
    </row>
    <row r="2605" spans="1:9" x14ac:dyDescent="0.3">
      <c r="A2605" t="str">
        <f>""</f>
        <v/>
      </c>
      <c r="F2605" t="str">
        <f>""</f>
        <v/>
      </c>
      <c r="G2605" t="str">
        <f>""</f>
        <v/>
      </c>
      <c r="I2605" t="str">
        <f t="shared" si="45"/>
        <v>TEXAS COUNTY &amp; DISTRICT RET</v>
      </c>
    </row>
    <row r="2606" spans="1:9" x14ac:dyDescent="0.3">
      <c r="A2606" t="str">
        <f>""</f>
        <v/>
      </c>
      <c r="F2606" t="str">
        <f>""</f>
        <v/>
      </c>
      <c r="G2606" t="str">
        <f>""</f>
        <v/>
      </c>
      <c r="I2606" t="str">
        <f t="shared" si="45"/>
        <v>TEXAS COUNTY &amp; DISTRICT RET</v>
      </c>
    </row>
    <row r="2607" spans="1:9" x14ac:dyDescent="0.3">
      <c r="A2607" t="str">
        <f>""</f>
        <v/>
      </c>
      <c r="F2607" t="str">
        <f>""</f>
        <v/>
      </c>
      <c r="G2607" t="str">
        <f>""</f>
        <v/>
      </c>
      <c r="I2607" t="str">
        <f t="shared" si="45"/>
        <v>TEXAS COUNTY &amp; DISTRICT RET</v>
      </c>
    </row>
    <row r="2608" spans="1:9" x14ac:dyDescent="0.3">
      <c r="A2608" t="str">
        <f>""</f>
        <v/>
      </c>
      <c r="F2608" t="str">
        <f>""</f>
        <v/>
      </c>
      <c r="G2608" t="str">
        <f>""</f>
        <v/>
      </c>
      <c r="I2608" t="str">
        <f t="shared" si="45"/>
        <v>TEXAS COUNTY &amp; DISTRICT RET</v>
      </c>
    </row>
    <row r="2609" spans="1:9" x14ac:dyDescent="0.3">
      <c r="A2609" t="str">
        <f>""</f>
        <v/>
      </c>
      <c r="F2609" t="str">
        <f>""</f>
        <v/>
      </c>
      <c r="G2609" t="str">
        <f>""</f>
        <v/>
      </c>
      <c r="I2609" t="str">
        <f t="shared" si="45"/>
        <v>TEXAS COUNTY &amp; DISTRICT RET</v>
      </c>
    </row>
    <row r="2610" spans="1:9" x14ac:dyDescent="0.3">
      <c r="A2610" t="str">
        <f>""</f>
        <v/>
      </c>
      <c r="F2610" t="str">
        <f>""</f>
        <v/>
      </c>
      <c r="G2610" t="str">
        <f>""</f>
        <v/>
      </c>
      <c r="I2610" t="str">
        <f t="shared" si="45"/>
        <v>TEXAS COUNTY &amp; DISTRICT RET</v>
      </c>
    </row>
    <row r="2611" spans="1:9" x14ac:dyDescent="0.3">
      <c r="A2611" t="str">
        <f>""</f>
        <v/>
      </c>
      <c r="F2611" t="str">
        <f>""</f>
        <v/>
      </c>
      <c r="G2611" t="str">
        <f>""</f>
        <v/>
      </c>
      <c r="I2611" t="str">
        <f t="shared" si="45"/>
        <v>TEXAS COUNTY &amp; DISTRICT RET</v>
      </c>
    </row>
    <row r="2612" spans="1:9" x14ac:dyDescent="0.3">
      <c r="A2612" t="str">
        <f>""</f>
        <v/>
      </c>
      <c r="F2612" t="str">
        <f>""</f>
        <v/>
      </c>
      <c r="G2612" t="str">
        <f>""</f>
        <v/>
      </c>
      <c r="I2612" t="str">
        <f t="shared" si="45"/>
        <v>TEXAS COUNTY &amp; DISTRICT RET</v>
      </c>
    </row>
    <row r="2613" spans="1:9" x14ac:dyDescent="0.3">
      <c r="A2613" t="str">
        <f>""</f>
        <v/>
      </c>
      <c r="F2613" t="str">
        <f>""</f>
        <v/>
      </c>
      <c r="G2613" t="str">
        <f>""</f>
        <v/>
      </c>
      <c r="I2613" t="str">
        <f t="shared" si="45"/>
        <v>TEXAS COUNTY &amp; DISTRICT RET</v>
      </c>
    </row>
    <row r="2614" spans="1:9" x14ac:dyDescent="0.3">
      <c r="A2614" t="str">
        <f>""</f>
        <v/>
      </c>
      <c r="F2614" t="str">
        <f>"RET201709064604"</f>
        <v>RET201709064604</v>
      </c>
      <c r="G2614" t="str">
        <f>"TEXAS COUNTY  DISTRICT RET"</f>
        <v>TEXAS COUNTY  DISTRICT RET</v>
      </c>
      <c r="H2614" s="2">
        <v>5609.38</v>
      </c>
      <c r="I2614" t="str">
        <f>"TEXAS COUNTY  DISTRICT RET"</f>
        <v>TEXAS COUNTY  DISTRICT RET</v>
      </c>
    </row>
    <row r="2615" spans="1:9" x14ac:dyDescent="0.3">
      <c r="A2615" t="str">
        <f>""</f>
        <v/>
      </c>
      <c r="F2615" t="str">
        <f>""</f>
        <v/>
      </c>
      <c r="G2615" t="str">
        <f>""</f>
        <v/>
      </c>
      <c r="I2615" t="str">
        <f>"TEXAS COUNTY  DISTRICT RET"</f>
        <v>TEXAS COUNTY  DISTRICT RET</v>
      </c>
    </row>
    <row r="2616" spans="1:9" x14ac:dyDescent="0.3">
      <c r="A2616" t="str">
        <f>""</f>
        <v/>
      </c>
      <c r="F2616" t="str">
        <f>"RET201709064636"</f>
        <v>RET201709064636</v>
      </c>
      <c r="G2616" t="str">
        <f>"TEXAS COUNTY &amp; DISTRICT RET"</f>
        <v>TEXAS COUNTY &amp; DISTRICT RET</v>
      </c>
      <c r="H2616" s="2">
        <v>7776.11</v>
      </c>
      <c r="I2616" t="str">
        <f t="shared" ref="I2616:I2647" si="46">"TEXAS COUNTY &amp; DISTRICT RET"</f>
        <v>TEXAS COUNTY &amp; DISTRICT RET</v>
      </c>
    </row>
    <row r="2617" spans="1:9" x14ac:dyDescent="0.3">
      <c r="A2617" t="str">
        <f>""</f>
        <v/>
      </c>
      <c r="F2617" t="str">
        <f>""</f>
        <v/>
      </c>
      <c r="G2617" t="str">
        <f>""</f>
        <v/>
      </c>
      <c r="I2617" t="str">
        <f t="shared" si="46"/>
        <v>TEXAS COUNTY &amp; DISTRICT RET</v>
      </c>
    </row>
    <row r="2618" spans="1:9" x14ac:dyDescent="0.3">
      <c r="A2618" t="str">
        <f>""</f>
        <v/>
      </c>
      <c r="F2618" t="str">
        <f>"RET201709205019"</f>
        <v>RET201709205019</v>
      </c>
      <c r="G2618" t="str">
        <f>"TEXAS COUNTY &amp; DISTRICT RET"</f>
        <v>TEXAS COUNTY &amp; DISTRICT RET</v>
      </c>
      <c r="H2618" s="2">
        <v>135563.9</v>
      </c>
      <c r="I2618" t="str">
        <f t="shared" si="46"/>
        <v>TEXAS COUNTY &amp; DISTRICT RET</v>
      </c>
    </row>
    <row r="2619" spans="1:9" x14ac:dyDescent="0.3">
      <c r="A2619" t="str">
        <f>""</f>
        <v/>
      </c>
      <c r="F2619" t="str">
        <f>""</f>
        <v/>
      </c>
      <c r="G2619" t="str">
        <f>""</f>
        <v/>
      </c>
      <c r="I2619" t="str">
        <f t="shared" si="46"/>
        <v>TEXAS COUNTY &amp; DISTRICT RET</v>
      </c>
    </row>
    <row r="2620" spans="1:9" x14ac:dyDescent="0.3">
      <c r="A2620" t="str">
        <f>""</f>
        <v/>
      </c>
      <c r="F2620" t="str">
        <f>""</f>
        <v/>
      </c>
      <c r="G2620" t="str">
        <f>""</f>
        <v/>
      </c>
      <c r="I2620" t="str">
        <f t="shared" si="46"/>
        <v>TEXAS COUNTY &amp; DISTRICT RET</v>
      </c>
    </row>
    <row r="2621" spans="1:9" x14ac:dyDescent="0.3">
      <c r="A2621" t="str">
        <f>""</f>
        <v/>
      </c>
      <c r="F2621" t="str">
        <f>""</f>
        <v/>
      </c>
      <c r="G2621" t="str">
        <f>""</f>
        <v/>
      </c>
      <c r="I2621" t="str">
        <f t="shared" si="46"/>
        <v>TEXAS COUNTY &amp; DISTRICT RET</v>
      </c>
    </row>
    <row r="2622" spans="1:9" x14ac:dyDescent="0.3">
      <c r="A2622" t="str">
        <f>""</f>
        <v/>
      </c>
      <c r="F2622" t="str">
        <f>""</f>
        <v/>
      </c>
      <c r="G2622" t="str">
        <f>""</f>
        <v/>
      </c>
      <c r="I2622" t="str">
        <f t="shared" si="46"/>
        <v>TEXAS COUNTY &amp; DISTRICT RET</v>
      </c>
    </row>
    <row r="2623" spans="1:9" x14ac:dyDescent="0.3">
      <c r="A2623" t="str">
        <f>""</f>
        <v/>
      </c>
      <c r="F2623" t="str">
        <f>""</f>
        <v/>
      </c>
      <c r="G2623" t="str">
        <f>""</f>
        <v/>
      </c>
      <c r="I2623" t="str">
        <f t="shared" si="46"/>
        <v>TEXAS COUNTY &amp; DISTRICT RET</v>
      </c>
    </row>
    <row r="2624" spans="1:9" x14ac:dyDescent="0.3">
      <c r="A2624" t="str">
        <f>""</f>
        <v/>
      </c>
      <c r="F2624" t="str">
        <f>""</f>
        <v/>
      </c>
      <c r="G2624" t="str">
        <f>""</f>
        <v/>
      </c>
      <c r="I2624" t="str">
        <f t="shared" si="46"/>
        <v>TEXAS COUNTY &amp; DISTRICT RET</v>
      </c>
    </row>
    <row r="2625" spans="1:9" x14ac:dyDescent="0.3">
      <c r="A2625" t="str">
        <f>""</f>
        <v/>
      </c>
      <c r="F2625" t="str">
        <f>""</f>
        <v/>
      </c>
      <c r="G2625" t="str">
        <f>""</f>
        <v/>
      </c>
      <c r="I2625" t="str">
        <f t="shared" si="46"/>
        <v>TEXAS COUNTY &amp; DISTRICT RET</v>
      </c>
    </row>
    <row r="2626" spans="1:9" x14ac:dyDescent="0.3">
      <c r="A2626" t="str">
        <f>""</f>
        <v/>
      </c>
      <c r="F2626" t="str">
        <f>""</f>
        <v/>
      </c>
      <c r="G2626" t="str">
        <f>""</f>
        <v/>
      </c>
      <c r="I2626" t="str">
        <f t="shared" si="46"/>
        <v>TEXAS COUNTY &amp; DISTRICT RET</v>
      </c>
    </row>
    <row r="2627" spans="1:9" x14ac:dyDescent="0.3">
      <c r="A2627" t="str">
        <f>""</f>
        <v/>
      </c>
      <c r="F2627" t="str">
        <f>""</f>
        <v/>
      </c>
      <c r="G2627" t="str">
        <f>""</f>
        <v/>
      </c>
      <c r="I2627" t="str">
        <f t="shared" si="46"/>
        <v>TEXAS COUNTY &amp; DISTRICT RET</v>
      </c>
    </row>
    <row r="2628" spans="1:9" x14ac:dyDescent="0.3">
      <c r="A2628" t="str">
        <f>""</f>
        <v/>
      </c>
      <c r="F2628" t="str">
        <f>""</f>
        <v/>
      </c>
      <c r="G2628" t="str">
        <f>""</f>
        <v/>
      </c>
      <c r="I2628" t="str">
        <f t="shared" si="46"/>
        <v>TEXAS COUNTY &amp; DISTRICT RET</v>
      </c>
    </row>
    <row r="2629" spans="1:9" x14ac:dyDescent="0.3">
      <c r="A2629" t="str">
        <f>""</f>
        <v/>
      </c>
      <c r="F2629" t="str">
        <f>""</f>
        <v/>
      </c>
      <c r="G2629" t="str">
        <f>""</f>
        <v/>
      </c>
      <c r="I2629" t="str">
        <f t="shared" si="46"/>
        <v>TEXAS COUNTY &amp; DISTRICT RET</v>
      </c>
    </row>
    <row r="2630" spans="1:9" x14ac:dyDescent="0.3">
      <c r="A2630" t="str">
        <f>""</f>
        <v/>
      </c>
      <c r="F2630" t="str">
        <f>""</f>
        <v/>
      </c>
      <c r="G2630" t="str">
        <f>""</f>
        <v/>
      </c>
      <c r="I2630" t="str">
        <f t="shared" si="46"/>
        <v>TEXAS COUNTY &amp; DISTRICT RET</v>
      </c>
    </row>
    <row r="2631" spans="1:9" x14ac:dyDescent="0.3">
      <c r="A2631" t="str">
        <f>""</f>
        <v/>
      </c>
      <c r="F2631" t="str">
        <f>""</f>
        <v/>
      </c>
      <c r="G2631" t="str">
        <f>""</f>
        <v/>
      </c>
      <c r="I2631" t="str">
        <f t="shared" si="46"/>
        <v>TEXAS COUNTY &amp; DISTRICT RET</v>
      </c>
    </row>
    <row r="2632" spans="1:9" x14ac:dyDescent="0.3">
      <c r="A2632" t="str">
        <f>""</f>
        <v/>
      </c>
      <c r="F2632" t="str">
        <f>""</f>
        <v/>
      </c>
      <c r="G2632" t="str">
        <f>""</f>
        <v/>
      </c>
      <c r="I2632" t="str">
        <f t="shared" si="46"/>
        <v>TEXAS COUNTY &amp; DISTRICT RET</v>
      </c>
    </row>
    <row r="2633" spans="1:9" x14ac:dyDescent="0.3">
      <c r="A2633" t="str">
        <f>""</f>
        <v/>
      </c>
      <c r="F2633" t="str">
        <f>""</f>
        <v/>
      </c>
      <c r="G2633" t="str">
        <f>""</f>
        <v/>
      </c>
      <c r="I2633" t="str">
        <f t="shared" si="46"/>
        <v>TEXAS COUNTY &amp; DISTRICT RET</v>
      </c>
    </row>
    <row r="2634" spans="1:9" x14ac:dyDescent="0.3">
      <c r="A2634" t="str">
        <f>""</f>
        <v/>
      </c>
      <c r="F2634" t="str">
        <f>""</f>
        <v/>
      </c>
      <c r="G2634" t="str">
        <f>""</f>
        <v/>
      </c>
      <c r="I2634" t="str">
        <f t="shared" si="46"/>
        <v>TEXAS COUNTY &amp; DISTRICT RET</v>
      </c>
    </row>
    <row r="2635" spans="1:9" x14ac:dyDescent="0.3">
      <c r="A2635" t="str">
        <f>""</f>
        <v/>
      </c>
      <c r="F2635" t="str">
        <f>""</f>
        <v/>
      </c>
      <c r="G2635" t="str">
        <f>""</f>
        <v/>
      </c>
      <c r="I2635" t="str">
        <f t="shared" si="46"/>
        <v>TEXAS COUNTY &amp; DISTRICT RET</v>
      </c>
    </row>
    <row r="2636" spans="1:9" x14ac:dyDescent="0.3">
      <c r="A2636" t="str">
        <f>""</f>
        <v/>
      </c>
      <c r="F2636" t="str">
        <f>""</f>
        <v/>
      </c>
      <c r="G2636" t="str">
        <f>""</f>
        <v/>
      </c>
      <c r="I2636" t="str">
        <f t="shared" si="46"/>
        <v>TEXAS COUNTY &amp; DISTRICT RET</v>
      </c>
    </row>
    <row r="2637" spans="1:9" x14ac:dyDescent="0.3">
      <c r="A2637" t="str">
        <f>""</f>
        <v/>
      </c>
      <c r="F2637" t="str">
        <f>""</f>
        <v/>
      </c>
      <c r="G2637" t="str">
        <f>""</f>
        <v/>
      </c>
      <c r="I2637" t="str">
        <f t="shared" si="46"/>
        <v>TEXAS COUNTY &amp; DISTRICT RET</v>
      </c>
    </row>
    <row r="2638" spans="1:9" x14ac:dyDescent="0.3">
      <c r="A2638" t="str">
        <f>""</f>
        <v/>
      </c>
      <c r="F2638" t="str">
        <f>""</f>
        <v/>
      </c>
      <c r="G2638" t="str">
        <f>""</f>
        <v/>
      </c>
      <c r="I2638" t="str">
        <f t="shared" si="46"/>
        <v>TEXAS COUNTY &amp; DISTRICT RET</v>
      </c>
    </row>
    <row r="2639" spans="1:9" x14ac:dyDescent="0.3">
      <c r="A2639" t="str">
        <f>""</f>
        <v/>
      </c>
      <c r="F2639" t="str">
        <f>""</f>
        <v/>
      </c>
      <c r="G2639" t="str">
        <f>""</f>
        <v/>
      </c>
      <c r="I2639" t="str">
        <f t="shared" si="46"/>
        <v>TEXAS COUNTY &amp; DISTRICT RET</v>
      </c>
    </row>
    <row r="2640" spans="1:9" x14ac:dyDescent="0.3">
      <c r="A2640" t="str">
        <f>""</f>
        <v/>
      </c>
      <c r="F2640" t="str">
        <f>""</f>
        <v/>
      </c>
      <c r="G2640" t="str">
        <f>""</f>
        <v/>
      </c>
      <c r="I2640" t="str">
        <f t="shared" si="46"/>
        <v>TEXAS COUNTY &amp; DISTRICT RET</v>
      </c>
    </row>
    <row r="2641" spans="1:9" x14ac:dyDescent="0.3">
      <c r="A2641" t="str">
        <f>""</f>
        <v/>
      </c>
      <c r="F2641" t="str">
        <f>""</f>
        <v/>
      </c>
      <c r="G2641" t="str">
        <f>""</f>
        <v/>
      </c>
      <c r="I2641" t="str">
        <f t="shared" si="46"/>
        <v>TEXAS COUNTY &amp; DISTRICT RET</v>
      </c>
    </row>
    <row r="2642" spans="1:9" x14ac:dyDescent="0.3">
      <c r="A2642" t="str">
        <f>""</f>
        <v/>
      </c>
      <c r="F2642" t="str">
        <f>""</f>
        <v/>
      </c>
      <c r="G2642" t="str">
        <f>""</f>
        <v/>
      </c>
      <c r="I2642" t="str">
        <f t="shared" si="46"/>
        <v>TEXAS COUNTY &amp; DISTRICT RET</v>
      </c>
    </row>
    <row r="2643" spans="1:9" x14ac:dyDescent="0.3">
      <c r="A2643" t="str">
        <f>""</f>
        <v/>
      </c>
      <c r="F2643" t="str">
        <f>""</f>
        <v/>
      </c>
      <c r="G2643" t="str">
        <f>""</f>
        <v/>
      </c>
      <c r="I2643" t="str">
        <f t="shared" si="46"/>
        <v>TEXAS COUNTY &amp; DISTRICT RET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46"/>
        <v>TEXAS COUNTY &amp; DISTRICT RET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46"/>
        <v>TEXAS COUNTY &amp; DISTRICT RET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46"/>
        <v>TEXAS COUNTY &amp; DISTRICT RET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46"/>
        <v>TEXAS COUNTY &amp; DISTRICT RET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ref="I2648:I2668" si="47">"TEXAS COUNTY &amp; DISTRICT RET"</f>
        <v>TEXAS COUNTY &amp; DISTRICT RET</v>
      </c>
    </row>
    <row r="2649" spans="1:9" x14ac:dyDescent="0.3">
      <c r="A2649" t="str">
        <f>""</f>
        <v/>
      </c>
      <c r="F2649" t="str">
        <f>""</f>
        <v/>
      </c>
      <c r="G2649" t="str">
        <f>""</f>
        <v/>
      </c>
      <c r="I2649" t="str">
        <f t="shared" si="47"/>
        <v>TEXAS COUNTY &amp; DISTRICT RET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47"/>
        <v>TEXAS COUNTY &amp; DISTRICT RET</v>
      </c>
    </row>
    <row r="2651" spans="1:9" x14ac:dyDescent="0.3">
      <c r="A2651" t="str">
        <f>""</f>
        <v/>
      </c>
      <c r="F2651" t="str">
        <f>""</f>
        <v/>
      </c>
      <c r="G2651" t="str">
        <f>""</f>
        <v/>
      </c>
      <c r="I2651" t="str">
        <f t="shared" si="47"/>
        <v>TEXAS COUNTY &amp; DISTRICT RET</v>
      </c>
    </row>
    <row r="2652" spans="1:9" x14ac:dyDescent="0.3">
      <c r="A2652" t="str">
        <f>""</f>
        <v/>
      </c>
      <c r="F2652" t="str">
        <f>""</f>
        <v/>
      </c>
      <c r="G2652" t="str">
        <f>""</f>
        <v/>
      </c>
      <c r="I2652" t="str">
        <f t="shared" si="47"/>
        <v>TEXAS COUNTY &amp; DISTRICT RET</v>
      </c>
    </row>
    <row r="2653" spans="1:9" x14ac:dyDescent="0.3">
      <c r="A2653" t="str">
        <f>""</f>
        <v/>
      </c>
      <c r="F2653" t="str">
        <f>""</f>
        <v/>
      </c>
      <c r="G2653" t="str">
        <f>""</f>
        <v/>
      </c>
      <c r="I2653" t="str">
        <f t="shared" si="47"/>
        <v>TEXAS COUNTY &amp; DISTRICT RET</v>
      </c>
    </row>
    <row r="2654" spans="1:9" x14ac:dyDescent="0.3">
      <c r="A2654" t="str">
        <f>""</f>
        <v/>
      </c>
      <c r="F2654" t="str">
        <f>""</f>
        <v/>
      </c>
      <c r="G2654" t="str">
        <f>""</f>
        <v/>
      </c>
      <c r="I2654" t="str">
        <f t="shared" si="47"/>
        <v>TEXAS COUNTY &amp; DISTRICT RET</v>
      </c>
    </row>
    <row r="2655" spans="1:9" x14ac:dyDescent="0.3">
      <c r="A2655" t="str">
        <f>""</f>
        <v/>
      </c>
      <c r="F2655" t="str">
        <f>""</f>
        <v/>
      </c>
      <c r="G2655" t="str">
        <f>""</f>
        <v/>
      </c>
      <c r="I2655" t="str">
        <f t="shared" si="47"/>
        <v>TEXAS COUNTY &amp; DISTRICT RET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47"/>
        <v>TEXAS COUNTY &amp; DISTRICT RET</v>
      </c>
    </row>
    <row r="2657" spans="1:9" x14ac:dyDescent="0.3">
      <c r="A2657" t="str">
        <f>""</f>
        <v/>
      </c>
      <c r="F2657" t="str">
        <f>""</f>
        <v/>
      </c>
      <c r="G2657" t="str">
        <f>""</f>
        <v/>
      </c>
      <c r="I2657" t="str">
        <f t="shared" si="47"/>
        <v>TEXAS COUNTY &amp; DISTRICT RET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47"/>
        <v>TEXAS COUNTY &amp; DISTRICT RET</v>
      </c>
    </row>
    <row r="2659" spans="1:9" x14ac:dyDescent="0.3">
      <c r="A2659" t="str">
        <f>""</f>
        <v/>
      </c>
      <c r="F2659" t="str">
        <f>""</f>
        <v/>
      </c>
      <c r="G2659" t="str">
        <f>""</f>
        <v/>
      </c>
      <c r="I2659" t="str">
        <f t="shared" si="47"/>
        <v>TEXAS COUNTY &amp; DISTRICT RET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47"/>
        <v>TEXAS COUNTY &amp; DISTRICT RET</v>
      </c>
    </row>
    <row r="2661" spans="1:9" x14ac:dyDescent="0.3">
      <c r="A2661" t="str">
        <f>""</f>
        <v/>
      </c>
      <c r="F2661" t="str">
        <f>""</f>
        <v/>
      </c>
      <c r="G2661" t="str">
        <f>""</f>
        <v/>
      </c>
      <c r="I2661" t="str">
        <f t="shared" si="47"/>
        <v>TEXAS COUNTY &amp; DISTRICT RET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 t="shared" si="47"/>
        <v>TEXAS COUNTY &amp; DISTRICT RET</v>
      </c>
    </row>
    <row r="2663" spans="1:9" x14ac:dyDescent="0.3">
      <c r="A2663" t="str">
        <f>""</f>
        <v/>
      </c>
      <c r="F2663" t="str">
        <f>""</f>
        <v/>
      </c>
      <c r="G2663" t="str">
        <f>""</f>
        <v/>
      </c>
      <c r="I2663" t="str">
        <f t="shared" si="47"/>
        <v>TEXAS COUNTY &amp; DISTRICT RET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 t="shared" si="47"/>
        <v>TEXAS COUNTY &amp; DISTRICT RET</v>
      </c>
    </row>
    <row r="2665" spans="1:9" x14ac:dyDescent="0.3">
      <c r="A2665" t="str">
        <f>""</f>
        <v/>
      </c>
      <c r="F2665" t="str">
        <f>""</f>
        <v/>
      </c>
      <c r="G2665" t="str">
        <f>""</f>
        <v/>
      </c>
      <c r="I2665" t="str">
        <f t="shared" si="47"/>
        <v>TEXAS COUNTY &amp; DISTRICT RET</v>
      </c>
    </row>
    <row r="2666" spans="1:9" x14ac:dyDescent="0.3">
      <c r="A2666" t="str">
        <f>""</f>
        <v/>
      </c>
      <c r="F2666" t="str">
        <f>""</f>
        <v/>
      </c>
      <c r="G2666" t="str">
        <f>""</f>
        <v/>
      </c>
      <c r="I2666" t="str">
        <f t="shared" si="47"/>
        <v>TEXAS COUNTY &amp; DISTRICT RET</v>
      </c>
    </row>
    <row r="2667" spans="1:9" x14ac:dyDescent="0.3">
      <c r="A2667" t="str">
        <f>""</f>
        <v/>
      </c>
      <c r="F2667" t="str">
        <f>""</f>
        <v/>
      </c>
      <c r="G2667" t="str">
        <f>""</f>
        <v/>
      </c>
      <c r="I2667" t="str">
        <f t="shared" si="47"/>
        <v>TEXAS COUNTY &amp; DISTRICT RET</v>
      </c>
    </row>
    <row r="2668" spans="1:9" x14ac:dyDescent="0.3">
      <c r="A2668" t="str">
        <f>""</f>
        <v/>
      </c>
      <c r="F2668" t="str">
        <f>""</f>
        <v/>
      </c>
      <c r="G2668" t="str">
        <f>""</f>
        <v/>
      </c>
      <c r="I2668" t="str">
        <f t="shared" si="47"/>
        <v>TEXAS COUNTY &amp; DISTRICT RET</v>
      </c>
    </row>
    <row r="2669" spans="1:9" x14ac:dyDescent="0.3">
      <c r="A2669" t="str">
        <f>""</f>
        <v/>
      </c>
      <c r="F2669" t="str">
        <f>"RET201709205020"</f>
        <v>RET201709205020</v>
      </c>
      <c r="G2669" t="str">
        <f>"TEXAS COUNTY  DISTRICT RET"</f>
        <v>TEXAS COUNTY  DISTRICT RET</v>
      </c>
      <c r="H2669" s="2">
        <v>5478.84</v>
      </c>
      <c r="I2669" t="str">
        <f>"TEXAS COUNTY  DISTRICT RET"</f>
        <v>TEXAS COUNTY  DISTRICT RET</v>
      </c>
    </row>
    <row r="2670" spans="1:9" x14ac:dyDescent="0.3">
      <c r="A2670" t="str">
        <f>""</f>
        <v/>
      </c>
      <c r="F2670" t="str">
        <f>""</f>
        <v/>
      </c>
      <c r="G2670" t="str">
        <f>""</f>
        <v/>
      </c>
      <c r="I2670" t="str">
        <f>"TEXAS COUNTY  DISTRICT RET"</f>
        <v>TEXAS COUNTY  DISTRICT RET</v>
      </c>
    </row>
    <row r="2671" spans="1:9" x14ac:dyDescent="0.3">
      <c r="A2671" t="str">
        <f>""</f>
        <v/>
      </c>
      <c r="F2671" t="str">
        <f>"RET201709205022"</f>
        <v>RET201709205022</v>
      </c>
      <c r="G2671" t="str">
        <f>"TEXAS COUNTY &amp; DISTRICT RET"</f>
        <v>TEXAS COUNTY &amp; DISTRICT RET</v>
      </c>
      <c r="H2671" s="2">
        <v>7971.5</v>
      </c>
      <c r="I2671" t="str">
        <f>"TEXAS COUNTY &amp; DISTRICT RET"</f>
        <v>TEXAS COUNTY &amp; DISTRICT RET</v>
      </c>
    </row>
    <row r="2672" spans="1:9" x14ac:dyDescent="0.3">
      <c r="A2672" t="str">
        <f>""</f>
        <v/>
      </c>
      <c r="F2672" t="str">
        <f>""</f>
        <v/>
      </c>
      <c r="G2672" t="str">
        <f>""</f>
        <v/>
      </c>
      <c r="I2672" t="str">
        <f>"TEXAS COUNTY &amp; DISTRICT RET"</f>
        <v>TEXAS COUNTY &amp; DISTRICT RET</v>
      </c>
    </row>
    <row r="2673" spans="1:9" x14ac:dyDescent="0.3">
      <c r="A2673" t="str">
        <f>"002457"</f>
        <v>002457</v>
      </c>
      <c r="B2673" t="s">
        <v>497</v>
      </c>
      <c r="C2673">
        <v>45871</v>
      </c>
      <c r="D2673" s="2">
        <v>1360</v>
      </c>
      <c r="E2673" s="1">
        <v>43004</v>
      </c>
      <c r="F2673" t="str">
        <f>"LEG201709064584"</f>
        <v>LEG201709064584</v>
      </c>
      <c r="G2673" t="str">
        <f>"TEXAS LEGAL PROTECTION PLAN"</f>
        <v>TEXAS LEGAL PROTECTION PLAN</v>
      </c>
      <c r="H2673" s="2">
        <v>680</v>
      </c>
      <c r="I2673" t="str">
        <f>"TEXAS LEGAL PROTECTION PLAN"</f>
        <v>TEXAS LEGAL PROTECTION PLAN</v>
      </c>
    </row>
    <row r="2674" spans="1:9" x14ac:dyDescent="0.3">
      <c r="A2674" t="str">
        <f>""</f>
        <v/>
      </c>
      <c r="F2674" t="str">
        <f>"LEG201709084855"</f>
        <v>LEG201709084855</v>
      </c>
      <c r="G2674" t="str">
        <f>"TEXAS LEGAL PROTECTION PLAN"</f>
        <v>TEXAS LEGAL PROTECTION PLAN</v>
      </c>
      <c r="H2674" s="2">
        <v>20</v>
      </c>
      <c r="I2674" t="str">
        <f>"TEXAS LEGAL PROTECTION PLAN"</f>
        <v>TEXAS LEGAL PROTECTION PLAN</v>
      </c>
    </row>
    <row r="2675" spans="1:9" x14ac:dyDescent="0.3">
      <c r="A2675" t="str">
        <f>""</f>
        <v/>
      </c>
      <c r="F2675" t="str">
        <f>"LEG201709205019"</f>
        <v>LEG201709205019</v>
      </c>
      <c r="G2675" t="str">
        <f>"TEXAS LEGAL PROTECTION PLAN"</f>
        <v>TEXAS LEGAL PROTECTION PLAN</v>
      </c>
      <c r="H2675" s="2">
        <v>660</v>
      </c>
      <c r="I2675" t="str">
        <f>"TEXAS LEGAL PROTECTION PLAN"</f>
        <v>TEXAS LEGAL PROTECTION PLAN</v>
      </c>
    </row>
    <row r="2676" spans="1:9" x14ac:dyDescent="0.3">
      <c r="A2676" t="str">
        <f>"T14362"</f>
        <v>T14362</v>
      </c>
      <c r="B2676" t="s">
        <v>498</v>
      </c>
      <c r="C2676">
        <v>45841</v>
      </c>
      <c r="D2676" s="2">
        <v>186</v>
      </c>
      <c r="E2676" s="1">
        <v>42986</v>
      </c>
      <c r="F2676" t="str">
        <f>"SL6201709064584"</f>
        <v>SL6201709064584</v>
      </c>
      <c r="G2676" t="str">
        <f>"TG STUDENT LOAN - P CROUCH"</f>
        <v>TG STUDENT LOAN - P CROUCH</v>
      </c>
      <c r="H2676" s="2">
        <v>186</v>
      </c>
      <c r="I2676" t="str">
        <f>"TG STUDENT LOAN - P CROUCH"</f>
        <v>TG STUDENT LOAN - P CROUCH</v>
      </c>
    </row>
    <row r="2677" spans="1:9" x14ac:dyDescent="0.3">
      <c r="A2677" t="str">
        <f>"T14362"</f>
        <v>T14362</v>
      </c>
      <c r="B2677" t="s">
        <v>498</v>
      </c>
      <c r="C2677">
        <v>45870</v>
      </c>
      <c r="D2677" s="2">
        <v>186</v>
      </c>
      <c r="E2677" s="1">
        <v>43000</v>
      </c>
      <c r="F2677" t="str">
        <f>"SL6201709205019"</f>
        <v>SL6201709205019</v>
      </c>
      <c r="G2677" t="str">
        <f>"TG STUDENT LOAN - P CROUCH"</f>
        <v>TG STUDENT LOAN - P CROUCH</v>
      </c>
      <c r="H2677" s="2">
        <v>186</v>
      </c>
      <c r="I2677" t="str">
        <f>"TG STUDENT LOAN - P CROUCH"</f>
        <v>TG STUDENT LOAN - P CROUCH</v>
      </c>
    </row>
    <row r="2678" spans="1:9" x14ac:dyDescent="0.3">
      <c r="A2678" t="str">
        <f>"T10887"</f>
        <v>T10887</v>
      </c>
      <c r="B2678" t="s">
        <v>499</v>
      </c>
      <c r="C2678">
        <v>45840</v>
      </c>
      <c r="D2678" s="2">
        <v>212.65</v>
      </c>
      <c r="E2678" s="1">
        <v>42986</v>
      </c>
      <c r="F2678" t="str">
        <f>"SL9201709064584"</f>
        <v>SL9201709064584</v>
      </c>
      <c r="G2678" t="str">
        <f>"STUDENT LOAN"</f>
        <v>STUDENT LOAN</v>
      </c>
      <c r="H2678" s="2">
        <v>212.65</v>
      </c>
      <c r="I2678" t="str">
        <f>"STUDENT LOAN"</f>
        <v>STUDENT LOAN</v>
      </c>
    </row>
    <row r="2679" spans="1:9" x14ac:dyDescent="0.3">
      <c r="A2679" t="str">
        <f>"T10887"</f>
        <v>T10887</v>
      </c>
      <c r="B2679" t="s">
        <v>499</v>
      </c>
      <c r="C2679">
        <v>45869</v>
      </c>
      <c r="D2679" s="2">
        <v>212.65</v>
      </c>
      <c r="E2679" s="1">
        <v>43000</v>
      </c>
      <c r="F2679" t="str">
        <f>"SL9201709205019"</f>
        <v>SL9201709205019</v>
      </c>
      <c r="G2679" t="str">
        <f>"STUDENT LOAN"</f>
        <v>STUDENT LOAN</v>
      </c>
      <c r="H2679" s="2">
        <v>212.65</v>
      </c>
      <c r="I2679" t="str">
        <f>"STUDENT LOAN"</f>
        <v>STUDENT LOAN</v>
      </c>
    </row>
    <row r="2680" spans="1:9" x14ac:dyDescent="0.3">
      <c r="A2680" t="str">
        <f>"VERITY"</f>
        <v>VERITY</v>
      </c>
      <c r="B2680" t="s">
        <v>500</v>
      </c>
      <c r="C2680">
        <v>0</v>
      </c>
      <c r="D2680" s="2">
        <v>17187.05</v>
      </c>
      <c r="E2680" s="1">
        <v>42986</v>
      </c>
      <c r="F2680" t="str">
        <f>"FSA201709064584"</f>
        <v>FSA201709064584</v>
      </c>
      <c r="G2680" t="str">
        <f>"VERITY NAT 125 VENDOR"</f>
        <v>VERITY NAT 125 VENDOR</v>
      </c>
      <c r="H2680" s="2">
        <v>7830.12</v>
      </c>
      <c r="I2680" t="str">
        <f>"VERITY NAT 125 VENDOR"</f>
        <v>VERITY NAT 125 VENDOR</v>
      </c>
    </row>
    <row r="2681" spans="1:9" x14ac:dyDescent="0.3">
      <c r="A2681" t="str">
        <f>""</f>
        <v/>
      </c>
      <c r="F2681" t="str">
        <f>"FSA201709064604"</f>
        <v>FSA201709064604</v>
      </c>
      <c r="G2681" t="str">
        <f>"VERITY NAT 125 VENDOR"</f>
        <v>VERITY NAT 125 VENDOR</v>
      </c>
      <c r="H2681" s="2">
        <v>528.16999999999996</v>
      </c>
      <c r="I2681" t="str">
        <f>"VERITY NAT 125 VENDOR"</f>
        <v>VERITY NAT 125 VENDOR</v>
      </c>
    </row>
    <row r="2682" spans="1:9" x14ac:dyDescent="0.3">
      <c r="A2682" t="str">
        <f>""</f>
        <v/>
      </c>
      <c r="F2682" t="str">
        <f>"FSC201709064584"</f>
        <v>FSC201709064584</v>
      </c>
      <c r="G2682" t="str">
        <f>"VERITY NAT 125 DEP CARE"</f>
        <v>VERITY NAT 125 DEP CARE</v>
      </c>
      <c r="H2682" s="2">
        <v>416.66</v>
      </c>
      <c r="I2682" t="str">
        <f>"VERITY NAT 125 DEP CARE"</f>
        <v>VERITY NAT 125 DEP CARE</v>
      </c>
    </row>
    <row r="2683" spans="1:9" x14ac:dyDescent="0.3">
      <c r="A2683" t="str">
        <f>""</f>
        <v/>
      </c>
      <c r="F2683" t="str">
        <f>"FSF201709064584"</f>
        <v>FSF201709064584</v>
      </c>
      <c r="G2683" t="str">
        <f>"VERITY NAT 125 VENDOR"</f>
        <v>VERITY NAT 125 VENDOR</v>
      </c>
      <c r="H2683" s="2">
        <v>607.75</v>
      </c>
      <c r="I2683" t="str">
        <f t="shared" ref="I2683:I2722" si="48">"VERITY NAT 125 VENDOR"</f>
        <v>VERITY NAT 125 VENDOR</v>
      </c>
    </row>
    <row r="2684" spans="1:9" x14ac:dyDescent="0.3">
      <c r="A2684" t="str">
        <f>""</f>
        <v/>
      </c>
      <c r="F2684" t="str">
        <f>""</f>
        <v/>
      </c>
      <c r="G2684" t="str">
        <f>""</f>
        <v/>
      </c>
      <c r="I2684" t="str">
        <f t="shared" si="48"/>
        <v>VERITY NAT 125 VENDOR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48"/>
        <v>VERITY NAT 125 VENDOR</v>
      </c>
    </row>
    <row r="2686" spans="1:9" x14ac:dyDescent="0.3">
      <c r="A2686" t="str">
        <f>""</f>
        <v/>
      </c>
      <c r="F2686" t="str">
        <f>""</f>
        <v/>
      </c>
      <c r="G2686" t="str">
        <f>""</f>
        <v/>
      </c>
      <c r="I2686" t="str">
        <f t="shared" si="48"/>
        <v>VERITY NAT 125 VENDOR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48"/>
        <v>VERITY NAT 125 VENDOR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48"/>
        <v>VERITY NAT 125 VENDOR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48"/>
        <v>VERITY NAT 125 VENDOR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48"/>
        <v>VERITY NAT 125 VENDOR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48"/>
        <v>VERITY NAT 125 VENDOR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48"/>
        <v>VERITY NAT 125 VENDOR</v>
      </c>
    </row>
    <row r="2693" spans="1:9" x14ac:dyDescent="0.3">
      <c r="A2693" t="str">
        <f>""</f>
        <v/>
      </c>
      <c r="F2693" t="str">
        <f>""</f>
        <v/>
      </c>
      <c r="G2693" t="str">
        <f>""</f>
        <v/>
      </c>
      <c r="I2693" t="str">
        <f t="shared" si="48"/>
        <v>VERITY NAT 125 VENDOR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48"/>
        <v>VERITY NAT 125 VENDOR</v>
      </c>
    </row>
    <row r="2695" spans="1:9" x14ac:dyDescent="0.3">
      <c r="A2695" t="str">
        <f>""</f>
        <v/>
      </c>
      <c r="F2695" t="str">
        <f>""</f>
        <v/>
      </c>
      <c r="G2695" t="str">
        <f>""</f>
        <v/>
      </c>
      <c r="I2695" t="str">
        <f t="shared" si="48"/>
        <v>VERITY NAT 125 VENDOR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 t="shared" si="48"/>
        <v>VERITY NAT 125 VENDOR</v>
      </c>
    </row>
    <row r="2697" spans="1:9" x14ac:dyDescent="0.3">
      <c r="A2697" t="str">
        <f>""</f>
        <v/>
      </c>
      <c r="F2697" t="str">
        <f>""</f>
        <v/>
      </c>
      <c r="G2697" t="str">
        <f>""</f>
        <v/>
      </c>
      <c r="I2697" t="str">
        <f t="shared" si="48"/>
        <v>VERITY NAT 125 VENDOR</v>
      </c>
    </row>
    <row r="2698" spans="1:9" x14ac:dyDescent="0.3">
      <c r="A2698" t="str">
        <f>""</f>
        <v/>
      </c>
      <c r="F2698" t="str">
        <f>""</f>
        <v/>
      </c>
      <c r="G2698" t="str">
        <f>""</f>
        <v/>
      </c>
      <c r="I2698" t="str">
        <f t="shared" si="48"/>
        <v>VERITY NAT 125 VENDOR</v>
      </c>
    </row>
    <row r="2699" spans="1:9" x14ac:dyDescent="0.3">
      <c r="A2699" t="str">
        <f>""</f>
        <v/>
      </c>
      <c r="F2699" t="str">
        <f>""</f>
        <v/>
      </c>
      <c r="G2699" t="str">
        <f>""</f>
        <v/>
      </c>
      <c r="I2699" t="str">
        <f t="shared" si="48"/>
        <v>VERITY NAT 125 VENDOR</v>
      </c>
    </row>
    <row r="2700" spans="1:9" x14ac:dyDescent="0.3">
      <c r="A2700" t="str">
        <f>""</f>
        <v/>
      </c>
      <c r="F2700" t="str">
        <f>""</f>
        <v/>
      </c>
      <c r="G2700" t="str">
        <f>""</f>
        <v/>
      </c>
      <c r="I2700" t="str">
        <f t="shared" si="48"/>
        <v>VERITY NAT 125 VENDOR</v>
      </c>
    </row>
    <row r="2701" spans="1:9" x14ac:dyDescent="0.3">
      <c r="A2701" t="str">
        <f>""</f>
        <v/>
      </c>
      <c r="F2701" t="str">
        <f>""</f>
        <v/>
      </c>
      <c r="G2701" t="str">
        <f>""</f>
        <v/>
      </c>
      <c r="I2701" t="str">
        <f t="shared" si="48"/>
        <v>VERITY NAT 125 VENDOR</v>
      </c>
    </row>
    <row r="2702" spans="1:9" x14ac:dyDescent="0.3">
      <c r="A2702" t="str">
        <f>""</f>
        <v/>
      </c>
      <c r="F2702" t="str">
        <f>""</f>
        <v/>
      </c>
      <c r="G2702" t="str">
        <f>""</f>
        <v/>
      </c>
      <c r="I2702" t="str">
        <f t="shared" si="48"/>
        <v>VERITY NAT 125 VENDOR</v>
      </c>
    </row>
    <row r="2703" spans="1:9" x14ac:dyDescent="0.3">
      <c r="A2703" t="str">
        <f>""</f>
        <v/>
      </c>
      <c r="F2703" t="str">
        <f>""</f>
        <v/>
      </c>
      <c r="G2703" t="str">
        <f>""</f>
        <v/>
      </c>
      <c r="I2703" t="str">
        <f t="shared" si="48"/>
        <v>VERITY NAT 125 VENDOR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48"/>
        <v>VERITY NAT 125 VENDOR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si="48"/>
        <v>VERITY NAT 125 VENDOR</v>
      </c>
    </row>
    <row r="2706" spans="1:9" x14ac:dyDescent="0.3">
      <c r="A2706" t="str">
        <f>""</f>
        <v/>
      </c>
      <c r="F2706" t="str">
        <f>""</f>
        <v/>
      </c>
      <c r="G2706" t="str">
        <f>""</f>
        <v/>
      </c>
      <c r="I2706" t="str">
        <f t="shared" si="48"/>
        <v>VERITY NAT 125 VENDOR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 t="shared" si="48"/>
        <v>VERITY NAT 125 VENDOR</v>
      </c>
    </row>
    <row r="2708" spans="1:9" x14ac:dyDescent="0.3">
      <c r="A2708" t="str">
        <f>""</f>
        <v/>
      </c>
      <c r="F2708" t="str">
        <f>""</f>
        <v/>
      </c>
      <c r="G2708" t="str">
        <f>""</f>
        <v/>
      </c>
      <c r="I2708" t="str">
        <f t="shared" si="48"/>
        <v>VERITY NAT 125 VENDOR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48"/>
        <v>VERITY NAT 125 VENDOR</v>
      </c>
    </row>
    <row r="2710" spans="1:9" x14ac:dyDescent="0.3">
      <c r="A2710" t="str">
        <f>""</f>
        <v/>
      </c>
      <c r="F2710" t="str">
        <f>""</f>
        <v/>
      </c>
      <c r="G2710" t="str">
        <f>""</f>
        <v/>
      </c>
      <c r="I2710" t="str">
        <f t="shared" si="48"/>
        <v>VERITY NAT 125 VENDOR</v>
      </c>
    </row>
    <row r="2711" spans="1:9" x14ac:dyDescent="0.3">
      <c r="A2711" t="str">
        <f>""</f>
        <v/>
      </c>
      <c r="F2711" t="str">
        <f>""</f>
        <v/>
      </c>
      <c r="G2711" t="str">
        <f>""</f>
        <v/>
      </c>
      <c r="I2711" t="str">
        <f t="shared" si="48"/>
        <v>VERITY NAT 125 VENDOR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48"/>
        <v>VERITY NAT 125 VENDOR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48"/>
        <v>VERITY NAT 125 VENDOR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48"/>
        <v>VERITY NAT 125 VENDOR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48"/>
        <v>VERITY NAT 125 VENDOR</v>
      </c>
    </row>
    <row r="2716" spans="1:9" x14ac:dyDescent="0.3">
      <c r="A2716" t="str">
        <f>""</f>
        <v/>
      </c>
      <c r="F2716" t="str">
        <f>""</f>
        <v/>
      </c>
      <c r="G2716" t="str">
        <f>""</f>
        <v/>
      </c>
      <c r="I2716" t="str">
        <f t="shared" si="48"/>
        <v>VERITY NAT 125 VENDOR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 t="shared" si="48"/>
        <v>VERITY NAT 125 VENDOR</v>
      </c>
    </row>
    <row r="2718" spans="1:9" x14ac:dyDescent="0.3">
      <c r="A2718" t="str">
        <f>""</f>
        <v/>
      </c>
      <c r="F2718" t="str">
        <f>""</f>
        <v/>
      </c>
      <c r="G2718" t="str">
        <f>""</f>
        <v/>
      </c>
      <c r="I2718" t="str">
        <f t="shared" si="48"/>
        <v>VERITY NAT 125 VENDOR</v>
      </c>
    </row>
    <row r="2719" spans="1:9" x14ac:dyDescent="0.3">
      <c r="A2719" t="str">
        <f>""</f>
        <v/>
      </c>
      <c r="F2719" t="str">
        <f>""</f>
        <v/>
      </c>
      <c r="G2719" t="str">
        <f>""</f>
        <v/>
      </c>
      <c r="I2719" t="str">
        <f t="shared" si="48"/>
        <v>VERITY NAT 125 VENDOR</v>
      </c>
    </row>
    <row r="2720" spans="1:9" x14ac:dyDescent="0.3">
      <c r="A2720" t="str">
        <f>""</f>
        <v/>
      </c>
      <c r="F2720" t="str">
        <f>""</f>
        <v/>
      </c>
      <c r="G2720" t="str">
        <f>""</f>
        <v/>
      </c>
      <c r="I2720" t="str">
        <f t="shared" si="48"/>
        <v>VERITY NAT 125 VENDOR</v>
      </c>
    </row>
    <row r="2721" spans="1:9" x14ac:dyDescent="0.3">
      <c r="A2721" t="str">
        <f>""</f>
        <v/>
      </c>
      <c r="F2721" t="str">
        <f>"FSF201709064604"</f>
        <v>FSF201709064604</v>
      </c>
      <c r="G2721" t="str">
        <f>"VERITY NAT 125 VENDOR"</f>
        <v>VERITY NAT 125 VENDOR</v>
      </c>
      <c r="H2721" s="2">
        <v>25.5</v>
      </c>
      <c r="I2721" t="str">
        <f t="shared" si="48"/>
        <v>VERITY NAT 125 VENDOR</v>
      </c>
    </row>
    <row r="2722" spans="1:9" x14ac:dyDescent="0.3">
      <c r="A2722" t="str">
        <f>""</f>
        <v/>
      </c>
      <c r="F2722" t="str">
        <f>""</f>
        <v/>
      </c>
      <c r="G2722" t="str">
        <f>""</f>
        <v/>
      </c>
      <c r="I2722" t="str">
        <f t="shared" si="48"/>
        <v>VERITY NAT 125 VENDOR</v>
      </c>
    </row>
    <row r="2723" spans="1:9" x14ac:dyDescent="0.3">
      <c r="A2723" t="str">
        <f>""</f>
        <v/>
      </c>
      <c r="F2723" t="str">
        <f>"FSO201709064584"</f>
        <v>FSO201709064584</v>
      </c>
      <c r="G2723" t="str">
        <f>"VERITY FSA ONLY FEE"</f>
        <v>VERITY FSA ONLY FEE</v>
      </c>
      <c r="H2723" s="2">
        <v>24</v>
      </c>
      <c r="I2723" t="str">
        <f t="shared" ref="I2723:I2732" si="49">"VERITY FSA ONLY FEE"</f>
        <v>VERITY FSA ONLY FEE</v>
      </c>
    </row>
    <row r="2724" spans="1:9" x14ac:dyDescent="0.3">
      <c r="A2724" t="str">
        <f>""</f>
        <v/>
      </c>
      <c r="F2724" t="str">
        <f>""</f>
        <v/>
      </c>
      <c r="G2724" t="str">
        <f>""</f>
        <v/>
      </c>
      <c r="I2724" t="str">
        <f t="shared" si="49"/>
        <v>VERITY FSA ONLY FEE</v>
      </c>
    </row>
    <row r="2725" spans="1:9" x14ac:dyDescent="0.3">
      <c r="A2725" t="str">
        <f>""</f>
        <v/>
      </c>
      <c r="F2725" t="str">
        <f>""</f>
        <v/>
      </c>
      <c r="G2725" t="str">
        <f>""</f>
        <v/>
      </c>
      <c r="I2725" t="str">
        <f t="shared" si="49"/>
        <v>VERITY FSA ONLY FEE</v>
      </c>
    </row>
    <row r="2726" spans="1:9" x14ac:dyDescent="0.3">
      <c r="A2726" t="str">
        <f>""</f>
        <v/>
      </c>
      <c r="F2726" t="str">
        <f>""</f>
        <v/>
      </c>
      <c r="G2726" t="str">
        <f>""</f>
        <v/>
      </c>
      <c r="I2726" t="str">
        <f t="shared" si="49"/>
        <v>VERITY FSA ONLY FEE</v>
      </c>
    </row>
    <row r="2727" spans="1:9" x14ac:dyDescent="0.3">
      <c r="A2727" t="str">
        <f>""</f>
        <v/>
      </c>
      <c r="F2727" t="str">
        <f>""</f>
        <v/>
      </c>
      <c r="G2727" t="str">
        <f>""</f>
        <v/>
      </c>
      <c r="I2727" t="str">
        <f t="shared" si="49"/>
        <v>VERITY FSA ONLY FEE</v>
      </c>
    </row>
    <row r="2728" spans="1:9" x14ac:dyDescent="0.3">
      <c r="A2728" t="str">
        <f>""</f>
        <v/>
      </c>
      <c r="F2728" t="str">
        <f>""</f>
        <v/>
      </c>
      <c r="G2728" t="str">
        <f>""</f>
        <v/>
      </c>
      <c r="I2728" t="str">
        <f t="shared" si="49"/>
        <v>VERITY FSA ONLY FEE</v>
      </c>
    </row>
    <row r="2729" spans="1:9" x14ac:dyDescent="0.3">
      <c r="A2729" t="str">
        <f>""</f>
        <v/>
      </c>
      <c r="F2729" t="str">
        <f>""</f>
        <v/>
      </c>
      <c r="G2729" t="str">
        <f>""</f>
        <v/>
      </c>
      <c r="I2729" t="str">
        <f t="shared" si="49"/>
        <v>VERITY FSA ONLY FEE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49"/>
        <v>VERITY FSA ONLY FEE</v>
      </c>
    </row>
    <row r="2731" spans="1:9" x14ac:dyDescent="0.3">
      <c r="A2731" t="str">
        <f>""</f>
        <v/>
      </c>
      <c r="F2731" t="str">
        <f>""</f>
        <v/>
      </c>
      <c r="G2731" t="str">
        <f>""</f>
        <v/>
      </c>
      <c r="I2731" t="str">
        <f t="shared" si="49"/>
        <v>VERITY FSA ONLY FEE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si="49"/>
        <v>VERITY FSA ONLY FEE</v>
      </c>
    </row>
    <row r="2733" spans="1:9" x14ac:dyDescent="0.3">
      <c r="A2733" t="str">
        <f>""</f>
        <v/>
      </c>
      <c r="F2733" t="str">
        <f>"FSO201709064604"</f>
        <v>FSO201709064604</v>
      </c>
      <c r="G2733" t="str">
        <f>"VERITY FSA ONLY"</f>
        <v>VERITY FSA ONLY</v>
      </c>
      <c r="H2733" s="2">
        <v>3</v>
      </c>
      <c r="I2733" t="str">
        <f>"VERITY FSA ONLY"</f>
        <v>VERITY FSA ONLY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>"VERITY FSA ONLY"</f>
        <v>VERITY FSA ONLY</v>
      </c>
    </row>
    <row r="2735" spans="1:9" x14ac:dyDescent="0.3">
      <c r="A2735" t="str">
        <f>""</f>
        <v/>
      </c>
      <c r="F2735" t="str">
        <f>"HRA201709064584"</f>
        <v>HRA201709064584</v>
      </c>
      <c r="G2735" t="str">
        <f>"VERITY HRA FEES"</f>
        <v>VERITY HRA FEES</v>
      </c>
      <c r="H2735" s="2">
        <v>6751.35</v>
      </c>
      <c r="I2735" t="str">
        <f t="shared" ref="I2735:I2782" si="50">"VERITY HRA FEES"</f>
        <v>VERITY HRA FEES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50"/>
        <v>VERITY HRA FEES</v>
      </c>
    </row>
    <row r="2737" spans="1:9" x14ac:dyDescent="0.3">
      <c r="A2737" t="str">
        <f>""</f>
        <v/>
      </c>
      <c r="F2737" t="str">
        <f>""</f>
        <v/>
      </c>
      <c r="G2737" t="str">
        <f>""</f>
        <v/>
      </c>
      <c r="I2737" t="str">
        <f t="shared" si="50"/>
        <v>VERITY HRA FEES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 t="shared" si="50"/>
        <v>VERITY HRA FEES</v>
      </c>
    </row>
    <row r="2739" spans="1:9" x14ac:dyDescent="0.3">
      <c r="A2739" t="str">
        <f>""</f>
        <v/>
      </c>
      <c r="F2739" t="str">
        <f>""</f>
        <v/>
      </c>
      <c r="G2739" t="str">
        <f>""</f>
        <v/>
      </c>
      <c r="I2739" t="str">
        <f t="shared" si="50"/>
        <v>VERITY HRA FEES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 t="shared" si="50"/>
        <v>VERITY HRA FEES</v>
      </c>
    </row>
    <row r="2741" spans="1:9" x14ac:dyDescent="0.3">
      <c r="A2741" t="str">
        <f>""</f>
        <v/>
      </c>
      <c r="F2741" t="str">
        <f>""</f>
        <v/>
      </c>
      <c r="G2741" t="str">
        <f>""</f>
        <v/>
      </c>
      <c r="I2741" t="str">
        <f t="shared" si="50"/>
        <v>VERITY HRA FEES</v>
      </c>
    </row>
    <row r="2742" spans="1:9" x14ac:dyDescent="0.3">
      <c r="A2742" t="str">
        <f>""</f>
        <v/>
      </c>
      <c r="F2742" t="str">
        <f>""</f>
        <v/>
      </c>
      <c r="G2742" t="str">
        <f>""</f>
        <v/>
      </c>
      <c r="I2742" t="str">
        <f t="shared" si="50"/>
        <v>VERITY HRA FEES</v>
      </c>
    </row>
    <row r="2743" spans="1:9" x14ac:dyDescent="0.3">
      <c r="A2743" t="str">
        <f>""</f>
        <v/>
      </c>
      <c r="F2743" t="str">
        <f>""</f>
        <v/>
      </c>
      <c r="G2743" t="str">
        <f>""</f>
        <v/>
      </c>
      <c r="I2743" t="str">
        <f t="shared" si="50"/>
        <v>VERITY HRA FEES</v>
      </c>
    </row>
    <row r="2744" spans="1:9" x14ac:dyDescent="0.3">
      <c r="A2744" t="str">
        <f>""</f>
        <v/>
      </c>
      <c r="F2744" t="str">
        <f>""</f>
        <v/>
      </c>
      <c r="G2744" t="str">
        <f>""</f>
        <v/>
      </c>
      <c r="I2744" t="str">
        <f t="shared" si="50"/>
        <v>VERITY HRA FEES</v>
      </c>
    </row>
    <row r="2745" spans="1:9" x14ac:dyDescent="0.3">
      <c r="A2745" t="str">
        <f>""</f>
        <v/>
      </c>
      <c r="F2745" t="str">
        <f>""</f>
        <v/>
      </c>
      <c r="G2745" t="str">
        <f>""</f>
        <v/>
      </c>
      <c r="I2745" t="str">
        <f t="shared" si="50"/>
        <v>VERITY HRA FEES</v>
      </c>
    </row>
    <row r="2746" spans="1:9" x14ac:dyDescent="0.3">
      <c r="A2746" t="str">
        <f>""</f>
        <v/>
      </c>
      <c r="F2746" t="str">
        <f>""</f>
        <v/>
      </c>
      <c r="G2746" t="str">
        <f>""</f>
        <v/>
      </c>
      <c r="I2746" t="str">
        <f t="shared" si="50"/>
        <v>VERITY HRA FEES</v>
      </c>
    </row>
    <row r="2747" spans="1:9" x14ac:dyDescent="0.3">
      <c r="A2747" t="str">
        <f>""</f>
        <v/>
      </c>
      <c r="F2747" t="str">
        <f>""</f>
        <v/>
      </c>
      <c r="G2747" t="str">
        <f>""</f>
        <v/>
      </c>
      <c r="I2747" t="str">
        <f t="shared" si="50"/>
        <v>VERITY HRA FEES</v>
      </c>
    </row>
    <row r="2748" spans="1:9" x14ac:dyDescent="0.3">
      <c r="A2748" t="str">
        <f>""</f>
        <v/>
      </c>
      <c r="F2748" t="str">
        <f>""</f>
        <v/>
      </c>
      <c r="G2748" t="str">
        <f>""</f>
        <v/>
      </c>
      <c r="I2748" t="str">
        <f t="shared" si="50"/>
        <v>VERITY HRA FEES</v>
      </c>
    </row>
    <row r="2749" spans="1:9" x14ac:dyDescent="0.3">
      <c r="A2749" t="str">
        <f>""</f>
        <v/>
      </c>
      <c r="F2749" t="str">
        <f>""</f>
        <v/>
      </c>
      <c r="G2749" t="str">
        <f>""</f>
        <v/>
      </c>
      <c r="I2749" t="str">
        <f t="shared" si="50"/>
        <v>VERITY HRA FEES</v>
      </c>
    </row>
    <row r="2750" spans="1:9" x14ac:dyDescent="0.3">
      <c r="A2750" t="str">
        <f>""</f>
        <v/>
      </c>
      <c r="F2750" t="str">
        <f>""</f>
        <v/>
      </c>
      <c r="G2750" t="str">
        <f>""</f>
        <v/>
      </c>
      <c r="I2750" t="str">
        <f t="shared" si="50"/>
        <v>VERITY HRA FEES</v>
      </c>
    </row>
    <row r="2751" spans="1:9" x14ac:dyDescent="0.3">
      <c r="A2751" t="str">
        <f>""</f>
        <v/>
      </c>
      <c r="F2751" t="str">
        <f>""</f>
        <v/>
      </c>
      <c r="G2751" t="str">
        <f>""</f>
        <v/>
      </c>
      <c r="I2751" t="str">
        <f t="shared" si="50"/>
        <v>VERITY HRA FEES</v>
      </c>
    </row>
    <row r="2752" spans="1:9" x14ac:dyDescent="0.3">
      <c r="A2752" t="str">
        <f>""</f>
        <v/>
      </c>
      <c r="F2752" t="str">
        <f>""</f>
        <v/>
      </c>
      <c r="G2752" t="str">
        <f>""</f>
        <v/>
      </c>
      <c r="I2752" t="str">
        <f t="shared" si="50"/>
        <v>VERITY HRA FEES</v>
      </c>
    </row>
    <row r="2753" spans="1:9" x14ac:dyDescent="0.3">
      <c r="A2753" t="str">
        <f>""</f>
        <v/>
      </c>
      <c r="F2753" t="str">
        <f>""</f>
        <v/>
      </c>
      <c r="G2753" t="str">
        <f>""</f>
        <v/>
      </c>
      <c r="I2753" t="str">
        <f t="shared" si="50"/>
        <v>VERITY HRA FEES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50"/>
        <v>VERITY HRA FEES</v>
      </c>
    </row>
    <row r="2755" spans="1:9" x14ac:dyDescent="0.3">
      <c r="A2755" t="str">
        <f>""</f>
        <v/>
      </c>
      <c r="F2755" t="str">
        <f>""</f>
        <v/>
      </c>
      <c r="G2755" t="str">
        <f>""</f>
        <v/>
      </c>
      <c r="I2755" t="str">
        <f t="shared" si="50"/>
        <v>VERITY HRA FEES</v>
      </c>
    </row>
    <row r="2756" spans="1:9" x14ac:dyDescent="0.3">
      <c r="A2756" t="str">
        <f>""</f>
        <v/>
      </c>
      <c r="F2756" t="str">
        <f>""</f>
        <v/>
      </c>
      <c r="G2756" t="str">
        <f>""</f>
        <v/>
      </c>
      <c r="I2756" t="str">
        <f t="shared" si="50"/>
        <v>VERITY HRA FEES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si="50"/>
        <v>VERITY HRA FEES</v>
      </c>
    </row>
    <row r="2758" spans="1:9" x14ac:dyDescent="0.3">
      <c r="A2758" t="str">
        <f>""</f>
        <v/>
      </c>
      <c r="F2758" t="str">
        <f>""</f>
        <v/>
      </c>
      <c r="G2758" t="str">
        <f>""</f>
        <v/>
      </c>
      <c r="I2758" t="str">
        <f t="shared" si="50"/>
        <v>VERITY HRA FEES</v>
      </c>
    </row>
    <row r="2759" spans="1:9" x14ac:dyDescent="0.3">
      <c r="A2759" t="str">
        <f>""</f>
        <v/>
      </c>
      <c r="F2759" t="str">
        <f>""</f>
        <v/>
      </c>
      <c r="G2759" t="str">
        <f>""</f>
        <v/>
      </c>
      <c r="I2759" t="str">
        <f t="shared" si="50"/>
        <v>VERITY HRA FEES</v>
      </c>
    </row>
    <row r="2760" spans="1:9" x14ac:dyDescent="0.3">
      <c r="A2760" t="str">
        <f>""</f>
        <v/>
      </c>
      <c r="F2760" t="str">
        <f>""</f>
        <v/>
      </c>
      <c r="G2760" t="str">
        <f>""</f>
        <v/>
      </c>
      <c r="I2760" t="str">
        <f t="shared" si="50"/>
        <v>VERITY HRA FEES</v>
      </c>
    </row>
    <row r="2761" spans="1:9" x14ac:dyDescent="0.3">
      <c r="A2761" t="str">
        <f>""</f>
        <v/>
      </c>
      <c r="F2761" t="str">
        <f>""</f>
        <v/>
      </c>
      <c r="G2761" t="str">
        <f>""</f>
        <v/>
      </c>
      <c r="I2761" t="str">
        <f t="shared" si="50"/>
        <v>VERITY HRA FEES</v>
      </c>
    </row>
    <row r="2762" spans="1:9" x14ac:dyDescent="0.3">
      <c r="A2762" t="str">
        <f>""</f>
        <v/>
      </c>
      <c r="F2762" t="str">
        <f>""</f>
        <v/>
      </c>
      <c r="G2762" t="str">
        <f>""</f>
        <v/>
      </c>
      <c r="I2762" t="str">
        <f t="shared" si="50"/>
        <v>VERITY HRA FEES</v>
      </c>
    </row>
    <row r="2763" spans="1:9" x14ac:dyDescent="0.3">
      <c r="A2763" t="str">
        <f>""</f>
        <v/>
      </c>
      <c r="F2763" t="str">
        <f>""</f>
        <v/>
      </c>
      <c r="G2763" t="str">
        <f>""</f>
        <v/>
      </c>
      <c r="I2763" t="str">
        <f t="shared" si="50"/>
        <v>VERITY HRA FEES</v>
      </c>
    </row>
    <row r="2764" spans="1:9" x14ac:dyDescent="0.3">
      <c r="A2764" t="str">
        <f>""</f>
        <v/>
      </c>
      <c r="F2764" t="str">
        <f>""</f>
        <v/>
      </c>
      <c r="G2764" t="str">
        <f>""</f>
        <v/>
      </c>
      <c r="I2764" t="str">
        <f t="shared" si="50"/>
        <v>VERITY HRA FEES</v>
      </c>
    </row>
    <row r="2765" spans="1:9" x14ac:dyDescent="0.3">
      <c r="A2765" t="str">
        <f>""</f>
        <v/>
      </c>
      <c r="F2765" t="str">
        <f>""</f>
        <v/>
      </c>
      <c r="G2765" t="str">
        <f>""</f>
        <v/>
      </c>
      <c r="I2765" t="str">
        <f t="shared" si="50"/>
        <v>VERITY HRA FEES</v>
      </c>
    </row>
    <row r="2766" spans="1:9" x14ac:dyDescent="0.3">
      <c r="A2766" t="str">
        <f>""</f>
        <v/>
      </c>
      <c r="F2766" t="str">
        <f>""</f>
        <v/>
      </c>
      <c r="G2766" t="str">
        <f>""</f>
        <v/>
      </c>
      <c r="I2766" t="str">
        <f t="shared" si="50"/>
        <v>VERITY HRA FEES</v>
      </c>
    </row>
    <row r="2767" spans="1:9" x14ac:dyDescent="0.3">
      <c r="A2767" t="str">
        <f>""</f>
        <v/>
      </c>
      <c r="F2767" t="str">
        <f>""</f>
        <v/>
      </c>
      <c r="G2767" t="str">
        <f>""</f>
        <v/>
      </c>
      <c r="I2767" t="str">
        <f t="shared" si="50"/>
        <v>VERITY HRA FEES</v>
      </c>
    </row>
    <row r="2768" spans="1:9" x14ac:dyDescent="0.3">
      <c r="A2768" t="str">
        <f>""</f>
        <v/>
      </c>
      <c r="F2768" t="str">
        <f>""</f>
        <v/>
      </c>
      <c r="G2768" t="str">
        <f>""</f>
        <v/>
      </c>
      <c r="I2768" t="str">
        <f t="shared" si="50"/>
        <v>VERITY HRA FEES</v>
      </c>
    </row>
    <row r="2769" spans="1:9" x14ac:dyDescent="0.3">
      <c r="A2769" t="str">
        <f>""</f>
        <v/>
      </c>
      <c r="F2769" t="str">
        <f>""</f>
        <v/>
      </c>
      <c r="G2769" t="str">
        <f>""</f>
        <v/>
      </c>
      <c r="I2769" t="str">
        <f t="shared" si="50"/>
        <v>VERITY HRA FEES</v>
      </c>
    </row>
    <row r="2770" spans="1:9" x14ac:dyDescent="0.3">
      <c r="A2770" t="str">
        <f>""</f>
        <v/>
      </c>
      <c r="F2770" t="str">
        <f>""</f>
        <v/>
      </c>
      <c r="G2770" t="str">
        <f>""</f>
        <v/>
      </c>
      <c r="I2770" t="str">
        <f t="shared" si="50"/>
        <v>VERITY HRA FEES</v>
      </c>
    </row>
    <row r="2771" spans="1:9" x14ac:dyDescent="0.3">
      <c r="A2771" t="str">
        <f>""</f>
        <v/>
      </c>
      <c r="F2771" t="str">
        <f>""</f>
        <v/>
      </c>
      <c r="G2771" t="str">
        <f>""</f>
        <v/>
      </c>
      <c r="I2771" t="str">
        <f t="shared" si="50"/>
        <v>VERITY HRA FEES</v>
      </c>
    </row>
    <row r="2772" spans="1:9" x14ac:dyDescent="0.3">
      <c r="A2772" t="str">
        <f>""</f>
        <v/>
      </c>
      <c r="F2772" t="str">
        <f>""</f>
        <v/>
      </c>
      <c r="G2772" t="str">
        <f>""</f>
        <v/>
      </c>
      <c r="I2772" t="str">
        <f t="shared" si="50"/>
        <v>VERITY HRA FEES</v>
      </c>
    </row>
    <row r="2773" spans="1:9" x14ac:dyDescent="0.3">
      <c r="A2773" t="str">
        <f>""</f>
        <v/>
      </c>
      <c r="F2773" t="str">
        <f>""</f>
        <v/>
      </c>
      <c r="G2773" t="str">
        <f>""</f>
        <v/>
      </c>
      <c r="I2773" t="str">
        <f t="shared" si="50"/>
        <v>VERITY HRA FEES</v>
      </c>
    </row>
    <row r="2774" spans="1:9" x14ac:dyDescent="0.3">
      <c r="A2774" t="str">
        <f>""</f>
        <v/>
      </c>
      <c r="F2774" t="str">
        <f>""</f>
        <v/>
      </c>
      <c r="G2774" t="str">
        <f>""</f>
        <v/>
      </c>
      <c r="I2774" t="str">
        <f t="shared" si="50"/>
        <v>VERITY HRA FEES</v>
      </c>
    </row>
    <row r="2775" spans="1:9" x14ac:dyDescent="0.3">
      <c r="A2775" t="str">
        <f>""</f>
        <v/>
      </c>
      <c r="F2775" t="str">
        <f>""</f>
        <v/>
      </c>
      <c r="G2775" t="str">
        <f>""</f>
        <v/>
      </c>
      <c r="I2775" t="str">
        <f t="shared" si="50"/>
        <v>VERITY HRA FEES</v>
      </c>
    </row>
    <row r="2776" spans="1:9" x14ac:dyDescent="0.3">
      <c r="A2776" t="str">
        <f>""</f>
        <v/>
      </c>
      <c r="F2776" t="str">
        <f>""</f>
        <v/>
      </c>
      <c r="G2776" t="str">
        <f>""</f>
        <v/>
      </c>
      <c r="I2776" t="str">
        <f t="shared" si="50"/>
        <v>VERITY HRA FEES</v>
      </c>
    </row>
    <row r="2777" spans="1:9" x14ac:dyDescent="0.3">
      <c r="A2777" t="str">
        <f>""</f>
        <v/>
      </c>
      <c r="F2777" t="str">
        <f>""</f>
        <v/>
      </c>
      <c r="G2777" t="str">
        <f>""</f>
        <v/>
      </c>
      <c r="I2777" t="str">
        <f t="shared" si="50"/>
        <v>VERITY HRA FEES</v>
      </c>
    </row>
    <row r="2778" spans="1:9" x14ac:dyDescent="0.3">
      <c r="A2778" t="str">
        <f>""</f>
        <v/>
      </c>
      <c r="F2778" t="str">
        <f>""</f>
        <v/>
      </c>
      <c r="G2778" t="str">
        <f>""</f>
        <v/>
      </c>
      <c r="I2778" t="str">
        <f t="shared" si="50"/>
        <v>VERITY HRA FEES</v>
      </c>
    </row>
    <row r="2779" spans="1:9" x14ac:dyDescent="0.3">
      <c r="A2779" t="str">
        <f>""</f>
        <v/>
      </c>
      <c r="F2779" t="str">
        <f>""</f>
        <v/>
      </c>
      <c r="G2779" t="str">
        <f>""</f>
        <v/>
      </c>
      <c r="I2779" t="str">
        <f t="shared" si="50"/>
        <v>VERITY HRA FEES</v>
      </c>
    </row>
    <row r="2780" spans="1:9" x14ac:dyDescent="0.3">
      <c r="A2780" t="str">
        <f>""</f>
        <v/>
      </c>
      <c r="F2780" t="str">
        <f>""</f>
        <v/>
      </c>
      <c r="G2780" t="str">
        <f>""</f>
        <v/>
      </c>
      <c r="I2780" t="str">
        <f t="shared" si="50"/>
        <v>VERITY HRA FEES</v>
      </c>
    </row>
    <row r="2781" spans="1:9" x14ac:dyDescent="0.3">
      <c r="A2781" t="str">
        <f>""</f>
        <v/>
      </c>
      <c r="F2781" t="str">
        <f>""</f>
        <v/>
      </c>
      <c r="G2781" t="str">
        <f>""</f>
        <v/>
      </c>
      <c r="I2781" t="str">
        <f t="shared" si="50"/>
        <v>VERITY HRA FEES</v>
      </c>
    </row>
    <row r="2782" spans="1:9" x14ac:dyDescent="0.3">
      <c r="A2782" t="str">
        <f>""</f>
        <v/>
      </c>
      <c r="F2782" t="str">
        <f>"HRA201709064604"</f>
        <v>HRA201709064604</v>
      </c>
      <c r="G2782" t="str">
        <f>"VERITY HRA FEES"</f>
        <v>VERITY HRA FEES</v>
      </c>
      <c r="H2782" s="2">
        <v>187.5</v>
      </c>
      <c r="I2782" t="str">
        <f t="shared" si="50"/>
        <v>VERITY HRA FEES</v>
      </c>
    </row>
    <row r="2783" spans="1:9" x14ac:dyDescent="0.3">
      <c r="A2783" t="str">
        <f>""</f>
        <v/>
      </c>
      <c r="F2783" t="str">
        <f>"HRF201709064584"</f>
        <v>HRF201709064584</v>
      </c>
      <c r="G2783" t="str">
        <f>"VERITY HRA FEE"</f>
        <v>VERITY HRA FEE</v>
      </c>
      <c r="H2783" s="2">
        <v>786</v>
      </c>
      <c r="I2783" t="str">
        <f t="shared" ref="I2783:I2823" si="51">"VERITY HRA FEE"</f>
        <v>VERITY HRA FEE</v>
      </c>
    </row>
    <row r="2784" spans="1:9" x14ac:dyDescent="0.3">
      <c r="A2784" t="str">
        <f>""</f>
        <v/>
      </c>
      <c r="F2784" t="str">
        <f>""</f>
        <v/>
      </c>
      <c r="G2784" t="str">
        <f>""</f>
        <v/>
      </c>
      <c r="I2784" t="str">
        <f t="shared" si="51"/>
        <v>VERITY HRA FEE</v>
      </c>
    </row>
    <row r="2785" spans="1:9" x14ac:dyDescent="0.3">
      <c r="A2785" t="str">
        <f>""</f>
        <v/>
      </c>
      <c r="F2785" t="str">
        <f>""</f>
        <v/>
      </c>
      <c r="G2785" t="str">
        <f>""</f>
        <v/>
      </c>
      <c r="I2785" t="str">
        <f t="shared" si="51"/>
        <v>VERITY HRA FEE</v>
      </c>
    </row>
    <row r="2786" spans="1:9" x14ac:dyDescent="0.3">
      <c r="A2786" t="str">
        <f>""</f>
        <v/>
      </c>
      <c r="F2786" t="str">
        <f>""</f>
        <v/>
      </c>
      <c r="G2786" t="str">
        <f>""</f>
        <v/>
      </c>
      <c r="I2786" t="str">
        <f t="shared" si="51"/>
        <v>VERITY HRA FEE</v>
      </c>
    </row>
    <row r="2787" spans="1:9" x14ac:dyDescent="0.3">
      <c r="A2787" t="str">
        <f>""</f>
        <v/>
      </c>
      <c r="F2787" t="str">
        <f>""</f>
        <v/>
      </c>
      <c r="G2787" t="str">
        <f>""</f>
        <v/>
      </c>
      <c r="I2787" t="str">
        <f t="shared" si="51"/>
        <v>VERITY HRA FEE</v>
      </c>
    </row>
    <row r="2788" spans="1:9" x14ac:dyDescent="0.3">
      <c r="A2788" t="str">
        <f>""</f>
        <v/>
      </c>
      <c r="F2788" t="str">
        <f>""</f>
        <v/>
      </c>
      <c r="G2788" t="str">
        <f>""</f>
        <v/>
      </c>
      <c r="I2788" t="str">
        <f t="shared" si="51"/>
        <v>VERITY HRA FEE</v>
      </c>
    </row>
    <row r="2789" spans="1:9" x14ac:dyDescent="0.3">
      <c r="A2789" t="str">
        <f>""</f>
        <v/>
      </c>
      <c r="F2789" t="str">
        <f>""</f>
        <v/>
      </c>
      <c r="G2789" t="str">
        <f>""</f>
        <v/>
      </c>
      <c r="I2789" t="str">
        <f t="shared" si="51"/>
        <v>VERITY HRA FEE</v>
      </c>
    </row>
    <row r="2790" spans="1:9" x14ac:dyDescent="0.3">
      <c r="A2790" t="str">
        <f>""</f>
        <v/>
      </c>
      <c r="F2790" t="str">
        <f>""</f>
        <v/>
      </c>
      <c r="G2790" t="str">
        <f>""</f>
        <v/>
      </c>
      <c r="I2790" t="str">
        <f t="shared" si="51"/>
        <v>VERITY HRA FEE</v>
      </c>
    </row>
    <row r="2791" spans="1:9" x14ac:dyDescent="0.3">
      <c r="A2791" t="str">
        <f>""</f>
        <v/>
      </c>
      <c r="F2791" t="str">
        <f>""</f>
        <v/>
      </c>
      <c r="G2791" t="str">
        <f>""</f>
        <v/>
      </c>
      <c r="I2791" t="str">
        <f t="shared" si="51"/>
        <v>VERITY HRA FEE</v>
      </c>
    </row>
    <row r="2792" spans="1:9" x14ac:dyDescent="0.3">
      <c r="A2792" t="str">
        <f>""</f>
        <v/>
      </c>
      <c r="F2792" t="str">
        <f>""</f>
        <v/>
      </c>
      <c r="G2792" t="str">
        <f>""</f>
        <v/>
      </c>
      <c r="I2792" t="str">
        <f t="shared" si="51"/>
        <v>VERITY HRA FEE</v>
      </c>
    </row>
    <row r="2793" spans="1:9" x14ac:dyDescent="0.3">
      <c r="A2793" t="str">
        <f>""</f>
        <v/>
      </c>
      <c r="F2793" t="str">
        <f>""</f>
        <v/>
      </c>
      <c r="G2793" t="str">
        <f>""</f>
        <v/>
      </c>
      <c r="I2793" t="str">
        <f t="shared" si="51"/>
        <v>VERITY HRA FEE</v>
      </c>
    </row>
    <row r="2794" spans="1:9" x14ac:dyDescent="0.3">
      <c r="A2794" t="str">
        <f>""</f>
        <v/>
      </c>
      <c r="F2794" t="str">
        <f>""</f>
        <v/>
      </c>
      <c r="G2794" t="str">
        <f>""</f>
        <v/>
      </c>
      <c r="I2794" t="str">
        <f t="shared" si="51"/>
        <v>VERITY HRA FEE</v>
      </c>
    </row>
    <row r="2795" spans="1:9" x14ac:dyDescent="0.3">
      <c r="A2795" t="str">
        <f>""</f>
        <v/>
      </c>
      <c r="F2795" t="str">
        <f>""</f>
        <v/>
      </c>
      <c r="G2795" t="str">
        <f>""</f>
        <v/>
      </c>
      <c r="I2795" t="str">
        <f t="shared" si="51"/>
        <v>VERITY HRA FEE</v>
      </c>
    </row>
    <row r="2796" spans="1:9" x14ac:dyDescent="0.3">
      <c r="A2796" t="str">
        <f>""</f>
        <v/>
      </c>
      <c r="F2796" t="str">
        <f>""</f>
        <v/>
      </c>
      <c r="G2796" t="str">
        <f>""</f>
        <v/>
      </c>
      <c r="I2796" t="str">
        <f t="shared" si="51"/>
        <v>VERITY HRA FEE</v>
      </c>
    </row>
    <row r="2797" spans="1:9" x14ac:dyDescent="0.3">
      <c r="A2797" t="str">
        <f>""</f>
        <v/>
      </c>
      <c r="F2797" t="str">
        <f>""</f>
        <v/>
      </c>
      <c r="G2797" t="str">
        <f>""</f>
        <v/>
      </c>
      <c r="I2797" t="str">
        <f t="shared" si="51"/>
        <v>VERITY HRA FEE</v>
      </c>
    </row>
    <row r="2798" spans="1:9" x14ac:dyDescent="0.3">
      <c r="A2798" t="str">
        <f>""</f>
        <v/>
      </c>
      <c r="F2798" t="str">
        <f>""</f>
        <v/>
      </c>
      <c r="G2798" t="str">
        <f>""</f>
        <v/>
      </c>
      <c r="I2798" t="str">
        <f t="shared" si="51"/>
        <v>VERITY HRA FEE</v>
      </c>
    </row>
    <row r="2799" spans="1:9" x14ac:dyDescent="0.3">
      <c r="A2799" t="str">
        <f>""</f>
        <v/>
      </c>
      <c r="F2799" t="str">
        <f>""</f>
        <v/>
      </c>
      <c r="G2799" t="str">
        <f>""</f>
        <v/>
      </c>
      <c r="I2799" t="str">
        <f t="shared" si="51"/>
        <v>VERITY HRA FEE</v>
      </c>
    </row>
    <row r="2800" spans="1:9" x14ac:dyDescent="0.3">
      <c r="A2800" t="str">
        <f>""</f>
        <v/>
      </c>
      <c r="F2800" t="str">
        <f>""</f>
        <v/>
      </c>
      <c r="G2800" t="str">
        <f>""</f>
        <v/>
      </c>
      <c r="I2800" t="str">
        <f t="shared" si="51"/>
        <v>VERITY HRA FEE</v>
      </c>
    </row>
    <row r="2801" spans="1:9" x14ac:dyDescent="0.3">
      <c r="A2801" t="str">
        <f>""</f>
        <v/>
      </c>
      <c r="F2801" t="str">
        <f>""</f>
        <v/>
      </c>
      <c r="G2801" t="str">
        <f>""</f>
        <v/>
      </c>
      <c r="I2801" t="str">
        <f t="shared" si="51"/>
        <v>VERITY HRA FEE</v>
      </c>
    </row>
    <row r="2802" spans="1:9" x14ac:dyDescent="0.3">
      <c r="A2802" t="str">
        <f>""</f>
        <v/>
      </c>
      <c r="F2802" t="str">
        <f>""</f>
        <v/>
      </c>
      <c r="G2802" t="str">
        <f>""</f>
        <v/>
      </c>
      <c r="I2802" t="str">
        <f t="shared" si="51"/>
        <v>VERITY HRA FEE</v>
      </c>
    </row>
    <row r="2803" spans="1:9" x14ac:dyDescent="0.3">
      <c r="A2803" t="str">
        <f>""</f>
        <v/>
      </c>
      <c r="F2803" t="str">
        <f>""</f>
        <v/>
      </c>
      <c r="G2803" t="str">
        <f>""</f>
        <v/>
      </c>
      <c r="I2803" t="str">
        <f t="shared" si="51"/>
        <v>VERITY HRA FEE</v>
      </c>
    </row>
    <row r="2804" spans="1:9" x14ac:dyDescent="0.3">
      <c r="A2804" t="str">
        <f>""</f>
        <v/>
      </c>
      <c r="F2804" t="str">
        <f>""</f>
        <v/>
      </c>
      <c r="G2804" t="str">
        <f>""</f>
        <v/>
      </c>
      <c r="I2804" t="str">
        <f t="shared" si="51"/>
        <v>VERITY HRA FEE</v>
      </c>
    </row>
    <row r="2805" spans="1:9" x14ac:dyDescent="0.3">
      <c r="A2805" t="str">
        <f>""</f>
        <v/>
      </c>
      <c r="F2805" t="str">
        <f>""</f>
        <v/>
      </c>
      <c r="G2805" t="str">
        <f>""</f>
        <v/>
      </c>
      <c r="I2805" t="str">
        <f t="shared" si="51"/>
        <v>VERITY HRA FEE</v>
      </c>
    </row>
    <row r="2806" spans="1:9" x14ac:dyDescent="0.3">
      <c r="A2806" t="str">
        <f>""</f>
        <v/>
      </c>
      <c r="F2806" t="str">
        <f>""</f>
        <v/>
      </c>
      <c r="G2806" t="str">
        <f>""</f>
        <v/>
      </c>
      <c r="I2806" t="str">
        <f t="shared" si="51"/>
        <v>VERITY HRA FEE</v>
      </c>
    </row>
    <row r="2807" spans="1:9" x14ac:dyDescent="0.3">
      <c r="A2807" t="str">
        <f>""</f>
        <v/>
      </c>
      <c r="F2807" t="str">
        <f>""</f>
        <v/>
      </c>
      <c r="G2807" t="str">
        <f>""</f>
        <v/>
      </c>
      <c r="I2807" t="str">
        <f t="shared" si="51"/>
        <v>VERITY HRA FEE</v>
      </c>
    </row>
    <row r="2808" spans="1:9" x14ac:dyDescent="0.3">
      <c r="A2808" t="str">
        <f>""</f>
        <v/>
      </c>
      <c r="F2808" t="str">
        <f>""</f>
        <v/>
      </c>
      <c r="G2808" t="str">
        <f>""</f>
        <v/>
      </c>
      <c r="I2808" t="str">
        <f t="shared" si="51"/>
        <v>VERITY HRA FEE</v>
      </c>
    </row>
    <row r="2809" spans="1:9" x14ac:dyDescent="0.3">
      <c r="A2809" t="str">
        <f>""</f>
        <v/>
      </c>
      <c r="F2809" t="str">
        <f>""</f>
        <v/>
      </c>
      <c r="G2809" t="str">
        <f>""</f>
        <v/>
      </c>
      <c r="I2809" t="str">
        <f t="shared" si="51"/>
        <v>VERITY HRA FEE</v>
      </c>
    </row>
    <row r="2810" spans="1:9" x14ac:dyDescent="0.3">
      <c r="A2810" t="str">
        <f>""</f>
        <v/>
      </c>
      <c r="F2810" t="str">
        <f>""</f>
        <v/>
      </c>
      <c r="G2810" t="str">
        <f>""</f>
        <v/>
      </c>
      <c r="I2810" t="str">
        <f t="shared" si="51"/>
        <v>VERITY HRA FEE</v>
      </c>
    </row>
    <row r="2811" spans="1:9" x14ac:dyDescent="0.3">
      <c r="A2811" t="str">
        <f>""</f>
        <v/>
      </c>
      <c r="F2811" t="str">
        <f>""</f>
        <v/>
      </c>
      <c r="G2811" t="str">
        <f>""</f>
        <v/>
      </c>
      <c r="I2811" t="str">
        <f t="shared" si="51"/>
        <v>VERITY HRA FEE</v>
      </c>
    </row>
    <row r="2812" spans="1:9" x14ac:dyDescent="0.3">
      <c r="A2812" t="str">
        <f>""</f>
        <v/>
      </c>
      <c r="F2812" t="str">
        <f>""</f>
        <v/>
      </c>
      <c r="G2812" t="str">
        <f>""</f>
        <v/>
      </c>
      <c r="I2812" t="str">
        <f t="shared" si="51"/>
        <v>VERITY HRA FEE</v>
      </c>
    </row>
    <row r="2813" spans="1:9" x14ac:dyDescent="0.3">
      <c r="A2813" t="str">
        <f>""</f>
        <v/>
      </c>
      <c r="F2813" t="str">
        <f>""</f>
        <v/>
      </c>
      <c r="G2813" t="str">
        <f>""</f>
        <v/>
      </c>
      <c r="I2813" t="str">
        <f t="shared" si="51"/>
        <v>VERITY HRA FEE</v>
      </c>
    </row>
    <row r="2814" spans="1:9" x14ac:dyDescent="0.3">
      <c r="A2814" t="str">
        <f>""</f>
        <v/>
      </c>
      <c r="F2814" t="str">
        <f>""</f>
        <v/>
      </c>
      <c r="G2814" t="str">
        <f>""</f>
        <v/>
      </c>
      <c r="I2814" t="str">
        <f t="shared" si="51"/>
        <v>VERITY HRA FEE</v>
      </c>
    </row>
    <row r="2815" spans="1:9" x14ac:dyDescent="0.3">
      <c r="A2815" t="str">
        <f>""</f>
        <v/>
      </c>
      <c r="F2815" t="str">
        <f>""</f>
        <v/>
      </c>
      <c r="G2815" t="str">
        <f>""</f>
        <v/>
      </c>
      <c r="I2815" t="str">
        <f t="shared" si="51"/>
        <v>VERITY HRA FEE</v>
      </c>
    </row>
    <row r="2816" spans="1:9" x14ac:dyDescent="0.3">
      <c r="A2816" t="str">
        <f>""</f>
        <v/>
      </c>
      <c r="F2816" t="str">
        <f>""</f>
        <v/>
      </c>
      <c r="G2816" t="str">
        <f>""</f>
        <v/>
      </c>
      <c r="I2816" t="str">
        <f t="shared" si="51"/>
        <v>VERITY HRA FEE</v>
      </c>
    </row>
    <row r="2817" spans="1:9" x14ac:dyDescent="0.3">
      <c r="A2817" t="str">
        <f>""</f>
        <v/>
      </c>
      <c r="F2817" t="str">
        <f>""</f>
        <v/>
      </c>
      <c r="G2817" t="str">
        <f>""</f>
        <v/>
      </c>
      <c r="I2817" t="str">
        <f t="shared" si="51"/>
        <v>VERITY HRA FEE</v>
      </c>
    </row>
    <row r="2818" spans="1:9" x14ac:dyDescent="0.3">
      <c r="A2818" t="str">
        <f>""</f>
        <v/>
      </c>
      <c r="F2818" t="str">
        <f>""</f>
        <v/>
      </c>
      <c r="G2818" t="str">
        <f>""</f>
        <v/>
      </c>
      <c r="I2818" t="str">
        <f t="shared" si="51"/>
        <v>VERITY HRA FEE</v>
      </c>
    </row>
    <row r="2819" spans="1:9" x14ac:dyDescent="0.3">
      <c r="A2819" t="str">
        <f>""</f>
        <v/>
      </c>
      <c r="F2819" t="str">
        <f>""</f>
        <v/>
      </c>
      <c r="G2819" t="str">
        <f>""</f>
        <v/>
      </c>
      <c r="I2819" t="str">
        <f t="shared" si="51"/>
        <v>VERITY HRA FEE</v>
      </c>
    </row>
    <row r="2820" spans="1:9" x14ac:dyDescent="0.3">
      <c r="A2820" t="str">
        <f>""</f>
        <v/>
      </c>
      <c r="F2820" t="str">
        <f>""</f>
        <v/>
      </c>
      <c r="G2820" t="str">
        <f>""</f>
        <v/>
      </c>
      <c r="I2820" t="str">
        <f t="shared" si="51"/>
        <v>VERITY HRA FEE</v>
      </c>
    </row>
    <row r="2821" spans="1:9" x14ac:dyDescent="0.3">
      <c r="A2821" t="str">
        <f>""</f>
        <v/>
      </c>
      <c r="F2821" t="str">
        <f>""</f>
        <v/>
      </c>
      <c r="G2821" t="str">
        <f>""</f>
        <v/>
      </c>
      <c r="I2821" t="str">
        <f t="shared" si="51"/>
        <v>VERITY HRA FEE</v>
      </c>
    </row>
    <row r="2822" spans="1:9" x14ac:dyDescent="0.3">
      <c r="A2822" t="str">
        <f>""</f>
        <v/>
      </c>
      <c r="F2822" t="str">
        <f>""</f>
        <v/>
      </c>
      <c r="G2822" t="str">
        <f>""</f>
        <v/>
      </c>
      <c r="I2822" t="str">
        <f t="shared" si="51"/>
        <v>VERITY HRA FEE</v>
      </c>
    </row>
    <row r="2823" spans="1:9" x14ac:dyDescent="0.3">
      <c r="A2823" t="str">
        <f>""</f>
        <v/>
      </c>
      <c r="F2823" t="str">
        <f>"HRF201709064604"</f>
        <v>HRF201709064604</v>
      </c>
      <c r="G2823" t="str">
        <f>"VERITY HRA FEE"</f>
        <v>VERITY HRA FEE</v>
      </c>
      <c r="H2823" s="2">
        <v>27</v>
      </c>
      <c r="I2823" t="str">
        <f t="shared" si="51"/>
        <v>VERITY HRA FEE</v>
      </c>
    </row>
    <row r="2824" spans="1:9" x14ac:dyDescent="0.3">
      <c r="A2824" t="str">
        <f>"VERITY"</f>
        <v>VERITY</v>
      </c>
      <c r="B2824" t="s">
        <v>500</v>
      </c>
      <c r="C2824">
        <v>0</v>
      </c>
      <c r="D2824" s="2">
        <v>17139.37</v>
      </c>
      <c r="E2824" s="1">
        <v>43000</v>
      </c>
      <c r="F2824" t="str">
        <f>"FSA201709205019"</f>
        <v>FSA201709205019</v>
      </c>
      <c r="G2824" t="str">
        <f>"VERITY NAT 125 VENDOR"</f>
        <v>VERITY NAT 125 VENDOR</v>
      </c>
      <c r="H2824" s="2">
        <v>7830.12</v>
      </c>
      <c r="I2824" t="str">
        <f>"VERITY NAT 125 VENDOR"</f>
        <v>VERITY NAT 125 VENDOR</v>
      </c>
    </row>
    <row r="2825" spans="1:9" x14ac:dyDescent="0.3">
      <c r="A2825" t="str">
        <f>""</f>
        <v/>
      </c>
      <c r="F2825" t="str">
        <f>"FSA201709205020"</f>
        <v>FSA201709205020</v>
      </c>
      <c r="G2825" t="str">
        <f>"VERITY NAT 125 VENDOR"</f>
        <v>VERITY NAT 125 VENDOR</v>
      </c>
      <c r="H2825" s="2">
        <v>528.16999999999996</v>
      </c>
      <c r="I2825" t="str">
        <f>"VERITY NAT 125 VENDOR"</f>
        <v>VERITY NAT 125 VENDOR</v>
      </c>
    </row>
    <row r="2826" spans="1:9" x14ac:dyDescent="0.3">
      <c r="A2826" t="str">
        <f>""</f>
        <v/>
      </c>
      <c r="F2826" t="str">
        <f>"FSC201709205019"</f>
        <v>FSC201709205019</v>
      </c>
      <c r="G2826" t="str">
        <f>"VERITY NAT 125 DEP CARE"</f>
        <v>VERITY NAT 125 DEP CARE</v>
      </c>
      <c r="H2826" s="2">
        <v>416.66</v>
      </c>
      <c r="I2826" t="str">
        <f>"VERITY NAT 125 DEP CARE"</f>
        <v>VERITY NAT 125 DEP CARE</v>
      </c>
    </row>
    <row r="2827" spans="1:9" x14ac:dyDescent="0.3">
      <c r="A2827" t="str">
        <f>""</f>
        <v/>
      </c>
      <c r="F2827" t="str">
        <f>"FSF201709205019"</f>
        <v>FSF201709205019</v>
      </c>
      <c r="G2827" t="str">
        <f>"VERITY NAT 125 VENDOR"</f>
        <v>VERITY NAT 125 VENDOR</v>
      </c>
      <c r="H2827" s="2">
        <v>607.75</v>
      </c>
      <c r="I2827" t="str">
        <f t="shared" ref="I2827:I2866" si="52">"VERITY NAT 125 VENDOR"</f>
        <v>VERITY NAT 125 VENDOR</v>
      </c>
    </row>
    <row r="2828" spans="1:9" x14ac:dyDescent="0.3">
      <c r="A2828" t="str">
        <f>""</f>
        <v/>
      </c>
      <c r="F2828" t="str">
        <f>""</f>
        <v/>
      </c>
      <c r="G2828" t="str">
        <f>""</f>
        <v/>
      </c>
      <c r="I2828" t="str">
        <f t="shared" si="52"/>
        <v>VERITY NAT 125 VENDOR</v>
      </c>
    </row>
    <row r="2829" spans="1:9" x14ac:dyDescent="0.3">
      <c r="A2829" t="str">
        <f>""</f>
        <v/>
      </c>
      <c r="F2829" t="str">
        <f>""</f>
        <v/>
      </c>
      <c r="G2829" t="str">
        <f>""</f>
        <v/>
      </c>
      <c r="I2829" t="str">
        <f t="shared" si="52"/>
        <v>VERITY NAT 125 VENDOR</v>
      </c>
    </row>
    <row r="2830" spans="1:9" x14ac:dyDescent="0.3">
      <c r="A2830" t="str">
        <f>""</f>
        <v/>
      </c>
      <c r="F2830" t="str">
        <f>""</f>
        <v/>
      </c>
      <c r="G2830" t="str">
        <f>""</f>
        <v/>
      </c>
      <c r="I2830" t="str">
        <f t="shared" si="52"/>
        <v>VERITY NAT 125 VENDOR</v>
      </c>
    </row>
    <row r="2831" spans="1:9" x14ac:dyDescent="0.3">
      <c r="A2831" t="str">
        <f>""</f>
        <v/>
      </c>
      <c r="F2831" t="str">
        <f>""</f>
        <v/>
      </c>
      <c r="G2831" t="str">
        <f>""</f>
        <v/>
      </c>
      <c r="I2831" t="str">
        <f t="shared" si="52"/>
        <v>VERITY NAT 125 VENDOR</v>
      </c>
    </row>
    <row r="2832" spans="1:9" x14ac:dyDescent="0.3">
      <c r="A2832" t="str">
        <f>""</f>
        <v/>
      </c>
      <c r="F2832" t="str">
        <f>""</f>
        <v/>
      </c>
      <c r="G2832" t="str">
        <f>""</f>
        <v/>
      </c>
      <c r="I2832" t="str">
        <f t="shared" si="52"/>
        <v>VERITY NAT 125 VENDOR</v>
      </c>
    </row>
    <row r="2833" spans="1:9" x14ac:dyDescent="0.3">
      <c r="A2833" t="str">
        <f>""</f>
        <v/>
      </c>
      <c r="F2833" t="str">
        <f>""</f>
        <v/>
      </c>
      <c r="G2833" t="str">
        <f>""</f>
        <v/>
      </c>
      <c r="I2833" t="str">
        <f t="shared" si="52"/>
        <v>VERITY NAT 125 VENDOR</v>
      </c>
    </row>
    <row r="2834" spans="1:9" x14ac:dyDescent="0.3">
      <c r="A2834" t="str">
        <f>""</f>
        <v/>
      </c>
      <c r="F2834" t="str">
        <f>""</f>
        <v/>
      </c>
      <c r="G2834" t="str">
        <f>""</f>
        <v/>
      </c>
      <c r="I2834" t="str">
        <f t="shared" si="52"/>
        <v>VERITY NAT 125 VENDOR</v>
      </c>
    </row>
    <row r="2835" spans="1:9" x14ac:dyDescent="0.3">
      <c r="A2835" t="str">
        <f>""</f>
        <v/>
      </c>
      <c r="F2835" t="str">
        <f>""</f>
        <v/>
      </c>
      <c r="G2835" t="str">
        <f>""</f>
        <v/>
      </c>
      <c r="I2835" t="str">
        <f t="shared" si="52"/>
        <v>VERITY NAT 125 VENDOR</v>
      </c>
    </row>
    <row r="2836" spans="1:9" x14ac:dyDescent="0.3">
      <c r="A2836" t="str">
        <f>""</f>
        <v/>
      </c>
      <c r="F2836" t="str">
        <f>""</f>
        <v/>
      </c>
      <c r="G2836" t="str">
        <f>""</f>
        <v/>
      </c>
      <c r="I2836" t="str">
        <f t="shared" si="52"/>
        <v>VERITY NAT 125 VENDOR</v>
      </c>
    </row>
    <row r="2837" spans="1:9" x14ac:dyDescent="0.3">
      <c r="A2837" t="str">
        <f>""</f>
        <v/>
      </c>
      <c r="F2837" t="str">
        <f>""</f>
        <v/>
      </c>
      <c r="G2837" t="str">
        <f>""</f>
        <v/>
      </c>
      <c r="I2837" t="str">
        <f t="shared" si="52"/>
        <v>VERITY NAT 125 VENDOR</v>
      </c>
    </row>
    <row r="2838" spans="1:9" x14ac:dyDescent="0.3">
      <c r="A2838" t="str">
        <f>""</f>
        <v/>
      </c>
      <c r="F2838" t="str">
        <f>""</f>
        <v/>
      </c>
      <c r="G2838" t="str">
        <f>""</f>
        <v/>
      </c>
      <c r="I2838" t="str">
        <f t="shared" si="52"/>
        <v>VERITY NAT 125 VENDOR</v>
      </c>
    </row>
    <row r="2839" spans="1:9" x14ac:dyDescent="0.3">
      <c r="A2839" t="str">
        <f>""</f>
        <v/>
      </c>
      <c r="F2839" t="str">
        <f>""</f>
        <v/>
      </c>
      <c r="G2839" t="str">
        <f>""</f>
        <v/>
      </c>
      <c r="I2839" t="str">
        <f t="shared" si="52"/>
        <v>VERITY NAT 125 VENDOR</v>
      </c>
    </row>
    <row r="2840" spans="1:9" x14ac:dyDescent="0.3">
      <c r="A2840" t="str">
        <f>""</f>
        <v/>
      </c>
      <c r="F2840" t="str">
        <f>""</f>
        <v/>
      </c>
      <c r="G2840" t="str">
        <f>""</f>
        <v/>
      </c>
      <c r="I2840" t="str">
        <f t="shared" si="52"/>
        <v>VERITY NAT 125 VENDOR</v>
      </c>
    </row>
    <row r="2841" spans="1:9" x14ac:dyDescent="0.3">
      <c r="A2841" t="str">
        <f>""</f>
        <v/>
      </c>
      <c r="F2841" t="str">
        <f>""</f>
        <v/>
      </c>
      <c r="G2841" t="str">
        <f>""</f>
        <v/>
      </c>
      <c r="I2841" t="str">
        <f t="shared" si="52"/>
        <v>VERITY NAT 125 VENDOR</v>
      </c>
    </row>
    <row r="2842" spans="1:9" x14ac:dyDescent="0.3">
      <c r="A2842" t="str">
        <f>""</f>
        <v/>
      </c>
      <c r="F2842" t="str">
        <f>""</f>
        <v/>
      </c>
      <c r="G2842" t="str">
        <f>""</f>
        <v/>
      </c>
      <c r="I2842" t="str">
        <f t="shared" si="52"/>
        <v>VERITY NAT 125 VENDOR</v>
      </c>
    </row>
    <row r="2843" spans="1:9" x14ac:dyDescent="0.3">
      <c r="A2843" t="str">
        <f>""</f>
        <v/>
      </c>
      <c r="F2843" t="str">
        <f>""</f>
        <v/>
      </c>
      <c r="G2843" t="str">
        <f>""</f>
        <v/>
      </c>
      <c r="I2843" t="str">
        <f t="shared" si="52"/>
        <v>VERITY NAT 125 VENDOR</v>
      </c>
    </row>
    <row r="2844" spans="1:9" x14ac:dyDescent="0.3">
      <c r="A2844" t="str">
        <f>""</f>
        <v/>
      </c>
      <c r="F2844" t="str">
        <f>""</f>
        <v/>
      </c>
      <c r="G2844" t="str">
        <f>""</f>
        <v/>
      </c>
      <c r="I2844" t="str">
        <f t="shared" si="52"/>
        <v>VERITY NAT 125 VENDOR</v>
      </c>
    </row>
    <row r="2845" spans="1:9" x14ac:dyDescent="0.3">
      <c r="A2845" t="str">
        <f>""</f>
        <v/>
      </c>
      <c r="F2845" t="str">
        <f>""</f>
        <v/>
      </c>
      <c r="G2845" t="str">
        <f>""</f>
        <v/>
      </c>
      <c r="I2845" t="str">
        <f t="shared" si="52"/>
        <v>VERITY NAT 125 VENDOR</v>
      </c>
    </row>
    <row r="2846" spans="1:9" x14ac:dyDescent="0.3">
      <c r="A2846" t="str">
        <f>""</f>
        <v/>
      </c>
      <c r="F2846" t="str">
        <f>""</f>
        <v/>
      </c>
      <c r="G2846" t="str">
        <f>""</f>
        <v/>
      </c>
      <c r="I2846" t="str">
        <f t="shared" si="52"/>
        <v>VERITY NAT 125 VENDOR</v>
      </c>
    </row>
    <row r="2847" spans="1:9" x14ac:dyDescent="0.3">
      <c r="A2847" t="str">
        <f>""</f>
        <v/>
      </c>
      <c r="F2847" t="str">
        <f>""</f>
        <v/>
      </c>
      <c r="G2847" t="str">
        <f>""</f>
        <v/>
      </c>
      <c r="I2847" t="str">
        <f t="shared" si="52"/>
        <v>VERITY NAT 125 VENDOR</v>
      </c>
    </row>
    <row r="2848" spans="1:9" x14ac:dyDescent="0.3">
      <c r="A2848" t="str">
        <f>""</f>
        <v/>
      </c>
      <c r="F2848" t="str">
        <f>""</f>
        <v/>
      </c>
      <c r="G2848" t="str">
        <f>""</f>
        <v/>
      </c>
      <c r="I2848" t="str">
        <f t="shared" si="52"/>
        <v>VERITY NAT 125 VENDOR</v>
      </c>
    </row>
    <row r="2849" spans="1:9" x14ac:dyDescent="0.3">
      <c r="A2849" t="str">
        <f>""</f>
        <v/>
      </c>
      <c r="F2849" t="str">
        <f>""</f>
        <v/>
      </c>
      <c r="G2849" t="str">
        <f>""</f>
        <v/>
      </c>
      <c r="I2849" t="str">
        <f t="shared" si="52"/>
        <v>VERITY NAT 125 VENDOR</v>
      </c>
    </row>
    <row r="2850" spans="1:9" x14ac:dyDescent="0.3">
      <c r="A2850" t="str">
        <f>""</f>
        <v/>
      </c>
      <c r="F2850" t="str">
        <f>""</f>
        <v/>
      </c>
      <c r="G2850" t="str">
        <f>""</f>
        <v/>
      </c>
      <c r="I2850" t="str">
        <f t="shared" si="52"/>
        <v>VERITY NAT 125 VENDOR</v>
      </c>
    </row>
    <row r="2851" spans="1:9" x14ac:dyDescent="0.3">
      <c r="A2851" t="str">
        <f>""</f>
        <v/>
      </c>
      <c r="F2851" t="str">
        <f>""</f>
        <v/>
      </c>
      <c r="G2851" t="str">
        <f>""</f>
        <v/>
      </c>
      <c r="I2851" t="str">
        <f t="shared" si="52"/>
        <v>VERITY NAT 125 VENDOR</v>
      </c>
    </row>
    <row r="2852" spans="1:9" x14ac:dyDescent="0.3">
      <c r="A2852" t="str">
        <f>""</f>
        <v/>
      </c>
      <c r="F2852" t="str">
        <f>""</f>
        <v/>
      </c>
      <c r="G2852" t="str">
        <f>""</f>
        <v/>
      </c>
      <c r="I2852" t="str">
        <f t="shared" si="52"/>
        <v>VERITY NAT 125 VENDOR</v>
      </c>
    </row>
    <row r="2853" spans="1:9" x14ac:dyDescent="0.3">
      <c r="A2853" t="str">
        <f>""</f>
        <v/>
      </c>
      <c r="F2853" t="str">
        <f>""</f>
        <v/>
      </c>
      <c r="G2853" t="str">
        <f>""</f>
        <v/>
      </c>
      <c r="I2853" t="str">
        <f t="shared" si="52"/>
        <v>VERITY NAT 125 VENDOR</v>
      </c>
    </row>
    <row r="2854" spans="1:9" x14ac:dyDescent="0.3">
      <c r="A2854" t="str">
        <f>""</f>
        <v/>
      </c>
      <c r="F2854" t="str">
        <f>""</f>
        <v/>
      </c>
      <c r="G2854" t="str">
        <f>""</f>
        <v/>
      </c>
      <c r="I2854" t="str">
        <f t="shared" si="52"/>
        <v>VERITY NAT 125 VENDOR</v>
      </c>
    </row>
    <row r="2855" spans="1:9" x14ac:dyDescent="0.3">
      <c r="A2855" t="str">
        <f>""</f>
        <v/>
      </c>
      <c r="F2855" t="str">
        <f>""</f>
        <v/>
      </c>
      <c r="G2855" t="str">
        <f>""</f>
        <v/>
      </c>
      <c r="I2855" t="str">
        <f t="shared" si="52"/>
        <v>VERITY NAT 125 VENDOR</v>
      </c>
    </row>
    <row r="2856" spans="1:9" x14ac:dyDescent="0.3">
      <c r="A2856" t="str">
        <f>""</f>
        <v/>
      </c>
      <c r="F2856" t="str">
        <f>""</f>
        <v/>
      </c>
      <c r="G2856" t="str">
        <f>""</f>
        <v/>
      </c>
      <c r="I2856" t="str">
        <f t="shared" si="52"/>
        <v>VERITY NAT 125 VENDOR</v>
      </c>
    </row>
    <row r="2857" spans="1:9" x14ac:dyDescent="0.3">
      <c r="A2857" t="str">
        <f>""</f>
        <v/>
      </c>
      <c r="F2857" t="str">
        <f>""</f>
        <v/>
      </c>
      <c r="G2857" t="str">
        <f>""</f>
        <v/>
      </c>
      <c r="I2857" t="str">
        <f t="shared" si="52"/>
        <v>VERITY NAT 125 VENDOR</v>
      </c>
    </row>
    <row r="2858" spans="1:9" x14ac:dyDescent="0.3">
      <c r="A2858" t="str">
        <f>""</f>
        <v/>
      </c>
      <c r="F2858" t="str">
        <f>""</f>
        <v/>
      </c>
      <c r="G2858" t="str">
        <f>""</f>
        <v/>
      </c>
      <c r="I2858" t="str">
        <f t="shared" si="52"/>
        <v>VERITY NAT 125 VENDOR</v>
      </c>
    </row>
    <row r="2859" spans="1:9" x14ac:dyDescent="0.3">
      <c r="A2859" t="str">
        <f>""</f>
        <v/>
      </c>
      <c r="F2859" t="str">
        <f>""</f>
        <v/>
      </c>
      <c r="G2859" t="str">
        <f>""</f>
        <v/>
      </c>
      <c r="I2859" t="str">
        <f t="shared" si="52"/>
        <v>VERITY NAT 125 VENDOR</v>
      </c>
    </row>
    <row r="2860" spans="1:9" x14ac:dyDescent="0.3">
      <c r="A2860" t="str">
        <f>""</f>
        <v/>
      </c>
      <c r="F2860" t="str">
        <f>""</f>
        <v/>
      </c>
      <c r="G2860" t="str">
        <f>""</f>
        <v/>
      </c>
      <c r="I2860" t="str">
        <f t="shared" si="52"/>
        <v>VERITY NAT 125 VENDOR</v>
      </c>
    </row>
    <row r="2861" spans="1:9" x14ac:dyDescent="0.3">
      <c r="A2861" t="str">
        <f>""</f>
        <v/>
      </c>
      <c r="F2861" t="str">
        <f>""</f>
        <v/>
      </c>
      <c r="G2861" t="str">
        <f>""</f>
        <v/>
      </c>
      <c r="I2861" t="str">
        <f t="shared" si="52"/>
        <v>VERITY NAT 125 VENDOR</v>
      </c>
    </row>
    <row r="2862" spans="1:9" x14ac:dyDescent="0.3">
      <c r="A2862" t="str">
        <f>""</f>
        <v/>
      </c>
      <c r="F2862" t="str">
        <f>""</f>
        <v/>
      </c>
      <c r="G2862" t="str">
        <f>""</f>
        <v/>
      </c>
      <c r="I2862" t="str">
        <f t="shared" si="52"/>
        <v>VERITY NAT 125 VENDOR</v>
      </c>
    </row>
    <row r="2863" spans="1:9" x14ac:dyDescent="0.3">
      <c r="A2863" t="str">
        <f>""</f>
        <v/>
      </c>
      <c r="F2863" t="str">
        <f>""</f>
        <v/>
      </c>
      <c r="G2863" t="str">
        <f>""</f>
        <v/>
      </c>
      <c r="I2863" t="str">
        <f t="shared" si="52"/>
        <v>VERITY NAT 125 VENDOR</v>
      </c>
    </row>
    <row r="2864" spans="1:9" x14ac:dyDescent="0.3">
      <c r="A2864" t="str">
        <f>""</f>
        <v/>
      </c>
      <c r="F2864" t="str">
        <f>""</f>
        <v/>
      </c>
      <c r="G2864" t="str">
        <f>""</f>
        <v/>
      </c>
      <c r="I2864" t="str">
        <f t="shared" si="52"/>
        <v>VERITY NAT 125 VENDOR</v>
      </c>
    </row>
    <row r="2865" spans="1:9" x14ac:dyDescent="0.3">
      <c r="A2865" t="str">
        <f>""</f>
        <v/>
      </c>
      <c r="F2865" t="str">
        <f>"FSF201709205020"</f>
        <v>FSF201709205020</v>
      </c>
      <c r="G2865" t="str">
        <f>"VERITY NAT 125 VENDOR"</f>
        <v>VERITY NAT 125 VENDOR</v>
      </c>
      <c r="H2865" s="2">
        <v>25.5</v>
      </c>
      <c r="I2865" t="str">
        <f t="shared" si="52"/>
        <v>VERITY NAT 125 VENDOR</v>
      </c>
    </row>
    <row r="2866" spans="1:9" x14ac:dyDescent="0.3">
      <c r="A2866" t="str">
        <f>""</f>
        <v/>
      </c>
      <c r="F2866" t="str">
        <f>""</f>
        <v/>
      </c>
      <c r="G2866" t="str">
        <f>""</f>
        <v/>
      </c>
      <c r="I2866" t="str">
        <f t="shared" si="52"/>
        <v>VERITY NAT 125 VENDOR</v>
      </c>
    </row>
    <row r="2867" spans="1:9" x14ac:dyDescent="0.3">
      <c r="A2867" t="str">
        <f>""</f>
        <v/>
      </c>
      <c r="F2867" t="str">
        <f>"FSO201709205019"</f>
        <v>FSO201709205019</v>
      </c>
      <c r="G2867" t="str">
        <f>"VERITY FSA ONLY FEE"</f>
        <v>VERITY FSA ONLY FEE</v>
      </c>
      <c r="H2867" s="2">
        <v>24</v>
      </c>
      <c r="I2867" t="str">
        <f t="shared" ref="I2867:I2876" si="53">"VERITY FSA ONLY FEE"</f>
        <v>VERITY FSA ONLY FEE</v>
      </c>
    </row>
    <row r="2868" spans="1:9" x14ac:dyDescent="0.3">
      <c r="A2868" t="str">
        <f>""</f>
        <v/>
      </c>
      <c r="F2868" t="str">
        <f>""</f>
        <v/>
      </c>
      <c r="G2868" t="str">
        <f>""</f>
        <v/>
      </c>
      <c r="I2868" t="str">
        <f t="shared" si="53"/>
        <v>VERITY FSA ONLY FEE</v>
      </c>
    </row>
    <row r="2869" spans="1:9" x14ac:dyDescent="0.3">
      <c r="A2869" t="str">
        <f>""</f>
        <v/>
      </c>
      <c r="F2869" t="str">
        <f>""</f>
        <v/>
      </c>
      <c r="G2869" t="str">
        <f>""</f>
        <v/>
      </c>
      <c r="I2869" t="str">
        <f t="shared" si="53"/>
        <v>VERITY FSA ONLY FEE</v>
      </c>
    </row>
    <row r="2870" spans="1:9" x14ac:dyDescent="0.3">
      <c r="A2870" t="str">
        <f>""</f>
        <v/>
      </c>
      <c r="F2870" t="str">
        <f>""</f>
        <v/>
      </c>
      <c r="G2870" t="str">
        <f>""</f>
        <v/>
      </c>
      <c r="I2870" t="str">
        <f t="shared" si="53"/>
        <v>VERITY FSA ONLY FEE</v>
      </c>
    </row>
    <row r="2871" spans="1:9" x14ac:dyDescent="0.3">
      <c r="A2871" t="str">
        <f>""</f>
        <v/>
      </c>
      <c r="F2871" t="str">
        <f>""</f>
        <v/>
      </c>
      <c r="G2871" t="str">
        <f>""</f>
        <v/>
      </c>
      <c r="I2871" t="str">
        <f t="shared" si="53"/>
        <v>VERITY FSA ONLY FEE</v>
      </c>
    </row>
    <row r="2872" spans="1:9" x14ac:dyDescent="0.3">
      <c r="A2872" t="str">
        <f>""</f>
        <v/>
      </c>
      <c r="F2872" t="str">
        <f>""</f>
        <v/>
      </c>
      <c r="G2872" t="str">
        <f>""</f>
        <v/>
      </c>
      <c r="I2872" t="str">
        <f t="shared" si="53"/>
        <v>VERITY FSA ONLY FEE</v>
      </c>
    </row>
    <row r="2873" spans="1:9" x14ac:dyDescent="0.3">
      <c r="A2873" t="str">
        <f>""</f>
        <v/>
      </c>
      <c r="F2873" t="str">
        <f>""</f>
        <v/>
      </c>
      <c r="G2873" t="str">
        <f>""</f>
        <v/>
      </c>
      <c r="I2873" t="str">
        <f t="shared" si="53"/>
        <v>VERITY FSA ONLY FEE</v>
      </c>
    </row>
    <row r="2874" spans="1:9" x14ac:dyDescent="0.3">
      <c r="A2874" t="str">
        <f>""</f>
        <v/>
      </c>
      <c r="F2874" t="str">
        <f>""</f>
        <v/>
      </c>
      <c r="G2874" t="str">
        <f>""</f>
        <v/>
      </c>
      <c r="I2874" t="str">
        <f t="shared" si="53"/>
        <v>VERITY FSA ONLY FEE</v>
      </c>
    </row>
    <row r="2875" spans="1:9" x14ac:dyDescent="0.3">
      <c r="A2875" t="str">
        <f>""</f>
        <v/>
      </c>
      <c r="F2875" t="str">
        <f>""</f>
        <v/>
      </c>
      <c r="G2875" t="str">
        <f>""</f>
        <v/>
      </c>
      <c r="I2875" t="str">
        <f t="shared" si="53"/>
        <v>VERITY FSA ONLY FEE</v>
      </c>
    </row>
    <row r="2876" spans="1:9" x14ac:dyDescent="0.3">
      <c r="A2876" t="str">
        <f>""</f>
        <v/>
      </c>
      <c r="F2876" t="str">
        <f>""</f>
        <v/>
      </c>
      <c r="G2876" t="str">
        <f>""</f>
        <v/>
      </c>
      <c r="I2876" t="str">
        <f t="shared" si="53"/>
        <v>VERITY FSA ONLY FEE</v>
      </c>
    </row>
    <row r="2877" spans="1:9" x14ac:dyDescent="0.3">
      <c r="A2877" t="str">
        <f>""</f>
        <v/>
      </c>
      <c r="F2877" t="str">
        <f>"FSO201709205020"</f>
        <v>FSO201709205020</v>
      </c>
      <c r="G2877" t="str">
        <f>"VERITY FSA ONLY"</f>
        <v>VERITY FSA ONLY</v>
      </c>
      <c r="H2877" s="2">
        <v>3</v>
      </c>
      <c r="I2877" t="str">
        <f>"VERITY FSA ONLY"</f>
        <v>VERITY FSA ONLY</v>
      </c>
    </row>
    <row r="2878" spans="1:9" x14ac:dyDescent="0.3">
      <c r="A2878" t="str">
        <f>""</f>
        <v/>
      </c>
      <c r="F2878" t="str">
        <f>""</f>
        <v/>
      </c>
      <c r="G2878" t="str">
        <f>""</f>
        <v/>
      </c>
      <c r="I2878" t="str">
        <f>"VERITY FSA ONLY"</f>
        <v>VERITY FSA ONLY</v>
      </c>
    </row>
    <row r="2879" spans="1:9" x14ac:dyDescent="0.3">
      <c r="A2879" t="str">
        <f>""</f>
        <v/>
      </c>
      <c r="F2879" t="str">
        <f>"HRA201709084855"</f>
        <v>HRA201709084855</v>
      </c>
      <c r="G2879" t="str">
        <f>"VERITY HRA FEES"</f>
        <v>VERITY HRA FEES</v>
      </c>
      <c r="H2879" s="2">
        <v>25</v>
      </c>
      <c r="I2879" t="str">
        <f t="shared" ref="I2879:I2910" si="54">"VERITY HRA FEES"</f>
        <v>VERITY HRA FEES</v>
      </c>
    </row>
    <row r="2880" spans="1:9" x14ac:dyDescent="0.3">
      <c r="A2880" t="str">
        <f>""</f>
        <v/>
      </c>
      <c r="F2880" t="str">
        <f>"HRA201709205019"</f>
        <v>HRA201709205019</v>
      </c>
      <c r="G2880" t="str">
        <f>"VERITY HRA FEES"</f>
        <v>VERITY HRA FEES</v>
      </c>
      <c r="H2880" s="2">
        <v>6684.67</v>
      </c>
      <c r="I2880" t="str">
        <f t="shared" si="54"/>
        <v>VERITY HRA FEES</v>
      </c>
    </row>
    <row r="2881" spans="1:9" x14ac:dyDescent="0.3">
      <c r="A2881" t="str">
        <f>""</f>
        <v/>
      </c>
      <c r="F2881" t="str">
        <f>""</f>
        <v/>
      </c>
      <c r="G2881" t="str">
        <f>""</f>
        <v/>
      </c>
      <c r="I2881" t="str">
        <f t="shared" si="54"/>
        <v>VERITY HRA FEES</v>
      </c>
    </row>
    <row r="2882" spans="1:9" x14ac:dyDescent="0.3">
      <c r="A2882" t="str">
        <f>""</f>
        <v/>
      </c>
      <c r="F2882" t="str">
        <f>""</f>
        <v/>
      </c>
      <c r="G2882" t="str">
        <f>""</f>
        <v/>
      </c>
      <c r="I2882" t="str">
        <f t="shared" si="54"/>
        <v>VERITY HRA FEES</v>
      </c>
    </row>
    <row r="2883" spans="1:9" x14ac:dyDescent="0.3">
      <c r="A2883" t="str">
        <f>""</f>
        <v/>
      </c>
      <c r="F2883" t="str">
        <f>""</f>
        <v/>
      </c>
      <c r="G2883" t="str">
        <f>""</f>
        <v/>
      </c>
      <c r="I2883" t="str">
        <f t="shared" si="54"/>
        <v>VERITY HRA FEES</v>
      </c>
    </row>
    <row r="2884" spans="1:9" x14ac:dyDescent="0.3">
      <c r="A2884" t="str">
        <f>""</f>
        <v/>
      </c>
      <c r="F2884" t="str">
        <f>""</f>
        <v/>
      </c>
      <c r="G2884" t="str">
        <f>""</f>
        <v/>
      </c>
      <c r="I2884" t="str">
        <f t="shared" si="54"/>
        <v>VERITY HRA FEES</v>
      </c>
    </row>
    <row r="2885" spans="1:9" x14ac:dyDescent="0.3">
      <c r="A2885" t="str">
        <f>""</f>
        <v/>
      </c>
      <c r="F2885" t="str">
        <f>""</f>
        <v/>
      </c>
      <c r="G2885" t="str">
        <f>""</f>
        <v/>
      </c>
      <c r="I2885" t="str">
        <f t="shared" si="54"/>
        <v>VERITY HRA FEES</v>
      </c>
    </row>
    <row r="2886" spans="1:9" x14ac:dyDescent="0.3">
      <c r="A2886" t="str">
        <f>""</f>
        <v/>
      </c>
      <c r="F2886" t="str">
        <f>""</f>
        <v/>
      </c>
      <c r="G2886" t="str">
        <f>""</f>
        <v/>
      </c>
      <c r="I2886" t="str">
        <f t="shared" si="54"/>
        <v>VERITY HRA FEES</v>
      </c>
    </row>
    <row r="2887" spans="1:9" x14ac:dyDescent="0.3">
      <c r="A2887" t="str">
        <f>""</f>
        <v/>
      </c>
      <c r="F2887" t="str">
        <f>""</f>
        <v/>
      </c>
      <c r="G2887" t="str">
        <f>""</f>
        <v/>
      </c>
      <c r="I2887" t="str">
        <f t="shared" si="54"/>
        <v>VERITY HRA FEES</v>
      </c>
    </row>
    <row r="2888" spans="1:9" x14ac:dyDescent="0.3">
      <c r="A2888" t="str">
        <f>""</f>
        <v/>
      </c>
      <c r="F2888" t="str">
        <f>""</f>
        <v/>
      </c>
      <c r="G2888" t="str">
        <f>""</f>
        <v/>
      </c>
      <c r="I2888" t="str">
        <f t="shared" si="54"/>
        <v>VERITY HRA FEES</v>
      </c>
    </row>
    <row r="2889" spans="1:9" x14ac:dyDescent="0.3">
      <c r="A2889" t="str">
        <f>""</f>
        <v/>
      </c>
      <c r="F2889" t="str">
        <f>""</f>
        <v/>
      </c>
      <c r="G2889" t="str">
        <f>""</f>
        <v/>
      </c>
      <c r="I2889" t="str">
        <f t="shared" si="54"/>
        <v>VERITY HRA FEES</v>
      </c>
    </row>
    <row r="2890" spans="1:9" x14ac:dyDescent="0.3">
      <c r="A2890" t="str">
        <f>""</f>
        <v/>
      </c>
      <c r="F2890" t="str">
        <f>""</f>
        <v/>
      </c>
      <c r="G2890" t="str">
        <f>""</f>
        <v/>
      </c>
      <c r="I2890" t="str">
        <f t="shared" si="54"/>
        <v>VERITY HRA FEES</v>
      </c>
    </row>
    <row r="2891" spans="1:9" x14ac:dyDescent="0.3">
      <c r="A2891" t="str">
        <f>""</f>
        <v/>
      </c>
      <c r="F2891" t="str">
        <f>""</f>
        <v/>
      </c>
      <c r="G2891" t="str">
        <f>""</f>
        <v/>
      </c>
      <c r="I2891" t="str">
        <f t="shared" si="54"/>
        <v>VERITY HRA FEES</v>
      </c>
    </row>
    <row r="2892" spans="1:9" x14ac:dyDescent="0.3">
      <c r="A2892" t="str">
        <f>""</f>
        <v/>
      </c>
      <c r="F2892" t="str">
        <f>""</f>
        <v/>
      </c>
      <c r="G2892" t="str">
        <f>""</f>
        <v/>
      </c>
      <c r="I2892" t="str">
        <f t="shared" si="54"/>
        <v>VERITY HRA FEES</v>
      </c>
    </row>
    <row r="2893" spans="1:9" x14ac:dyDescent="0.3">
      <c r="A2893" t="str">
        <f>""</f>
        <v/>
      </c>
      <c r="F2893" t="str">
        <f>""</f>
        <v/>
      </c>
      <c r="G2893" t="str">
        <f>""</f>
        <v/>
      </c>
      <c r="I2893" t="str">
        <f t="shared" si="54"/>
        <v>VERITY HRA FEES</v>
      </c>
    </row>
    <row r="2894" spans="1:9" x14ac:dyDescent="0.3">
      <c r="A2894" t="str">
        <f>""</f>
        <v/>
      </c>
      <c r="F2894" t="str">
        <f>""</f>
        <v/>
      </c>
      <c r="G2894" t="str">
        <f>""</f>
        <v/>
      </c>
      <c r="I2894" t="str">
        <f t="shared" si="54"/>
        <v>VERITY HRA FEES</v>
      </c>
    </row>
    <row r="2895" spans="1:9" x14ac:dyDescent="0.3">
      <c r="A2895" t="str">
        <f>""</f>
        <v/>
      </c>
      <c r="F2895" t="str">
        <f>""</f>
        <v/>
      </c>
      <c r="G2895" t="str">
        <f>""</f>
        <v/>
      </c>
      <c r="I2895" t="str">
        <f t="shared" si="54"/>
        <v>VERITY HRA FEES</v>
      </c>
    </row>
    <row r="2896" spans="1:9" x14ac:dyDescent="0.3">
      <c r="A2896" t="str">
        <f>""</f>
        <v/>
      </c>
      <c r="F2896" t="str">
        <f>""</f>
        <v/>
      </c>
      <c r="G2896" t="str">
        <f>""</f>
        <v/>
      </c>
      <c r="I2896" t="str">
        <f t="shared" si="54"/>
        <v>VERITY HRA FEES</v>
      </c>
    </row>
    <row r="2897" spans="1:9" x14ac:dyDescent="0.3">
      <c r="A2897" t="str">
        <f>""</f>
        <v/>
      </c>
      <c r="F2897" t="str">
        <f>""</f>
        <v/>
      </c>
      <c r="G2897" t="str">
        <f>""</f>
        <v/>
      </c>
      <c r="I2897" t="str">
        <f t="shared" si="54"/>
        <v>VERITY HRA FEES</v>
      </c>
    </row>
    <row r="2898" spans="1:9" x14ac:dyDescent="0.3">
      <c r="A2898" t="str">
        <f>""</f>
        <v/>
      </c>
      <c r="F2898" t="str">
        <f>""</f>
        <v/>
      </c>
      <c r="G2898" t="str">
        <f>""</f>
        <v/>
      </c>
      <c r="I2898" t="str">
        <f t="shared" si="54"/>
        <v>VERITY HRA FEES</v>
      </c>
    </row>
    <row r="2899" spans="1:9" x14ac:dyDescent="0.3">
      <c r="A2899" t="str">
        <f>""</f>
        <v/>
      </c>
      <c r="F2899" t="str">
        <f>""</f>
        <v/>
      </c>
      <c r="G2899" t="str">
        <f>""</f>
        <v/>
      </c>
      <c r="I2899" t="str">
        <f t="shared" si="54"/>
        <v>VERITY HRA FEES</v>
      </c>
    </row>
    <row r="2900" spans="1:9" x14ac:dyDescent="0.3">
      <c r="A2900" t="str">
        <f>""</f>
        <v/>
      </c>
      <c r="F2900" t="str">
        <f>""</f>
        <v/>
      </c>
      <c r="G2900" t="str">
        <f>""</f>
        <v/>
      </c>
      <c r="I2900" t="str">
        <f t="shared" si="54"/>
        <v>VERITY HRA FEES</v>
      </c>
    </row>
    <row r="2901" spans="1:9" x14ac:dyDescent="0.3">
      <c r="A2901" t="str">
        <f>""</f>
        <v/>
      </c>
      <c r="F2901" t="str">
        <f>""</f>
        <v/>
      </c>
      <c r="G2901" t="str">
        <f>""</f>
        <v/>
      </c>
      <c r="I2901" t="str">
        <f t="shared" si="54"/>
        <v>VERITY HRA FEES</v>
      </c>
    </row>
    <row r="2902" spans="1:9" x14ac:dyDescent="0.3">
      <c r="A2902" t="str">
        <f>""</f>
        <v/>
      </c>
      <c r="F2902" t="str">
        <f>""</f>
        <v/>
      </c>
      <c r="G2902" t="str">
        <f>""</f>
        <v/>
      </c>
      <c r="I2902" t="str">
        <f t="shared" si="54"/>
        <v>VERITY HRA FEES</v>
      </c>
    </row>
    <row r="2903" spans="1:9" x14ac:dyDescent="0.3">
      <c r="A2903" t="str">
        <f>""</f>
        <v/>
      </c>
      <c r="F2903" t="str">
        <f>""</f>
        <v/>
      </c>
      <c r="G2903" t="str">
        <f>""</f>
        <v/>
      </c>
      <c r="I2903" t="str">
        <f t="shared" si="54"/>
        <v>VERITY HRA FEES</v>
      </c>
    </row>
    <row r="2904" spans="1:9" x14ac:dyDescent="0.3">
      <c r="A2904" t="str">
        <f>""</f>
        <v/>
      </c>
      <c r="F2904" t="str">
        <f>""</f>
        <v/>
      </c>
      <c r="G2904" t="str">
        <f>""</f>
        <v/>
      </c>
      <c r="I2904" t="str">
        <f t="shared" si="54"/>
        <v>VERITY HRA FEES</v>
      </c>
    </row>
    <row r="2905" spans="1:9" x14ac:dyDescent="0.3">
      <c r="A2905" t="str">
        <f>""</f>
        <v/>
      </c>
      <c r="F2905" t="str">
        <f>""</f>
        <v/>
      </c>
      <c r="G2905" t="str">
        <f>""</f>
        <v/>
      </c>
      <c r="I2905" t="str">
        <f t="shared" si="54"/>
        <v>VERITY HRA FEES</v>
      </c>
    </row>
    <row r="2906" spans="1:9" x14ac:dyDescent="0.3">
      <c r="A2906" t="str">
        <f>""</f>
        <v/>
      </c>
      <c r="F2906" t="str">
        <f>""</f>
        <v/>
      </c>
      <c r="G2906" t="str">
        <f>""</f>
        <v/>
      </c>
      <c r="I2906" t="str">
        <f t="shared" si="54"/>
        <v>VERITY HRA FEES</v>
      </c>
    </row>
    <row r="2907" spans="1:9" x14ac:dyDescent="0.3">
      <c r="A2907" t="str">
        <f>""</f>
        <v/>
      </c>
      <c r="F2907" t="str">
        <f>""</f>
        <v/>
      </c>
      <c r="G2907" t="str">
        <f>""</f>
        <v/>
      </c>
      <c r="I2907" t="str">
        <f t="shared" si="54"/>
        <v>VERITY HRA FEES</v>
      </c>
    </row>
    <row r="2908" spans="1:9" x14ac:dyDescent="0.3">
      <c r="A2908" t="str">
        <f>""</f>
        <v/>
      </c>
      <c r="F2908" t="str">
        <f>""</f>
        <v/>
      </c>
      <c r="G2908" t="str">
        <f>""</f>
        <v/>
      </c>
      <c r="I2908" t="str">
        <f t="shared" si="54"/>
        <v>VERITY HRA FEES</v>
      </c>
    </row>
    <row r="2909" spans="1:9" x14ac:dyDescent="0.3">
      <c r="A2909" t="str">
        <f>""</f>
        <v/>
      </c>
      <c r="F2909" t="str">
        <f>""</f>
        <v/>
      </c>
      <c r="G2909" t="str">
        <f>""</f>
        <v/>
      </c>
      <c r="I2909" t="str">
        <f t="shared" si="54"/>
        <v>VERITY HRA FEES</v>
      </c>
    </row>
    <row r="2910" spans="1:9" x14ac:dyDescent="0.3">
      <c r="A2910" t="str">
        <f>""</f>
        <v/>
      </c>
      <c r="F2910" t="str">
        <f>""</f>
        <v/>
      </c>
      <c r="G2910" t="str">
        <f>""</f>
        <v/>
      </c>
      <c r="I2910" t="str">
        <f t="shared" si="54"/>
        <v>VERITY HRA FEES</v>
      </c>
    </row>
    <row r="2911" spans="1:9" x14ac:dyDescent="0.3">
      <c r="A2911" t="str">
        <f>""</f>
        <v/>
      </c>
      <c r="F2911" t="str">
        <f>""</f>
        <v/>
      </c>
      <c r="G2911" t="str">
        <f>""</f>
        <v/>
      </c>
      <c r="I2911" t="str">
        <f t="shared" ref="I2911:I2927" si="55">"VERITY HRA FEES"</f>
        <v>VERITY HRA FEES</v>
      </c>
    </row>
    <row r="2912" spans="1:9" x14ac:dyDescent="0.3">
      <c r="A2912" t="str">
        <f>""</f>
        <v/>
      </c>
      <c r="F2912" t="str">
        <f>""</f>
        <v/>
      </c>
      <c r="G2912" t="str">
        <f>""</f>
        <v/>
      </c>
      <c r="I2912" t="str">
        <f t="shared" si="55"/>
        <v>VERITY HRA FEES</v>
      </c>
    </row>
    <row r="2913" spans="1:9" x14ac:dyDescent="0.3">
      <c r="A2913" t="str">
        <f>""</f>
        <v/>
      </c>
      <c r="F2913" t="str">
        <f>""</f>
        <v/>
      </c>
      <c r="G2913" t="str">
        <f>""</f>
        <v/>
      </c>
      <c r="I2913" t="str">
        <f t="shared" si="55"/>
        <v>VERITY HRA FEES</v>
      </c>
    </row>
    <row r="2914" spans="1:9" x14ac:dyDescent="0.3">
      <c r="A2914" t="str">
        <f>""</f>
        <v/>
      </c>
      <c r="F2914" t="str">
        <f>""</f>
        <v/>
      </c>
      <c r="G2914" t="str">
        <f>""</f>
        <v/>
      </c>
      <c r="I2914" t="str">
        <f t="shared" si="55"/>
        <v>VERITY HRA FEES</v>
      </c>
    </row>
    <row r="2915" spans="1:9" x14ac:dyDescent="0.3">
      <c r="A2915" t="str">
        <f>""</f>
        <v/>
      </c>
      <c r="F2915" t="str">
        <f>""</f>
        <v/>
      </c>
      <c r="G2915" t="str">
        <f>""</f>
        <v/>
      </c>
      <c r="I2915" t="str">
        <f t="shared" si="55"/>
        <v>VERITY HRA FEES</v>
      </c>
    </row>
    <row r="2916" spans="1:9" x14ac:dyDescent="0.3">
      <c r="A2916" t="str">
        <f>""</f>
        <v/>
      </c>
      <c r="F2916" t="str">
        <f>""</f>
        <v/>
      </c>
      <c r="G2916" t="str">
        <f>""</f>
        <v/>
      </c>
      <c r="I2916" t="str">
        <f t="shared" si="55"/>
        <v>VERITY HRA FEES</v>
      </c>
    </row>
    <row r="2917" spans="1:9" x14ac:dyDescent="0.3">
      <c r="A2917" t="str">
        <f>""</f>
        <v/>
      </c>
      <c r="F2917" t="str">
        <f>""</f>
        <v/>
      </c>
      <c r="G2917" t="str">
        <f>""</f>
        <v/>
      </c>
      <c r="I2917" t="str">
        <f t="shared" si="55"/>
        <v>VERITY HRA FEES</v>
      </c>
    </row>
    <row r="2918" spans="1:9" x14ac:dyDescent="0.3">
      <c r="A2918" t="str">
        <f>""</f>
        <v/>
      </c>
      <c r="F2918" t="str">
        <f>""</f>
        <v/>
      </c>
      <c r="G2918" t="str">
        <f>""</f>
        <v/>
      </c>
      <c r="I2918" t="str">
        <f t="shared" si="55"/>
        <v>VERITY HRA FEES</v>
      </c>
    </row>
    <row r="2919" spans="1:9" x14ac:dyDescent="0.3">
      <c r="A2919" t="str">
        <f>""</f>
        <v/>
      </c>
      <c r="F2919" t="str">
        <f>""</f>
        <v/>
      </c>
      <c r="G2919" t="str">
        <f>""</f>
        <v/>
      </c>
      <c r="I2919" t="str">
        <f t="shared" si="55"/>
        <v>VERITY HRA FEES</v>
      </c>
    </row>
    <row r="2920" spans="1:9" x14ac:dyDescent="0.3">
      <c r="A2920" t="str">
        <f>""</f>
        <v/>
      </c>
      <c r="F2920" t="str">
        <f>""</f>
        <v/>
      </c>
      <c r="G2920" t="str">
        <f>""</f>
        <v/>
      </c>
      <c r="I2920" t="str">
        <f t="shared" si="55"/>
        <v>VERITY HRA FEES</v>
      </c>
    </row>
    <row r="2921" spans="1:9" x14ac:dyDescent="0.3">
      <c r="A2921" t="str">
        <f>""</f>
        <v/>
      </c>
      <c r="F2921" t="str">
        <f>""</f>
        <v/>
      </c>
      <c r="G2921" t="str">
        <f>""</f>
        <v/>
      </c>
      <c r="I2921" t="str">
        <f t="shared" si="55"/>
        <v>VERITY HRA FEES</v>
      </c>
    </row>
    <row r="2922" spans="1:9" x14ac:dyDescent="0.3">
      <c r="A2922" t="str">
        <f>""</f>
        <v/>
      </c>
      <c r="F2922" t="str">
        <f>""</f>
        <v/>
      </c>
      <c r="G2922" t="str">
        <f>""</f>
        <v/>
      </c>
      <c r="I2922" t="str">
        <f t="shared" si="55"/>
        <v>VERITY HRA FEES</v>
      </c>
    </row>
    <row r="2923" spans="1:9" x14ac:dyDescent="0.3">
      <c r="A2923" t="str">
        <f>""</f>
        <v/>
      </c>
      <c r="F2923" t="str">
        <f>""</f>
        <v/>
      </c>
      <c r="G2923" t="str">
        <f>""</f>
        <v/>
      </c>
      <c r="I2923" t="str">
        <f t="shared" si="55"/>
        <v>VERITY HRA FEES</v>
      </c>
    </row>
    <row r="2924" spans="1:9" x14ac:dyDescent="0.3">
      <c r="A2924" t="str">
        <f>""</f>
        <v/>
      </c>
      <c r="F2924" t="str">
        <f>""</f>
        <v/>
      </c>
      <c r="G2924" t="str">
        <f>""</f>
        <v/>
      </c>
      <c r="I2924" t="str">
        <f t="shared" si="55"/>
        <v>VERITY HRA FEES</v>
      </c>
    </row>
    <row r="2925" spans="1:9" x14ac:dyDescent="0.3">
      <c r="A2925" t="str">
        <f>""</f>
        <v/>
      </c>
      <c r="F2925" t="str">
        <f>""</f>
        <v/>
      </c>
      <c r="G2925" t="str">
        <f>""</f>
        <v/>
      </c>
      <c r="I2925" t="str">
        <f t="shared" si="55"/>
        <v>VERITY HRA FEES</v>
      </c>
    </row>
    <row r="2926" spans="1:9" x14ac:dyDescent="0.3">
      <c r="A2926" t="str">
        <f>""</f>
        <v/>
      </c>
      <c r="F2926" t="str">
        <f>""</f>
        <v/>
      </c>
      <c r="G2926" t="str">
        <f>""</f>
        <v/>
      </c>
      <c r="I2926" t="str">
        <f t="shared" si="55"/>
        <v>VERITY HRA FEES</v>
      </c>
    </row>
    <row r="2927" spans="1:9" x14ac:dyDescent="0.3">
      <c r="A2927" t="str">
        <f>""</f>
        <v/>
      </c>
      <c r="F2927" t="str">
        <f>"HRA201709205020"</f>
        <v>HRA201709205020</v>
      </c>
      <c r="G2927" t="str">
        <f>"VERITY HRA FEES"</f>
        <v>VERITY HRA FEES</v>
      </c>
      <c r="H2927" s="2">
        <v>187.5</v>
      </c>
      <c r="I2927" t="str">
        <f t="shared" si="55"/>
        <v>VERITY HRA FEES</v>
      </c>
    </row>
    <row r="2928" spans="1:9" x14ac:dyDescent="0.3">
      <c r="A2928" t="str">
        <f>""</f>
        <v/>
      </c>
      <c r="F2928" t="str">
        <f>"HRF201709084855"</f>
        <v>HRF201709084855</v>
      </c>
      <c r="G2928" t="str">
        <f>"VERITY HRA FEE"</f>
        <v>VERITY HRA FEE</v>
      </c>
      <c r="H2928" s="2">
        <v>6</v>
      </c>
      <c r="I2928" t="str">
        <f t="shared" ref="I2928:I2969" si="56">"VERITY HRA FEE"</f>
        <v>VERITY HRA FEE</v>
      </c>
    </row>
    <row r="2929" spans="1:9" x14ac:dyDescent="0.3">
      <c r="A2929" t="str">
        <f>""</f>
        <v/>
      </c>
      <c r="F2929" t="str">
        <f>"HRF201709205019"</f>
        <v>HRF201709205019</v>
      </c>
      <c r="G2929" t="str">
        <f>"VERITY HRA FEE"</f>
        <v>VERITY HRA FEE</v>
      </c>
      <c r="H2929" s="2">
        <v>774</v>
      </c>
      <c r="I2929" t="str">
        <f t="shared" si="56"/>
        <v>VERITY HRA FEE</v>
      </c>
    </row>
    <row r="2930" spans="1:9" x14ac:dyDescent="0.3">
      <c r="A2930" t="str">
        <f>""</f>
        <v/>
      </c>
      <c r="F2930" t="str">
        <f>""</f>
        <v/>
      </c>
      <c r="G2930" t="str">
        <f>""</f>
        <v/>
      </c>
      <c r="I2930" t="str">
        <f t="shared" si="56"/>
        <v>VERITY HRA FEE</v>
      </c>
    </row>
    <row r="2931" spans="1:9" x14ac:dyDescent="0.3">
      <c r="A2931" t="str">
        <f>""</f>
        <v/>
      </c>
      <c r="F2931" t="str">
        <f>""</f>
        <v/>
      </c>
      <c r="G2931" t="str">
        <f>""</f>
        <v/>
      </c>
      <c r="I2931" t="str">
        <f t="shared" si="56"/>
        <v>VERITY HRA FEE</v>
      </c>
    </row>
    <row r="2932" spans="1:9" x14ac:dyDescent="0.3">
      <c r="A2932" t="str">
        <f>""</f>
        <v/>
      </c>
      <c r="F2932" t="str">
        <f>""</f>
        <v/>
      </c>
      <c r="G2932" t="str">
        <f>""</f>
        <v/>
      </c>
      <c r="I2932" t="str">
        <f t="shared" si="56"/>
        <v>VERITY HRA FEE</v>
      </c>
    </row>
    <row r="2933" spans="1:9" x14ac:dyDescent="0.3">
      <c r="A2933" t="str">
        <f>""</f>
        <v/>
      </c>
      <c r="F2933" t="str">
        <f>""</f>
        <v/>
      </c>
      <c r="G2933" t="str">
        <f>""</f>
        <v/>
      </c>
      <c r="I2933" t="str">
        <f t="shared" si="56"/>
        <v>VERITY HRA FEE</v>
      </c>
    </row>
    <row r="2934" spans="1:9" x14ac:dyDescent="0.3">
      <c r="A2934" t="str">
        <f>""</f>
        <v/>
      </c>
      <c r="F2934" t="str">
        <f>""</f>
        <v/>
      </c>
      <c r="G2934" t="str">
        <f>""</f>
        <v/>
      </c>
      <c r="I2934" t="str">
        <f t="shared" si="56"/>
        <v>VERITY HRA FEE</v>
      </c>
    </row>
    <row r="2935" spans="1:9" x14ac:dyDescent="0.3">
      <c r="A2935" t="str">
        <f>""</f>
        <v/>
      </c>
      <c r="F2935" t="str">
        <f>""</f>
        <v/>
      </c>
      <c r="G2935" t="str">
        <f>""</f>
        <v/>
      </c>
      <c r="I2935" t="str">
        <f t="shared" si="56"/>
        <v>VERITY HRA FEE</v>
      </c>
    </row>
    <row r="2936" spans="1:9" x14ac:dyDescent="0.3">
      <c r="A2936" t="str">
        <f>""</f>
        <v/>
      </c>
      <c r="F2936" t="str">
        <f>""</f>
        <v/>
      </c>
      <c r="G2936" t="str">
        <f>""</f>
        <v/>
      </c>
      <c r="I2936" t="str">
        <f t="shared" si="56"/>
        <v>VERITY HRA FEE</v>
      </c>
    </row>
    <row r="2937" spans="1:9" x14ac:dyDescent="0.3">
      <c r="A2937" t="str">
        <f>""</f>
        <v/>
      </c>
      <c r="F2937" t="str">
        <f>""</f>
        <v/>
      </c>
      <c r="G2937" t="str">
        <f>""</f>
        <v/>
      </c>
      <c r="I2937" t="str">
        <f t="shared" si="56"/>
        <v>VERITY HRA FEE</v>
      </c>
    </row>
    <row r="2938" spans="1:9" x14ac:dyDescent="0.3">
      <c r="A2938" t="str">
        <f>""</f>
        <v/>
      </c>
      <c r="F2938" t="str">
        <f>""</f>
        <v/>
      </c>
      <c r="G2938" t="str">
        <f>""</f>
        <v/>
      </c>
      <c r="I2938" t="str">
        <f t="shared" si="56"/>
        <v>VERITY HRA FEE</v>
      </c>
    </row>
    <row r="2939" spans="1:9" x14ac:dyDescent="0.3">
      <c r="A2939" t="str">
        <f>""</f>
        <v/>
      </c>
      <c r="F2939" t="str">
        <f>""</f>
        <v/>
      </c>
      <c r="G2939" t="str">
        <f>""</f>
        <v/>
      </c>
      <c r="I2939" t="str">
        <f t="shared" si="56"/>
        <v>VERITY HRA FEE</v>
      </c>
    </row>
    <row r="2940" spans="1:9" x14ac:dyDescent="0.3">
      <c r="A2940" t="str">
        <f>""</f>
        <v/>
      </c>
      <c r="F2940" t="str">
        <f>""</f>
        <v/>
      </c>
      <c r="G2940" t="str">
        <f>""</f>
        <v/>
      </c>
      <c r="I2940" t="str">
        <f t="shared" si="56"/>
        <v>VERITY HRA FEE</v>
      </c>
    </row>
    <row r="2941" spans="1:9" x14ac:dyDescent="0.3">
      <c r="A2941" t="str">
        <f>""</f>
        <v/>
      </c>
      <c r="F2941" t="str">
        <f>""</f>
        <v/>
      </c>
      <c r="G2941" t="str">
        <f>""</f>
        <v/>
      </c>
      <c r="I2941" t="str">
        <f t="shared" si="56"/>
        <v>VERITY HRA FEE</v>
      </c>
    </row>
    <row r="2942" spans="1:9" x14ac:dyDescent="0.3">
      <c r="A2942" t="str">
        <f>""</f>
        <v/>
      </c>
      <c r="F2942" t="str">
        <f>""</f>
        <v/>
      </c>
      <c r="G2942" t="str">
        <f>""</f>
        <v/>
      </c>
      <c r="I2942" t="str">
        <f t="shared" si="56"/>
        <v>VERITY HRA FEE</v>
      </c>
    </row>
    <row r="2943" spans="1:9" x14ac:dyDescent="0.3">
      <c r="A2943" t="str">
        <f>""</f>
        <v/>
      </c>
      <c r="F2943" t="str">
        <f>""</f>
        <v/>
      </c>
      <c r="G2943" t="str">
        <f>""</f>
        <v/>
      </c>
      <c r="I2943" t="str">
        <f t="shared" si="56"/>
        <v>VERITY HRA FEE</v>
      </c>
    </row>
    <row r="2944" spans="1:9" x14ac:dyDescent="0.3">
      <c r="A2944" t="str">
        <f>""</f>
        <v/>
      </c>
      <c r="F2944" t="str">
        <f>""</f>
        <v/>
      </c>
      <c r="G2944" t="str">
        <f>""</f>
        <v/>
      </c>
      <c r="I2944" t="str">
        <f t="shared" si="56"/>
        <v>VERITY HRA FEE</v>
      </c>
    </row>
    <row r="2945" spans="1:9" x14ac:dyDescent="0.3">
      <c r="A2945" t="str">
        <f>""</f>
        <v/>
      </c>
      <c r="F2945" t="str">
        <f>""</f>
        <v/>
      </c>
      <c r="G2945" t="str">
        <f>""</f>
        <v/>
      </c>
      <c r="I2945" t="str">
        <f t="shared" si="56"/>
        <v>VERITY HRA FEE</v>
      </c>
    </row>
    <row r="2946" spans="1:9" x14ac:dyDescent="0.3">
      <c r="A2946" t="str">
        <f>""</f>
        <v/>
      </c>
      <c r="F2946" t="str">
        <f>""</f>
        <v/>
      </c>
      <c r="G2946" t="str">
        <f>""</f>
        <v/>
      </c>
      <c r="I2946" t="str">
        <f t="shared" si="56"/>
        <v>VERITY HRA FEE</v>
      </c>
    </row>
    <row r="2947" spans="1:9" x14ac:dyDescent="0.3">
      <c r="A2947" t="str">
        <f>""</f>
        <v/>
      </c>
      <c r="F2947" t="str">
        <f>""</f>
        <v/>
      </c>
      <c r="G2947" t="str">
        <f>""</f>
        <v/>
      </c>
      <c r="I2947" t="str">
        <f t="shared" si="56"/>
        <v>VERITY HRA FEE</v>
      </c>
    </row>
    <row r="2948" spans="1:9" x14ac:dyDescent="0.3">
      <c r="A2948" t="str">
        <f>""</f>
        <v/>
      </c>
      <c r="F2948" t="str">
        <f>""</f>
        <v/>
      </c>
      <c r="G2948" t="str">
        <f>""</f>
        <v/>
      </c>
      <c r="I2948" t="str">
        <f t="shared" si="56"/>
        <v>VERITY HRA FEE</v>
      </c>
    </row>
    <row r="2949" spans="1:9" x14ac:dyDescent="0.3">
      <c r="A2949" t="str">
        <f>""</f>
        <v/>
      </c>
      <c r="F2949" t="str">
        <f>""</f>
        <v/>
      </c>
      <c r="G2949" t="str">
        <f>""</f>
        <v/>
      </c>
      <c r="I2949" t="str">
        <f t="shared" si="56"/>
        <v>VERITY HRA FEE</v>
      </c>
    </row>
    <row r="2950" spans="1:9" x14ac:dyDescent="0.3">
      <c r="A2950" t="str">
        <f>""</f>
        <v/>
      </c>
      <c r="F2950" t="str">
        <f>""</f>
        <v/>
      </c>
      <c r="G2950" t="str">
        <f>""</f>
        <v/>
      </c>
      <c r="I2950" t="str">
        <f t="shared" si="56"/>
        <v>VERITY HRA FEE</v>
      </c>
    </row>
    <row r="2951" spans="1:9" x14ac:dyDescent="0.3">
      <c r="A2951" t="str">
        <f>""</f>
        <v/>
      </c>
      <c r="F2951" t="str">
        <f>""</f>
        <v/>
      </c>
      <c r="G2951" t="str">
        <f>""</f>
        <v/>
      </c>
      <c r="I2951" t="str">
        <f t="shared" si="56"/>
        <v>VERITY HRA FEE</v>
      </c>
    </row>
    <row r="2952" spans="1:9" x14ac:dyDescent="0.3">
      <c r="A2952" t="str">
        <f>""</f>
        <v/>
      </c>
      <c r="F2952" t="str">
        <f>""</f>
        <v/>
      </c>
      <c r="G2952" t="str">
        <f>""</f>
        <v/>
      </c>
      <c r="I2952" t="str">
        <f t="shared" si="56"/>
        <v>VERITY HRA FEE</v>
      </c>
    </row>
    <row r="2953" spans="1:9" x14ac:dyDescent="0.3">
      <c r="A2953" t="str">
        <f>""</f>
        <v/>
      </c>
      <c r="F2953" t="str">
        <f>""</f>
        <v/>
      </c>
      <c r="G2953" t="str">
        <f>""</f>
        <v/>
      </c>
      <c r="I2953" t="str">
        <f t="shared" si="56"/>
        <v>VERITY HRA FEE</v>
      </c>
    </row>
    <row r="2954" spans="1:9" x14ac:dyDescent="0.3">
      <c r="A2954" t="str">
        <f>""</f>
        <v/>
      </c>
      <c r="F2954" t="str">
        <f>""</f>
        <v/>
      </c>
      <c r="G2954" t="str">
        <f>""</f>
        <v/>
      </c>
      <c r="I2954" t="str">
        <f t="shared" si="56"/>
        <v>VERITY HRA FEE</v>
      </c>
    </row>
    <row r="2955" spans="1:9" x14ac:dyDescent="0.3">
      <c r="A2955" t="str">
        <f>""</f>
        <v/>
      </c>
      <c r="F2955" t="str">
        <f>""</f>
        <v/>
      </c>
      <c r="G2955" t="str">
        <f>""</f>
        <v/>
      </c>
      <c r="I2955" t="str">
        <f t="shared" si="56"/>
        <v>VERITY HRA FEE</v>
      </c>
    </row>
    <row r="2956" spans="1:9" x14ac:dyDescent="0.3">
      <c r="A2956" t="str">
        <f>""</f>
        <v/>
      </c>
      <c r="F2956" t="str">
        <f>""</f>
        <v/>
      </c>
      <c r="G2956" t="str">
        <f>""</f>
        <v/>
      </c>
      <c r="I2956" t="str">
        <f t="shared" si="56"/>
        <v>VERITY HRA FEE</v>
      </c>
    </row>
    <row r="2957" spans="1:9" x14ac:dyDescent="0.3">
      <c r="A2957" t="str">
        <f>""</f>
        <v/>
      </c>
      <c r="F2957" t="str">
        <f>""</f>
        <v/>
      </c>
      <c r="G2957" t="str">
        <f>""</f>
        <v/>
      </c>
      <c r="I2957" t="str">
        <f t="shared" si="56"/>
        <v>VERITY HRA FEE</v>
      </c>
    </row>
    <row r="2958" spans="1:9" x14ac:dyDescent="0.3">
      <c r="A2958" t="str">
        <f>""</f>
        <v/>
      </c>
      <c r="F2958" t="str">
        <f>""</f>
        <v/>
      </c>
      <c r="G2958" t="str">
        <f>""</f>
        <v/>
      </c>
      <c r="I2958" t="str">
        <f t="shared" si="56"/>
        <v>VERITY HRA FEE</v>
      </c>
    </row>
    <row r="2959" spans="1:9" x14ac:dyDescent="0.3">
      <c r="A2959" t="str">
        <f>""</f>
        <v/>
      </c>
      <c r="F2959" t="str">
        <f>""</f>
        <v/>
      </c>
      <c r="G2959" t="str">
        <f>""</f>
        <v/>
      </c>
      <c r="I2959" t="str">
        <f t="shared" si="56"/>
        <v>VERITY HRA FEE</v>
      </c>
    </row>
    <row r="2960" spans="1:9" x14ac:dyDescent="0.3">
      <c r="A2960" t="str">
        <f>""</f>
        <v/>
      </c>
      <c r="F2960" t="str">
        <f>""</f>
        <v/>
      </c>
      <c r="G2960" t="str">
        <f>""</f>
        <v/>
      </c>
      <c r="I2960" t="str">
        <f t="shared" si="56"/>
        <v>VERITY HRA FEE</v>
      </c>
    </row>
    <row r="2961" spans="1:9" x14ac:dyDescent="0.3">
      <c r="A2961" t="str">
        <f>""</f>
        <v/>
      </c>
      <c r="F2961" t="str">
        <f>""</f>
        <v/>
      </c>
      <c r="G2961" t="str">
        <f>""</f>
        <v/>
      </c>
      <c r="I2961" t="str">
        <f t="shared" si="56"/>
        <v>VERITY HRA FEE</v>
      </c>
    </row>
    <row r="2962" spans="1:9" x14ac:dyDescent="0.3">
      <c r="A2962" t="str">
        <f>""</f>
        <v/>
      </c>
      <c r="F2962" t="str">
        <f>""</f>
        <v/>
      </c>
      <c r="G2962" t="str">
        <f>""</f>
        <v/>
      </c>
      <c r="I2962" t="str">
        <f t="shared" si="56"/>
        <v>VERITY HRA FEE</v>
      </c>
    </row>
    <row r="2963" spans="1:9" x14ac:dyDescent="0.3">
      <c r="A2963" t="str">
        <f>""</f>
        <v/>
      </c>
      <c r="F2963" t="str">
        <f>""</f>
        <v/>
      </c>
      <c r="G2963" t="str">
        <f>""</f>
        <v/>
      </c>
      <c r="I2963" t="str">
        <f t="shared" si="56"/>
        <v>VERITY HRA FEE</v>
      </c>
    </row>
    <row r="2964" spans="1:9" x14ac:dyDescent="0.3">
      <c r="A2964" t="str">
        <f>""</f>
        <v/>
      </c>
      <c r="F2964" t="str">
        <f>""</f>
        <v/>
      </c>
      <c r="G2964" t="str">
        <f>""</f>
        <v/>
      </c>
      <c r="I2964" t="str">
        <f t="shared" si="56"/>
        <v>VERITY HRA FEE</v>
      </c>
    </row>
    <row r="2965" spans="1:9" x14ac:dyDescent="0.3">
      <c r="A2965" t="str">
        <f>""</f>
        <v/>
      </c>
      <c r="F2965" t="str">
        <f>""</f>
        <v/>
      </c>
      <c r="G2965" t="str">
        <f>""</f>
        <v/>
      </c>
      <c r="I2965" t="str">
        <f t="shared" si="56"/>
        <v>VERITY HRA FEE</v>
      </c>
    </row>
    <row r="2966" spans="1:9" x14ac:dyDescent="0.3">
      <c r="A2966" t="str">
        <f>""</f>
        <v/>
      </c>
      <c r="F2966" t="str">
        <f>""</f>
        <v/>
      </c>
      <c r="G2966" t="str">
        <f>""</f>
        <v/>
      </c>
      <c r="I2966" t="str">
        <f t="shared" si="56"/>
        <v>VERITY HRA FEE</v>
      </c>
    </row>
    <row r="2967" spans="1:9" x14ac:dyDescent="0.3">
      <c r="A2967" t="str">
        <f>""</f>
        <v/>
      </c>
      <c r="F2967" t="str">
        <f>""</f>
        <v/>
      </c>
      <c r="G2967" t="str">
        <f>""</f>
        <v/>
      </c>
      <c r="I2967" t="str">
        <f t="shared" si="56"/>
        <v>VERITY HRA FEE</v>
      </c>
    </row>
    <row r="2968" spans="1:9" x14ac:dyDescent="0.3">
      <c r="A2968" t="str">
        <f>""</f>
        <v/>
      </c>
      <c r="F2968" t="str">
        <f>""</f>
        <v/>
      </c>
      <c r="G2968" t="str">
        <f>""</f>
        <v/>
      </c>
      <c r="I2968" t="str">
        <f t="shared" si="56"/>
        <v>VERITY HRA FEE</v>
      </c>
    </row>
    <row r="2969" spans="1:9" x14ac:dyDescent="0.3">
      <c r="A2969" t="str">
        <f>""</f>
        <v/>
      </c>
      <c r="C2969" s="3" t="s">
        <v>501</v>
      </c>
      <c r="D2969" s="2">
        <f>SUM(D2:D2968)</f>
        <v>3518387.2999999993</v>
      </c>
      <c r="F2969" t="str">
        <f>"HRF201709205020"</f>
        <v>HRF201709205020</v>
      </c>
      <c r="G2969" t="str">
        <f>"VERITY HRA FEE"</f>
        <v>VERITY HRA FEE</v>
      </c>
      <c r="H2969" s="2">
        <v>27</v>
      </c>
      <c r="I2969" t="str">
        <f t="shared" si="56"/>
        <v>VERITY HRA FEE</v>
      </c>
    </row>
    <row r="2970" spans="1:9" x14ac:dyDescent="0.3">
      <c r="E2970" s="1"/>
    </row>
    <row r="2971" spans="1:9" x14ac:dyDescent="0.3">
      <c r="E2971" s="1"/>
    </row>
    <row r="2972" spans="1:9" x14ac:dyDescent="0.3">
      <c r="E2972" s="1"/>
    </row>
    <row r="2973" spans="1:9" x14ac:dyDescent="0.3">
      <c r="E2973" s="1"/>
    </row>
    <row r="2974" spans="1:9" x14ac:dyDescent="0.3">
      <c r="E2974" s="1"/>
    </row>
    <row r="2975" spans="1:9" x14ac:dyDescent="0.3">
      <c r="E2975" s="1"/>
    </row>
    <row r="2976" spans="1:9" x14ac:dyDescent="0.3">
      <c r="E2976" s="1"/>
    </row>
    <row r="2977" spans="5:5" x14ac:dyDescent="0.3">
      <c r="E2977" s="1"/>
    </row>
    <row r="2978" spans="5:5" x14ac:dyDescent="0.3">
      <c r="E2978" s="1"/>
    </row>
    <row r="2979" spans="5:5" x14ac:dyDescent="0.3">
      <c r="E2979" s="1"/>
    </row>
    <row r="2980" spans="5:5" x14ac:dyDescent="0.3">
      <c r="E2980" s="1"/>
    </row>
    <row r="2981" spans="5:5" x14ac:dyDescent="0.3">
      <c r="E2981" s="1"/>
    </row>
    <row r="2982" spans="5:5" x14ac:dyDescent="0.3">
      <c r="E2982" s="1"/>
    </row>
    <row r="2983" spans="5:5" x14ac:dyDescent="0.3">
      <c r="E2983" s="1"/>
    </row>
    <row r="2984" spans="5:5" x14ac:dyDescent="0.3">
      <c r="E2984" s="1"/>
    </row>
    <row r="2985" spans="5:5" x14ac:dyDescent="0.3">
      <c r="E2985" s="1"/>
    </row>
    <row r="2986" spans="5:5" x14ac:dyDescent="0.3">
      <c r="E2986" s="1"/>
    </row>
    <row r="2987" spans="5:5" x14ac:dyDescent="0.3">
      <c r="E2987" s="1"/>
    </row>
    <row r="2988" spans="5:5" x14ac:dyDescent="0.3">
      <c r="E2988" s="1"/>
    </row>
    <row r="2989" spans="5:5" x14ac:dyDescent="0.3">
      <c r="E2989" s="1"/>
    </row>
    <row r="2990" spans="5:5" x14ac:dyDescent="0.3">
      <c r="E2990" s="1"/>
    </row>
    <row r="2991" spans="5:5" x14ac:dyDescent="0.3">
      <c r="E2991" s="1"/>
    </row>
    <row r="2992" spans="5:5" x14ac:dyDescent="0.3">
      <c r="E2992" s="1"/>
    </row>
    <row r="2993" spans="5:5" x14ac:dyDescent="0.3">
      <c r="E2993" s="1"/>
    </row>
    <row r="2994" spans="5:5" x14ac:dyDescent="0.3">
      <c r="E2994" s="1"/>
    </row>
    <row r="2995" spans="5:5" x14ac:dyDescent="0.3">
      <c r="E2995" s="1"/>
    </row>
    <row r="2996" spans="5:5" x14ac:dyDescent="0.3">
      <c r="E2996" s="1"/>
    </row>
    <row r="2997" spans="5:5" x14ac:dyDescent="0.3">
      <c r="E2997" s="1"/>
    </row>
    <row r="2998" spans="5:5" x14ac:dyDescent="0.3">
      <c r="E2998" s="1"/>
    </row>
    <row r="2999" spans="5:5" x14ac:dyDescent="0.3">
      <c r="E2999" s="1"/>
    </row>
    <row r="3000" spans="5:5" x14ac:dyDescent="0.3">
      <c r="E3000" s="1"/>
    </row>
    <row r="3001" spans="5:5" x14ac:dyDescent="0.3">
      <c r="E3001" s="1"/>
    </row>
    <row r="3002" spans="5:5" x14ac:dyDescent="0.3">
      <c r="E3002" s="1"/>
    </row>
    <row r="3003" spans="5:5" x14ac:dyDescent="0.3">
      <c r="E3003" s="1"/>
    </row>
    <row r="3004" spans="5:5" x14ac:dyDescent="0.3">
      <c r="E3004" s="1"/>
    </row>
    <row r="3005" spans="5:5" x14ac:dyDescent="0.3">
      <c r="E3005" s="1"/>
    </row>
    <row r="3006" spans="5:5" x14ac:dyDescent="0.3">
      <c r="E3006" s="1"/>
    </row>
    <row r="3007" spans="5:5" x14ac:dyDescent="0.3">
      <c r="E3007" s="1"/>
    </row>
    <row r="3008" spans="5:5" x14ac:dyDescent="0.3">
      <c r="E3008" s="1"/>
    </row>
    <row r="3009" spans="5:5" x14ac:dyDescent="0.3">
      <c r="E3009" s="1"/>
    </row>
    <row r="3010" spans="5:5" x14ac:dyDescent="0.3">
      <c r="E3010" s="1"/>
    </row>
    <row r="3011" spans="5:5" x14ac:dyDescent="0.3">
      <c r="E3011" s="1"/>
    </row>
    <row r="3012" spans="5:5" x14ac:dyDescent="0.3">
      <c r="E3012" s="1"/>
    </row>
    <row r="3013" spans="5:5" x14ac:dyDescent="0.3">
      <c r="E3013" s="1"/>
    </row>
    <row r="3014" spans="5:5" x14ac:dyDescent="0.3">
      <c r="E3014" s="1"/>
    </row>
    <row r="3015" spans="5:5" x14ac:dyDescent="0.3">
      <c r="E3015" s="1"/>
    </row>
    <row r="3016" spans="5:5" x14ac:dyDescent="0.3">
      <c r="E3016" s="1"/>
    </row>
    <row r="3017" spans="5:5" x14ac:dyDescent="0.3">
      <c r="E3017" s="1"/>
    </row>
    <row r="3018" spans="5:5" x14ac:dyDescent="0.3">
      <c r="E3018" s="1"/>
    </row>
    <row r="3019" spans="5:5" x14ac:dyDescent="0.3">
      <c r="E3019" s="1"/>
    </row>
    <row r="3020" spans="5:5" x14ac:dyDescent="0.3">
      <c r="E3020" s="1"/>
    </row>
    <row r="3021" spans="5:5" x14ac:dyDescent="0.3">
      <c r="E3021" s="1"/>
    </row>
    <row r="3022" spans="5:5" x14ac:dyDescent="0.3">
      <c r="E3022" s="1"/>
    </row>
    <row r="3023" spans="5:5" x14ac:dyDescent="0.3">
      <c r="E3023" s="1"/>
    </row>
    <row r="3024" spans="5:5" x14ac:dyDescent="0.3">
      <c r="E3024" s="1"/>
    </row>
    <row r="3025" spans="5:5" x14ac:dyDescent="0.3">
      <c r="E3025" s="1"/>
    </row>
    <row r="3026" spans="5:5" x14ac:dyDescent="0.3">
      <c r="E3026" s="1"/>
    </row>
    <row r="3027" spans="5:5" x14ac:dyDescent="0.3">
      <c r="E3027" s="1"/>
    </row>
    <row r="3028" spans="5:5" x14ac:dyDescent="0.3">
      <c r="E3028" s="1"/>
    </row>
    <row r="3029" spans="5:5" x14ac:dyDescent="0.3">
      <c r="E3029" s="1"/>
    </row>
    <row r="3030" spans="5:5" x14ac:dyDescent="0.3">
      <c r="E3030" s="1"/>
    </row>
    <row r="3031" spans="5:5" x14ac:dyDescent="0.3">
      <c r="E3031" s="1"/>
    </row>
    <row r="3032" spans="5:5" x14ac:dyDescent="0.3">
      <c r="E3032" s="1"/>
    </row>
    <row r="3033" spans="5:5" x14ac:dyDescent="0.3">
      <c r="E3033" s="1"/>
    </row>
    <row r="3034" spans="5:5" x14ac:dyDescent="0.3">
      <c r="E3034" s="1"/>
    </row>
    <row r="3035" spans="5:5" x14ac:dyDescent="0.3">
      <c r="E3035" s="1"/>
    </row>
    <row r="3036" spans="5:5" x14ac:dyDescent="0.3">
      <c r="E3036" s="1"/>
    </row>
    <row r="3037" spans="5:5" x14ac:dyDescent="0.3">
      <c r="E3037" s="1"/>
    </row>
    <row r="3038" spans="5:5" x14ac:dyDescent="0.3">
      <c r="E3038" s="1"/>
    </row>
    <row r="3039" spans="5:5" x14ac:dyDescent="0.3">
      <c r="E3039" s="1"/>
    </row>
    <row r="3040" spans="5:5" x14ac:dyDescent="0.3">
      <c r="E3040" s="1"/>
    </row>
    <row r="3041" spans="5:5" x14ac:dyDescent="0.3">
      <c r="E3041" s="1"/>
    </row>
    <row r="3042" spans="5:5" x14ac:dyDescent="0.3">
      <c r="E3042" s="1"/>
    </row>
    <row r="3043" spans="5:5" x14ac:dyDescent="0.3">
      <c r="E3043" s="1"/>
    </row>
    <row r="3044" spans="5:5" x14ac:dyDescent="0.3">
      <c r="E3044" s="1"/>
    </row>
    <row r="3045" spans="5:5" x14ac:dyDescent="0.3">
      <c r="E3045" s="1"/>
    </row>
    <row r="3046" spans="5:5" x14ac:dyDescent="0.3">
      <c r="E3046" s="1"/>
    </row>
    <row r="3047" spans="5:5" x14ac:dyDescent="0.3">
      <c r="E3047" s="1"/>
    </row>
    <row r="3048" spans="5:5" x14ac:dyDescent="0.3">
      <c r="E3048" s="1"/>
    </row>
    <row r="3049" spans="5:5" x14ac:dyDescent="0.3">
      <c r="E3049" s="1"/>
    </row>
    <row r="3050" spans="5:5" x14ac:dyDescent="0.3">
      <c r="E3050" s="1"/>
    </row>
    <row r="3051" spans="5:5" x14ac:dyDescent="0.3">
      <c r="E3051" s="1"/>
    </row>
    <row r="3052" spans="5:5" x14ac:dyDescent="0.3">
      <c r="E305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AP-CHK-RPT-20180501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2018-05-01T15:11:54Z</dcterms:created>
  <dcterms:modified xsi:type="dcterms:W3CDTF">2018-06-28T14:24:30Z</dcterms:modified>
</cp:coreProperties>
</file>