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905" windowWidth="21075" windowHeight="11760"/>
  </bookViews>
  <sheets>
    <sheet name="AP-CHK-RPT-20190201" sheetId="1" r:id="rId1"/>
  </sheets>
  <calcPr calcId="145621"/>
</workbook>
</file>

<file path=xl/calcChain.xml><?xml version="1.0" encoding="utf-8"?>
<calcChain xmlns="http://schemas.openxmlformats.org/spreadsheetml/2006/main">
  <c r="C2921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G240" i="1"/>
  <c r="H240" i="1"/>
  <c r="I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G379" i="1"/>
  <c r="H379" i="1"/>
  <c r="I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G772" i="1"/>
  <c r="H772" i="1"/>
  <c r="I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G930" i="1"/>
  <c r="H930" i="1"/>
  <c r="I930" i="1"/>
  <c r="G931" i="1"/>
  <c r="H931" i="1"/>
  <c r="I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E1260" i="1"/>
  <c r="F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G1509" i="1"/>
  <c r="H1509" i="1"/>
  <c r="I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</calcChain>
</file>

<file path=xl/sharedStrings.xml><?xml version="1.0" encoding="utf-8"?>
<sst xmlns="http://schemas.openxmlformats.org/spreadsheetml/2006/main" count="688" uniqueCount="545">
  <si>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</si>
  <si>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</si>
  <si>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</si>
  <si>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</si>
  <si>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</si>
  <si>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</si>
  <si>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</si>
  <si>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</si>
  <si>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</si>
  <si>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</si>
  <si>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BLUEBONNET PETROLEUM INC</t>
  </si>
  <si>
    <t>CENTURYLINK COMMUNICATIONS  LLC</t>
  </si>
  <si>
    <t>CHARITY ROGERS</t>
  </si>
  <si>
    <t>CITIBANK NA</t>
  </si>
  <si>
    <t>CORRECTIONS SOFTWARE SOLUTIONS LP</t>
  </si>
  <si>
    <t>DONNA DAMON</t>
  </si>
  <si>
    <t>GRETCHEN VOGLER</t>
  </si>
  <si>
    <t>HOME DEPOT USA  INC</t>
  </si>
  <si>
    <t>LaROCHE CHEVROLET CADILLAC INC</t>
  </si>
  <si>
    <t>LEXISNEXIS RISK DATA MANAGEMENT INC</t>
  </si>
  <si>
    <t>LLOYD GOSSELINK ROCHELLE &amp; TOWNSEND PC</t>
  </si>
  <si>
    <t>OFFICE DEPOT  INC</t>
  </si>
  <si>
    <t>ONE SOURCE TOXICOLOGY</t>
  </si>
  <si>
    <t>GE CAPITAL INFORMATION TECCHNOLOGY SOLUTIONS  INC</t>
  </si>
  <si>
    <t>ROBERT M &amp; DAN B ALFORD LLC</t>
  </si>
  <si>
    <t>SMART SALES  LLC</t>
  </si>
  <si>
    <t>CHARTER COMMUNICATIONS HOLDINGS  LLC</t>
  </si>
  <si>
    <t>STEPHANIE G CASEY</t>
  </si>
  <si>
    <t>TEXAS ASSOCIATION OF COUNTIES</t>
  </si>
  <si>
    <t>TEXAS DEPT OF CRIMINAL JUSTICE</t>
  </si>
  <si>
    <t>TIB-THE INDEPENDENT BANKERSBANK</t>
  </si>
  <si>
    <t>UBEO OF EAST TEXAS  INC.</t>
  </si>
  <si>
    <t>WALMART STORES TEXAS  LLC</t>
  </si>
  <si>
    <t>CHRISTINA CANNON</t>
  </si>
  <si>
    <t>304 CONSTRUCTION LLC</t>
  </si>
  <si>
    <t>4IMPRINT  INC</t>
  </si>
  <si>
    <t>973 MATERIALS  LLC</t>
  </si>
  <si>
    <t>A PLUS BAIL BONDS</t>
  </si>
  <si>
    <t>ARNOLD OIL COMPANY OF AUSTIN LP</t>
  </si>
  <si>
    <t>TIMOTHY HALL</t>
  </si>
  <si>
    <t>AARON CRIM</t>
  </si>
  <si>
    <t>ACADIAN PROPERTIES  LLC</t>
  </si>
  <si>
    <t>ADAM DAKOTA ROWINS</t>
  </si>
  <si>
    <t>ADENA LEWIS</t>
  </si>
  <si>
    <t>ALBERT NEAL PFEIFFER</t>
  </si>
  <si>
    <t>ALEC M SCHWIMMER</t>
  </si>
  <si>
    <t>ALEJANDRO RODRIGUEZ</t>
  </si>
  <si>
    <t>AMANDA BRUCE</t>
  </si>
  <si>
    <t>S &amp; D PLUMBING-GIDDINGS LLC</t>
  </si>
  <si>
    <t>AMAZON CAPITAL SERVICES INC</t>
  </si>
  <si>
    <t>AMC SOLUTIONS</t>
  </si>
  <si>
    <t>AMELIA BROWN</t>
  </si>
  <si>
    <t>AMERICAN FASTENERS  INC.</t>
  </si>
  <si>
    <t>AMERICAN TIRE DISTRIBUTORS INC</t>
  </si>
  <si>
    <t>AMERISOURCEBERGEN</t>
  </si>
  <si>
    <t>AMERITEX PIPE &amp; PRODUCTS LLC</t>
  </si>
  <si>
    <t>AMG PRINTING &amp; MAILING  LLC</t>
  </si>
  <si>
    <t>ANDERSON &amp; ANDERSON LAW FIRM PC</t>
  </si>
  <si>
    <t>ANDREW BERGER</t>
  </si>
  <si>
    <t>ANTHONY SHIELDS</t>
  </si>
  <si>
    <t>C APPLEMAN ENT INC</t>
  </si>
  <si>
    <t>APRIL KUCK</t>
  </si>
  <si>
    <t>AQUA BEVERAGE COMPANY/OZARKA</t>
  </si>
  <si>
    <t>AQUA WATER SUPPLY CORPORATION</t>
  </si>
  <si>
    <t>ARCHITEXAS - ARCHITECTURE  PLANNING &amp; HISTORIC PRE</t>
  </si>
  <si>
    <t>ARSENAL ADVERTISING LLC</t>
  </si>
  <si>
    <t>AT &amp; T</t>
  </si>
  <si>
    <t>AT&amp;T</t>
  </si>
  <si>
    <t>AT&amp;T MOBILITY</t>
  </si>
  <si>
    <t>RICHARD ATWOOD</t>
  </si>
  <si>
    <t>THE AUBAINE SUPPLY COMPANY  INC</t>
  </si>
  <si>
    <t>GRAND JUNCTION NEWSPAPERS INC</t>
  </si>
  <si>
    <t>AUSTIN ANESTHESIOLOGY GROUP</t>
  </si>
  <si>
    <t>BUTLER &amp; BURNS EAR NOSE &amp; THROAT ASSO</t>
  </si>
  <si>
    <t>RALPH E BONNELL CIH</t>
  </si>
  <si>
    <t>AUSTIN GASTROENTERLOGY</t>
  </si>
  <si>
    <t>AUSTIN KIDNEY ASSOCIATES  PA</t>
  </si>
  <si>
    <t>AUSTIN LLOYD</t>
  </si>
  <si>
    <t>PTL LAWN &amp; CLEANING SERVICE  INC</t>
  </si>
  <si>
    <t>AUSTIN RADIOLOGICAL ASSOC</t>
  </si>
  <si>
    <t>AUSTIN SOUTHWEST ORTHOPAEDIC GROUP</t>
  </si>
  <si>
    <t>AUSTIN WOOD RECYCLING  LTD</t>
  </si>
  <si>
    <t>B-GREENER INDUSTRIAL CLEANERS  LLC</t>
  </si>
  <si>
    <t>MICHAEL OLDHAM TIRE INC</t>
  </si>
  <si>
    <t>GRAND JUNCTION NEWSPAPERS  INC.</t>
  </si>
  <si>
    <t>BASTROP AIR CONDITIONING &amp; HEATING</t>
  </si>
  <si>
    <t>BASTROP CO SHERIFF'S OFFICE FORFEITURE FUND</t>
  </si>
  <si>
    <t>BASTROP COUNTY SHERIFF'S DEPT</t>
  </si>
  <si>
    <t>="11</t>
  </si>
  <si>
    <t>712"</t>
  </si>
  <si>
    <t>DANIEL L HEPKER</t>
  </si>
  <si>
    <t>BASTROP COUNTY CARES</t>
  </si>
  <si>
    <t>BASTROP INDEPENDENT SCHOOL DISTRICT</t>
  </si>
  <si>
    <t>BASTROP MEDICAL CLINIC</t>
  </si>
  <si>
    <t>BASTROP OUTDOOR</t>
  </si>
  <si>
    <t>BASTROP POLICE DEPT</t>
  </si>
  <si>
    <t>BASTROP PROVIDENCE  LLC</t>
  </si>
  <si>
    <t>BASTROP TREE SERVICE  INC</t>
  </si>
  <si>
    <t>DAVID H OUTON</t>
  </si>
  <si>
    <t>BEARD INTEGRATED SYSTEMS  INC.</t>
  </si>
  <si>
    <t>BEN E KEITH CO.</t>
  </si>
  <si>
    <t>BENNY BOYD LOCKHART LLC</t>
  </si>
  <si>
    <t>BENTON ESKEW</t>
  </si>
  <si>
    <t>MULTI SERVICE CORP</t>
  </si>
  <si>
    <t>BICKERSTAFF HEATH DELGADO ACOSTA LLP</t>
  </si>
  <si>
    <t>BILL'S TRUCK &amp; TRAILER INC</t>
  </si>
  <si>
    <t>BILLY JOSHUA GILL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</si>
  <si>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</si>
  <si>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</si>
  <si>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</si>
  <si>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</si>
  <si>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</si>
  <si>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BOBBY BROWN</t>
  </si>
  <si>
    <t>BOEHM TRACTOR SALES INC</t>
  </si>
  <si>
    <t>BRAUNTEX MATERIALS INC</t>
  </si>
  <si>
    <t>BREEZER HOLDINGS  LLC</t>
  </si>
  <si>
    <t>LAW OFFICE OF BRYAN W. MCDANIEL  P.C.</t>
  </si>
  <si>
    <t>BUCKEYE INTERNATIONAL INC</t>
  </si>
  <si>
    <t>C HOFFMAN CONSTRUCTION LLC</t>
  </si>
  <si>
    <t>CALDWELL COUNTY SHERIFF</t>
  </si>
  <si>
    <t>="12</t>
  </si>
  <si>
    <t>886"</t>
  </si>
  <si>
    <t>FH DAL  LLC</t>
  </si>
  <si>
    <t>CAPITAL AREA COUNCIL OF GOVERNMENTS</t>
  </si>
  <si>
    <t>CAPITOL BEARING SERVICE OF AUSTIN  INC.</t>
  </si>
  <si>
    <t>DAVID &amp; SUSAN MC ADAMS</t>
  </si>
  <si>
    <t>TIB-THE INDEPENDENT BANKERS BANK</t>
  </si>
  <si>
    <t>CDCAT</t>
  </si>
  <si>
    <t>CDW GOVERNMENT INC</t>
  </si>
  <si>
    <t>CEN-TEX MARINE FABRICATORS INC</t>
  </si>
  <si>
    <t>CENTERPOINT ENERGY</t>
  </si>
  <si>
    <t>CENTEX MATERIALS LLC</t>
  </si>
  <si>
    <t>CENTEX MECHANICAL INC</t>
  </si>
  <si>
    <t>CENTRAL TEXAS AUTOPSY</t>
  </si>
  <si>
    <t>CHARLES W CARVER</t>
  </si>
  <si>
    <t>CHARM-TEX</t>
  </si>
  <si>
    <t>CHRIS MATT DILLON</t>
  </si>
  <si>
    <t>CINTAS</t>
  </si>
  <si>
    <t>CINTAS CORPORATION</t>
  </si>
  <si>
    <t>CINTAS CORPORATION #86</t>
  </si>
  <si>
    <t>CITY OF BASTROP</t>
  </si>
  <si>
    <t>CITY OF SMITHVILLE</t>
  </si>
  <si>
    <t>CLIFFORD POWER SYSTEMS INC</t>
  </si>
  <si>
    <t>CLINICAL PATHOLOGY ASSOC. OF AUSTIN</t>
  </si>
  <si>
    <t>CLINICAL PATHOLOGY LABORATORIES INC</t>
  </si>
  <si>
    <t>CNA SURETY</t>
  </si>
  <si>
    <t>VANGUARD HOSPITALITY  LLC</t>
  </si>
  <si>
    <t>HANCOCK  JAHN  LEE &amp; PUCKETT LLC</t>
  </si>
  <si>
    <t>COMMUNITY COFFEE COMPANY LLC</t>
  </si>
  <si>
    <t>COOPER EQUIPMENT CO.</t>
  </si>
  <si>
    <t>CRYSTAL DEAR</t>
  </si>
  <si>
    <t>MUNICIPAL SERVICES BUREAU/GILA GROUP</t>
  </si>
  <si>
    <t>CUSTOM PRODUCTS CORPORATION</t>
  </si>
  <si>
    <t>CUSTOM TREE CARE  INC</t>
  </si>
  <si>
    <t>DAHILL</t>
  </si>
  <si>
    <t>DALLAS COUNTY CONSTABLE PCT 1</t>
  </si>
  <si>
    <t>DAVID &amp; MELINDA FIEBIG</t>
  </si>
  <si>
    <t>DAVID B BROOKS</t>
  </si>
  <si>
    <t>DAVID M COLLINS</t>
  </si>
  <si>
    <t>DELL</t>
  </si>
  <si>
    <t>DENA TINER</t>
  </si>
  <si>
    <t>DIANE MONTOYA</t>
  </si>
  <si>
    <t>DICKENS LOCKSMITH INC</t>
  </si>
  <si>
    <t>DEPARTMENT OF INFORMATION RESOURCES</t>
  </si>
  <si>
    <t>DISCOUNT DOOR &amp; METAL  LLC</t>
  </si>
  <si>
    <t>DISCOUNT FEEDS &amp; SUPPLIES</t>
  </si>
  <si>
    <t>THE REINALT-THOMAS CORP</t>
  </si>
  <si>
    <t>DONNIE STARK</t>
  </si>
  <si>
    <t>DOUBLE TUFF TRUCK TARPS INC</t>
  </si>
  <si>
    <t>NASHVILLE VENTURES</t>
  </si>
  <si>
    <t>DUNNE &amp; JUAREZ L.L.C.</t>
  </si>
  <si>
    <t>DURAN GRAVEL CO. INC</t>
  </si>
  <si>
    <t>ECOLAB INC</t>
  </si>
  <si>
    <t>ELECTION CENTER</t>
  </si>
  <si>
    <t>ELECTION SYSTEMS &amp; SOFTWARE INC</t>
  </si>
  <si>
    <t>ELGIN FUNERAL HOME</t>
  </si>
  <si>
    <t>ELGIN POLICE DEPARTMENT</t>
  </si>
  <si>
    <t>CITY OF ELGIN UTILITIES</t>
  </si>
  <si>
    <t>ELLIOTT ELECTRIC SUPPLY INC</t>
  </si>
  <si>
    <t>ELSWORTH SHERMAN</t>
  </si>
  <si>
    <t>ENRIQUE PORTUGAL</t>
  </si>
  <si>
    <t>ERGON ASPHALT &amp; EMULSIONS INC</t>
  </si>
  <si>
    <t>EXCELL ENVIRONMENTAL INC</t>
  </si>
  <si>
    <t>FACILITY SOLUTIONS GROUP INC</t>
  </si>
  <si>
    <t>FLEET COR TECHNOLOGIES INC</t>
  </si>
  <si>
    <t>FLEETPRIDE</t>
  </si>
  <si>
    <t>FLORENCE BEHAVIN</t>
  </si>
  <si>
    <t>FORREST L. SANDERSON</t>
  </si>
  <si>
    <t>AUSTIN TRUCK &amp; EQUIPMENT  LTD</t>
  </si>
  <si>
    <t>EUGENE W BRIGGS JR</t>
  </si>
  <si>
    <t>G &amp; K SERVICES</t>
  </si>
  <si>
    <t>GALVESTON COUNTY SHERIFF</t>
  </si>
  <si>
    <t>GARMENTS TO GO  INC</t>
  </si>
  <si>
    <t>BRIDGESTONE AMERICAS INC</t>
  </si>
  <si>
    <t>GEORGE HUGHLEN ARNOLD  LLC</t>
  </si>
  <si>
    <t>GIPSON PENDERGRASS PEOPLE'S MORTUARY LLC</t>
  </si>
  <si>
    <t>GRAINGER INC</t>
  </si>
  <si>
    <t>GT DISTRIBUTORS  INC.</t>
  </si>
  <si>
    <t>GULF COAST PAPER CO. INC.</t>
  </si>
  <si>
    <t>H.A. GRAY &amp; ASSOC.</t>
  </si>
  <si>
    <t>THE BRONZE CATTLE  LLC</t>
  </si>
  <si>
    <t>HANNAH QUACKENBUSH</t>
  </si>
  <si>
    <t>HARRIS COUNTY CONSTABLE PCT 1</t>
  </si>
  <si>
    <t>HAYS COUNTY CONSTABLE PCT 3</t>
  </si>
  <si>
    <t>HEADSETS.COM INC.</t>
  </si>
  <si>
    <t>HEATHER TRIPLET</t>
  </si>
  <si>
    <t>ITR AMERICA LLC</t>
  </si>
  <si>
    <t>BUTLER ANIMAL HEALTH</t>
  </si>
  <si>
    <t>HIDALGO COUNTY SHERIFF</t>
  </si>
  <si>
    <t>HILL COUNTRY ELECTRIC SUPPLY</t>
  </si>
  <si>
    <t>HILL COUNTY SHERIFF</t>
  </si>
  <si>
    <t>HILLARY LONG</t>
  </si>
  <si>
    <t>2055 SUMMER LEE ROCKWALL OWNER  LLC</t>
  </si>
  <si>
    <t>HODGSON G ECKEL</t>
  </si>
  <si>
    <t>BD HOLT CO</t>
  </si>
  <si>
    <t>CITIBANK (SOUTH DAKOTA)N.A./THE HOME DEPOT</t>
  </si>
  <si>
    <t>HUDSON ENERGY CORP</t>
  </si>
  <si>
    <t>HULL SUPPLY COMPANY INC</t>
  </si>
  <si>
    <t>HYDRAULIC HOUSE INC</t>
  </si>
  <si>
    <t>IDW LLC</t>
  </si>
  <si>
    <t>INDIGENT HEALTHCARE SOLUTIONS</t>
  </si>
  <si>
    <t>INTAB  LLC</t>
  </si>
  <si>
    <t>IRON MOUNTAIN RECORDS MGMT INC</t>
  </si>
  <si>
    <t>TRIPLE J JACKPOT</t>
  </si>
  <si>
    <t>JAMES D. SQUIER</t>
  </si>
  <si>
    <t>JANET L. LYNN</t>
  </si>
  <si>
    <t>JASON LEMOND</t>
  </si>
  <si>
    <t>JEFF E HAGEN MD</t>
  </si>
  <si>
    <t>JEFF JOHNSON</t>
  </si>
  <si>
    <t>JENKINS &amp; JENKINS LLP</t>
  </si>
  <si>
    <t>JF FILTRATION INC</t>
  </si>
  <si>
    <t>DEERE CREDIT SERVICES INC</t>
  </si>
  <si>
    <t>JOHN DEERE FINANCIAL f.s.b.</t>
  </si>
  <si>
    <t>JORDAN MC DONALD</t>
  </si>
  <si>
    <t>JUSTIN MATTHEW FOHN</t>
  </si>
  <si>
    <t>KAMRON T SAUNDERS</t>
  </si>
  <si>
    <t>KENNETH LIMUEL</t>
  </si>
  <si>
    <t>KENT BROUSSARD TOWER RENTAL INC</t>
  </si>
  <si>
    <t>KLEIBER FORD TRACTOR  INC.</t>
  </si>
  <si>
    <t>KOETTER FIRE PROTECTION OF AUSTIN  LLC</t>
  </si>
  <si>
    <t>LONGHORN INTERNATIONAL TRUCKS LTD</t>
  </si>
  <si>
    <t>THE LA GRANGE PARTS HOUSE INC</t>
  </si>
  <si>
    <t>LABATT INSTITUTIONAL SUPPLY CO</t>
  </si>
  <si>
    <t>LANA CRIM</t>
  </si>
  <si>
    <t>LUCIO LEAL</t>
  </si>
  <si>
    <t>LEE COUNTY WATER SUPPLY CORP</t>
  </si>
  <si>
    <t>LEON SCAIFE</t>
  </si>
  <si>
    <t>LEXISNEXIS RISK DATA MGMT INC</t>
  </si>
  <si>
    <t>LIBERTY TIRE RECYCLING</t>
  </si>
  <si>
    <t>LINDA HARMON-TAX ASSESSOR</t>
  </si>
  <si>
    <t>LISA K JACKSON</t>
  </si>
  <si>
    <t>LISA M. MIMS</t>
  </si>
  <si>
    <t>LLOYD GOSSELINK ROCHELLE &amp; TOWNSEND. PC</t>
  </si>
  <si>
    <t>LONE STAR CIRCLE OF CARE</t>
  </si>
  <si>
    <t>LONESTAR HOSPITAL MEDICINE ASSOCIATES PA</t>
  </si>
  <si>
    <t>LONGHORN EMERGENCY MEDICAL ASSOC PA</t>
  </si>
  <si>
    <t>LONNIE LAWRENCE DAVIS JR</t>
  </si>
  <si>
    <t>SCOTT BRYANT</t>
  </si>
  <si>
    <t>LOVELACE SCIENTIFIC RESOURCES  INC.</t>
  </si>
  <si>
    <t>LOWE'S</t>
  </si>
  <si>
    <t>LUMENSERVE  INC.</t>
  </si>
  <si>
    <t>LUNG NU VAN</t>
  </si>
  <si>
    <t>MAGIC TOUCH CLEANING SYSTEMS LLC</t>
  </si>
  <si>
    <t>MARIA CELESTE COSTLEY</t>
  </si>
  <si>
    <t>MARK A RUMPLE</t>
  </si>
  <si>
    <t>MARK GARCIA</t>
  </si>
  <si>
    <t>MARK MEUTH</t>
  </si>
  <si>
    <t>MARK T. MALONE  M.D. P.A</t>
  </si>
  <si>
    <t>JOHN W GASPARINI INC</t>
  </si>
  <si>
    <t>MARRS-JONES-NEWBY FUNERAL HOME</t>
  </si>
  <si>
    <t>MARY BETH SCOTT</t>
  </si>
  <si>
    <t>MARY KING</t>
  </si>
  <si>
    <t>MATHESON TRI-GAS INC</t>
  </si>
  <si>
    <t>McCOY'S BUILDING SUPPLY CENTER</t>
  </si>
  <si>
    <t>McCREARY  VESELKA  BRAGG &amp; ALLEN P</t>
  </si>
  <si>
    <t>010  05/02/18"</t>
  </si>
  <si>
    <t>TERENCE WAYNE MEADOWS</t>
  </si>
  <si>
    <t>MEDIMPACT HEALTHCARE SYSTEMS INC</t>
  </si>
  <si>
    <t>MENTALIX INC</t>
  </si>
  <si>
    <t>MICHELE FRITSCHE C.S.R.</t>
  </si>
  <si>
    <t>MIDTEX MATERIALS</t>
  </si>
  <si>
    <t>MIKE FORSTNER'S WATERLIFE</t>
  </si>
  <si>
    <t>GALLS  LLC</t>
  </si>
  <si>
    <t>BRIAN ALEXANDER YOUNG</t>
  </si>
  <si>
    <t>MARCO HUMBERTO RODRIGUEZ</t>
  </si>
  <si>
    <t>CAROL ANN DARLING</t>
  </si>
  <si>
    <t>DAVID GOSTECNIK</t>
  </si>
  <si>
    <t>SARAH BLACK PAGE</t>
  </si>
  <si>
    <t>ARTHUR EVERETT THOMPSON</t>
  </si>
  <si>
    <t>LAUREN RAE OLIVER</t>
  </si>
  <si>
    <t>JANICE EVONNE CLEMONS</t>
  </si>
  <si>
    <t>MARCOS MARGARITO DELGADO JR</t>
  </si>
  <si>
    <t>BILLY JOE GOBER</t>
  </si>
  <si>
    <t>CHRISTOPHER MICHAEL BARBEITE</t>
  </si>
  <si>
    <t>MALISSA SUE SHEPHERD</t>
  </si>
  <si>
    <t>DENA MARIE POUDRIER</t>
  </si>
  <si>
    <t>CHARLES DOYLE BARRY</t>
  </si>
  <si>
    <t>SHARON RUTH HUMPHREY</t>
  </si>
  <si>
    <t>RONEISHIA M HARRELL</t>
  </si>
  <si>
    <t>TODD RYAN DEJULIUS</t>
  </si>
  <si>
    <t>SHERRE DAWN HOWELL</t>
  </si>
  <si>
    <t>ELEAZAR MARTINEZ JR</t>
  </si>
  <si>
    <t>MICHAEL DAVID KRADJEL</t>
  </si>
  <si>
    <t>GUSTAVO ADOLFO REYES</t>
  </si>
  <si>
    <t>VIRGIL DON BOMAR</t>
  </si>
  <si>
    <t>BLAIR ANISA HARVEY</t>
  </si>
  <si>
    <t>MARSHALL LAMONT MUNSELL</t>
  </si>
  <si>
    <t>LEAH RACHEL GUTIERREZ</t>
  </si>
  <si>
    <t>DEMETRIO GONZALEZ JR</t>
  </si>
  <si>
    <t>GUADALUPE GARCIA III</t>
  </si>
  <si>
    <t>TAYLOR COSETTE COUSINEAU</t>
  </si>
  <si>
    <t>KATHRYN L HEILINGOETTER</t>
  </si>
  <si>
    <t>HECTOR GARCIA</t>
  </si>
  <si>
    <t>GERALD RAY STRONG</t>
  </si>
  <si>
    <t>BYRON JOSEPH BARNETT</t>
  </si>
  <si>
    <t>DUSTIN JOSIAH HAINES</t>
  </si>
  <si>
    <t>MARTIN FLORES GALVAN</t>
  </si>
  <si>
    <t>JULIA DAVIS SULSAR</t>
  </si>
  <si>
    <t>GEORGE LUIS VELASQUEZ</t>
  </si>
  <si>
    <t>STEVEN JOHN LEDESMA</t>
  </si>
  <si>
    <t>KERRI LYNETTE WASHINGTON</t>
  </si>
  <si>
    <t>SHARI JO WYATT</t>
  </si>
  <si>
    <t>HILLARY MARIE KVAMME</t>
  </si>
  <si>
    <t>VALENTIN T REGALADO III</t>
  </si>
  <si>
    <t>DONNA BESS SCHUBERT</t>
  </si>
  <si>
    <t>HEIDI S LYONS</t>
  </si>
  <si>
    <t>SHANNON JOY BOWLING</t>
  </si>
  <si>
    <t>MICHIEL GENE WEBB</t>
  </si>
  <si>
    <t>DONNA RAE NONDORF</t>
  </si>
  <si>
    <t>CATHERINE JANE PERRIN</t>
  </si>
  <si>
    <t>CHARLES EARL HAJDIK SR</t>
  </si>
  <si>
    <t>MARIE ALVAREZ</t>
  </si>
  <si>
    <t>PATRICIA ANN COFFEE</t>
  </si>
  <si>
    <t>VERONICA MICHELLE GUAJARDO</t>
  </si>
  <si>
    <t>DARRELL WAYNE KANAK</t>
  </si>
  <si>
    <t>RHONDA ELEANOR HAYES</t>
  </si>
  <si>
    <t>DANIEL LEE HEPKER</t>
  </si>
  <si>
    <t>DAVID ALEXANDER SALMONS</t>
  </si>
  <si>
    <t>DEBBIE GAIL OEDING</t>
  </si>
  <si>
    <t>Family Crisis Center</t>
  </si>
  <si>
    <t>COURT APPOINTED SPECIAL ADVOCA</t>
  </si>
  <si>
    <t>Child Protective Services</t>
  </si>
  <si>
    <t>Children's Advocacy Center</t>
  </si>
  <si>
    <t>DEBBIE NARANJO CERVANTES</t>
  </si>
  <si>
    <t>RUBEN HERNANDEZ</t>
  </si>
  <si>
    <t>LARRY DARNELL HAYWOOD</t>
  </si>
  <si>
    <t>BRITNEY DANIELLE REESE</t>
  </si>
  <si>
    <t>JOSHUA RAY GUSMAN</t>
  </si>
  <si>
    <t>CHARLOTTE SANSOM THORNTON</t>
  </si>
  <si>
    <t>MEGAN MENZEL WAGONER</t>
  </si>
  <si>
    <t>BLAIR WILLIAM DOUGLAS</t>
  </si>
  <si>
    <t>JILL ANN MULDER</t>
  </si>
  <si>
    <t>MARK WILKERSON</t>
  </si>
  <si>
    <t>BENNETT DAVID WILSON</t>
  </si>
  <si>
    <t>CATHERINE ROMINSKI KIRBY</t>
  </si>
  <si>
    <t>GAYLAND MCAFEE</t>
  </si>
  <si>
    <t>JAMES AARON HUSER</t>
  </si>
  <si>
    <t>REBECCA HAMBY DURDA</t>
  </si>
  <si>
    <t>TIA NICOLE TATUM</t>
  </si>
  <si>
    <t>ZACHARY SEAN CROLEY</t>
  </si>
  <si>
    <t>ROBERT EARLE HOYLE</t>
  </si>
  <si>
    <t>LANCE ALAN ETZEL</t>
  </si>
  <si>
    <t>JOHNATHAN ARTHUR NEUROTH</t>
  </si>
  <si>
    <t>RANDALL J MOGONYE</t>
  </si>
  <si>
    <t>KELSEY LEE SNOW</t>
  </si>
  <si>
    <t>KRISTA LEE MARX</t>
  </si>
  <si>
    <t>ISSAC DAVID VILLARREAL</t>
  </si>
  <si>
    <t>PAMELA CHRIS GERRITSEN</t>
  </si>
  <si>
    <t>CLARENCE EDWARD FLUKER</t>
  </si>
  <si>
    <t>ROBERT EARL BRISCOE</t>
  </si>
  <si>
    <t>SAMINA JENEA ANDERSON JONES</t>
  </si>
  <si>
    <t>DAVID ANDRONICUS THORSON</t>
  </si>
  <si>
    <t>CYNTHIA DENISE JONES</t>
  </si>
  <si>
    <t>JUAN M GARCIA</t>
  </si>
  <si>
    <t>MICHAEL ANTHONY SHARP</t>
  </si>
  <si>
    <t>MARSHALL BRENT HILL JR</t>
  </si>
  <si>
    <t>ISAIAH PATRICK RIVAS</t>
  </si>
  <si>
    <t>NATHAN HEATH</t>
  </si>
  <si>
    <t>MONARCH DISPOSAL  LLC</t>
  </si>
  <si>
    <t>MOORE MEDICAL LLC</t>
  </si>
  <si>
    <t>MORRIS &amp; MCCLIMON ATTORNEYS AT LAW  PLLC</t>
  </si>
  <si>
    <t>MORSCO SUPPLY  LLC</t>
  </si>
  <si>
    <t>MOTOROLA INC</t>
  </si>
  <si>
    <t>NALCO COMPANY LLC</t>
  </si>
  <si>
    <t>NAOMI GONZALES</t>
  </si>
  <si>
    <t>INTERNATIONAL IDENTIFICATION INC.</t>
  </si>
  <si>
    <t>NATIONAL FOOD GROUP INC</t>
  </si>
  <si>
    <t>NUECES COUNTY CONSTABLE PCT 1</t>
  </si>
  <si>
    <t>O'REILLY AUTOMOTIVE  INC.</t>
  </si>
  <si>
    <t>SOUTHERN FOODS GROUP LP</t>
  </si>
  <si>
    <t>OFFICE DEPOT</t>
  </si>
  <si>
    <t>OMNIBASE SERVICES OF TEXAS LP</t>
  </si>
  <si>
    <t>ON SITE SERVICES</t>
  </si>
  <si>
    <t>OSBURN ASSOCIATES INC.</t>
  </si>
  <si>
    <t>PAIGE TRACTORS INC</t>
  </si>
  <si>
    <t>PATRICK ELECTRIC SERVICE</t>
  </si>
  <si>
    <t>PATTERSON  VETERINARY SUPPLY INC</t>
  </si>
  <si>
    <t>PETE HERNANDEZ</t>
  </si>
  <si>
    <t>PETHEALTH SERVICES(USA) INC.</t>
  </si>
  <si>
    <t>PHILIP R DUCLOUX</t>
  </si>
  <si>
    <t>R.J. THOMAS MANUFACTURING COMPANY  INC.</t>
  </si>
  <si>
    <t>PB PROFESSIONAL SERVICES INC</t>
  </si>
  <si>
    <t>PITNEY BOWES GLOBAL FINANCIAL SERVICES</t>
  </si>
  <si>
    <t>PM WILSON &amp; ASSOCIATES PLLC</t>
  </si>
  <si>
    <t>POSTMASTER</t>
  </si>
  <si>
    <t>POLICE RECORDS &amp; INFORMATION MANAGEMENT GROUP</t>
  </si>
  <si>
    <t>PRO-SELECTIONS  INC.</t>
  </si>
  <si>
    <t>QUEST DIAGNOSTICS CLINICAL LABORATORIES</t>
  </si>
  <si>
    <t>RACHEL A BAUER</t>
  </si>
  <si>
    <t>RANDI FISHBECK</t>
  </si>
  <si>
    <t>RCS ACQUISITION LP</t>
  </si>
  <si>
    <t>NESTLE WATERS N AMERICA INC</t>
  </si>
  <si>
    <t>RED WING BUSINESS ADVANTAGE ACCOUNT</t>
  </si>
  <si>
    <t>REPUBLIC SERVICES INC BFI WASTE SERVICE</t>
  </si>
  <si>
    <t>PAULINE SPURLOCK</t>
  </si>
  <si>
    <t>REYNOLDS &amp; KEINARTH</t>
  </si>
  <si>
    <t>RIC COLE</t>
  </si>
  <si>
    <t>RICHARD ALLAN DICKMAN JR</t>
  </si>
  <si>
    <t>RICHARD M HUTCHINS</t>
  </si>
  <si>
    <t>RICOH USA INC</t>
  </si>
  <si>
    <t>CIT TECHNOLOGY FINANCE</t>
  </si>
  <si>
    <t>ROBBERY INVESTIGATORS OF TEXAS INC</t>
  </si>
  <si>
    <t>MIKE DAVIS</t>
  </si>
  <si>
    <t>RUNKLE ENTERPRISES</t>
  </si>
  <si>
    <t>ROADRUNNER RADIOLOGY EQUIP LLC</t>
  </si>
  <si>
    <t>ROBERT CARVIN</t>
  </si>
  <si>
    <t>ROBERT E CANTU M.D. P.A.</t>
  </si>
  <si>
    <t>ROBERT MADDEN INDUSTRIES LTD</t>
  </si>
  <si>
    <t>RODGER KRUEGER</t>
  </si>
  <si>
    <t>ROSE PIETSCH COUNTY CLERK</t>
  </si>
  <si>
    <t>INCSTORES LLC</t>
  </si>
  <si>
    <t>SAFELITE FULFILLMENT INC</t>
  </si>
  <si>
    <t>SAMMY LERMA III MD</t>
  </si>
  <si>
    <t>SARAH LOUCKS</t>
  </si>
  <si>
    <t>SECURUS TECHNOLOGIES INC</t>
  </si>
  <si>
    <t>SETON HEALTHCARE SPONSORED PROJECTS</t>
  </si>
  <si>
    <t>SETON MEDICAL CENTER</t>
  </si>
  <si>
    <t>SETON FAMILY OF HOSPITALS</t>
  </si>
  <si>
    <t>FERRELLGAS  LP</t>
  </si>
  <si>
    <t>SHI GOVERNMENT SOLUTIONS INC.</t>
  </si>
  <si>
    <t>SHOPPA'S FARM SUPPLY</t>
  </si>
  <si>
    <t>SHRED-IT US HOLDCO  INC</t>
  </si>
  <si>
    <t>SIGNATURE SMILES</t>
  </si>
  <si>
    <t>SILSBEE FORD</t>
  </si>
  <si>
    <t>SMITH STORES  INC.</t>
  </si>
  <si>
    <t>SMITHVILLE AUTO PARTS  INC</t>
  </si>
  <si>
    <t>SMITHVILLE POLICE DEPT.</t>
  </si>
  <si>
    <t>SOUTH TX CO JUDGES' ASSN.</t>
  </si>
  <si>
    <t>SOUTHERN TIRE MART LLC</t>
  </si>
  <si>
    <t>DS WATERS OF AMERICA INC</t>
  </si>
  <si>
    <t>SPILLAR CUSTOM HITCHES INC</t>
  </si>
  <si>
    <t>ST.DAVID'S HEALTHCARE PARTNERSHIP</t>
  </si>
  <si>
    <t>ST.DAVIDS HEART &amp; VASCULAR  PLLC</t>
  </si>
  <si>
    <t>STAPLES ADVANTAGE</t>
  </si>
  <si>
    <t>STATE BAR OF TEXAS</t>
  </si>
  <si>
    <t>STATE OF TEXAS</t>
  </si>
  <si>
    <t>STEVE GRANADO</t>
  </si>
  <si>
    <t>STEVEN A LOGSDON</t>
  </si>
  <si>
    <t>MATTHEW LEE SULLINS</t>
  </si>
  <si>
    <t>TAVCO SERVICES INC</t>
  </si>
  <si>
    <t>INTERNATIONAL ASSOCIATION OF FIREFIGHTERS</t>
  </si>
  <si>
    <t>TAYLOR SECURITY SYSTEMS  LLC</t>
  </si>
  <si>
    <t>TCB CONSTRUCTION INC</t>
  </si>
  <si>
    <t>TEJAS ELEVATOR COMPANY</t>
  </si>
  <si>
    <t>JOHN J FIETSAM INC</t>
  </si>
  <si>
    <t>TEX-CON OIL CO</t>
  </si>
  <si>
    <t>TEXAN EYE  P.A.</t>
  </si>
  <si>
    <t>TEXAS AGGREGATES  LLC</t>
  </si>
  <si>
    <t>TEXAS ASSOC OF CCL JUDGES</t>
  </si>
  <si>
    <t>TEXAS ASSOCIATES INSURORS AGENCY</t>
  </si>
  <si>
    <t>TEXAS BLACKLAND HARDWARE</t>
  </si>
  <si>
    <t>TEXAS CLASSICS</t>
  </si>
  <si>
    <t>TEXAS CORRECTIONAL FACILITY</t>
  </si>
  <si>
    <t>TEXAS DEPT OF LICENSING &amp; REGULATION</t>
  </si>
  <si>
    <t>TEXAS DEPT OF PUBLIC SAFETY</t>
  </si>
  <si>
    <t>TEXAS DOWNTOWN ASSOCIATION</t>
  </si>
  <si>
    <t>TEXAS JUSTICE COURT TRAINING CENTER</t>
  </si>
  <si>
    <t>TEXAS MATERIALS GROUP  INC.</t>
  </si>
  <si>
    <t>TEXAS NARCOTIC OFFICERS ASSOCIATION</t>
  </si>
  <si>
    <t>TEXAS POTTY SHACKS</t>
  </si>
  <si>
    <t>THE BRANDT COMPANIES  LLC</t>
  </si>
  <si>
    <t>BUG MASTER EXTERMINATING SERVICES  LTD</t>
  </si>
  <si>
    <t>JAMES ANDREW CASEY</t>
  </si>
  <si>
    <t>RICHARD NELSON MOORE</t>
  </si>
  <si>
    <t>THE NITSCHE GROUP</t>
  </si>
  <si>
    <t>THE TRAVELERS INDEMNITY COMPANY</t>
  </si>
  <si>
    <t>WEST PUBLISHING CORPORATION</t>
  </si>
  <si>
    <t>TWE-ADVANCE/NEWHOUSE PARTNERSHIP</t>
  </si>
  <si>
    <t>TRACTOR SUPPLY CREDIT PLAN</t>
  </si>
  <si>
    <t>TRAVIS COUNTY CONSTABLE PCT 5</t>
  </si>
  <si>
    <t>TRAVIS COUNTY CLERK</t>
  </si>
  <si>
    <t>TRAVIS COUNTY MEDICAL EXAMINER</t>
  </si>
  <si>
    <t>KAUFFMAN TIRE</t>
  </si>
  <si>
    <t>TRI-COUNTY PRACTICE ASSOCIATION</t>
  </si>
  <si>
    <t>TEXAS ENTERPRISES INC.</t>
  </si>
  <si>
    <t>TULL FARLEY</t>
  </si>
  <si>
    <t>LINDA WALKER</t>
  </si>
  <si>
    <t>TX COMMISSION ON ENVIRONMENTAL QUALITY</t>
  </si>
  <si>
    <t>TEXAS DEPARTMENT OF TRANSPORTATION</t>
  </si>
  <si>
    <t>COUFAL-PRATER EQUIPMENT  LLC</t>
  </si>
  <si>
    <t>UNITED REFRIGERATION INC</t>
  </si>
  <si>
    <t>UPS</t>
  </si>
  <si>
    <t>VIKING FENCE CO INC</t>
  </si>
  <si>
    <t>TEXAS DEPARTMENT OF STATE HEALTH SERVICES</t>
  </si>
  <si>
    <t>MOUNTAIN WEST DERM-AUSTIN PLLC</t>
  </si>
  <si>
    <t>US BANK NA</t>
  </si>
  <si>
    <t>VULCAN CONSTRUCTION MATERIALS  LP</t>
  </si>
  <si>
    <t>WAGEWORKS INC  FSA/HSA</t>
  </si>
  <si>
    <t>WALLER COUNTY ASPHALT INC</t>
  </si>
  <si>
    <t>WALMART COMMUNITY BRC</t>
  </si>
  <si>
    <t>WASHINGTON COUNTY CHAMBER OF COMMERCE</t>
  </si>
  <si>
    <t>WASTE MANAGEMENT OF TEXAS INC</t>
  </si>
  <si>
    <t>WAYFAIR LLC</t>
  </si>
  <si>
    <t>PROGRESSIVE WASTE SOLUTIONS OF TX. INC.</t>
  </si>
  <si>
    <t>WIND KNOT INCORPORATED</t>
  </si>
  <si>
    <t>COBRA EQUIPMENT RENTALS</t>
  </si>
  <si>
    <t>WEI-ANN LIN  MD PA</t>
  </si>
  <si>
    <t>MAO PHARMACY INC</t>
  </si>
  <si>
    <t>WORKPLACE RESOURCE</t>
  </si>
  <si>
    <t>XEROX CORPORATION</t>
  </si>
  <si>
    <t>YOLANDA WHEATON</t>
  </si>
  <si>
    <t>BASTROP COUNTY PROBATION DEPT</t>
  </si>
  <si>
    <t>BASTROP COUNTY ESD #1</t>
  </si>
  <si>
    <t>FIRST NATIONAL BANK</t>
  </si>
  <si>
    <t>MAIL &amp; SIGNS</t>
  </si>
  <si>
    <t>DISC HOLDINGS  LLC</t>
  </si>
  <si>
    <t>SAMES BASTROP FORD INC</t>
  </si>
  <si>
    <t>ALLSTATE-AMERICAN HERITAGE LIFE INS CO</t>
  </si>
  <si>
    <t>BASTROP CNTY ADULT PROBATION</t>
  </si>
  <si>
    <t>COLONIAL LIFE &amp; ACCIDENT INS. CO.</t>
  </si>
  <si>
    <t>CPI QUALIFIED PLAN CONSULTANTS  INC.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</si>
  <si>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</si>
  <si>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</si>
  <si>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</si>
  <si>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</si>
  <si>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</si>
  <si>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</si>
  <si>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</si>
  <si>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</si>
  <si>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</si>
  <si>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</si>
  <si>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</si>
  <si>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LOAN/TRELLIS CO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</si>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</sst>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92"/>
  <sheetViews>
    <sheetView tabSelected="1" workbookViewId="0"/>
  </sheetViews>
  <sheetFormatPr defaultRowHeight="15" x14ac:dyDescent="0.25"/>
  <cols>
    <col min="1" max="1" width="53.7109375" bestFit="1" customWidth="1"/>
    <col min="2" max="2" width="7.7109375" bestFit="1" customWidth="1"/>
    <col min="3" max="3" width="14" style="2" bestFit="1" customWidth="1"/>
    <col min="4" max="4" width="10.85546875" bestFit="1" customWidth="1"/>
    <col min="5" max="5" width="21.7109375" bestFit="1" customWidth="1"/>
    <col min="6" max="6" width="36.7109375" bestFit="1" customWidth="1"/>
    <col min="7" max="7" width="21" style="3" bestFit="1" customWidth="1"/>
    <col min="8" max="8" width="36.7109375" bestFit="1" customWidth="1"/>
  </cols>
  <sheetData>
    <row r="1" spans="1:8" x14ac:dyDescent="0.25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s="3" t="s">
        <v>6</v>
      </c>
      <c r="H1" t="s">
        <v>7</v>
      </c>
    </row>
    <row r="2" spans="1:8" x14ac:dyDescent="0.25">
      <c r="A2" t="s">
        <v>8</v>
      </c>
      <c r="B2">
        <v>999999</v>
      </c>
      <c r="C2" s="2">
        <v>190.25</v>
      </c>
      <c r="D2" s="1">
        <v>43291</v>
      </c>
      <c r="E2" t="str">
        <f>"43641"</f>
        <v>43641</v>
      </c>
      <c r="F2" t="str">
        <f>"INTERNET/FAX"</f>
        <v>INTERNET/FAX</v>
      </c>
      <c r="G2" s="3">
        <v>145.5</v>
      </c>
      <c r="H2" t="str">
        <f>"INTERNET/FAX"</f>
        <v>INTERNET/FAX</v>
      </c>
    </row>
    <row r="3" spans="1:8" x14ac:dyDescent="0.25">
      <c r="E3" t="str">
        <f>"43642"</f>
        <v>43642</v>
      </c>
      <c r="F3" t="str">
        <f>"DOMAIN NAME HOSTING"</f>
        <v>DOMAIN NAME HOSTING</v>
      </c>
      <c r="G3" s="3">
        <v>44.75</v>
      </c>
      <c r="H3" t="str">
        <f>"DOMAIN NAME HOSTING"</f>
        <v>DOMAIN NAME HOSTING</v>
      </c>
    </row>
    <row r="4" spans="1:8" x14ac:dyDescent="0.25">
      <c r="A4" t="s">
        <v>9</v>
      </c>
      <c r="B4">
        <v>2325</v>
      </c>
      <c r="C4" s="2">
        <v>221.49</v>
      </c>
      <c r="D4" s="1">
        <v>43290</v>
      </c>
      <c r="E4" t="str">
        <f>"201807031867"</f>
        <v>201807031867</v>
      </c>
      <c r="F4" t="str">
        <f>"ACCT#100001-8659-708279001"</f>
        <v>ACCT#100001-8659-708279001</v>
      </c>
      <c r="G4" s="3">
        <v>221.49</v>
      </c>
      <c r="H4" t="str">
        <f>"ACCT#100001-8659-708279001"</f>
        <v>ACCT#100001-8659-708279001</v>
      </c>
    </row>
    <row r="5" spans="1:8" x14ac:dyDescent="0.25">
      <c r="A5" t="s">
        <v>10</v>
      </c>
      <c r="B5">
        <v>2324</v>
      </c>
      <c r="C5" s="2">
        <v>25.47</v>
      </c>
      <c r="D5" s="1">
        <v>43290</v>
      </c>
      <c r="E5" t="str">
        <f>"119506"</f>
        <v>119506</v>
      </c>
      <c r="F5" t="str">
        <f>"VEHICLE FUEL"</f>
        <v>VEHICLE FUEL</v>
      </c>
      <c r="G5" s="3">
        <v>25.47</v>
      </c>
      <c r="H5" t="str">
        <f>"VEHICLE FUEL"</f>
        <v>VEHICLE FUEL</v>
      </c>
    </row>
    <row r="6" spans="1:8" x14ac:dyDescent="0.25">
      <c r="A6" t="s">
        <v>11</v>
      </c>
      <c r="B6">
        <v>2337</v>
      </c>
      <c r="C6" s="2">
        <v>24.87</v>
      </c>
      <c r="D6" s="1">
        <v>43304</v>
      </c>
      <c r="E6" t="str">
        <f>"1444504959"</f>
        <v>1444504959</v>
      </c>
      <c r="F6" t="str">
        <f>"ACCT#36550462/PHONE SERVICE"</f>
        <v>ACCT#36550462/PHONE SERVICE</v>
      </c>
      <c r="G6" s="3">
        <v>24.87</v>
      </c>
      <c r="H6" t="str">
        <f>"ACCT#36550462/PHONE SERVICE"</f>
        <v>ACCT#36550462/PHONE SERVICE</v>
      </c>
    </row>
    <row r="7" spans="1:8" x14ac:dyDescent="0.25">
      <c r="A7" t="s">
        <v>12</v>
      </c>
      <c r="B7">
        <v>2326</v>
      </c>
      <c r="C7" s="2">
        <v>630</v>
      </c>
      <c r="D7" s="1">
        <v>43290</v>
      </c>
      <c r="E7" t="str">
        <f>"06/2018 SERVICE"</f>
        <v>06/2018 SERVICE</v>
      </c>
      <c r="F7" t="str">
        <f>"ALCOHOL &amp; DRUG ASSESSMENTS"</f>
        <v>ALCOHOL &amp; DRUG ASSESSMENTS</v>
      </c>
      <c r="G7" s="3">
        <v>630</v>
      </c>
      <c r="H7" t="str">
        <f>"ALCOHOL &amp; DRUG ASSESSMENTS"</f>
        <v>ALCOHOL &amp; DRUG ASSESSMENTS</v>
      </c>
    </row>
    <row r="8" spans="1:8" x14ac:dyDescent="0.25">
      <c r="E8" t="str">
        <f>""</f>
        <v/>
      </c>
      <c r="F8" t="str">
        <f>""</f>
        <v/>
      </c>
      <c r="H8" t="str">
        <f>"ALCOHOL &amp; DRUG ASSESSMENTS"</f>
        <v>ALCOHOL &amp; DRUG ASSESSMENTS</v>
      </c>
    </row>
    <row r="9" spans="1:8" x14ac:dyDescent="0.25">
      <c r="A9" t="s">
        <v>12</v>
      </c>
      <c r="B9">
        <v>2338</v>
      </c>
      <c r="C9" s="2">
        <v>140</v>
      </c>
      <c r="D9" s="1">
        <v>43304</v>
      </c>
      <c r="E9" t="str">
        <f>"07/2018 SERVICE"</f>
        <v>07/2018 SERVICE</v>
      </c>
      <c r="F9" t="str">
        <f>"ALCOHOL &amp; DRUG ASSESSMENTS"</f>
        <v>ALCOHOL &amp; DRUG ASSESSMENTS</v>
      </c>
      <c r="G9" s="3">
        <v>140</v>
      </c>
      <c r="H9" t="str">
        <f>"ALCOHOL &amp; DRUG ASSESSMENTS"</f>
        <v>ALCOHOL &amp; DRUG ASSESSMENTS</v>
      </c>
    </row>
    <row r="10" spans="1:8" x14ac:dyDescent="0.25">
      <c r="A10" t="s">
        <v>13</v>
      </c>
      <c r="B10">
        <v>2339</v>
      </c>
      <c r="C10" s="2">
        <v>137.72999999999999</v>
      </c>
      <c r="D10" s="1">
        <v>43304</v>
      </c>
      <c r="E10" t="str">
        <f>"XXXXXX5376807"</f>
        <v>XXXXXX5376807</v>
      </c>
      <c r="F10" t="str">
        <f>"ACCT#5376/FUEL"</f>
        <v>ACCT#5376/FUEL</v>
      </c>
      <c r="G10" s="3">
        <v>137.72999999999999</v>
      </c>
      <c r="H10" t="str">
        <f>"ACCT#5376/FUEL"</f>
        <v>ACCT#5376/FUEL</v>
      </c>
    </row>
    <row r="11" spans="1:8" x14ac:dyDescent="0.25">
      <c r="E11" t="str">
        <f>""</f>
        <v/>
      </c>
      <c r="F11" t="str">
        <f>""</f>
        <v/>
      </c>
      <c r="H11" t="str">
        <f>"ACCT#5376/FUEL"</f>
        <v>ACCT#5376/FUEL</v>
      </c>
    </row>
    <row r="12" spans="1:8" x14ac:dyDescent="0.25">
      <c r="E12" t="str">
        <f>""</f>
        <v/>
      </c>
      <c r="F12" t="str">
        <f>""</f>
        <v/>
      </c>
      <c r="H12" t="str">
        <f>"ACCT#5376/FUEL"</f>
        <v>ACCT#5376/FUEL</v>
      </c>
    </row>
    <row r="13" spans="1:8" x14ac:dyDescent="0.25">
      <c r="A13" t="s">
        <v>14</v>
      </c>
      <c r="B13">
        <v>999999</v>
      </c>
      <c r="C13" s="2">
        <v>3980</v>
      </c>
      <c r="D13" s="1">
        <v>43291</v>
      </c>
      <c r="E13" t="str">
        <f>"34041"</f>
        <v>34041</v>
      </c>
      <c r="F13" t="str">
        <f>"PROF SVCS AUGUST 2018"</f>
        <v>PROF SVCS AUGUST 2018</v>
      </c>
      <c r="G13" s="3">
        <v>3980</v>
      </c>
      <c r="H13" t="str">
        <f>"PROF SVCS AUGUST 2018"</f>
        <v>PROF SVCS AUGUST 2018</v>
      </c>
    </row>
    <row r="14" spans="1:8" x14ac:dyDescent="0.25">
      <c r="A14" t="s">
        <v>15</v>
      </c>
      <c r="B14">
        <v>2327</v>
      </c>
      <c r="C14" s="2">
        <v>196.81</v>
      </c>
      <c r="D14" s="1">
        <v>43290</v>
      </c>
      <c r="E14" t="str">
        <f>"201807031868"</f>
        <v>201807031868</v>
      </c>
      <c r="F14" t="str">
        <f>"MILEAGE &amp; PER DIEM REIMBURSEME"</f>
        <v>MILEAGE &amp; PER DIEM REIMBURSEME</v>
      </c>
      <c r="G14" s="3">
        <v>196.81</v>
      </c>
      <c r="H14" t="str">
        <f>"MILEAGE &amp; PER DIEM REIMBURSEME"</f>
        <v>MILEAGE &amp; PER DIEM REIMBURSEME</v>
      </c>
    </row>
    <row r="15" spans="1:8" x14ac:dyDescent="0.25">
      <c r="E15" t="str">
        <f>""</f>
        <v/>
      </c>
      <c r="F15" t="str">
        <f>""</f>
        <v/>
      </c>
      <c r="H15" t="str">
        <f>"MILEAGE &amp; PER DIEM REIMBURSEME"</f>
        <v>MILEAGE &amp; PER DIEM REIMBURSEME</v>
      </c>
    </row>
    <row r="16" spans="1:8" x14ac:dyDescent="0.25">
      <c r="A16" t="s">
        <v>15</v>
      </c>
      <c r="B16">
        <v>2340</v>
      </c>
      <c r="C16" s="2">
        <v>128.28</v>
      </c>
      <c r="D16" s="1">
        <v>43304</v>
      </c>
      <c r="E16" t="str">
        <f>"201807182262"</f>
        <v>201807182262</v>
      </c>
      <c r="F16" t="str">
        <f>"MILEAGE REIMBURSEMENT"</f>
        <v>MILEAGE REIMBURSEMENT</v>
      </c>
      <c r="G16" s="3">
        <v>128.28</v>
      </c>
      <c r="H16" t="str">
        <f>"MILEAGE REIMBURSEMENT"</f>
        <v>MILEAGE REIMBURSEMENT</v>
      </c>
    </row>
    <row r="17" spans="1:8" x14ac:dyDescent="0.25">
      <c r="E17" t="str">
        <f>""</f>
        <v/>
      </c>
      <c r="F17" t="str">
        <f>""</f>
        <v/>
      </c>
      <c r="H17" t="str">
        <f>"MILEAGE REIMBURSEMENT"</f>
        <v>MILEAGE REIMBURSEMENT</v>
      </c>
    </row>
    <row r="18" spans="1:8" x14ac:dyDescent="0.25">
      <c r="A18" t="s">
        <v>16</v>
      </c>
      <c r="B18">
        <v>2328</v>
      </c>
      <c r="C18" s="2">
        <v>597.25</v>
      </c>
      <c r="D18" s="1">
        <v>43290</v>
      </c>
      <c r="E18" t="str">
        <f>"201807031870"</f>
        <v>201807031870</v>
      </c>
      <c r="F18" t="str">
        <f>"CONFERENCE/HOTEL/PER DIEM"</f>
        <v>CONFERENCE/HOTEL/PER DIEM</v>
      </c>
      <c r="G18" s="3">
        <v>560.19000000000005</v>
      </c>
      <c r="H18" t="str">
        <f>"CONFERENCE/HOTEL/PER DIEM"</f>
        <v>CONFERENCE/HOTEL/PER DIEM</v>
      </c>
    </row>
    <row r="19" spans="1:8" x14ac:dyDescent="0.25">
      <c r="E19" t="str">
        <f>"201807031871"</f>
        <v>201807031871</v>
      </c>
      <c r="F19" t="str">
        <f>"MILEAGE"</f>
        <v>MILEAGE</v>
      </c>
      <c r="G19" s="3">
        <v>37.06</v>
      </c>
      <c r="H19" t="str">
        <f>"MILEAGE"</f>
        <v>MILEAGE</v>
      </c>
    </row>
    <row r="20" spans="1:8" x14ac:dyDescent="0.25">
      <c r="A20" t="s">
        <v>17</v>
      </c>
      <c r="B20">
        <v>2341</v>
      </c>
      <c r="C20" s="2">
        <v>33.86</v>
      </c>
      <c r="D20" s="1">
        <v>43304</v>
      </c>
      <c r="E20" t="str">
        <f>"201807182263"</f>
        <v>201807182263</v>
      </c>
      <c r="F20" t="str">
        <f>"ACCT#6035322149471009/CSR SUPP"</f>
        <v>ACCT#6035322149471009/CSR SUPP</v>
      </c>
      <c r="G20" s="3">
        <v>33.86</v>
      </c>
      <c r="H20" t="str">
        <f>"ACCT#6035322149471009/CSR SUPP"</f>
        <v>ACCT#6035322149471009/CSR SUPP</v>
      </c>
    </row>
    <row r="21" spans="1:8" x14ac:dyDescent="0.25">
      <c r="A21" t="s">
        <v>18</v>
      </c>
      <c r="B21">
        <v>2342</v>
      </c>
      <c r="C21" s="2">
        <v>250.46</v>
      </c>
      <c r="D21" s="1">
        <v>43304</v>
      </c>
      <c r="E21" t="str">
        <f>"201807182264"</f>
        <v>201807182264</v>
      </c>
      <c r="F21" t="str">
        <f>"ACCT#00006787/VEH MAINT"</f>
        <v>ACCT#00006787/VEH MAINT</v>
      </c>
      <c r="G21" s="3">
        <v>250.46</v>
      </c>
      <c r="H21" t="str">
        <f>"ACCT#00006787/VEH MAINT"</f>
        <v>ACCT#00006787/VEH MAINT</v>
      </c>
    </row>
    <row r="22" spans="1:8" x14ac:dyDescent="0.25">
      <c r="A22" t="s">
        <v>19</v>
      </c>
      <c r="B22">
        <v>2343</v>
      </c>
      <c r="C22" s="2">
        <v>54</v>
      </c>
      <c r="D22" s="1">
        <v>43304</v>
      </c>
      <c r="E22" t="str">
        <f>"1223984-20180630"</f>
        <v>1223984-20180630</v>
      </c>
      <c r="F22" t="str">
        <f>"BILLING ID:1223984/CSCD"</f>
        <v>BILLING ID:1223984/CSCD</v>
      </c>
      <c r="G22" s="3">
        <v>54</v>
      </c>
      <c r="H22" t="str">
        <f>"BILLING ID:1223984/CSCD"</f>
        <v>BILLING ID:1223984/CSCD</v>
      </c>
    </row>
    <row r="23" spans="1:8" x14ac:dyDescent="0.25">
      <c r="A23" t="s">
        <v>20</v>
      </c>
      <c r="B23">
        <v>2329</v>
      </c>
      <c r="C23" s="2">
        <v>1250.5</v>
      </c>
      <c r="D23" s="1">
        <v>43290</v>
      </c>
      <c r="E23" t="str">
        <f>"97492703"</f>
        <v>97492703</v>
      </c>
      <c r="F23" t="str">
        <f>"CLIENT#2972/LEGAL SERVICE"</f>
        <v>CLIENT#2972/LEGAL SERVICE</v>
      </c>
      <c r="G23" s="3">
        <v>1250.5</v>
      </c>
      <c r="H23" t="str">
        <f>"LEGAL SERVICE"</f>
        <v>LEGAL SERVICE</v>
      </c>
    </row>
    <row r="24" spans="1:8" x14ac:dyDescent="0.25">
      <c r="A24" t="s">
        <v>20</v>
      </c>
      <c r="B24">
        <v>2344</v>
      </c>
      <c r="C24" s="2">
        <v>244</v>
      </c>
      <c r="D24" s="1">
        <v>43304</v>
      </c>
      <c r="E24" t="str">
        <f>"97493301"</f>
        <v>97493301</v>
      </c>
      <c r="F24" t="str">
        <f>"CLIENT#2972/LEGAL SVC"</f>
        <v>CLIENT#2972/LEGAL SVC</v>
      </c>
      <c r="G24" s="3">
        <v>244</v>
      </c>
      <c r="H24" t="str">
        <f>"CLIENT#2972/LEGAL SVC"</f>
        <v>CLIENT#2972/LEGAL SVC</v>
      </c>
    </row>
    <row r="25" spans="1:8" x14ac:dyDescent="0.25">
      <c r="A25" t="s">
        <v>21</v>
      </c>
      <c r="B25">
        <v>2330</v>
      </c>
      <c r="C25" s="2">
        <v>776.69</v>
      </c>
      <c r="D25" s="1">
        <v>43290</v>
      </c>
      <c r="E25" t="str">
        <f>"152918371001"</f>
        <v>152918371001</v>
      </c>
      <c r="F25" t="str">
        <f>"ACCT#60805099/OFFICE SUPPLIES"</f>
        <v>ACCT#60805099/OFFICE SUPPLIES</v>
      </c>
      <c r="G25" s="3">
        <v>58.75</v>
      </c>
      <c r="H25" t="str">
        <f>"ACCT#60805099/OFFICE SUPPLIES"</f>
        <v>ACCT#60805099/OFFICE SUPPLIES</v>
      </c>
    </row>
    <row r="26" spans="1:8" x14ac:dyDescent="0.25">
      <c r="E26" t="str">
        <f>"153481039001"</f>
        <v>153481039001</v>
      </c>
      <c r="F26" t="str">
        <f>"ACCT#60805099/BILLING#3755073"</f>
        <v>ACCT#60805099/BILLING#3755073</v>
      </c>
      <c r="G26" s="3">
        <v>84.99</v>
      </c>
      <c r="H26" t="str">
        <f>"ACCT#60805099/BILLING#3755073"</f>
        <v>ACCT#60805099/BILLING#3755073</v>
      </c>
    </row>
    <row r="27" spans="1:8" x14ac:dyDescent="0.25">
      <c r="E27" t="str">
        <f>"153483538001"</f>
        <v>153483538001</v>
      </c>
      <c r="F27" t="str">
        <f>"ACCT#60805099/BILLING#3755073"</f>
        <v>ACCT#60805099/BILLING#3755073</v>
      </c>
      <c r="G27" s="3">
        <v>84.99</v>
      </c>
      <c r="H27" t="str">
        <f>"ACCT#60805099/BILLING#3755073"</f>
        <v>ACCT#60805099/BILLING#3755073</v>
      </c>
    </row>
    <row r="28" spans="1:8" x14ac:dyDescent="0.25">
      <c r="E28" t="str">
        <f>"153490178001"</f>
        <v>153490178001</v>
      </c>
      <c r="F28" t="str">
        <f>"ACCT#60805099/BILLING#3755073"</f>
        <v>ACCT#60805099/BILLING#3755073</v>
      </c>
      <c r="G28" s="3">
        <v>136.99</v>
      </c>
      <c r="H28" t="str">
        <f>"ACCT#60805099/BILLING#3755073"</f>
        <v>ACCT#60805099/BILLING#3755073</v>
      </c>
    </row>
    <row r="29" spans="1:8" x14ac:dyDescent="0.25">
      <c r="E29" t="str">
        <f>"153685834001"</f>
        <v>153685834001</v>
      </c>
      <c r="F29" t="str">
        <f>"ACCT#60805099/BILLING#3755073"</f>
        <v>ACCT#60805099/BILLING#3755073</v>
      </c>
      <c r="G29" s="3">
        <v>410.97</v>
      </c>
      <c r="H29" t="str">
        <f>"ACCT#60805099/BILLING#3755073"</f>
        <v>ACCT#60805099/BILLING#3755073</v>
      </c>
    </row>
    <row r="30" spans="1:8" x14ac:dyDescent="0.25">
      <c r="A30" t="s">
        <v>21</v>
      </c>
      <c r="B30">
        <v>2345</v>
      </c>
      <c r="C30" s="2">
        <v>598.66999999999996</v>
      </c>
      <c r="D30" s="1">
        <v>43304</v>
      </c>
      <c r="E30" t="str">
        <f>"159907461001"</f>
        <v>159907461001</v>
      </c>
      <c r="F30" t="str">
        <f>"ACCT#60805099/OFFICE SUPPLIES"</f>
        <v>ACCT#60805099/OFFICE SUPPLIES</v>
      </c>
      <c r="G30" s="3">
        <v>427.94</v>
      </c>
      <c r="H30" t="str">
        <f>"ACCT#60805099/OFFICE SUPPLIES"</f>
        <v>ACCT#60805099/OFFICE SUPPLIES</v>
      </c>
    </row>
    <row r="31" spans="1:8" x14ac:dyDescent="0.25">
      <c r="E31" t="str">
        <f>"160615644001"</f>
        <v>160615644001</v>
      </c>
      <c r="F31" t="str">
        <f>"ACCT#60805099/OFFICE SUPPLIES"</f>
        <v>ACCT#60805099/OFFICE SUPPLIES</v>
      </c>
      <c r="G31" s="3">
        <v>170.73</v>
      </c>
      <c r="H31" t="str">
        <f>"ACCT#60805099/OFFICE SUPPLIES"</f>
        <v>ACCT#60805099/OFFICE SUPPLIES</v>
      </c>
    </row>
    <row r="32" spans="1:8" x14ac:dyDescent="0.25">
      <c r="A32" t="s">
        <v>22</v>
      </c>
      <c r="B32">
        <v>2346</v>
      </c>
      <c r="C32" s="2">
        <v>48</v>
      </c>
      <c r="D32" s="1">
        <v>43304</v>
      </c>
      <c r="E32" t="str">
        <f>"82806"</f>
        <v>82806</v>
      </c>
      <c r="F32" t="str">
        <f>"CLIENT ID:21254/U/A CONF"</f>
        <v>CLIENT ID:21254/U/A CONF</v>
      </c>
      <c r="G32" s="3">
        <v>24</v>
      </c>
      <c r="H32" t="str">
        <f>"CLIENT ID:21254/U/A CONF"</f>
        <v>CLIENT ID:21254/U/A CONF</v>
      </c>
    </row>
    <row r="33" spans="1:8" x14ac:dyDescent="0.25">
      <c r="E33" t="str">
        <f>"82807"</f>
        <v>82807</v>
      </c>
      <c r="F33" t="str">
        <f>"CLIENT ID:21263/U/A CONF"</f>
        <v>CLIENT ID:21263/U/A CONF</v>
      </c>
      <c r="G33" s="3">
        <v>12</v>
      </c>
      <c r="H33" t="str">
        <f>"CLIENT ID:21263/U/A CONF"</f>
        <v>CLIENT ID:21263/U/A CONF</v>
      </c>
    </row>
    <row r="34" spans="1:8" x14ac:dyDescent="0.25">
      <c r="E34" t="str">
        <f>"82809"</f>
        <v>82809</v>
      </c>
      <c r="F34" t="str">
        <f>"CLIENT ID:21287/U/A CONF"</f>
        <v>CLIENT ID:21287/U/A CONF</v>
      </c>
      <c r="G34" s="3">
        <v>12</v>
      </c>
      <c r="H34" t="str">
        <f>"CLIENT ID:21287/U/A CONF"</f>
        <v>CLIENT ID:21287/U/A CONF</v>
      </c>
    </row>
    <row r="35" spans="1:8" x14ac:dyDescent="0.25">
      <c r="A35" t="s">
        <v>23</v>
      </c>
      <c r="B35">
        <v>2331</v>
      </c>
      <c r="C35" s="2">
        <v>346</v>
      </c>
      <c r="D35" s="1">
        <v>43290</v>
      </c>
      <c r="E35" t="str">
        <f>"100748125"</f>
        <v>100748125</v>
      </c>
      <c r="F35" t="str">
        <f>"LEASED EQUIPMENT"</f>
        <v>LEASED EQUIPMENT</v>
      </c>
      <c r="G35" s="3">
        <v>178</v>
      </c>
      <c r="H35" t="str">
        <f>"LEASED EQUIPMENT"</f>
        <v>LEASED EQUIPMENT</v>
      </c>
    </row>
    <row r="36" spans="1:8" x14ac:dyDescent="0.25">
      <c r="E36" t="str">
        <f>"100749142"</f>
        <v>100749142</v>
      </c>
      <c r="F36" t="str">
        <f>"LEASED EQUIPMENT"</f>
        <v>LEASED EQUIPMENT</v>
      </c>
      <c r="G36" s="3">
        <v>168</v>
      </c>
      <c r="H36" t="str">
        <f>"LEASED EQUIPMENT"</f>
        <v>LEASED EQUIPMENT</v>
      </c>
    </row>
    <row r="37" spans="1:8" x14ac:dyDescent="0.25">
      <c r="A37" t="s">
        <v>24</v>
      </c>
      <c r="B37">
        <v>999999</v>
      </c>
      <c r="C37" s="2">
        <v>49.1</v>
      </c>
      <c r="D37" s="1">
        <v>43305</v>
      </c>
      <c r="E37" t="str">
        <f>"171817"</f>
        <v>171817</v>
      </c>
      <c r="F37" t="str">
        <f>"STORE CHARGE/CSCD"</f>
        <v>STORE CHARGE/CSCD</v>
      </c>
      <c r="G37" s="3">
        <v>49.1</v>
      </c>
      <c r="H37" t="str">
        <f>"STORE CHARGE/CSCD"</f>
        <v>STORE CHARGE/CSCD</v>
      </c>
    </row>
    <row r="38" spans="1:8" x14ac:dyDescent="0.25">
      <c r="A38" t="s">
        <v>25</v>
      </c>
      <c r="B38">
        <v>2332</v>
      </c>
      <c r="C38" s="2">
        <v>295</v>
      </c>
      <c r="D38" s="1">
        <v>43290</v>
      </c>
      <c r="E38" t="str">
        <f>"10957"</f>
        <v>10957</v>
      </c>
      <c r="F38" t="str">
        <f>"U/A SUPPLIES"</f>
        <v>U/A SUPPLIES</v>
      </c>
      <c r="G38" s="3">
        <v>295</v>
      </c>
      <c r="H38" t="str">
        <f>"U/A SUPPLIES"</f>
        <v>U/A SUPPLIES</v>
      </c>
    </row>
    <row r="39" spans="1:8" x14ac:dyDescent="0.25">
      <c r="A39" t="s">
        <v>26</v>
      </c>
      <c r="B39">
        <v>2333</v>
      </c>
      <c r="C39" s="2">
        <v>407.13</v>
      </c>
      <c r="D39" s="1">
        <v>43290</v>
      </c>
      <c r="E39" t="str">
        <f>"0047972062018"</f>
        <v>0047972062018</v>
      </c>
      <c r="F39" t="str">
        <f>"ACCT#8260 16 111 0047972"</f>
        <v>ACCT#8260 16 111 0047972</v>
      </c>
      <c r="G39" s="3">
        <v>407.13</v>
      </c>
      <c r="H39" t="str">
        <f>"ACCT#8260 16 111 0047972"</f>
        <v>ACCT#8260 16 111 0047972</v>
      </c>
    </row>
    <row r="40" spans="1:8" x14ac:dyDescent="0.25">
      <c r="A40" t="s">
        <v>27</v>
      </c>
      <c r="B40">
        <v>2334</v>
      </c>
      <c r="C40" s="2">
        <v>5460</v>
      </c>
      <c r="D40" s="1">
        <v>43290</v>
      </c>
      <c r="E40" t="str">
        <f>"JUNE 2018"</f>
        <v>JUNE 2018</v>
      </c>
      <c r="F40" t="str">
        <f>"INDIVIDUAL IOP"</f>
        <v>INDIVIDUAL IOP</v>
      </c>
      <c r="G40" s="3">
        <v>5460</v>
      </c>
      <c r="H40" t="str">
        <f>"INDIVIDUAL IOP"</f>
        <v>INDIVIDUAL IOP</v>
      </c>
    </row>
    <row r="41" spans="1:8" x14ac:dyDescent="0.25">
      <c r="E41" t="str">
        <f>""</f>
        <v/>
      </c>
      <c r="F41" t="str">
        <f>""</f>
        <v/>
      </c>
      <c r="H41" t="str">
        <f>"INDIVIDUAL IOP"</f>
        <v>INDIVIDUAL IOP</v>
      </c>
    </row>
    <row r="42" spans="1:8" x14ac:dyDescent="0.25">
      <c r="A42" t="s">
        <v>28</v>
      </c>
      <c r="B42">
        <v>2335</v>
      </c>
      <c r="C42" s="2">
        <v>348.04</v>
      </c>
      <c r="D42" s="1">
        <v>43290</v>
      </c>
      <c r="E42" t="str">
        <f>"201807031872"</f>
        <v>201807031872</v>
      </c>
      <c r="F42" t="str">
        <f>"18 QTR A DEFICIT"</f>
        <v>18 QTR A DEFICIT</v>
      </c>
      <c r="G42" s="3">
        <v>86.12</v>
      </c>
      <c r="H42" t="str">
        <f>"18 QTR A DEFICIT"</f>
        <v>18 QTR A DEFICIT</v>
      </c>
    </row>
    <row r="43" spans="1:8" x14ac:dyDescent="0.25">
      <c r="E43" t="str">
        <f>"201807031873"</f>
        <v>201807031873</v>
      </c>
      <c r="F43" t="str">
        <f>"QTR END 06/30/18"</f>
        <v>QTR END 06/30/18</v>
      </c>
      <c r="G43" s="3">
        <v>261.92</v>
      </c>
      <c r="H43" t="str">
        <f>"QTR END 06/30/18"</f>
        <v>QTR END 06/30/18</v>
      </c>
    </row>
    <row r="44" spans="1:8" x14ac:dyDescent="0.25">
      <c r="A44" t="s">
        <v>29</v>
      </c>
      <c r="B44">
        <v>2347</v>
      </c>
      <c r="C44" s="2">
        <v>200</v>
      </c>
      <c r="D44" s="1">
        <v>43304</v>
      </c>
      <c r="E44" t="str">
        <f>"RUBEN ORTIZ-CSO CE"</f>
        <v>RUBEN ORTIZ-CSO CE</v>
      </c>
      <c r="F44" t="str">
        <f>"REG FEES-CSO CERT-R.ORTIZ"</f>
        <v>REG FEES-CSO CERT-R.ORTIZ</v>
      </c>
      <c r="G44" s="3">
        <v>200</v>
      </c>
      <c r="H44" t="str">
        <f>"REG FEES-CSO CERT-R.ORTIZ"</f>
        <v>REG FEES-CSO CERT-R.ORTIZ</v>
      </c>
    </row>
    <row r="45" spans="1:8" x14ac:dyDescent="0.25">
      <c r="A45" t="s">
        <v>30</v>
      </c>
      <c r="B45">
        <v>0</v>
      </c>
      <c r="C45" s="2">
        <v>499.74</v>
      </c>
      <c r="D45" s="1">
        <v>43304</v>
      </c>
      <c r="E45" t="str">
        <f>"201807182265"</f>
        <v>201807182265</v>
      </c>
      <c r="F45" t="str">
        <f>"ACCT#XXXX 0132/OFFICE SUPPLIES"</f>
        <v>ACCT#XXXX 0132/OFFICE SUPPLIES</v>
      </c>
      <c r="G45" s="3">
        <v>499.74</v>
      </c>
      <c r="H45" t="str">
        <f>"ACCT#XXXX 0132/OFFICE SUPPLIES"</f>
        <v>ACCT#XXXX 0132/OFFICE SUPPLIES</v>
      </c>
    </row>
    <row r="46" spans="1:8" x14ac:dyDescent="0.25">
      <c r="E46" t="str">
        <f>""</f>
        <v/>
      </c>
      <c r="F46" t="str">
        <f>""</f>
        <v/>
      </c>
      <c r="H46" t="str">
        <f>"ACCT#XXXX 0132/OFFICE SUPPLIES"</f>
        <v>ACCT#XXXX 0132/OFFICE SUPPLIES</v>
      </c>
    </row>
    <row r="47" spans="1:8" x14ac:dyDescent="0.25">
      <c r="E47" t="str">
        <f>""</f>
        <v/>
      </c>
      <c r="F47" t="str">
        <f>""</f>
        <v/>
      </c>
      <c r="H47" t="str">
        <f>"ACCT#XXXX 0132/OFFICE SUPPLIES"</f>
        <v>ACCT#XXXX 0132/OFFICE SUPPLIES</v>
      </c>
    </row>
    <row r="48" spans="1:8" x14ac:dyDescent="0.25">
      <c r="A48" t="s">
        <v>31</v>
      </c>
      <c r="B48">
        <v>2336</v>
      </c>
      <c r="C48" s="2">
        <v>195</v>
      </c>
      <c r="D48" s="1">
        <v>43290</v>
      </c>
      <c r="E48" t="str">
        <f>"22892518"</f>
        <v>22892518</v>
      </c>
      <c r="F48" t="str">
        <f>"LEASED EQUIPMENT"</f>
        <v>LEASED EQUIPMENT</v>
      </c>
      <c r="G48" s="3">
        <v>195</v>
      </c>
      <c r="H48" t="str">
        <f>"LEASED EQUIPMENT"</f>
        <v>LEASED EQUIPMENT</v>
      </c>
    </row>
    <row r="49" spans="1:8" x14ac:dyDescent="0.25">
      <c r="A49" t="s">
        <v>32</v>
      </c>
      <c r="B49">
        <v>2348</v>
      </c>
      <c r="C49" s="2">
        <v>109.02</v>
      </c>
      <c r="D49" s="1">
        <v>43304</v>
      </c>
      <c r="E49" t="str">
        <f>"201807182266"</f>
        <v>201807182266</v>
      </c>
      <c r="F49" t="str">
        <f>"ACCT#6032202005314049"</f>
        <v>ACCT#6032202005314049</v>
      </c>
      <c r="G49" s="3">
        <v>109.02</v>
      </c>
      <c r="H49" t="str">
        <f>"ACCT#6032202005314049"</f>
        <v>ACCT#6032202005314049</v>
      </c>
    </row>
    <row r="50" spans="1:8" x14ac:dyDescent="0.25">
      <c r="A50" t="s">
        <v>33</v>
      </c>
      <c r="B50">
        <v>77424</v>
      </c>
      <c r="C50" s="2">
        <v>15</v>
      </c>
      <c r="D50" s="1">
        <v>43290</v>
      </c>
      <c r="E50" t="str">
        <f>"201807031864"</f>
        <v>201807031864</v>
      </c>
      <c r="F50" t="str">
        <f>"REFUND COUPON #22527"</f>
        <v>REFUND COUPON #22527</v>
      </c>
      <c r="G50" s="3">
        <v>15</v>
      </c>
      <c r="H50" t="str">
        <f>"REFUND COUPON #22527"</f>
        <v>REFUND COUPON #22527</v>
      </c>
    </row>
    <row r="51" spans="1:8" x14ac:dyDescent="0.25">
      <c r="A51" t="s">
        <v>34</v>
      </c>
      <c r="B51">
        <v>77425</v>
      </c>
      <c r="C51" s="2">
        <v>36681.199999999997</v>
      </c>
      <c r="D51" s="1">
        <v>43290</v>
      </c>
      <c r="E51" t="str">
        <f>"CONTRACT/CHG ORD"</f>
        <v>CONTRACT/CHG ORD</v>
      </c>
      <c r="F51" t="str">
        <f>"Inv# 18-1023"</f>
        <v>Inv# 18-1023</v>
      </c>
      <c r="G51" s="3">
        <v>36681.199999999997</v>
      </c>
      <c r="H51" t="str">
        <f>"Contract Price"</f>
        <v>Contract Price</v>
      </c>
    </row>
    <row r="52" spans="1:8" x14ac:dyDescent="0.25">
      <c r="E52" t="str">
        <f>""</f>
        <v/>
      </c>
      <c r="F52" t="str">
        <f>""</f>
        <v/>
      </c>
      <c r="H52" t="str">
        <f>"Change Order"</f>
        <v>Change Order</v>
      </c>
    </row>
    <row r="53" spans="1:8" x14ac:dyDescent="0.25">
      <c r="A53" t="s">
        <v>35</v>
      </c>
      <c r="B53">
        <v>999999</v>
      </c>
      <c r="C53" s="2">
        <v>3160.63</v>
      </c>
      <c r="D53" s="1">
        <v>43291</v>
      </c>
      <c r="E53" t="str">
        <f>"16047741"</f>
        <v>16047741</v>
      </c>
      <c r="F53" t="str">
        <f>"I Vote stickers"</f>
        <v>I Vote stickers</v>
      </c>
      <c r="G53" s="3">
        <v>3160.63</v>
      </c>
      <c r="H53" t="str">
        <f>"110718-3-FC"</f>
        <v>110718-3-FC</v>
      </c>
    </row>
    <row r="54" spans="1:8" x14ac:dyDescent="0.25">
      <c r="E54" t="str">
        <f>""</f>
        <v/>
      </c>
      <c r="F54" t="str">
        <f>""</f>
        <v/>
      </c>
      <c r="H54" t="str">
        <f>"Freight"</f>
        <v>Freight</v>
      </c>
    </row>
    <row r="55" spans="1:8" x14ac:dyDescent="0.25">
      <c r="E55" t="str">
        <f>""</f>
        <v/>
      </c>
      <c r="F55" t="str">
        <f>""</f>
        <v/>
      </c>
      <c r="H55" t="str">
        <f>"3836-26-FC"</f>
        <v>3836-26-FC</v>
      </c>
    </row>
    <row r="56" spans="1:8" x14ac:dyDescent="0.25">
      <c r="E56" t="str">
        <f>""</f>
        <v/>
      </c>
      <c r="F56" t="str">
        <f>""</f>
        <v/>
      </c>
      <c r="H56" t="str">
        <f>"Freight"</f>
        <v>Freight</v>
      </c>
    </row>
    <row r="57" spans="1:8" x14ac:dyDescent="0.25">
      <c r="A57" t="s">
        <v>36</v>
      </c>
      <c r="B57">
        <v>77426</v>
      </c>
      <c r="C57" s="2">
        <v>9234.3700000000008</v>
      </c>
      <c r="D57" s="1">
        <v>43290</v>
      </c>
      <c r="E57" t="str">
        <f>"9725-001-101194"</f>
        <v>9725-001-101194</v>
      </c>
      <c r="F57" t="str">
        <f>"ACCT#9725-001/REC BASE/PCT#2"</f>
        <v>ACCT#9725-001/REC BASE/PCT#2</v>
      </c>
      <c r="G57" s="3">
        <v>807.71</v>
      </c>
      <c r="H57" t="str">
        <f>"ACCT#9725-001/REC BASE/PCT#2"</f>
        <v>ACCT#9725-001/REC BASE/PCT#2</v>
      </c>
    </row>
    <row r="58" spans="1:8" x14ac:dyDescent="0.25">
      <c r="E58" t="str">
        <f>"9725-001-101211"</f>
        <v>9725-001-101211</v>
      </c>
      <c r="F58" t="str">
        <f>"ACCT#9725-001/REC BASE/PCT#2"</f>
        <v>ACCT#9725-001/REC BASE/PCT#2</v>
      </c>
      <c r="G58" s="3">
        <v>1277.33</v>
      </c>
      <c r="H58" t="str">
        <f>"ACCT#9725-001/REC BASE/PCT#2"</f>
        <v>ACCT#9725-001/REC BASE/PCT#2</v>
      </c>
    </row>
    <row r="59" spans="1:8" x14ac:dyDescent="0.25">
      <c r="E59" t="str">
        <f>"9725-001-101235"</f>
        <v>9725-001-101235</v>
      </c>
      <c r="F59" t="str">
        <f>"ACCT#9725-001/REC BASE/PCT#2"</f>
        <v>ACCT#9725-001/REC BASE/PCT#2</v>
      </c>
      <c r="G59" s="3">
        <v>1060.1600000000001</v>
      </c>
      <c r="H59" t="str">
        <f>"ACCT#9725-001/REC BASE/PCT#2"</f>
        <v>ACCT#9725-001/REC BASE/PCT#2</v>
      </c>
    </row>
    <row r="60" spans="1:8" x14ac:dyDescent="0.25">
      <c r="E60" t="str">
        <f>"9725-001-101263"</f>
        <v>9725-001-101263</v>
      </c>
      <c r="F60" t="str">
        <f>"ACCT#9725-001/REC BASE/PCT#2"</f>
        <v>ACCT#9725-001/REC BASE/PCT#2</v>
      </c>
      <c r="G60" s="3">
        <v>408.71</v>
      </c>
      <c r="H60" t="str">
        <f>"ACCT#9725-001/REC BASE/PCT#2"</f>
        <v>ACCT#9725-001/REC BASE/PCT#2</v>
      </c>
    </row>
    <row r="61" spans="1:8" x14ac:dyDescent="0.25">
      <c r="E61" t="str">
        <f>"9725-004-101109"</f>
        <v>9725-004-101109</v>
      </c>
      <c r="F61" t="str">
        <f>"ACCT#9725-004/REC BASE/PCT#1"</f>
        <v>ACCT#9725-004/REC BASE/PCT#1</v>
      </c>
      <c r="G61" s="3">
        <v>299.95</v>
      </c>
      <c r="H61" t="str">
        <f>"ACCT#9725-004/REC BASE/PCT#1"</f>
        <v>ACCT#9725-004/REC BASE/PCT#1</v>
      </c>
    </row>
    <row r="62" spans="1:8" x14ac:dyDescent="0.25">
      <c r="E62" t="str">
        <f>"9725-004-101172"</f>
        <v>9725-004-101172</v>
      </c>
      <c r="F62" t="str">
        <f>"ACCT#9725-004/REC BASE/PCT#1"</f>
        <v>ACCT#9725-004/REC BASE/PCT#1</v>
      </c>
      <c r="G62" s="3">
        <v>508.29</v>
      </c>
      <c r="H62" t="str">
        <f>"ACCT#9725-004/REC BASE/PCT#1"</f>
        <v>ACCT#9725-004/REC BASE/PCT#1</v>
      </c>
    </row>
    <row r="63" spans="1:8" x14ac:dyDescent="0.25">
      <c r="E63" t="str">
        <f>"9725-004-101223"</f>
        <v>9725-004-101223</v>
      </c>
      <c r="F63" t="str">
        <f>"ACCT#9725-004/REC BASE/PCT#1"</f>
        <v>ACCT#9725-004/REC BASE/PCT#1</v>
      </c>
      <c r="G63" s="3">
        <v>642.69000000000005</v>
      </c>
      <c r="H63" t="str">
        <f>"ACCT#9725-004/REC BASE/PCT#1"</f>
        <v>ACCT#9725-004/REC BASE/PCT#1</v>
      </c>
    </row>
    <row r="64" spans="1:8" x14ac:dyDescent="0.25">
      <c r="E64" t="str">
        <f>"9725-004-101248"</f>
        <v>9725-004-101248</v>
      </c>
      <c r="F64" t="str">
        <f>"ACCT#9725-004/REC BASE/PCT#1"</f>
        <v>ACCT#9725-004/REC BASE/PCT#1</v>
      </c>
      <c r="G64" s="3">
        <v>870.82</v>
      </c>
      <c r="H64" t="str">
        <f>"ACCT#9725-004/REC BASE/PCT#1"</f>
        <v>ACCT#9725-004/REC BASE/PCT#1</v>
      </c>
    </row>
    <row r="65" spans="1:8" x14ac:dyDescent="0.25">
      <c r="E65" t="str">
        <f>"9725-004-101360"</f>
        <v>9725-004-101360</v>
      </c>
      <c r="F65" t="str">
        <f>"ACCT#9725-004/REC BASE/PCT#1"</f>
        <v>ACCT#9725-004/REC BASE/PCT#1</v>
      </c>
      <c r="G65" s="3">
        <v>430.07</v>
      </c>
      <c r="H65" t="str">
        <f>"ACCT#9725-004/REC BASE/PCT#1"</f>
        <v>ACCT#9725-004/REC BASE/PCT#1</v>
      </c>
    </row>
    <row r="66" spans="1:8" x14ac:dyDescent="0.25">
      <c r="E66" t="str">
        <f>"9725-017-101061"</f>
        <v>9725-017-101061</v>
      </c>
      <c r="F66" t="str">
        <f>"ACCT#9725-017/REC BASE/PCT#2"</f>
        <v>ACCT#9725-017/REC BASE/PCT#2</v>
      </c>
      <c r="G66" s="3">
        <v>1237.95</v>
      </c>
      <c r="H66" t="str">
        <f>"ACCT#9725-017/REC BASE/PCT#2"</f>
        <v>ACCT#9725-017/REC BASE/PCT#2</v>
      </c>
    </row>
    <row r="67" spans="1:8" x14ac:dyDescent="0.25">
      <c r="E67" t="str">
        <f>"9725-017-101087"</f>
        <v>9725-017-101087</v>
      </c>
      <c r="F67" t="str">
        <f>"ACCT#9725-017/REC BASE/PCT#2"</f>
        <v>ACCT#9725-017/REC BASE/PCT#2</v>
      </c>
      <c r="G67" s="3">
        <v>839.83</v>
      </c>
      <c r="H67" t="str">
        <f>"ACCT#9725-017/REC BASE/PCT#2"</f>
        <v>ACCT#9725-017/REC BASE/PCT#2</v>
      </c>
    </row>
    <row r="68" spans="1:8" x14ac:dyDescent="0.25">
      <c r="E68" t="str">
        <f>"9725-017-101115"</f>
        <v>9725-017-101115</v>
      </c>
      <c r="F68" t="str">
        <f>"ACCT#9725-017/REC BASE/PCT#2"</f>
        <v>ACCT#9725-017/REC BASE/PCT#2</v>
      </c>
      <c r="G68" s="3">
        <v>433.13</v>
      </c>
      <c r="H68" t="str">
        <f>"ACCT#9725-017/REC BASE/PCT#2"</f>
        <v>ACCT#9725-017/REC BASE/PCT#2</v>
      </c>
    </row>
    <row r="69" spans="1:8" x14ac:dyDescent="0.25">
      <c r="E69" t="str">
        <f>"9725-017-101138"</f>
        <v>9725-017-101138</v>
      </c>
      <c r="F69" t="str">
        <f>"ACCT#9725-017/REC BASE/PCT#2"</f>
        <v>ACCT#9725-017/REC BASE/PCT#2</v>
      </c>
      <c r="G69" s="3">
        <v>417.73</v>
      </c>
      <c r="H69" t="str">
        <f>"ACCT#9725-017/REC BASE/PCT#2"</f>
        <v>ACCT#9725-017/REC BASE/PCT#2</v>
      </c>
    </row>
    <row r="70" spans="1:8" x14ac:dyDescent="0.25">
      <c r="A70" t="s">
        <v>36</v>
      </c>
      <c r="B70">
        <v>77645</v>
      </c>
      <c r="C70" s="2">
        <v>3921.07</v>
      </c>
      <c r="D70" s="1">
        <v>43304</v>
      </c>
      <c r="E70" t="str">
        <f>"9725-001-101310"</f>
        <v>9725-001-101310</v>
      </c>
      <c r="F70" t="str">
        <f>"ACCT#9725-001/REC BASE/PCT#2"</f>
        <v>ACCT#9725-001/REC BASE/PCT#2</v>
      </c>
      <c r="G70" s="3">
        <v>425.78</v>
      </c>
      <c r="H70" t="str">
        <f>"ACCT#9725-001/REC BASE/PCT#2"</f>
        <v>ACCT#9725-001/REC BASE/PCT#2</v>
      </c>
    </row>
    <row r="71" spans="1:8" x14ac:dyDescent="0.25">
      <c r="E71" t="str">
        <f>"9725-001-101383"</f>
        <v>9725-001-101383</v>
      </c>
      <c r="F71" t="str">
        <f>"ACCT#9725-001/REC BASE/PCT#2"</f>
        <v>ACCT#9725-001/REC BASE/PCT#2</v>
      </c>
      <c r="G71" s="3">
        <v>421.92</v>
      </c>
      <c r="H71" t="str">
        <f>"ACCT#9725-001/REC BASE/PCT#2"</f>
        <v>ACCT#9725-001/REC BASE/PCT#2</v>
      </c>
    </row>
    <row r="72" spans="1:8" x14ac:dyDescent="0.25">
      <c r="E72" t="str">
        <f>"9725-001-101410"</f>
        <v>9725-001-101410</v>
      </c>
      <c r="F72" t="str">
        <f>"ACCT#9725-001/REC BASE/PCT#2"</f>
        <v>ACCT#9725-001/REC BASE/PCT#2</v>
      </c>
      <c r="G72" s="3">
        <v>420.79</v>
      </c>
      <c r="H72" t="str">
        <f>"ACCT#9725-001/REC BASE/PCT#2"</f>
        <v>ACCT#9725-001/REC BASE/PCT#2</v>
      </c>
    </row>
    <row r="73" spans="1:8" x14ac:dyDescent="0.25">
      <c r="E73" t="str">
        <f>"9725-001-101434"</f>
        <v>9725-001-101434</v>
      </c>
      <c r="F73" t="str">
        <f>"ACCT#9725-001/REC BASE/PCT#2"</f>
        <v>ACCT#9725-001/REC BASE/PCT#2</v>
      </c>
      <c r="G73" s="3">
        <v>411.08</v>
      </c>
      <c r="H73" t="str">
        <f>"ACCT#9725-001/REC BASE/PCT#2"</f>
        <v>ACCT#9725-001/REC BASE/PCT#2</v>
      </c>
    </row>
    <row r="74" spans="1:8" x14ac:dyDescent="0.25">
      <c r="E74" t="str">
        <f>"9725-001-101463"</f>
        <v>9725-001-101463</v>
      </c>
      <c r="F74" t="str">
        <f>"ACCT#9725-001/REC BASE/PCT#2"</f>
        <v>ACCT#9725-001/REC BASE/PCT#2</v>
      </c>
      <c r="G74" s="3">
        <v>1698.2</v>
      </c>
      <c r="H74" t="str">
        <f>"ACCT#9725-001/REC BASE/PCT#2"</f>
        <v>ACCT#9725-001/REC BASE/PCT#2</v>
      </c>
    </row>
    <row r="75" spans="1:8" x14ac:dyDescent="0.25">
      <c r="E75" t="str">
        <f>"9725-004-101398"</f>
        <v>9725-004-101398</v>
      </c>
      <c r="F75" t="str">
        <f>"ACCT#9725-004/REC BASE/PCT#1"</f>
        <v>ACCT#9725-004/REC BASE/PCT#1</v>
      </c>
      <c r="G75" s="3">
        <v>256.29000000000002</v>
      </c>
      <c r="H75" t="str">
        <f>"ACCT#9725-004/REC BASE/PCT#1"</f>
        <v>ACCT#9725-004/REC BASE/PCT#1</v>
      </c>
    </row>
    <row r="76" spans="1:8" x14ac:dyDescent="0.25">
      <c r="E76" t="str">
        <f>"9725-004-101476"</f>
        <v>9725-004-101476</v>
      </c>
      <c r="F76" t="str">
        <f>"ACCT#9725-004/REC BASE/PCT#1"</f>
        <v>ACCT#9725-004/REC BASE/PCT#1</v>
      </c>
      <c r="G76" s="3">
        <v>287.01</v>
      </c>
      <c r="H76" t="str">
        <f>"ACCT#9725-004/REC BASE/PCT#1"</f>
        <v>ACCT#9725-004/REC BASE/PCT#1</v>
      </c>
    </row>
    <row r="77" spans="1:8" x14ac:dyDescent="0.25">
      <c r="A77" t="s">
        <v>37</v>
      </c>
      <c r="B77">
        <v>77646</v>
      </c>
      <c r="C77" s="2">
        <v>15</v>
      </c>
      <c r="D77" s="1">
        <v>43304</v>
      </c>
      <c r="E77" t="str">
        <f>"201807172234"</f>
        <v>201807172234</v>
      </c>
      <c r="F77" t="str">
        <f>"REFUND COUPON #22048"</f>
        <v>REFUND COUPON #22048</v>
      </c>
      <c r="G77" s="3">
        <v>15</v>
      </c>
      <c r="H77" t="str">
        <f>"REFUND COUPON #22048"</f>
        <v>REFUND COUPON #22048</v>
      </c>
    </row>
    <row r="78" spans="1:8" x14ac:dyDescent="0.25">
      <c r="A78" t="s">
        <v>38</v>
      </c>
      <c r="B78">
        <v>77427</v>
      </c>
      <c r="C78" s="2">
        <v>261.54000000000002</v>
      </c>
      <c r="D78" s="1">
        <v>43290</v>
      </c>
      <c r="E78" t="str">
        <f>"STATEMENT#311657"</f>
        <v>STATEMENT#311657</v>
      </c>
      <c r="F78" t="str">
        <f>"CUST ID:16500/PCT#4"</f>
        <v>CUST ID:16500/PCT#4</v>
      </c>
      <c r="G78" s="3">
        <v>261.54000000000002</v>
      </c>
      <c r="H78" t="str">
        <f>"CUST ID:16500/PCT#4"</f>
        <v>CUST ID:16500/PCT#4</v>
      </c>
    </row>
    <row r="79" spans="1:8" x14ac:dyDescent="0.25">
      <c r="A79" t="s">
        <v>39</v>
      </c>
      <c r="B79">
        <v>77418</v>
      </c>
      <c r="C79" s="2">
        <v>16711.04</v>
      </c>
      <c r="D79" s="1">
        <v>43283</v>
      </c>
      <c r="E79" t="str">
        <f>"201807021773"</f>
        <v>201807021773</v>
      </c>
      <c r="F79" t="str">
        <f>"YARD BASE / PCT 4"</f>
        <v>YARD BASE / PCT 4</v>
      </c>
      <c r="G79" s="3">
        <v>16711.04</v>
      </c>
      <c r="H79" t="str">
        <f>"YARD BASE / PCT 4"</f>
        <v>YARD BASE / PCT 4</v>
      </c>
    </row>
    <row r="80" spans="1:8" x14ac:dyDescent="0.25">
      <c r="A80" t="s">
        <v>39</v>
      </c>
      <c r="B80">
        <v>999999</v>
      </c>
      <c r="C80" s="2">
        <v>465.91</v>
      </c>
      <c r="D80" s="1">
        <v>43291</v>
      </c>
      <c r="E80" t="str">
        <f>"201807021777"</f>
        <v>201807021777</v>
      </c>
      <c r="F80" t="str">
        <f>"HAULING EXPS 06/27/18/PCT#1"</f>
        <v>HAULING EXPS 06/27/18/PCT#1</v>
      </c>
      <c r="G80" s="3">
        <v>465.91</v>
      </c>
      <c r="H80" t="str">
        <f>"HAULING EXPS 06/27/18/PCT#1"</f>
        <v>HAULING EXPS 06/27/18/PCT#1</v>
      </c>
    </row>
    <row r="81" spans="1:8" x14ac:dyDescent="0.25">
      <c r="A81" t="s">
        <v>40</v>
      </c>
      <c r="B81">
        <v>77647</v>
      </c>
      <c r="C81" s="2">
        <v>115</v>
      </c>
      <c r="D81" s="1">
        <v>43304</v>
      </c>
      <c r="E81" t="str">
        <f>"PER DIEM-TRAINING"</f>
        <v>PER DIEM-TRAINING</v>
      </c>
      <c r="F81" t="str">
        <f>"PER DIEM"</f>
        <v>PER DIEM</v>
      </c>
      <c r="G81" s="3">
        <v>115</v>
      </c>
      <c r="H81" t="str">
        <f>"PER DIEM"</f>
        <v>PER DIEM</v>
      </c>
    </row>
    <row r="82" spans="1:8" x14ac:dyDescent="0.25">
      <c r="A82" t="s">
        <v>41</v>
      </c>
      <c r="B82">
        <v>77648</v>
      </c>
      <c r="C82" s="2">
        <v>50</v>
      </c>
      <c r="D82" s="1">
        <v>43304</v>
      </c>
      <c r="E82" t="str">
        <f>"201807172235"</f>
        <v>201807172235</v>
      </c>
      <c r="F82" t="str">
        <f>"REFUND DRIVEWAY PERMIT"</f>
        <v>REFUND DRIVEWAY PERMIT</v>
      </c>
      <c r="G82" s="3">
        <v>25</v>
      </c>
      <c r="H82" t="str">
        <f>"REFUND DRIVEWAY PERMIT"</f>
        <v>REFUND DRIVEWAY PERMIT</v>
      </c>
    </row>
    <row r="83" spans="1:8" x14ac:dyDescent="0.25">
      <c r="E83" t="str">
        <f>"201807172236"</f>
        <v>201807172236</v>
      </c>
      <c r="F83" t="str">
        <f>"REFUND DRIVEWAY PERMIT"</f>
        <v>REFUND DRIVEWAY PERMIT</v>
      </c>
      <c r="G83" s="3">
        <v>25</v>
      </c>
      <c r="H83" t="str">
        <f>"REFUND DRIVEWAY PERMIT"</f>
        <v>REFUND DRIVEWAY PERMIT</v>
      </c>
    </row>
    <row r="84" spans="1:8" x14ac:dyDescent="0.25">
      <c r="A84" t="s">
        <v>42</v>
      </c>
      <c r="B84">
        <v>77649</v>
      </c>
      <c r="C84" s="2">
        <v>1845</v>
      </c>
      <c r="D84" s="1">
        <v>43304</v>
      </c>
      <c r="E84" t="str">
        <f>"201807182339"</f>
        <v>201807182339</v>
      </c>
      <c r="F84" t="str">
        <f>"17-18392"</f>
        <v>17-18392</v>
      </c>
      <c r="G84" s="3">
        <v>437.5</v>
      </c>
      <c r="H84" t="str">
        <f>"17-18392"</f>
        <v>17-18392</v>
      </c>
    </row>
    <row r="85" spans="1:8" x14ac:dyDescent="0.25">
      <c r="E85" t="str">
        <f>"201807182340"</f>
        <v>201807182340</v>
      </c>
      <c r="F85" t="str">
        <f>"14-16907"</f>
        <v>14-16907</v>
      </c>
      <c r="G85" s="3">
        <v>465</v>
      </c>
      <c r="H85" t="str">
        <f>"14-16907"</f>
        <v>14-16907</v>
      </c>
    </row>
    <row r="86" spans="1:8" x14ac:dyDescent="0.25">
      <c r="E86" t="str">
        <f>"201807182341"</f>
        <v>201807182341</v>
      </c>
      <c r="F86" t="str">
        <f>"18-19016"</f>
        <v>18-19016</v>
      </c>
      <c r="G86" s="3">
        <v>322.5</v>
      </c>
      <c r="H86" t="str">
        <f>"18-19016"</f>
        <v>18-19016</v>
      </c>
    </row>
    <row r="87" spans="1:8" x14ac:dyDescent="0.25">
      <c r="E87" t="str">
        <f>"201807182342"</f>
        <v>201807182342</v>
      </c>
      <c r="F87" t="str">
        <f>"18-19093"</f>
        <v>18-19093</v>
      </c>
      <c r="G87" s="3">
        <v>285</v>
      </c>
      <c r="H87" t="str">
        <f>"18-19093"</f>
        <v>18-19093</v>
      </c>
    </row>
    <row r="88" spans="1:8" x14ac:dyDescent="0.25">
      <c r="E88" t="str">
        <f>"201807182343"</f>
        <v>201807182343</v>
      </c>
      <c r="F88" t="str">
        <f>"17-18738"</f>
        <v>17-18738</v>
      </c>
      <c r="G88" s="3">
        <v>212.5</v>
      </c>
      <c r="H88" t="str">
        <f>"17-18738"</f>
        <v>17-18738</v>
      </c>
    </row>
    <row r="89" spans="1:8" x14ac:dyDescent="0.25">
      <c r="E89" t="str">
        <f>"201807182344"</f>
        <v>201807182344</v>
      </c>
      <c r="F89" t="str">
        <f>"17-18788"</f>
        <v>17-18788</v>
      </c>
      <c r="G89" s="3">
        <v>122.5</v>
      </c>
      <c r="H89" t="str">
        <f>"17-18788"</f>
        <v>17-18788</v>
      </c>
    </row>
    <row r="90" spans="1:8" x14ac:dyDescent="0.25">
      <c r="A90" t="s">
        <v>43</v>
      </c>
      <c r="B90">
        <v>999999</v>
      </c>
      <c r="C90" s="2">
        <v>71.95</v>
      </c>
      <c r="D90" s="1">
        <v>43291</v>
      </c>
      <c r="E90" t="str">
        <f>"201807051886"</f>
        <v>201807051886</v>
      </c>
      <c r="F90" t="str">
        <f>"POSTAGE REIMBURSEMENT"</f>
        <v>POSTAGE REIMBURSEMENT</v>
      </c>
      <c r="G90" s="3">
        <v>71.95</v>
      </c>
      <c r="H90" t="str">
        <f>"POSTAGE REIMBURSEMENT"</f>
        <v>POSTAGE REIMBURSEMENT</v>
      </c>
    </row>
    <row r="91" spans="1:8" x14ac:dyDescent="0.25">
      <c r="A91" t="s">
        <v>44</v>
      </c>
      <c r="B91">
        <v>999999</v>
      </c>
      <c r="C91" s="2">
        <v>800</v>
      </c>
      <c r="D91" s="1">
        <v>43291</v>
      </c>
      <c r="E91" t="str">
        <f>"201806281740"</f>
        <v>201806281740</v>
      </c>
      <c r="F91" t="str">
        <f>"409126-2"</f>
        <v>409126-2</v>
      </c>
      <c r="G91" s="3">
        <v>200</v>
      </c>
      <c r="H91" t="str">
        <f>"409126-2"</f>
        <v>409126-2</v>
      </c>
    </row>
    <row r="92" spans="1:8" x14ac:dyDescent="0.25">
      <c r="E92" t="str">
        <f>"201806281741"</f>
        <v>201806281741</v>
      </c>
      <c r="F92" t="str">
        <f>"1JP82562"</f>
        <v>1JP82562</v>
      </c>
      <c r="G92" s="3">
        <v>200</v>
      </c>
      <c r="H92" t="str">
        <f>"1JP82562"</f>
        <v>1JP82562</v>
      </c>
    </row>
    <row r="93" spans="1:8" x14ac:dyDescent="0.25">
      <c r="E93" t="str">
        <f>"201806281742"</f>
        <v>201806281742</v>
      </c>
      <c r="F93" t="str">
        <f>"AC-2017-01"</f>
        <v>AC-2017-01</v>
      </c>
      <c r="G93" s="3">
        <v>200</v>
      </c>
      <c r="H93" t="str">
        <f>"AC-2017-01"</f>
        <v>AC-2017-01</v>
      </c>
    </row>
    <row r="94" spans="1:8" x14ac:dyDescent="0.25">
      <c r="E94" t="str">
        <f>"201806281743"</f>
        <v>201806281743</v>
      </c>
      <c r="F94" t="str">
        <f>"30502018A"</f>
        <v>30502018A</v>
      </c>
      <c r="G94" s="3">
        <v>200</v>
      </c>
      <c r="H94" t="str">
        <f>"30502018A"</f>
        <v>30502018A</v>
      </c>
    </row>
    <row r="95" spans="1:8" x14ac:dyDescent="0.25">
      <c r="A95" t="s">
        <v>44</v>
      </c>
      <c r="B95">
        <v>999999</v>
      </c>
      <c r="C95" s="2">
        <v>800</v>
      </c>
      <c r="D95" s="1">
        <v>43305</v>
      </c>
      <c r="E95" t="str">
        <f>"201807102155"</f>
        <v>201807102155</v>
      </c>
      <c r="F95" t="str">
        <f>"16377"</f>
        <v>16377</v>
      </c>
      <c r="G95" s="3">
        <v>400</v>
      </c>
      <c r="H95" t="str">
        <f>"16377"</f>
        <v>16377</v>
      </c>
    </row>
    <row r="96" spans="1:8" x14ac:dyDescent="0.25">
      <c r="E96" t="str">
        <f>"201807102156"</f>
        <v>201807102156</v>
      </c>
      <c r="F96" t="str">
        <f>"16468"</f>
        <v>16468</v>
      </c>
      <c r="G96" s="3">
        <v>400</v>
      </c>
      <c r="H96" t="str">
        <f>"16468"</f>
        <v>16468</v>
      </c>
    </row>
    <row r="97" spans="1:8" x14ac:dyDescent="0.25">
      <c r="A97" t="s">
        <v>45</v>
      </c>
      <c r="B97">
        <v>77428</v>
      </c>
      <c r="C97" s="2">
        <v>300</v>
      </c>
      <c r="D97" s="1">
        <v>43290</v>
      </c>
      <c r="E97" t="str">
        <f>"201807021768"</f>
        <v>201807021768</v>
      </c>
      <c r="F97" t="str">
        <f>"REFUND - PLAT FEE"</f>
        <v>REFUND - PLAT FEE</v>
      </c>
      <c r="G97" s="3">
        <v>300</v>
      </c>
      <c r="H97" t="str">
        <f>"REFUND - PLAT FEE"</f>
        <v>REFUND - PLAT FEE</v>
      </c>
    </row>
    <row r="98" spans="1:8" x14ac:dyDescent="0.25">
      <c r="A98" t="s">
        <v>46</v>
      </c>
      <c r="B98">
        <v>77650</v>
      </c>
      <c r="C98" s="2">
        <v>257.7</v>
      </c>
      <c r="D98" s="1">
        <v>43304</v>
      </c>
      <c r="E98" t="str">
        <f>"201807102148"</f>
        <v>201807102148</v>
      </c>
      <c r="F98" t="str">
        <f>"CRIMINAL DOCKET"</f>
        <v>CRIMINAL DOCKET</v>
      </c>
      <c r="G98" s="3">
        <v>257.7</v>
      </c>
      <c r="H98" t="str">
        <f>"CRIMINAL DOCKET"</f>
        <v>CRIMINAL DOCKET</v>
      </c>
    </row>
    <row r="99" spans="1:8" x14ac:dyDescent="0.25">
      <c r="A99" t="s">
        <v>47</v>
      </c>
      <c r="B99">
        <v>77651</v>
      </c>
      <c r="C99" s="2">
        <v>500</v>
      </c>
      <c r="D99" s="1">
        <v>43304</v>
      </c>
      <c r="E99" t="str">
        <f>"201807182270"</f>
        <v>201807182270</v>
      </c>
      <c r="F99" t="str">
        <f>"VETERINARY SURGICAL SVCS"</f>
        <v>VETERINARY SURGICAL SVCS</v>
      </c>
      <c r="G99" s="3">
        <v>500</v>
      </c>
      <c r="H99" t="str">
        <f>"VETERINARY SURGICAL SVCS"</f>
        <v>VETERINARY SURGICAL SVCS</v>
      </c>
    </row>
    <row r="100" spans="1:8" x14ac:dyDescent="0.25">
      <c r="A100" t="s">
        <v>48</v>
      </c>
      <c r="B100">
        <v>77429</v>
      </c>
      <c r="C100" s="2">
        <v>668</v>
      </c>
      <c r="D100" s="1">
        <v>43290</v>
      </c>
      <c r="E100" t="str">
        <f>"31086"</f>
        <v>31086</v>
      </c>
      <c r="F100" t="str">
        <f>"RENTAL PCT #1"</f>
        <v>RENTAL PCT #1</v>
      </c>
      <c r="G100" s="3">
        <v>97</v>
      </c>
      <c r="H100" t="str">
        <f>"RENTAL PCT #1"</f>
        <v>RENTAL PCT #1</v>
      </c>
    </row>
    <row r="101" spans="1:8" x14ac:dyDescent="0.25">
      <c r="E101" t="str">
        <f>"31202"</f>
        <v>31202</v>
      </c>
      <c r="F101" t="str">
        <f>"RENTAL COOL WATER DR/PCT#1"</f>
        <v>RENTAL COOL WATER DR/PCT#1</v>
      </c>
      <c r="G101" s="3">
        <v>215</v>
      </c>
      <c r="H101" t="str">
        <f>"RENTAL COOL WATER DR/PCT#1"</f>
        <v>RENTAL COOL WATER DR/PCT#1</v>
      </c>
    </row>
    <row r="102" spans="1:8" x14ac:dyDescent="0.25">
      <c r="E102" t="str">
        <f>"31203"</f>
        <v>31203</v>
      </c>
      <c r="F102" t="str">
        <f>"RENTAL RIVERSIDE DR"</f>
        <v>RENTAL RIVERSIDE DR</v>
      </c>
      <c r="G102" s="3">
        <v>259</v>
      </c>
      <c r="H102" t="str">
        <f>"RENTAL RIVERSIDE DR"</f>
        <v>RENTAL RIVERSIDE DR</v>
      </c>
    </row>
    <row r="103" spans="1:8" x14ac:dyDescent="0.25">
      <c r="E103" t="str">
        <f>"31204"</f>
        <v>31204</v>
      </c>
      <c r="F103" t="str">
        <f>"RENTAL 589 COOL WATER"</f>
        <v>RENTAL 589 COOL WATER</v>
      </c>
      <c r="G103" s="3">
        <v>97</v>
      </c>
      <c r="H103" t="str">
        <f>"RENTAL 589 COOL WATER"</f>
        <v>RENTAL 589 COOL WATER</v>
      </c>
    </row>
    <row r="104" spans="1:8" x14ac:dyDescent="0.25">
      <c r="A104" t="s">
        <v>49</v>
      </c>
      <c r="B104">
        <v>999999</v>
      </c>
      <c r="C104" s="2">
        <v>928.73</v>
      </c>
      <c r="D104" s="1">
        <v>43291</v>
      </c>
      <c r="E104" t="str">
        <f>"19KL-4CVJ-MM4P"</f>
        <v>19KL-4CVJ-MM4P</v>
      </c>
      <c r="F104" t="str">
        <f>"AMAZON CAPITAL SERVICES INC"</f>
        <v>AMAZON CAPITAL SERVICES INC</v>
      </c>
      <c r="G104" s="3">
        <v>42.99</v>
      </c>
      <c r="H104" t="str">
        <f>"Toner Cartridge"</f>
        <v>Toner Cartridge</v>
      </c>
    </row>
    <row r="105" spans="1:8" x14ac:dyDescent="0.25">
      <c r="E105" t="str">
        <f>"1FMD-R4HP-PTYX"</f>
        <v>1FMD-R4HP-PTYX</v>
      </c>
      <c r="F105" t="str">
        <f>"Credit Card Holders"</f>
        <v>Credit Card Holders</v>
      </c>
      <c r="G105" s="3">
        <v>43.78</v>
      </c>
      <c r="H105" t="str">
        <f>"Credit Card Holders"</f>
        <v>Credit Card Holders</v>
      </c>
    </row>
    <row r="106" spans="1:8" x14ac:dyDescent="0.25">
      <c r="E106" t="str">
        <f>""</f>
        <v/>
      </c>
      <c r="F106" t="str">
        <f>""</f>
        <v/>
      </c>
      <c r="H106" t="str">
        <f>"Credit Card Holders"</f>
        <v>Credit Card Holders</v>
      </c>
    </row>
    <row r="107" spans="1:8" x14ac:dyDescent="0.25">
      <c r="E107" t="str">
        <f>"1KHK-GVFJ-F19G"</f>
        <v>1KHK-GVFJ-F19G</v>
      </c>
      <c r="F107" t="str">
        <f>"Podium"</f>
        <v>Podium</v>
      </c>
      <c r="G107" s="3">
        <v>233.99</v>
      </c>
      <c r="H107" t="str">
        <f>"Podium"</f>
        <v>Podium</v>
      </c>
    </row>
    <row r="108" spans="1:8" x14ac:dyDescent="0.25">
      <c r="E108" t="str">
        <f>"1RGX-RF6V-4HX7"</f>
        <v>1RGX-RF6V-4HX7</v>
      </c>
      <c r="F108" t="str">
        <f>"Tektronix PWS2185 Power S"</f>
        <v>Tektronix PWS2185 Power S</v>
      </c>
      <c r="G108" s="3">
        <v>311.66000000000003</v>
      </c>
      <c r="H108" t="str">
        <f>"Payment"</f>
        <v>Payment</v>
      </c>
    </row>
    <row r="109" spans="1:8" x14ac:dyDescent="0.25">
      <c r="E109" t="str">
        <f>"1RGX-RF6V-GXQK"</f>
        <v>1RGX-RF6V-GXQK</v>
      </c>
      <c r="F109" t="str">
        <f>"Fargo 45010 DTC1000 YMCKO"</f>
        <v>Fargo 45010 DTC1000 YMCKO</v>
      </c>
      <c r="G109" s="3">
        <v>89.36</v>
      </c>
      <c r="H109" t="str">
        <f>"Fargo 45010 DTC1000 YMCKO"</f>
        <v>Fargo 45010 DTC1000 YMCKO</v>
      </c>
    </row>
    <row r="110" spans="1:8" x14ac:dyDescent="0.25">
      <c r="E110" t="str">
        <f>"1XK6-G4XF-HXRM"</f>
        <v>1XK6-G4XF-HXRM</v>
      </c>
      <c r="F110" t="str">
        <f>"Ipad case"</f>
        <v>Ipad case</v>
      </c>
      <c r="G110" s="3">
        <v>144.06</v>
      </c>
      <c r="H110" t="str">
        <f>"Ipad case"</f>
        <v>Ipad case</v>
      </c>
    </row>
    <row r="111" spans="1:8" x14ac:dyDescent="0.25">
      <c r="E111" t="str">
        <f>"1XQ9-6LM7-VCM4"</f>
        <v>1XQ9-6LM7-VCM4</v>
      </c>
      <c r="F111" t="str">
        <f>"Tenergy Centura AA"</f>
        <v>Tenergy Centura AA</v>
      </c>
      <c r="G111" s="3">
        <v>62.89</v>
      </c>
      <c r="H111" t="str">
        <f>"Battery Charger"</f>
        <v>Battery Charger</v>
      </c>
    </row>
    <row r="112" spans="1:8" x14ac:dyDescent="0.25">
      <c r="E112" t="str">
        <f>""</f>
        <v/>
      </c>
      <c r="F112" t="str">
        <f>""</f>
        <v/>
      </c>
      <c r="H112" t="str">
        <f>"Rechargeable Battery"</f>
        <v>Rechargeable Battery</v>
      </c>
    </row>
    <row r="113" spans="1:8" x14ac:dyDescent="0.25">
      <c r="A113" t="s">
        <v>49</v>
      </c>
      <c r="B113">
        <v>999999</v>
      </c>
      <c r="C113" s="2">
        <v>366.8</v>
      </c>
      <c r="D113" s="1">
        <v>43305</v>
      </c>
      <c r="E113" t="str">
        <f>"11M1-W6JY-HGHY"</f>
        <v>11M1-W6JY-HGHY</v>
      </c>
      <c r="F113" t="str">
        <f>"ZA 275 Gallon IBC Tote"</f>
        <v>ZA 275 Gallon IBC Tote</v>
      </c>
      <c r="G113" s="3">
        <v>366.8</v>
      </c>
      <c r="H113" t="str">
        <f>"ZA 275 Gallon IBC Tote"</f>
        <v>ZA 275 Gallon IBC Tote</v>
      </c>
    </row>
    <row r="114" spans="1:8" x14ac:dyDescent="0.25">
      <c r="A114" t="s">
        <v>50</v>
      </c>
      <c r="B114">
        <v>77430</v>
      </c>
      <c r="C114" s="2">
        <v>243.35</v>
      </c>
      <c r="D114" s="1">
        <v>43290</v>
      </c>
      <c r="E114" t="str">
        <f>"27112-1"</f>
        <v>27112-1</v>
      </c>
      <c r="F114" t="str">
        <f>"CUST#100031/PCT#3"</f>
        <v>CUST#100031/PCT#3</v>
      </c>
      <c r="G114" s="3">
        <v>109.35</v>
      </c>
      <c r="H114" t="str">
        <f>"CUST#100031/PCT#3"</f>
        <v>CUST#100031/PCT#3</v>
      </c>
    </row>
    <row r="115" spans="1:8" x14ac:dyDescent="0.25">
      <c r="E115" t="str">
        <f>"27112-2"</f>
        <v>27112-2</v>
      </c>
      <c r="F115" t="str">
        <f>"CUST#100031/BLACK ZIP TIE/PCT3"</f>
        <v>CUST#100031/BLACK ZIP TIE/PCT3</v>
      </c>
      <c r="G115" s="3">
        <v>134</v>
      </c>
      <c r="H115" t="str">
        <f>"CUST#100031/BLACK ZIP TIE/PCT3"</f>
        <v>CUST#100031/BLACK ZIP TIE/PCT3</v>
      </c>
    </row>
    <row r="116" spans="1:8" x14ac:dyDescent="0.25">
      <c r="A116" t="s">
        <v>51</v>
      </c>
      <c r="B116">
        <v>77652</v>
      </c>
      <c r="C116" s="2">
        <v>430.4</v>
      </c>
      <c r="D116" s="1">
        <v>43304</v>
      </c>
      <c r="E116" t="str">
        <f>"201807172252"</f>
        <v>201807172252</v>
      </c>
      <c r="F116" t="str">
        <f>"REIMBURSE-MEALS/LODGING/MILEAG"</f>
        <v>REIMBURSE-MEALS/LODGING/MILEAG</v>
      </c>
      <c r="G116" s="3">
        <v>430.4</v>
      </c>
      <c r="H116" t="str">
        <f>"REIMBURSE-MEALS/LODGING/MILEAG"</f>
        <v>REIMBURSE-MEALS/LODGING/MILEAG</v>
      </c>
    </row>
    <row r="117" spans="1:8" x14ac:dyDescent="0.25">
      <c r="A117" t="s">
        <v>52</v>
      </c>
      <c r="B117">
        <v>77431</v>
      </c>
      <c r="C117" s="2">
        <v>115</v>
      </c>
      <c r="D117" s="1">
        <v>43290</v>
      </c>
      <c r="E117" t="str">
        <f>"5319153"</f>
        <v>5319153</v>
      </c>
      <c r="F117" t="str">
        <f>"INV 5319153"</f>
        <v>INV 5319153</v>
      </c>
      <c r="G117" s="3">
        <v>115</v>
      </c>
      <c r="H117" t="str">
        <f>"INV 5319153"</f>
        <v>INV 5319153</v>
      </c>
    </row>
    <row r="118" spans="1:8" x14ac:dyDescent="0.25">
      <c r="A118" t="s">
        <v>53</v>
      </c>
      <c r="B118">
        <v>77432</v>
      </c>
      <c r="C118" s="2">
        <v>1453.91</v>
      </c>
      <c r="D118" s="1">
        <v>43290</v>
      </c>
      <c r="E118" t="str">
        <f>"201807021774"</f>
        <v>201807021774</v>
      </c>
      <c r="F118" t="str">
        <f>"ACCT#379865/PCT#2"</f>
        <v>ACCT#379865/PCT#2</v>
      </c>
      <c r="G118" s="3">
        <v>1453.91</v>
      </c>
      <c r="H118" t="str">
        <f>"ACCT#379865/PCT#2"</f>
        <v>ACCT#379865/PCT#2</v>
      </c>
    </row>
    <row r="119" spans="1:8" x14ac:dyDescent="0.25">
      <c r="A119" t="s">
        <v>54</v>
      </c>
      <c r="B119">
        <v>77653</v>
      </c>
      <c r="C119" s="2">
        <v>224.43</v>
      </c>
      <c r="D119" s="1">
        <v>43304</v>
      </c>
      <c r="E119" t="str">
        <f>"938742293"</f>
        <v>938742293</v>
      </c>
      <c r="F119" t="str">
        <f>"INV 938742293"</f>
        <v>INV 938742293</v>
      </c>
      <c r="G119" s="3">
        <v>88.85</v>
      </c>
      <c r="H119" t="str">
        <f>"INV 938742293"</f>
        <v>INV 938742293</v>
      </c>
    </row>
    <row r="120" spans="1:8" x14ac:dyDescent="0.25">
      <c r="E120" t="str">
        <f>"939351817"</f>
        <v>939351817</v>
      </c>
      <c r="F120" t="str">
        <f>"INV 939351817"</f>
        <v>INV 939351817</v>
      </c>
      <c r="G120" s="3">
        <v>135.58000000000001</v>
      </c>
      <c r="H120" t="str">
        <f>"INV 939351817"</f>
        <v>INV 939351817</v>
      </c>
    </row>
    <row r="121" spans="1:8" x14ac:dyDescent="0.25">
      <c r="A121" t="s">
        <v>55</v>
      </c>
      <c r="B121">
        <v>999999</v>
      </c>
      <c r="C121" s="2">
        <v>77759.3</v>
      </c>
      <c r="D121" s="1">
        <v>43291</v>
      </c>
      <c r="E121" t="str">
        <f>"C0002706/29/30/244"</f>
        <v>C0002706/29/30/244</v>
      </c>
      <c r="F121" t="str">
        <f>"HWY 304 &amp; SHILOH BRIDGE"</f>
        <v>HWY 304 &amp; SHILOH BRIDGE</v>
      </c>
      <c r="G121" s="3">
        <v>77759.3</v>
      </c>
      <c r="H121" t="str">
        <f>"8X8X4.5 P.E W/EXP ST"</f>
        <v>8X8X4.5 P.E W/EXP ST</v>
      </c>
    </row>
    <row r="122" spans="1:8" x14ac:dyDescent="0.25">
      <c r="E122" t="str">
        <f>""</f>
        <v/>
      </c>
      <c r="F122" t="str">
        <f>""</f>
        <v/>
      </c>
      <c r="H122" t="str">
        <f>"8X8X8 3-5 FILL"</f>
        <v>8X8X8 3-5 FILL</v>
      </c>
    </row>
    <row r="123" spans="1:8" x14ac:dyDescent="0.25">
      <c r="E123" t="str">
        <f>""</f>
        <v/>
      </c>
      <c r="F123" t="str">
        <f>""</f>
        <v/>
      </c>
      <c r="H123" t="str">
        <f>"8X8X6 SPIGOT X P.E W"</f>
        <v>8X8X6 SPIGOT X P.E W</v>
      </c>
    </row>
    <row r="124" spans="1:8" x14ac:dyDescent="0.25">
      <c r="A124" t="s">
        <v>56</v>
      </c>
      <c r="B124">
        <v>77654</v>
      </c>
      <c r="C124" s="2">
        <v>1708.2</v>
      </c>
      <c r="D124" s="1">
        <v>43304</v>
      </c>
      <c r="E124" t="str">
        <f>"108804"</f>
        <v>108804</v>
      </c>
      <c r="F124" t="str">
        <f>"VOTER SUPPLIES/ELECTIONS DEPT"</f>
        <v>VOTER SUPPLIES/ELECTIONS DEPT</v>
      </c>
      <c r="G124" s="3">
        <v>1708.2</v>
      </c>
      <c r="H124" t="str">
        <f>"VOTER SUPPLIES/ELECTIONS DEPT"</f>
        <v>VOTER SUPPLIES/ELECTIONS DEPT</v>
      </c>
    </row>
    <row r="125" spans="1:8" x14ac:dyDescent="0.25">
      <c r="A125" t="s">
        <v>57</v>
      </c>
      <c r="B125">
        <v>999999</v>
      </c>
      <c r="C125" s="2">
        <v>3660</v>
      </c>
      <c r="D125" s="1">
        <v>43291</v>
      </c>
      <c r="E125" t="str">
        <f>"201807031793"</f>
        <v>201807031793</v>
      </c>
      <c r="F125" t="str">
        <f>"55 726"</f>
        <v>55 726</v>
      </c>
      <c r="G125" s="3">
        <v>250</v>
      </c>
      <c r="H125" t="str">
        <f>"55 726"</f>
        <v>55 726</v>
      </c>
    </row>
    <row r="126" spans="1:8" x14ac:dyDescent="0.25">
      <c r="E126" t="str">
        <f>"201807031794"</f>
        <v>201807031794</v>
      </c>
      <c r="F126" t="str">
        <f>"55 257"</f>
        <v>55 257</v>
      </c>
      <c r="G126" s="3">
        <v>250</v>
      </c>
      <c r="H126" t="str">
        <f>"55 257"</f>
        <v>55 257</v>
      </c>
    </row>
    <row r="127" spans="1:8" x14ac:dyDescent="0.25">
      <c r="E127" t="str">
        <f>"201807031795"</f>
        <v>201807031795</v>
      </c>
      <c r="F127" t="str">
        <f>"CH-20160910B  CH20160910C"</f>
        <v>CH-20160910B  CH20160910C</v>
      </c>
      <c r="G127" s="3">
        <v>375</v>
      </c>
      <c r="H127" t="str">
        <f>"CH-20160910B  CH20160910C"</f>
        <v>CH-20160910B  CH20160910C</v>
      </c>
    </row>
    <row r="128" spans="1:8" x14ac:dyDescent="0.25">
      <c r="E128" t="str">
        <f>"201807031796"</f>
        <v>201807031796</v>
      </c>
      <c r="F128" t="str">
        <f>"56 093"</f>
        <v>56 093</v>
      </c>
      <c r="G128" s="3">
        <v>150</v>
      </c>
      <c r="H128" t="str">
        <f>"56 093"</f>
        <v>56 093</v>
      </c>
    </row>
    <row r="129" spans="1:8" x14ac:dyDescent="0.25">
      <c r="E129" t="str">
        <f>"201807031797"</f>
        <v>201807031797</v>
      </c>
      <c r="F129" t="str">
        <f>"55 600"</f>
        <v>55 600</v>
      </c>
      <c r="G129" s="3">
        <v>250</v>
      </c>
      <c r="H129" t="str">
        <f>"55 600"</f>
        <v>55 600</v>
      </c>
    </row>
    <row r="130" spans="1:8" x14ac:dyDescent="0.25">
      <c r="E130" t="str">
        <f>"201807031798"</f>
        <v>201807031798</v>
      </c>
      <c r="F130" t="str">
        <f>"17-18535"</f>
        <v>17-18535</v>
      </c>
      <c r="G130" s="3">
        <v>182.5</v>
      </c>
      <c r="H130" t="str">
        <f>"17-18535"</f>
        <v>17-18535</v>
      </c>
    </row>
    <row r="131" spans="1:8" x14ac:dyDescent="0.25">
      <c r="E131" t="str">
        <f>"201807031799"</f>
        <v>201807031799</v>
      </c>
      <c r="F131" t="str">
        <f>"18-18941"</f>
        <v>18-18941</v>
      </c>
      <c r="G131" s="3">
        <v>122.5</v>
      </c>
      <c r="H131" t="str">
        <f>"18-18941"</f>
        <v>18-18941</v>
      </c>
    </row>
    <row r="132" spans="1:8" x14ac:dyDescent="0.25">
      <c r="E132" t="str">
        <f>"201807031800"</f>
        <v>201807031800</v>
      </c>
      <c r="F132" t="str">
        <f>"17-18932"</f>
        <v>17-18932</v>
      </c>
      <c r="G132" s="3">
        <v>332.5</v>
      </c>
      <c r="H132" t="str">
        <f>"17-18932"</f>
        <v>17-18932</v>
      </c>
    </row>
    <row r="133" spans="1:8" x14ac:dyDescent="0.25">
      <c r="E133" t="str">
        <f>"201807031801"</f>
        <v>201807031801</v>
      </c>
      <c r="F133" t="str">
        <f>"18-19071"</f>
        <v>18-19071</v>
      </c>
      <c r="G133" s="3">
        <v>197.5</v>
      </c>
      <c r="H133" t="str">
        <f>"18-19071"</f>
        <v>18-19071</v>
      </c>
    </row>
    <row r="134" spans="1:8" x14ac:dyDescent="0.25">
      <c r="E134" t="str">
        <f>"201807031802"</f>
        <v>201807031802</v>
      </c>
      <c r="F134" t="str">
        <f>"J-3060"</f>
        <v>J-3060</v>
      </c>
      <c r="G134" s="3">
        <v>100</v>
      </c>
      <c r="H134" t="str">
        <f>"J-3060"</f>
        <v>J-3060</v>
      </c>
    </row>
    <row r="135" spans="1:8" x14ac:dyDescent="0.25">
      <c r="E135" t="str">
        <f>"201807031803"</f>
        <v>201807031803</v>
      </c>
      <c r="F135" t="str">
        <f>"17-18615"</f>
        <v>17-18615</v>
      </c>
      <c r="G135" s="3">
        <v>617.5</v>
      </c>
      <c r="H135" t="str">
        <f>"17-18615"</f>
        <v>17-18615</v>
      </c>
    </row>
    <row r="136" spans="1:8" x14ac:dyDescent="0.25">
      <c r="E136" t="str">
        <f>"201807031804"</f>
        <v>201807031804</v>
      </c>
      <c r="F136" t="str">
        <f>"18-18966"</f>
        <v>18-18966</v>
      </c>
      <c r="G136" s="3">
        <v>407.5</v>
      </c>
      <c r="H136" t="str">
        <f>"18-18966"</f>
        <v>18-18966</v>
      </c>
    </row>
    <row r="137" spans="1:8" x14ac:dyDescent="0.25">
      <c r="E137" t="str">
        <f>"201807031805"</f>
        <v>201807031805</v>
      </c>
      <c r="F137" t="str">
        <f>"18-19023"</f>
        <v>18-19023</v>
      </c>
      <c r="G137" s="3">
        <v>425</v>
      </c>
      <c r="H137" t="str">
        <f>"18-19023"</f>
        <v>18-19023</v>
      </c>
    </row>
    <row r="138" spans="1:8" x14ac:dyDescent="0.25">
      <c r="A138" t="s">
        <v>57</v>
      </c>
      <c r="B138">
        <v>999999</v>
      </c>
      <c r="C138" s="2">
        <v>2550</v>
      </c>
      <c r="D138" s="1">
        <v>43305</v>
      </c>
      <c r="E138" t="str">
        <f>"201807102149"</f>
        <v>201807102149</v>
      </c>
      <c r="F138" t="str">
        <f>"406236-2"</f>
        <v>406236-2</v>
      </c>
      <c r="G138" s="3">
        <v>400</v>
      </c>
      <c r="H138" t="str">
        <f>"406236-2"</f>
        <v>406236-2</v>
      </c>
    </row>
    <row r="139" spans="1:8" x14ac:dyDescent="0.25">
      <c r="E139" t="str">
        <f>"201807112171"</f>
        <v>201807112171</v>
      </c>
      <c r="F139" t="str">
        <f>"423-5823"</f>
        <v>423-5823</v>
      </c>
      <c r="G139" s="3">
        <v>100</v>
      </c>
      <c r="H139" t="str">
        <f>"423-5823"</f>
        <v>423-5823</v>
      </c>
    </row>
    <row r="140" spans="1:8" x14ac:dyDescent="0.25">
      <c r="E140" t="str">
        <f>"201807112172"</f>
        <v>201807112172</v>
      </c>
      <c r="F140" t="str">
        <f>"423-5826"</f>
        <v>423-5826</v>
      </c>
      <c r="G140" s="3">
        <v>100</v>
      </c>
      <c r="H140" t="str">
        <f>"423-5826"</f>
        <v>423-5826</v>
      </c>
    </row>
    <row r="141" spans="1:8" x14ac:dyDescent="0.25">
      <c r="E141" t="str">
        <f>"201807182287"</f>
        <v>201807182287</v>
      </c>
      <c r="F141" t="str">
        <f>"4062363"</f>
        <v>4062363</v>
      </c>
      <c r="G141" s="3">
        <v>250</v>
      </c>
      <c r="H141" t="str">
        <f>"4062363"</f>
        <v>4062363</v>
      </c>
    </row>
    <row r="142" spans="1:8" x14ac:dyDescent="0.25">
      <c r="E142" t="str">
        <f>"201807182288"</f>
        <v>201807182288</v>
      </c>
      <c r="F142" t="str">
        <f>"56 003  20170473"</f>
        <v>56 003  20170473</v>
      </c>
      <c r="G142" s="3">
        <v>375</v>
      </c>
      <c r="H142" t="str">
        <f>"56 003  20170473"</f>
        <v>56 003  20170473</v>
      </c>
    </row>
    <row r="143" spans="1:8" x14ac:dyDescent="0.25">
      <c r="E143" t="str">
        <f>"201807182289"</f>
        <v>201807182289</v>
      </c>
      <c r="F143" t="str">
        <f>"56 075"</f>
        <v>56 075</v>
      </c>
      <c r="G143" s="3">
        <v>250</v>
      </c>
      <c r="H143" t="str">
        <f>"56 075"</f>
        <v>56 075</v>
      </c>
    </row>
    <row r="144" spans="1:8" x14ac:dyDescent="0.25">
      <c r="E144" t="str">
        <f>"201807182290"</f>
        <v>201807182290</v>
      </c>
      <c r="F144" t="str">
        <f>"56 075  411047-5"</f>
        <v>56 075  411047-5</v>
      </c>
      <c r="G144" s="3">
        <v>375</v>
      </c>
      <c r="H144" t="str">
        <f>"56 075  411047-5"</f>
        <v>56 075  411047-5</v>
      </c>
    </row>
    <row r="145" spans="1:8" x14ac:dyDescent="0.25">
      <c r="E145" t="str">
        <f>"201807182303"</f>
        <v>201807182303</v>
      </c>
      <c r="F145" t="str">
        <f>"30532018C"</f>
        <v>30532018C</v>
      </c>
      <c r="G145" s="3">
        <v>250</v>
      </c>
      <c r="H145" t="str">
        <f>"30532018C"</f>
        <v>30532018C</v>
      </c>
    </row>
    <row r="146" spans="1:8" x14ac:dyDescent="0.25">
      <c r="E146" t="str">
        <f>"201807182312"</f>
        <v>201807182312</v>
      </c>
      <c r="F146" t="str">
        <f>"55 008"</f>
        <v>55 008</v>
      </c>
      <c r="G146" s="3">
        <v>250</v>
      </c>
      <c r="H146" t="str">
        <f>"55 008"</f>
        <v>55 008</v>
      </c>
    </row>
    <row r="147" spans="1:8" x14ac:dyDescent="0.25">
      <c r="E147" t="str">
        <f>"201807182329"</f>
        <v>201807182329</v>
      </c>
      <c r="F147" t="str">
        <f>"18-19129"</f>
        <v>18-19129</v>
      </c>
      <c r="G147" s="3">
        <v>100</v>
      </c>
      <c r="H147" t="str">
        <f>"18-19129"</f>
        <v>18-19129</v>
      </c>
    </row>
    <row r="148" spans="1:8" x14ac:dyDescent="0.25">
      <c r="E148" t="str">
        <f>"201807182330"</f>
        <v>201807182330</v>
      </c>
      <c r="F148" t="str">
        <f>"18-19124"</f>
        <v>18-19124</v>
      </c>
      <c r="G148" s="3">
        <v>100</v>
      </c>
      <c r="H148" t="str">
        <f>"18-19124"</f>
        <v>18-19124</v>
      </c>
    </row>
    <row r="149" spans="1:8" x14ac:dyDescent="0.25">
      <c r="A149" t="s">
        <v>58</v>
      </c>
      <c r="B149">
        <v>77655</v>
      </c>
      <c r="C149" s="2">
        <v>10</v>
      </c>
      <c r="D149" s="1">
        <v>43304</v>
      </c>
      <c r="E149" t="str">
        <f>"REIMBURSEMENT-FUEL"</f>
        <v>REIMBURSEMENT-FUEL</v>
      </c>
      <c r="F149" t="str">
        <f>"REIMBURSEMENT"</f>
        <v>REIMBURSEMENT</v>
      </c>
      <c r="G149" s="3">
        <v>10</v>
      </c>
      <c r="H149" t="str">
        <f>"REIMBURSEMENT - FUEL"</f>
        <v>REIMBURSEMENT - FUEL</v>
      </c>
    </row>
    <row r="150" spans="1:8" x14ac:dyDescent="0.25">
      <c r="A150" t="s">
        <v>59</v>
      </c>
      <c r="B150">
        <v>77656</v>
      </c>
      <c r="C150" s="2">
        <v>61</v>
      </c>
      <c r="D150" s="1">
        <v>43304</v>
      </c>
      <c r="E150" t="str">
        <f>"201807132214"</f>
        <v>201807132214</v>
      </c>
      <c r="F150" t="str">
        <f>"RENEW DRIVERS LICENSE"</f>
        <v>RENEW DRIVERS LICENSE</v>
      </c>
      <c r="G150" s="3">
        <v>61</v>
      </c>
      <c r="H150" t="str">
        <f>"RENEW DRIVERS LICENSE"</f>
        <v>RENEW DRIVERS LICENSE</v>
      </c>
    </row>
    <row r="151" spans="1:8" x14ac:dyDescent="0.25">
      <c r="A151" t="s">
        <v>60</v>
      </c>
      <c r="B151">
        <v>77433</v>
      </c>
      <c r="C151" s="2">
        <v>89.15</v>
      </c>
      <c r="D151" s="1">
        <v>43290</v>
      </c>
      <c r="E151" t="str">
        <f>"1806-398202"</f>
        <v>1806-398202</v>
      </c>
      <c r="F151" t="str">
        <f>"ACCT#3-3053/PCT#2"</f>
        <v>ACCT#3-3053/PCT#2</v>
      </c>
      <c r="G151" s="3">
        <v>89.15</v>
      </c>
      <c r="H151" t="str">
        <f>"ACCT#3-3053/PCT#2"</f>
        <v>ACCT#3-3053/PCT#2</v>
      </c>
    </row>
    <row r="152" spans="1:8" x14ac:dyDescent="0.25">
      <c r="A152" t="s">
        <v>61</v>
      </c>
      <c r="B152">
        <v>999999</v>
      </c>
      <c r="C152" s="2">
        <v>348.8</v>
      </c>
      <c r="D152" s="1">
        <v>43305</v>
      </c>
      <c r="E152" t="str">
        <f>"201807101998"</f>
        <v>201807101998</v>
      </c>
      <c r="F152" t="str">
        <f>"MILEAGE REIMBURSEMENT-JUNE2018"</f>
        <v>MILEAGE REIMBURSEMENT-JUNE2018</v>
      </c>
      <c r="G152" s="3">
        <v>348.8</v>
      </c>
      <c r="H152" t="str">
        <f>"MILEAGE REIMBURSEMENT-JUNE2018"</f>
        <v>MILEAGE REIMBURSEMENT-JUNE2018</v>
      </c>
    </row>
    <row r="153" spans="1:8" x14ac:dyDescent="0.25">
      <c r="A153" t="s">
        <v>62</v>
      </c>
      <c r="B153">
        <v>77657</v>
      </c>
      <c r="C153" s="2">
        <v>1300.1400000000001</v>
      </c>
      <c r="D153" s="1">
        <v>43304</v>
      </c>
      <c r="E153" t="str">
        <f>"201807101999"</f>
        <v>201807101999</v>
      </c>
      <c r="F153" t="str">
        <f>"ACCT#011955/CO DISTRICT JUDGE"</f>
        <v>ACCT#011955/CO DISTRICT JUDGE</v>
      </c>
      <c r="G153" s="3">
        <v>48</v>
      </c>
      <c r="H153" t="str">
        <f>"ACCT#011955/CO DISTRICT JUDGE"</f>
        <v>ACCT#011955/CO DISTRICT JUDGE</v>
      </c>
    </row>
    <row r="154" spans="1:8" x14ac:dyDescent="0.25">
      <c r="E154" t="str">
        <f>"201807102000"</f>
        <v>201807102000</v>
      </c>
      <c r="F154" t="str">
        <f>"ACCT#011033/IT DEPT"</f>
        <v>ACCT#011033/IT DEPT</v>
      </c>
      <c r="G154" s="3">
        <v>24</v>
      </c>
      <c r="H154" t="str">
        <f>"ACCT#011033/IT DEPT"</f>
        <v>ACCT#011033/IT DEPT</v>
      </c>
    </row>
    <row r="155" spans="1:8" x14ac:dyDescent="0.25">
      <c r="E155" t="str">
        <f>"201807102001"</f>
        <v>201807102001</v>
      </c>
      <c r="F155" t="str">
        <f>"ACCT#012260/DISTRICT ATTORNEY"</f>
        <v>ACCT#012260/DISTRICT ATTORNEY</v>
      </c>
      <c r="G155" s="3">
        <v>60</v>
      </c>
      <c r="H155" t="str">
        <f>"ACCT#012260/DISTRICT ATTORNEY"</f>
        <v>ACCT#012260/DISTRICT ATTORNEY</v>
      </c>
    </row>
    <row r="156" spans="1:8" x14ac:dyDescent="0.25">
      <c r="E156" t="str">
        <f>"201807102002"</f>
        <v>201807102002</v>
      </c>
      <c r="F156" t="str">
        <f>"ACCT#010238/GEN SVCS"</f>
        <v>ACCT#010238/GEN SVCS</v>
      </c>
      <c r="G156" s="3">
        <v>117</v>
      </c>
      <c r="H156" t="str">
        <f>"ACCT#010238/GEN SVCS"</f>
        <v>ACCT#010238/GEN SVCS</v>
      </c>
    </row>
    <row r="157" spans="1:8" x14ac:dyDescent="0.25">
      <c r="E157" t="str">
        <f>"201807102003"</f>
        <v>201807102003</v>
      </c>
      <c r="F157" t="str">
        <f>"ACCT#010057/BASTROP CO AUDITOR"</f>
        <v>ACCT#010057/BASTROP CO AUDITOR</v>
      </c>
      <c r="G157" s="3">
        <v>24</v>
      </c>
      <c r="H157" t="str">
        <f>"ACCT#010057/BASTROP CO AUDITOR"</f>
        <v>ACCT#010057/BASTROP CO AUDITOR</v>
      </c>
    </row>
    <row r="158" spans="1:8" x14ac:dyDescent="0.25">
      <c r="E158" t="str">
        <f>"201807102004"</f>
        <v>201807102004</v>
      </c>
      <c r="F158" t="str">
        <f>"ACCT#011280/COUNTY CLERK"</f>
        <v>ACCT#011280/COUNTY CLERK</v>
      </c>
      <c r="G158" s="3">
        <v>39</v>
      </c>
      <c r="H158" t="str">
        <f>"ACCT#011280/COUNTY CLERK"</f>
        <v>ACCT#011280/COUNTY CLERK</v>
      </c>
    </row>
    <row r="159" spans="1:8" x14ac:dyDescent="0.25">
      <c r="E159" t="str">
        <f>"201807102006"</f>
        <v>201807102006</v>
      </c>
      <c r="F159" t="str">
        <f>"ACCT#010149/AGRI LIVE EXTENSIO"</f>
        <v>ACCT#010149/AGRI LIVE EXTENSIO</v>
      </c>
      <c r="G159" s="3">
        <v>33.99</v>
      </c>
      <c r="H159" t="str">
        <f>"ACCT#010149/AGRI LIVE EXTENSIO"</f>
        <v>ACCT#010149/AGRI LIVE EXTENSIO</v>
      </c>
    </row>
    <row r="160" spans="1:8" x14ac:dyDescent="0.25">
      <c r="E160" t="str">
        <f>"201807102007"</f>
        <v>201807102007</v>
      </c>
      <c r="F160" t="str">
        <f>"ACCT#010311/COUNTY CT AT LAW"</f>
        <v>ACCT#010311/COUNTY CT AT LAW</v>
      </c>
      <c r="G160" s="3">
        <v>16.5</v>
      </c>
      <c r="H160" t="str">
        <f>"ACCT#010311/COUNTY CT AT LAW"</f>
        <v>ACCT#010311/COUNTY CT AT LAW</v>
      </c>
    </row>
    <row r="161" spans="1:8" x14ac:dyDescent="0.25">
      <c r="E161" t="str">
        <f>"201807102008"</f>
        <v>201807102008</v>
      </c>
      <c r="F161" t="str">
        <f>"ACCT#010111/CCAL-BASTROP"</f>
        <v>ACCT#010111/CCAL-BASTROP</v>
      </c>
      <c r="G161" s="3">
        <v>13</v>
      </c>
      <c r="H161" t="str">
        <f>"ACCT#010111/CCAL-BASTROP"</f>
        <v>ACCT#010111/CCAL-BASTROP</v>
      </c>
    </row>
    <row r="162" spans="1:8" x14ac:dyDescent="0.25">
      <c r="E162" t="str">
        <f>"201807102009"</f>
        <v>201807102009</v>
      </c>
      <c r="F162" t="str">
        <f>"ACCT#010835/CO COMM PCT#1"</f>
        <v>ACCT#010835/CO COMM PCT#1</v>
      </c>
      <c r="G162" s="3">
        <v>19.489999999999998</v>
      </c>
      <c r="H162" t="str">
        <f>"ACCT#010835/CO COMM PCT#1"</f>
        <v>ACCT#010835/CO COMM PCT#1</v>
      </c>
    </row>
    <row r="163" spans="1:8" x14ac:dyDescent="0.25">
      <c r="E163" t="str">
        <f>"201807102146"</f>
        <v>201807102146</v>
      </c>
      <c r="F163" t="str">
        <f>"ACCT#010602/COMMISSIONER OFF"</f>
        <v>ACCT#010602/COMMISSIONER OFF</v>
      </c>
      <c r="G163" s="3">
        <v>54</v>
      </c>
      <c r="H163" t="str">
        <f>"ACCT#010602/COMMISSIONER OFF"</f>
        <v>ACCT#010602/COMMISSIONER OFF</v>
      </c>
    </row>
    <row r="164" spans="1:8" x14ac:dyDescent="0.25">
      <c r="E164" t="str">
        <f>"201807102147"</f>
        <v>201807102147</v>
      </c>
      <c r="F164" t="str">
        <f>"ACCT#012259/DIST CLERKS OFFICE"</f>
        <v>ACCT#012259/DIST CLERKS OFFICE</v>
      </c>
      <c r="G164" s="3">
        <v>76.5</v>
      </c>
      <c r="H164" t="str">
        <f>"ACCT#012259/DIST CLERKS OFFICE"</f>
        <v>ACCT#012259/DIST CLERKS OFFICE</v>
      </c>
    </row>
    <row r="165" spans="1:8" x14ac:dyDescent="0.25">
      <c r="E165" t="str">
        <f>"201807102158"</f>
        <v>201807102158</v>
      </c>
      <c r="F165" t="str">
        <f>"ACCT#013393/HUMAN RESOURCES"</f>
        <v>ACCT#013393/HUMAN RESOURCES</v>
      </c>
      <c r="G165" s="3">
        <v>32.5</v>
      </c>
      <c r="H165" t="str">
        <f>"ACCT#013393/HUMAN RESOURCES"</f>
        <v>ACCT#013393/HUMAN RESOURCES</v>
      </c>
    </row>
    <row r="166" spans="1:8" x14ac:dyDescent="0.25">
      <c r="E166" t="str">
        <f>"201807102159"</f>
        <v>201807102159</v>
      </c>
      <c r="F166" t="str">
        <f>"ACCT#011474/ELECTIONS"</f>
        <v>ACCT#011474/ELECTIONS</v>
      </c>
      <c r="G166" s="3">
        <v>17.5</v>
      </c>
      <c r="H166" t="str">
        <f>"ACCT#011474/ELECTIONS"</f>
        <v>ACCT#011474/ELECTIONS</v>
      </c>
    </row>
    <row r="167" spans="1:8" x14ac:dyDescent="0.25">
      <c r="E167" t="str">
        <f>"201807102160"</f>
        <v>201807102160</v>
      </c>
      <c r="F167" t="str">
        <f>"ACCT#015538/EMER COMM"</f>
        <v>ACCT#015538/EMER COMM</v>
      </c>
      <c r="G167" s="3">
        <v>212.24</v>
      </c>
      <c r="H167" t="str">
        <f>"ACCT#015538/EMER COMM"</f>
        <v>ACCT#015538/EMER COMM</v>
      </c>
    </row>
    <row r="168" spans="1:8" x14ac:dyDescent="0.25">
      <c r="E168" t="str">
        <f>"201807102161"</f>
        <v>201807102161</v>
      </c>
      <c r="F168" t="str">
        <f>"ACCT#015199/JP#1"</f>
        <v>ACCT#015199/JP#1</v>
      </c>
      <c r="G168" s="3">
        <v>46.49</v>
      </c>
      <c r="H168" t="str">
        <f>"ACCT#015199/JP#1"</f>
        <v>ACCT#015199/JP#1</v>
      </c>
    </row>
    <row r="169" spans="1:8" x14ac:dyDescent="0.25">
      <c r="E169" t="str">
        <f>"201807102162"</f>
        <v>201807102162</v>
      </c>
      <c r="F169" t="str">
        <f>"ACCT#012571/TREASURER"</f>
        <v>ACCT#012571/TREASURER</v>
      </c>
      <c r="G169" s="3">
        <v>16.5</v>
      </c>
      <c r="H169" t="str">
        <f>"ACCT#012571/TREASURER"</f>
        <v>ACCT#012571/TREASURER</v>
      </c>
    </row>
    <row r="170" spans="1:8" x14ac:dyDescent="0.25">
      <c r="E170" t="str">
        <f>"201807132210"</f>
        <v>201807132210</v>
      </c>
      <c r="F170" t="str">
        <f>"ACCT#014877/EMER MGMT"</f>
        <v>ACCT#014877/EMER MGMT</v>
      </c>
      <c r="G170" s="3">
        <v>243.96</v>
      </c>
      <c r="H170" t="str">
        <f>"ACCT#014877/EMER MGMT"</f>
        <v>ACCT#014877/EMER MGMT</v>
      </c>
    </row>
    <row r="171" spans="1:8" x14ac:dyDescent="0.25">
      <c r="E171" t="str">
        <f>"201807182268"</f>
        <v>201807182268</v>
      </c>
      <c r="F171" t="str">
        <f>"ACCT#014737/ANIMAL SERVICE"</f>
        <v>ACCT#014737/ANIMAL SERVICE</v>
      </c>
      <c r="G171" s="3">
        <v>160.97999999999999</v>
      </c>
      <c r="H171" t="str">
        <f>"ACCT#014737/ANIMAL SERVICE"</f>
        <v>ACCT#014737/ANIMAL SERVICE</v>
      </c>
    </row>
    <row r="172" spans="1:8" x14ac:dyDescent="0.25">
      <c r="E172" t="str">
        <f>"201807182269"</f>
        <v>201807182269</v>
      </c>
      <c r="F172" t="str">
        <f>"ACCT#012803/BASTROP CO JUDGE"</f>
        <v>ACCT#012803/BASTROP CO JUDGE</v>
      </c>
      <c r="G172" s="3">
        <v>24</v>
      </c>
      <c r="H172" t="str">
        <f>"ACCT#012803/BASTROP CO JUDGE"</f>
        <v>ACCT#012803/BASTROP CO JUDGE</v>
      </c>
    </row>
    <row r="173" spans="1:8" x14ac:dyDescent="0.25">
      <c r="E173" t="str">
        <f>"201807182351"</f>
        <v>201807182351</v>
      </c>
      <c r="F173" t="str">
        <f>"ACCT#015476/PURCHASING"</f>
        <v>ACCT#015476/PURCHASING</v>
      </c>
      <c r="G173" s="3">
        <v>10.49</v>
      </c>
      <c r="H173" t="str">
        <f>"ACCT#015476/PURCHASING"</f>
        <v>ACCT#015476/PURCHASING</v>
      </c>
    </row>
    <row r="174" spans="1:8" x14ac:dyDescent="0.25">
      <c r="E174" t="str">
        <f>"242454"</f>
        <v>242454</v>
      </c>
      <c r="F174" t="str">
        <f>"ACCT#012231/DIST JUDGE OFFICE"</f>
        <v>ACCT#012231/DIST JUDGE OFFICE</v>
      </c>
      <c r="G174" s="3">
        <v>10</v>
      </c>
      <c r="H174" t="str">
        <f>"ACCT#012231/DIST JUDGE OFFICE"</f>
        <v>ACCT#012231/DIST JUDGE OFFICE</v>
      </c>
    </row>
    <row r="175" spans="1:8" x14ac:dyDescent="0.25">
      <c r="A175" t="s">
        <v>63</v>
      </c>
      <c r="B175">
        <v>77419</v>
      </c>
      <c r="C175" s="2">
        <v>2020.66</v>
      </c>
      <c r="D175" s="1">
        <v>43286</v>
      </c>
      <c r="E175" t="str">
        <f>"201807051909"</f>
        <v>201807051909</v>
      </c>
      <c r="F175" t="str">
        <f>"ACCT#0102120801 / 07012018"</f>
        <v>ACCT#0102120801 / 07012018</v>
      </c>
      <c r="G175" s="3">
        <v>627.20000000000005</v>
      </c>
      <c r="H175" t="str">
        <f>"ACCT#0102120801 / 07012018"</f>
        <v>ACCT#0102120801 / 07012018</v>
      </c>
    </row>
    <row r="176" spans="1:8" x14ac:dyDescent="0.25">
      <c r="E176" t="str">
        <f>"201807051910"</f>
        <v>201807051910</v>
      </c>
      <c r="F176" t="str">
        <f>"ACCT#0201855301 / 070118"</f>
        <v>ACCT#0201855301 / 070118</v>
      </c>
      <c r="G176" s="3">
        <v>31.08</v>
      </c>
      <c r="H176" t="str">
        <f>"ACCT#0201855301 / 070118"</f>
        <v>ACCT#0201855301 / 070118</v>
      </c>
    </row>
    <row r="177" spans="1:8" x14ac:dyDescent="0.25">
      <c r="E177" t="str">
        <f>"201807051911"</f>
        <v>201807051911</v>
      </c>
      <c r="F177" t="str">
        <f>"ACCT#0201891401 / 07012018"</f>
        <v>ACCT#0201891401 / 07012018</v>
      </c>
      <c r="G177" s="3">
        <v>44.62</v>
      </c>
      <c r="H177" t="str">
        <f>"ACCT#0201891401 / 07012018"</f>
        <v>ACCT#0201891401 / 07012018</v>
      </c>
    </row>
    <row r="178" spans="1:8" x14ac:dyDescent="0.25">
      <c r="E178" t="str">
        <f>"201807051912"</f>
        <v>201807051912</v>
      </c>
      <c r="F178" t="str">
        <f>"ACCT#0400785803 / 07012018"</f>
        <v>ACCT#0400785803 / 07012018</v>
      </c>
      <c r="G178" s="3">
        <v>431.83</v>
      </c>
      <c r="H178" t="str">
        <f>"ACCT#0400785803 / 07012018"</f>
        <v>ACCT#0400785803 / 07012018</v>
      </c>
    </row>
    <row r="179" spans="1:8" x14ac:dyDescent="0.25">
      <c r="E179" t="str">
        <f>"201807051913"</f>
        <v>201807051913</v>
      </c>
      <c r="F179" t="str">
        <f>"ACCT#0401408501 / 07012018"</f>
        <v>ACCT#0401408501 / 07012018</v>
      </c>
      <c r="G179" s="3">
        <v>845.56</v>
      </c>
      <c r="H179" t="str">
        <f>"ACCT#0401408501 / 07012018"</f>
        <v>ACCT#0401408501 / 07012018</v>
      </c>
    </row>
    <row r="180" spans="1:8" x14ac:dyDescent="0.25">
      <c r="E180" t="str">
        <f>"201807051914"</f>
        <v>201807051914</v>
      </c>
      <c r="F180" t="str">
        <f>"ACCT#0800042801 / 07012018"</f>
        <v>ACCT#0800042801 / 07012018</v>
      </c>
      <c r="G180" s="3">
        <v>40.369999999999997</v>
      </c>
      <c r="H180" t="str">
        <f>"ACCT#0800042801 / 07012018"</f>
        <v>ACCT#0800042801 / 07012018</v>
      </c>
    </row>
    <row r="181" spans="1:8" x14ac:dyDescent="0.25">
      <c r="A181" t="s">
        <v>63</v>
      </c>
      <c r="B181">
        <v>77658</v>
      </c>
      <c r="C181" s="2">
        <v>153.75</v>
      </c>
      <c r="D181" s="1">
        <v>43304</v>
      </c>
      <c r="E181" t="str">
        <f>"201807122189"</f>
        <v>201807122189</v>
      </c>
      <c r="F181" t="str">
        <f>"ACCT#7700010025/5LDS WTR/06/18"</f>
        <v>ACCT#7700010025/5LDS WTR/06/18</v>
      </c>
      <c r="G181" s="3">
        <v>51.25</v>
      </c>
      <c r="H181" t="str">
        <f>"ACCT#7700010025/5LDS WTR/06/18"</f>
        <v>ACCT#7700010025/5LDS WTR/06/18</v>
      </c>
    </row>
    <row r="182" spans="1:8" x14ac:dyDescent="0.25">
      <c r="E182" t="str">
        <f>"201807172243"</f>
        <v>201807172243</v>
      </c>
      <c r="F182" t="str">
        <f>"ACCT#7700010027/10 LDS WATER"</f>
        <v>ACCT#7700010027/10 LDS WATER</v>
      </c>
      <c r="G182" s="3">
        <v>102.5</v>
      </c>
      <c r="H182" t="str">
        <f>"ACCT#7700010027/10 LDS WATER"</f>
        <v>ACCT#7700010027/10 LDS WATER</v>
      </c>
    </row>
    <row r="183" spans="1:8" x14ac:dyDescent="0.25">
      <c r="A183" t="s">
        <v>64</v>
      </c>
      <c r="B183">
        <v>77434</v>
      </c>
      <c r="C183" s="2">
        <v>8500</v>
      </c>
      <c r="D183" s="1">
        <v>43290</v>
      </c>
      <c r="E183" t="str">
        <f>"1814.01"</f>
        <v>1814.01</v>
      </c>
      <c r="F183" t="str">
        <f>"ARCHITEXAS - ARCHITECTURE  PLA"</f>
        <v>ARCHITEXAS - ARCHITECTURE  PLA</v>
      </c>
      <c r="G183" s="3">
        <v>8500</v>
      </c>
      <c r="H183" t="str">
        <f>"Historical Dev"</f>
        <v>Historical Dev</v>
      </c>
    </row>
    <row r="184" spans="1:8" x14ac:dyDescent="0.25">
      <c r="E184" t="str">
        <f>""</f>
        <v/>
      </c>
      <c r="F184" t="str">
        <f>""</f>
        <v/>
      </c>
      <c r="H184" t="str">
        <f>"Existing Condition"</f>
        <v>Existing Condition</v>
      </c>
    </row>
    <row r="185" spans="1:8" x14ac:dyDescent="0.25">
      <c r="A185" t="s">
        <v>65</v>
      </c>
      <c r="B185">
        <v>999999</v>
      </c>
      <c r="C185" s="2">
        <v>13411.25</v>
      </c>
      <c r="D185" s="1">
        <v>43305</v>
      </c>
      <c r="E185" t="str">
        <f>"14704"</f>
        <v>14704</v>
      </c>
      <c r="F185" t="str">
        <f>"PROJ:BC JUNE ADV"</f>
        <v>PROJ:BC JUNE ADV</v>
      </c>
      <c r="G185" s="3">
        <v>12261.25</v>
      </c>
      <c r="H185" t="str">
        <f>"PROJ:BC JUNE ADV"</f>
        <v>PROJ:BC JUNE ADV</v>
      </c>
    </row>
    <row r="186" spans="1:8" x14ac:dyDescent="0.25">
      <c r="E186" t="str">
        <f>"14705"</f>
        <v>14705</v>
      </c>
      <c r="F186" t="str">
        <f>"PROJ:PRO/SERV JUNE ADV"</f>
        <v>PROJ:PRO/SERV JUNE ADV</v>
      </c>
      <c r="G186" s="3">
        <v>1150</v>
      </c>
      <c r="H186" t="str">
        <f>"PROJ:PRO/SERV JUNE ADV"</f>
        <v>PROJ:PRO/SERV JUNE ADV</v>
      </c>
    </row>
    <row r="187" spans="1:8" x14ac:dyDescent="0.25">
      <c r="A187" t="s">
        <v>66</v>
      </c>
      <c r="B187">
        <v>77435</v>
      </c>
      <c r="C187" s="2">
        <v>5022.6000000000004</v>
      </c>
      <c r="D187" s="1">
        <v>43290</v>
      </c>
      <c r="E187" t="str">
        <f>"201807031788"</f>
        <v>201807031788</v>
      </c>
      <c r="F187" t="str">
        <f>"ACCT#512A49-0048 193 3"</f>
        <v>ACCT#512A49-0048 193 3</v>
      </c>
      <c r="G187" s="3">
        <v>4460.68</v>
      </c>
      <c r="H187" t="str">
        <f>"ACCT#512A49-0048 193 3"</f>
        <v>ACCT#512A49-0048 193 3</v>
      </c>
    </row>
    <row r="188" spans="1:8" x14ac:dyDescent="0.25">
      <c r="E188" t="str">
        <f>""</f>
        <v/>
      </c>
      <c r="F188" t="str">
        <f>""</f>
        <v/>
      </c>
      <c r="H188" t="str">
        <f>"ACCT#512A49-0048 193 3"</f>
        <v>ACCT#512A49-0048 193 3</v>
      </c>
    </row>
    <row r="189" spans="1:8" x14ac:dyDescent="0.25">
      <c r="E189" t="str">
        <f>"201807031790"</f>
        <v>201807031790</v>
      </c>
      <c r="F189" t="str">
        <f>"ACCT#512A49-0048 193 3"</f>
        <v>ACCT#512A49-0048 193 3</v>
      </c>
      <c r="G189" s="3">
        <v>244.89</v>
      </c>
      <c r="H189" t="str">
        <f>"ACCT#512A49-0048 193 3"</f>
        <v>ACCT#512A49-0048 193 3</v>
      </c>
    </row>
    <row r="190" spans="1:8" x14ac:dyDescent="0.25">
      <c r="E190" t="str">
        <f>"201807031791"</f>
        <v>201807031791</v>
      </c>
      <c r="F190" t="str">
        <f>"ACCT#512A49-0048 193 3"</f>
        <v>ACCT#512A49-0048 193 3</v>
      </c>
      <c r="G190" s="3">
        <v>181.22</v>
      </c>
      <c r="H190" t="str">
        <f>"ACCT#512A49-0048 193 3"</f>
        <v>ACCT#512A49-0048 193 3</v>
      </c>
    </row>
    <row r="191" spans="1:8" x14ac:dyDescent="0.25">
      <c r="E191" t="str">
        <f>"201807031792"</f>
        <v>201807031792</v>
      </c>
      <c r="F191" t="str">
        <f>"ACCT#512A49-0048 193 3"</f>
        <v>ACCT#512A49-0048 193 3</v>
      </c>
      <c r="G191" s="3">
        <v>135.81</v>
      </c>
      <c r="H191" t="str">
        <f>"ACCT#512A49-0048 193 3"</f>
        <v>ACCT#512A49-0048 193 3</v>
      </c>
    </row>
    <row r="192" spans="1:8" x14ac:dyDescent="0.25">
      <c r="A192" t="s">
        <v>67</v>
      </c>
      <c r="B192">
        <v>77659</v>
      </c>
      <c r="C192" s="2">
        <v>1799.31</v>
      </c>
      <c r="D192" s="1">
        <v>43304</v>
      </c>
      <c r="E192" t="str">
        <f>"5123031080 238 5"</f>
        <v>5123031080 238 5</v>
      </c>
      <c r="F192" t="str">
        <f>"512-303-1080 238 5"</f>
        <v>512-303-1080 238 5</v>
      </c>
      <c r="G192" s="3">
        <v>1799.31</v>
      </c>
      <c r="H192" t="str">
        <f>"512-303-1080 238 5"</f>
        <v>512-303-1080 238 5</v>
      </c>
    </row>
    <row r="193" spans="1:8" x14ac:dyDescent="0.25">
      <c r="A193" t="s">
        <v>68</v>
      </c>
      <c r="B193">
        <v>77436</v>
      </c>
      <c r="C193" s="2">
        <v>2318.02</v>
      </c>
      <c r="D193" s="1">
        <v>43290</v>
      </c>
      <c r="E193" t="str">
        <f>"13725377"</f>
        <v>13725377</v>
      </c>
      <c r="F193" t="str">
        <f>"INV 13725377"</f>
        <v>INV 13725377</v>
      </c>
      <c r="G193" s="3">
        <v>2318.02</v>
      </c>
      <c r="H193" t="str">
        <f>"INV 13725377"</f>
        <v>INV 13725377</v>
      </c>
    </row>
    <row r="194" spans="1:8" x14ac:dyDescent="0.25">
      <c r="A194" t="s">
        <v>68</v>
      </c>
      <c r="B194">
        <v>77437</v>
      </c>
      <c r="C194" s="2">
        <v>278.54000000000002</v>
      </c>
      <c r="D194" s="1">
        <v>43290</v>
      </c>
      <c r="E194" t="str">
        <f>"287280903541X06202"</f>
        <v>287280903541X06202</v>
      </c>
      <c r="F194" t="str">
        <f>"INV 287280903541X06202018"</f>
        <v>INV 287280903541X06202018</v>
      </c>
      <c r="G194" s="3">
        <v>278.54000000000002</v>
      </c>
      <c r="H194" t="str">
        <f>"INV 287280903541X06202018"</f>
        <v>INV 287280903541X06202018</v>
      </c>
    </row>
    <row r="195" spans="1:8" x14ac:dyDescent="0.25">
      <c r="A195" t="s">
        <v>69</v>
      </c>
      <c r="B195">
        <v>77660</v>
      </c>
      <c r="C195" s="2">
        <v>40.56</v>
      </c>
      <c r="D195" s="1">
        <v>43304</v>
      </c>
      <c r="E195" t="str">
        <f>"192061"</f>
        <v>192061</v>
      </c>
      <c r="F195" t="str">
        <f>"INV 192061"</f>
        <v>INV 192061</v>
      </c>
      <c r="G195" s="3">
        <v>40.56</v>
      </c>
      <c r="H195" t="str">
        <f>"INV 192061"</f>
        <v>INV 192061</v>
      </c>
    </row>
    <row r="196" spans="1:8" x14ac:dyDescent="0.25">
      <c r="A196" t="s">
        <v>70</v>
      </c>
      <c r="B196">
        <v>77661</v>
      </c>
      <c r="C196" s="2">
        <v>40.92</v>
      </c>
      <c r="D196" s="1">
        <v>43304</v>
      </c>
      <c r="E196" t="str">
        <f>"91835"</f>
        <v>91835</v>
      </c>
      <c r="F196" t="str">
        <f>"WORK ORD#15464/QUICK COUPLING"</f>
        <v>WORK ORD#15464/QUICK COUPLING</v>
      </c>
      <c r="G196" s="3">
        <v>40.92</v>
      </c>
      <c r="H196" t="str">
        <f>"WORK ORD#15464/QUICK COUPLING"</f>
        <v>WORK ORD#15464/QUICK COUPLING</v>
      </c>
    </row>
    <row r="197" spans="1:8" x14ac:dyDescent="0.25">
      <c r="A197" t="s">
        <v>71</v>
      </c>
      <c r="B197">
        <v>999999</v>
      </c>
      <c r="C197" s="2">
        <v>436.32</v>
      </c>
      <c r="D197" s="1">
        <v>43291</v>
      </c>
      <c r="E197" t="str">
        <f>"100370345-06072018"</f>
        <v>100370345-06072018</v>
      </c>
      <c r="F197" t="str">
        <f>"Ad# 370345"</f>
        <v>Ad# 370345</v>
      </c>
      <c r="G197" s="3">
        <v>380.16</v>
      </c>
      <c r="H197" t="str">
        <f>"Ad# 370345"</f>
        <v>Ad# 370345</v>
      </c>
    </row>
    <row r="198" spans="1:8" x14ac:dyDescent="0.25">
      <c r="E198" t="str">
        <f>"372123"</f>
        <v>372123</v>
      </c>
      <c r="F198" t="str">
        <f>"AD# 372123"</f>
        <v>AD# 372123</v>
      </c>
      <c r="G198" s="3">
        <v>56.16</v>
      </c>
      <c r="H198" t="str">
        <f>"AD# 372123"</f>
        <v>AD# 372123</v>
      </c>
    </row>
    <row r="199" spans="1:8" x14ac:dyDescent="0.25">
      <c r="A199" t="s">
        <v>72</v>
      </c>
      <c r="B199">
        <v>77662</v>
      </c>
      <c r="C199" s="2">
        <v>1032.8499999999999</v>
      </c>
      <c r="D199" s="1">
        <v>43304</v>
      </c>
      <c r="E199" t="str">
        <f>"201807182359"</f>
        <v>201807182359</v>
      </c>
      <c r="F199" t="str">
        <f>"INDIGENT HEALTH"</f>
        <v>INDIGENT HEALTH</v>
      </c>
      <c r="G199" s="3">
        <v>1032.8499999999999</v>
      </c>
      <c r="H199" t="str">
        <f>"INDIGENT HEALTH"</f>
        <v>INDIGENT HEALTH</v>
      </c>
    </row>
    <row r="200" spans="1:8" x14ac:dyDescent="0.25">
      <c r="E200" t="str">
        <f>""</f>
        <v/>
      </c>
      <c r="F200" t="str">
        <f>""</f>
        <v/>
      </c>
      <c r="H200" t="str">
        <f>"INDIGENT HEALTH"</f>
        <v>INDIGENT HEALTH</v>
      </c>
    </row>
    <row r="201" spans="1:8" x14ac:dyDescent="0.25">
      <c r="A201" t="s">
        <v>73</v>
      </c>
      <c r="B201">
        <v>77663</v>
      </c>
      <c r="C201" s="2">
        <v>121.75</v>
      </c>
      <c r="D201" s="1">
        <v>43304</v>
      </c>
      <c r="E201" t="str">
        <f>"201807182360"</f>
        <v>201807182360</v>
      </c>
      <c r="F201" t="str">
        <f>"INDIGENT HEALTH"</f>
        <v>INDIGENT HEALTH</v>
      </c>
      <c r="G201" s="3">
        <v>121.75</v>
      </c>
      <c r="H201" t="str">
        <f>"INDIGENT HEALTH"</f>
        <v>INDIGENT HEALTH</v>
      </c>
    </row>
    <row r="202" spans="1:8" x14ac:dyDescent="0.25">
      <c r="E202" t="str">
        <f>""</f>
        <v/>
      </c>
      <c r="F202" t="str">
        <f>""</f>
        <v/>
      </c>
      <c r="H202" t="str">
        <f>"INDIGENT HEALTH"</f>
        <v>INDIGENT HEALTH</v>
      </c>
    </row>
    <row r="203" spans="1:8" x14ac:dyDescent="0.25">
      <c r="A203" t="s">
        <v>74</v>
      </c>
      <c r="B203">
        <v>77664</v>
      </c>
      <c r="C203" s="2">
        <v>915</v>
      </c>
      <c r="D203" s="1">
        <v>43304</v>
      </c>
      <c r="E203" t="str">
        <f>"0609180"</f>
        <v>0609180</v>
      </c>
      <c r="F203" t="str">
        <f>"ASBESTOS SURVEY/ANIMAL SHELTER"</f>
        <v>ASBESTOS SURVEY/ANIMAL SHELTER</v>
      </c>
      <c r="G203" s="3">
        <v>915</v>
      </c>
      <c r="H203" t="str">
        <f>"ASBESTOS SURVEY/ANIMAL SHELTER"</f>
        <v>ASBESTOS SURVEY/ANIMAL SHELTER</v>
      </c>
    </row>
    <row r="204" spans="1:8" x14ac:dyDescent="0.25">
      <c r="A204" t="s">
        <v>75</v>
      </c>
      <c r="B204">
        <v>999999</v>
      </c>
      <c r="C204" s="2">
        <v>781.29</v>
      </c>
      <c r="D204" s="1">
        <v>43291</v>
      </c>
      <c r="E204" t="str">
        <f>"201807051890"</f>
        <v>201807051890</v>
      </c>
      <c r="F204" t="str">
        <f>"INDIGENT HEALTH"</f>
        <v>INDIGENT HEALTH</v>
      </c>
      <c r="G204" s="3">
        <v>781.29</v>
      </c>
      <c r="H204" t="str">
        <f>"INDIGENT HEALTH"</f>
        <v>INDIGENT HEALTH</v>
      </c>
    </row>
    <row r="205" spans="1:8" x14ac:dyDescent="0.25">
      <c r="A205" t="s">
        <v>76</v>
      </c>
      <c r="B205">
        <v>77438</v>
      </c>
      <c r="C205" s="2">
        <v>717.24</v>
      </c>
      <c r="D205" s="1">
        <v>43290</v>
      </c>
      <c r="E205" t="str">
        <f>"201807051891"</f>
        <v>201807051891</v>
      </c>
      <c r="F205" t="str">
        <f>"INDIGENT HEALTH"</f>
        <v>INDIGENT HEALTH</v>
      </c>
      <c r="G205" s="3">
        <v>717.24</v>
      </c>
      <c r="H205" t="str">
        <f>"INDIGENT HEALTH"</f>
        <v>INDIGENT HEALTH</v>
      </c>
    </row>
    <row r="206" spans="1:8" x14ac:dyDescent="0.25">
      <c r="A206" t="s">
        <v>76</v>
      </c>
      <c r="B206">
        <v>77665</v>
      </c>
      <c r="C206" s="2">
        <v>71.930000000000007</v>
      </c>
      <c r="D206" s="1">
        <v>43304</v>
      </c>
      <c r="E206" t="str">
        <f>"201807182361"</f>
        <v>201807182361</v>
      </c>
      <c r="F206" t="str">
        <f>"INDIGENT HEALTH"</f>
        <v>INDIGENT HEALTH</v>
      </c>
      <c r="G206" s="3">
        <v>71.930000000000007</v>
      </c>
      <c r="H206" t="str">
        <f>"INDIGENT HEALTH"</f>
        <v>INDIGENT HEALTH</v>
      </c>
    </row>
    <row r="207" spans="1:8" x14ac:dyDescent="0.25">
      <c r="A207" t="s">
        <v>77</v>
      </c>
      <c r="B207">
        <v>77666</v>
      </c>
      <c r="C207" s="2">
        <v>1430.77</v>
      </c>
      <c r="D207" s="1">
        <v>43304</v>
      </c>
      <c r="E207" t="str">
        <f>"0003"</f>
        <v>0003</v>
      </c>
      <c r="F207" t="str">
        <f>"HARVEY DOCUMENTATION/MILEAGE"</f>
        <v>HARVEY DOCUMENTATION/MILEAGE</v>
      </c>
      <c r="G207" s="3">
        <v>1199.9000000000001</v>
      </c>
      <c r="H207" t="str">
        <f>"HARVEY DOCUMENTATION/MILEAGE"</f>
        <v>HARVEY DOCUMENTATION/MILEAGE</v>
      </c>
    </row>
    <row r="208" spans="1:8" x14ac:dyDescent="0.25">
      <c r="E208" t="str">
        <f>"201807102157"</f>
        <v>201807102157</v>
      </c>
      <c r="F208" t="str">
        <f>"DEBRIS LOAD INSPECTOR/MILEAGE"</f>
        <v>DEBRIS LOAD INSPECTOR/MILEAGE</v>
      </c>
      <c r="G208" s="3">
        <v>230.87</v>
      </c>
      <c r="H208" t="str">
        <f>"DEBRIS LOAD INSPECTOR/MILEAGE"</f>
        <v>DEBRIS LOAD INSPECTOR/MILEAGE</v>
      </c>
    </row>
    <row r="209" spans="1:8" x14ac:dyDescent="0.25">
      <c r="A209" t="s">
        <v>78</v>
      </c>
      <c r="B209">
        <v>77439</v>
      </c>
      <c r="C209" s="2">
        <v>286.95</v>
      </c>
      <c r="D209" s="1">
        <v>43290</v>
      </c>
      <c r="E209" t="str">
        <f>"245524"</f>
        <v>245524</v>
      </c>
      <c r="F209" t="str">
        <f>"PARTS/PCT#4"</f>
        <v>PARTS/PCT#4</v>
      </c>
      <c r="G209" s="3">
        <v>286.95</v>
      </c>
      <c r="H209" t="str">
        <f>"PARTS/PCT#4"</f>
        <v>PARTS/PCT#4</v>
      </c>
    </row>
    <row r="210" spans="1:8" x14ac:dyDescent="0.25">
      <c r="A210" t="s">
        <v>79</v>
      </c>
      <c r="B210">
        <v>77440</v>
      </c>
      <c r="C210" s="2">
        <v>456.83</v>
      </c>
      <c r="D210" s="1">
        <v>43290</v>
      </c>
      <c r="E210" t="str">
        <f>"201807051892"</f>
        <v>201807051892</v>
      </c>
      <c r="F210" t="str">
        <f>"INDIGENT HEALTH"</f>
        <v>INDIGENT HEALTH</v>
      </c>
      <c r="G210" s="3">
        <v>456.83</v>
      </c>
      <c r="H210" t="str">
        <f>"INDIGENT HEALTH"</f>
        <v>INDIGENT HEALTH</v>
      </c>
    </row>
    <row r="211" spans="1:8" x14ac:dyDescent="0.25">
      <c r="E211" t="str">
        <f>""</f>
        <v/>
      </c>
      <c r="F211" t="str">
        <f>""</f>
        <v/>
      </c>
      <c r="H211" t="str">
        <f>"INDIGENT HEALTH"</f>
        <v>INDIGENT HEALTH</v>
      </c>
    </row>
    <row r="212" spans="1:8" x14ac:dyDescent="0.25">
      <c r="A212" t="s">
        <v>79</v>
      </c>
      <c r="B212">
        <v>77667</v>
      </c>
      <c r="C212" s="2">
        <v>159.58000000000001</v>
      </c>
      <c r="D212" s="1">
        <v>43304</v>
      </c>
      <c r="E212" t="str">
        <f>"201807182362"</f>
        <v>201807182362</v>
      </c>
      <c r="F212" t="str">
        <f>"INDIGENT HEALTH"</f>
        <v>INDIGENT HEALTH</v>
      </c>
      <c r="G212" s="3">
        <v>159.58000000000001</v>
      </c>
      <c r="H212" t="str">
        <f>"INDIGENT HEALTH"</f>
        <v>INDIGENT HEALTH</v>
      </c>
    </row>
    <row r="213" spans="1:8" x14ac:dyDescent="0.25">
      <c r="E213" t="str">
        <f>""</f>
        <v/>
      </c>
      <c r="F213" t="str">
        <f>""</f>
        <v/>
      </c>
      <c r="H213" t="str">
        <f>"INDIGENT HEALTH"</f>
        <v>INDIGENT HEALTH</v>
      </c>
    </row>
    <row r="214" spans="1:8" x14ac:dyDescent="0.25">
      <c r="A214" t="s">
        <v>80</v>
      </c>
      <c r="B214">
        <v>77441</v>
      </c>
      <c r="C214" s="2">
        <v>289.04000000000002</v>
      </c>
      <c r="D214" s="1">
        <v>43290</v>
      </c>
      <c r="E214" t="str">
        <f>"201807051893"</f>
        <v>201807051893</v>
      </c>
      <c r="F214" t="str">
        <f>"INDIGENT HEALTH"</f>
        <v>INDIGENT HEALTH</v>
      </c>
      <c r="G214" s="3">
        <v>289.04000000000002</v>
      </c>
      <c r="H214" t="str">
        <f>"INDIGENT HEALTH"</f>
        <v>INDIGENT HEALTH</v>
      </c>
    </row>
    <row r="215" spans="1:8" x14ac:dyDescent="0.25">
      <c r="A215" t="s">
        <v>81</v>
      </c>
      <c r="B215">
        <v>77668</v>
      </c>
      <c r="C215" s="2">
        <v>52</v>
      </c>
      <c r="D215" s="1">
        <v>43304</v>
      </c>
      <c r="E215" t="str">
        <f>"206972"</f>
        <v>206972</v>
      </c>
      <c r="F215" t="str">
        <f>"TIP FEE FOR AUSTIN/PCT#1"</f>
        <v>TIP FEE FOR AUSTIN/PCT#1</v>
      </c>
      <c r="G215" s="3">
        <v>52</v>
      </c>
      <c r="H215" t="str">
        <f>"TIP FEE FOR AUSTIN/PCT#1"</f>
        <v>TIP FEE FOR AUSTIN/PCT#1</v>
      </c>
    </row>
    <row r="216" spans="1:8" x14ac:dyDescent="0.25">
      <c r="A216" t="s">
        <v>82</v>
      </c>
      <c r="B216">
        <v>999999</v>
      </c>
      <c r="C216" s="2">
        <v>4542.88</v>
      </c>
      <c r="D216" s="1">
        <v>43305</v>
      </c>
      <c r="E216" t="str">
        <f>"628"</f>
        <v>628</v>
      </c>
      <c r="F216" t="str">
        <f>"Re: B-Greener Quote/Tank"</f>
        <v>Re: B-Greener Quote/Tank</v>
      </c>
      <c r="G216" s="3">
        <v>4542.88</v>
      </c>
      <c r="H216" t="str">
        <f>"130 gallons B-SOLVED"</f>
        <v>130 gallons B-SOLVED</v>
      </c>
    </row>
    <row r="217" spans="1:8" x14ac:dyDescent="0.25">
      <c r="E217" t="str">
        <f>""</f>
        <v/>
      </c>
      <c r="F217" t="str">
        <f>""</f>
        <v/>
      </c>
      <c r="H217" t="str">
        <f>"R20 gallons NO-B"</f>
        <v>R20 gallons NO-B</v>
      </c>
    </row>
    <row r="218" spans="1:8" x14ac:dyDescent="0.25">
      <c r="E218" t="str">
        <f>""</f>
        <v/>
      </c>
      <c r="F218" t="str">
        <f>""</f>
        <v/>
      </c>
      <c r="H218" t="str">
        <f>"RSHIPPING"</f>
        <v>RSHIPPING</v>
      </c>
    </row>
    <row r="219" spans="1:8" x14ac:dyDescent="0.25">
      <c r="E219" t="str">
        <f>""</f>
        <v/>
      </c>
      <c r="F219" t="str">
        <f>""</f>
        <v/>
      </c>
      <c r="H219" t="str">
        <f>"CONSULTATION (BETH)"</f>
        <v>CONSULTATION (BETH)</v>
      </c>
    </row>
    <row r="220" spans="1:8" x14ac:dyDescent="0.25">
      <c r="E220" t="str">
        <f>""</f>
        <v/>
      </c>
      <c r="F220" t="str">
        <f>""</f>
        <v/>
      </c>
      <c r="H220" t="str">
        <f>"RCONSULTTION (ASST.)"</f>
        <v>RCONSULTTION (ASST.)</v>
      </c>
    </row>
    <row r="221" spans="1:8" x14ac:dyDescent="0.25">
      <c r="E221" t="str">
        <f>""</f>
        <v/>
      </c>
      <c r="F221" t="str">
        <f>""</f>
        <v/>
      </c>
      <c r="H221" t="str">
        <f>"RINITIAL INSTPECTION"</f>
        <v>RINITIAL INSTPECTION</v>
      </c>
    </row>
    <row r="222" spans="1:8" x14ac:dyDescent="0.25">
      <c r="A222" t="s">
        <v>83</v>
      </c>
      <c r="B222">
        <v>77442</v>
      </c>
      <c r="C222" s="2">
        <v>1932.32</v>
      </c>
      <c r="D222" s="1">
        <v>43290</v>
      </c>
      <c r="E222" t="str">
        <f>"201807021772"</f>
        <v>201807021772</v>
      </c>
      <c r="F222" t="str">
        <f>"INV#351299/351452/351638/#0008"</f>
        <v>INV#351299/351452/351638/#0008</v>
      </c>
      <c r="G222" s="3">
        <v>666.86</v>
      </c>
      <c r="H222" t="str">
        <f>"INV#351299/351452/351638/#0008"</f>
        <v>INV#351299/351452/351638/#0008</v>
      </c>
    </row>
    <row r="223" spans="1:8" x14ac:dyDescent="0.25">
      <c r="E223" t="str">
        <f>"201807021775"</f>
        <v>201807021775</v>
      </c>
      <c r="F223" t="str">
        <f>"INV#351289/351510/351537/0010"</f>
        <v>INV#351289/351510/351537/0010</v>
      </c>
      <c r="G223" s="3">
        <v>219</v>
      </c>
      <c r="H223" t="str">
        <f>"INV#351289/351510/351537/0010"</f>
        <v>INV#351289/351510/351537/0010</v>
      </c>
    </row>
    <row r="224" spans="1:8" x14ac:dyDescent="0.25">
      <c r="E224" t="str">
        <f>"351184/351281"</f>
        <v>351184/351281</v>
      </c>
      <c r="F224" t="str">
        <f>"2009 DODGE/GEN SVCS"</f>
        <v>2009 DODGE/GEN SVCS</v>
      </c>
      <c r="G224" s="3">
        <v>221.49</v>
      </c>
      <c r="H224" t="str">
        <f>"2009 DODGE/GEN SVCS"</f>
        <v>2009 DODGE/GEN SVCS</v>
      </c>
    </row>
    <row r="225" spans="1:9" x14ac:dyDescent="0.25">
      <c r="E225" t="str">
        <f>"351521/351777"</f>
        <v>351521/351777</v>
      </c>
      <c r="F225" t="str">
        <f>"CUST ID:0009/PCT#1"</f>
        <v>CUST ID:0009/PCT#1</v>
      </c>
      <c r="G225" s="3">
        <v>153</v>
      </c>
      <c r="H225" t="str">
        <f>"CUST ID:0009/PCT#1"</f>
        <v>CUST ID:0009/PCT#1</v>
      </c>
    </row>
    <row r="226" spans="1:9" x14ac:dyDescent="0.25">
      <c r="E226" t="str">
        <f>""</f>
        <v/>
      </c>
      <c r="F226" t="str">
        <f>""</f>
        <v/>
      </c>
      <c r="H226" t="str">
        <f>"CUST ID:0009/PCT#1"</f>
        <v>CUST ID:0009/PCT#1</v>
      </c>
    </row>
    <row r="227" spans="1:9" x14ac:dyDescent="0.25">
      <c r="E227" t="str">
        <f>"351799/351857"</f>
        <v>351799/351857</v>
      </c>
      <c r="F227" t="str">
        <f>"CUST ID:0024/PCT#4"</f>
        <v>CUST ID:0024/PCT#4</v>
      </c>
      <c r="G227" s="3">
        <v>671.97</v>
      </c>
      <c r="H227" t="str">
        <f>"CUST ID:0024/PCT#4"</f>
        <v>CUST ID:0024/PCT#4</v>
      </c>
    </row>
    <row r="228" spans="1:9" x14ac:dyDescent="0.25">
      <c r="A228" t="s">
        <v>84</v>
      </c>
      <c r="B228">
        <v>77443</v>
      </c>
      <c r="C228" s="2">
        <v>95.04</v>
      </c>
      <c r="D228" s="1">
        <v>43290</v>
      </c>
      <c r="E228" t="str">
        <f>"0000372990-01"</f>
        <v>0000372990-01</v>
      </c>
      <c r="F228" t="str">
        <f>"GRAND JUNCTION NEWSPAPERS  INC"</f>
        <v>GRAND JUNCTION NEWSPAPERS  INC</v>
      </c>
      <c r="G228" s="3">
        <v>95.04</v>
      </c>
      <c r="H228" t="str">
        <f>"JUNE 2018 AUCTION"</f>
        <v>JUNE 2018 AUCTION</v>
      </c>
    </row>
    <row r="229" spans="1:9" x14ac:dyDescent="0.25">
      <c r="A229" t="s">
        <v>85</v>
      </c>
      <c r="B229">
        <v>77444</v>
      </c>
      <c r="C229" s="2">
        <v>6350</v>
      </c>
      <c r="D229" s="1">
        <v>43290</v>
      </c>
      <c r="E229" t="str">
        <f>"15436"</f>
        <v>15436</v>
      </c>
      <c r="F229" t="str">
        <f>"BASTROP AIR CONDITIONING &amp; HEA"</f>
        <v>BASTROP AIR CONDITIONING &amp; HEA</v>
      </c>
      <c r="G229" s="3">
        <v>6350</v>
      </c>
      <c r="H229" t="str">
        <f>"Air Conditioner"</f>
        <v>Air Conditioner</v>
      </c>
    </row>
    <row r="230" spans="1:9" x14ac:dyDescent="0.25">
      <c r="A230" t="s">
        <v>86</v>
      </c>
      <c r="B230">
        <v>77445</v>
      </c>
      <c r="C230" s="2">
        <v>456.95</v>
      </c>
      <c r="D230" s="1">
        <v>43290</v>
      </c>
      <c r="E230" t="str">
        <f>"201807031878"</f>
        <v>201807031878</v>
      </c>
      <c r="F230" t="str">
        <f>"ONLINE BID PAYMENT"</f>
        <v>ONLINE BID PAYMENT</v>
      </c>
      <c r="G230" s="3">
        <v>456.95</v>
      </c>
      <c r="H230" t="str">
        <f>"ONLINE BID PAYMENT"</f>
        <v>ONLINE BID PAYMENT</v>
      </c>
    </row>
    <row r="231" spans="1:9" x14ac:dyDescent="0.25">
      <c r="A231" t="s">
        <v>87</v>
      </c>
      <c r="B231">
        <v>77446</v>
      </c>
      <c r="C231" s="2">
        <v>3150</v>
      </c>
      <c r="D231" s="1">
        <v>43290</v>
      </c>
      <c r="E231" t="str">
        <f>"12525"</f>
        <v>12525</v>
      </c>
      <c r="F231" t="str">
        <f t="shared" ref="F231:F238" si="0">"SERVICE  03/20/18"</f>
        <v>SERVICE  03/20/18</v>
      </c>
      <c r="G231" s="3">
        <v>325</v>
      </c>
      <c r="H231" t="str">
        <f t="shared" ref="H231:H238" si="1">"SERVICE  03/20/18"</f>
        <v>SERVICE  03/20/18</v>
      </c>
    </row>
    <row r="232" spans="1:9" x14ac:dyDescent="0.25">
      <c r="E232" t="str">
        <f>"12565"</f>
        <v>12565</v>
      </c>
      <c r="F232" t="str">
        <f t="shared" si="0"/>
        <v>SERVICE  03/20/18</v>
      </c>
      <c r="G232" s="3">
        <v>325</v>
      </c>
      <c r="H232" t="str">
        <f t="shared" si="1"/>
        <v>SERVICE  03/20/18</v>
      </c>
    </row>
    <row r="233" spans="1:9" x14ac:dyDescent="0.25">
      <c r="E233" t="str">
        <f>"12590"</f>
        <v>12590</v>
      </c>
      <c r="F233" t="str">
        <f t="shared" si="0"/>
        <v>SERVICE  03/20/18</v>
      </c>
      <c r="G233" s="3">
        <v>475</v>
      </c>
      <c r="H233" t="str">
        <f t="shared" si="1"/>
        <v>SERVICE  03/20/18</v>
      </c>
    </row>
    <row r="234" spans="1:9" x14ac:dyDescent="0.25">
      <c r="E234" t="str">
        <f>"12622"</f>
        <v>12622</v>
      </c>
      <c r="F234" t="str">
        <f t="shared" si="0"/>
        <v>SERVICE  03/20/18</v>
      </c>
      <c r="G234" s="3">
        <v>250</v>
      </c>
      <c r="H234" t="str">
        <f t="shared" si="1"/>
        <v>SERVICE  03/20/18</v>
      </c>
    </row>
    <row r="235" spans="1:9" x14ac:dyDescent="0.25">
      <c r="E235" t="str">
        <f>"12642"</f>
        <v>12642</v>
      </c>
      <c r="F235" t="str">
        <f t="shared" si="0"/>
        <v>SERVICE  03/20/18</v>
      </c>
      <c r="G235" s="3">
        <v>400</v>
      </c>
      <c r="H235" t="str">
        <f t="shared" si="1"/>
        <v>SERVICE  03/20/18</v>
      </c>
    </row>
    <row r="236" spans="1:9" x14ac:dyDescent="0.25">
      <c r="E236" t="str">
        <f>"12665"</f>
        <v>12665</v>
      </c>
      <c r="F236" t="str">
        <f t="shared" si="0"/>
        <v>SERVICE  03/20/18</v>
      </c>
      <c r="G236" s="3">
        <v>325</v>
      </c>
      <c r="H236" t="str">
        <f t="shared" si="1"/>
        <v>SERVICE  03/20/18</v>
      </c>
    </row>
    <row r="237" spans="1:9" x14ac:dyDescent="0.25">
      <c r="E237" t="str">
        <f>"12704"</f>
        <v>12704</v>
      </c>
      <c r="F237" t="str">
        <f t="shared" si="0"/>
        <v>SERVICE  03/20/18</v>
      </c>
      <c r="G237" s="3">
        <v>325</v>
      </c>
      <c r="H237" t="str">
        <f t="shared" si="1"/>
        <v>SERVICE  03/20/18</v>
      </c>
    </row>
    <row r="238" spans="1:9" x14ac:dyDescent="0.25">
      <c r="E238" t="str">
        <f>"12714"</f>
        <v>12714</v>
      </c>
      <c r="F238" t="str">
        <f t="shared" si="0"/>
        <v>SERVICE  03/20/18</v>
      </c>
      <c r="G238" s="3">
        <v>325</v>
      </c>
      <c r="H238" t="str">
        <f t="shared" si="1"/>
        <v>SERVICE  03/20/18</v>
      </c>
    </row>
    <row r="239" spans="1:9" x14ac:dyDescent="0.25">
      <c r="E239" t="str">
        <f>"12719"</f>
        <v>12719</v>
      </c>
      <c r="F239" t="str">
        <f>"AD LITEM FEE 03/20/18"</f>
        <v>AD LITEM FEE 03/20/18</v>
      </c>
      <c r="G239" s="3">
        <v>400</v>
      </c>
      <c r="H239" t="str">
        <f>"AD LITEM FEE 03/20/18"</f>
        <v>AD LITEM FEE 03/20/18</v>
      </c>
    </row>
    <row r="240" spans="1:9" x14ac:dyDescent="0.25">
      <c r="A240" t="s">
        <v>87</v>
      </c>
      <c r="B240">
        <v>77669</v>
      </c>
      <c r="C240" s="2">
        <v>2075.11</v>
      </c>
      <c r="D240" s="1">
        <v>43304</v>
      </c>
      <c r="E240" t="s">
        <v>88</v>
      </c>
      <c r="F240" t="s">
        <v>89</v>
      </c>
      <c r="G240" s="3" t="str">
        <f>"SERVICE  03/20/18"</f>
        <v>SERVICE  03/20/18</v>
      </c>
      <c r="H240" t="str">
        <f>"995-4110"</f>
        <v>995-4110</v>
      </c>
      <c r="I240" t="str">
        <f>""</f>
        <v/>
      </c>
    </row>
    <row r="241" spans="1:8" x14ac:dyDescent="0.25">
      <c r="E241" t="str">
        <f>"11566"</f>
        <v>11566</v>
      </c>
      <c r="F241" t="str">
        <f>"SERVICE  03/20/18"</f>
        <v>SERVICE  03/20/18</v>
      </c>
      <c r="G241" s="3">
        <v>166.75</v>
      </c>
      <c r="H241" t="str">
        <f>"SERVICE  03/20/18"</f>
        <v>SERVICE  03/20/18</v>
      </c>
    </row>
    <row r="242" spans="1:8" x14ac:dyDescent="0.25">
      <c r="E242" t="str">
        <f>"12489"</f>
        <v>12489</v>
      </c>
      <c r="F242" t="str">
        <f>"SERVICE  03/20/2018"</f>
        <v>SERVICE  03/20/2018</v>
      </c>
      <c r="G242" s="3">
        <v>200</v>
      </c>
      <c r="H242" t="str">
        <f>"SERVICE  03/20/2018"</f>
        <v>SERVICE  03/20/2018</v>
      </c>
    </row>
    <row r="243" spans="1:8" x14ac:dyDescent="0.25">
      <c r="E243" t="str">
        <f>"12654"</f>
        <v>12654</v>
      </c>
      <c r="F243" t="str">
        <f>"SERVICE  05/03/18"</f>
        <v>SERVICE  05/03/18</v>
      </c>
      <c r="G243" s="3">
        <v>550</v>
      </c>
      <c r="H243" t="str">
        <f>"SERVICE  05/03/18"</f>
        <v>SERVICE  05/03/18</v>
      </c>
    </row>
    <row r="244" spans="1:8" x14ac:dyDescent="0.25">
      <c r="E244" t="str">
        <f>"12725"</f>
        <v>12725</v>
      </c>
      <c r="F244" t="str">
        <f>"SERVICE  03/20/18"</f>
        <v>SERVICE  03/20/18</v>
      </c>
      <c r="G244" s="3">
        <v>325</v>
      </c>
      <c r="H244" t="str">
        <f>"SERVICE  03/20/18"</f>
        <v>SERVICE  03/20/18</v>
      </c>
    </row>
    <row r="245" spans="1:8" x14ac:dyDescent="0.25">
      <c r="E245" t="str">
        <f>"12753"</f>
        <v>12753</v>
      </c>
      <c r="F245" t="str">
        <f>"SERVICE  03/20/18"</f>
        <v>SERVICE  03/20/18</v>
      </c>
      <c r="G245" s="3">
        <v>250</v>
      </c>
      <c r="H245" t="str">
        <f>"SERVICE  03/20/18"</f>
        <v>SERVICE  03/20/18</v>
      </c>
    </row>
    <row r="246" spans="1:8" x14ac:dyDescent="0.25">
      <c r="E246" t="str">
        <f>"12789"</f>
        <v>12789</v>
      </c>
      <c r="F246" t="str">
        <f>"SERVICE  05/04/18"</f>
        <v>SERVICE  05/04/18</v>
      </c>
      <c r="G246" s="3">
        <v>75</v>
      </c>
      <c r="H246" t="str">
        <f>"SERVICE  05/04/18"</f>
        <v>SERVICE  05/04/18</v>
      </c>
    </row>
    <row r="247" spans="1:8" x14ac:dyDescent="0.25">
      <c r="E247" t="str">
        <f>"12849"</f>
        <v>12849</v>
      </c>
      <c r="F247" t="str">
        <f>"SERVICE  05/03/18"</f>
        <v>SERVICE  05/03/18</v>
      </c>
      <c r="G247" s="3">
        <v>75</v>
      </c>
      <c r="H247" t="str">
        <f>"SERVICE  05/03/18"</f>
        <v>SERVICE  05/03/18</v>
      </c>
    </row>
    <row r="248" spans="1:8" x14ac:dyDescent="0.25">
      <c r="E248" t="str">
        <f>"7398  03/20/18"</f>
        <v>7398  03/20/18</v>
      </c>
      <c r="F248" t="str">
        <f>"SERVICE  03/20/18"</f>
        <v>SERVICE  03/20/18</v>
      </c>
      <c r="G248" s="3">
        <v>158.36000000000001</v>
      </c>
      <c r="H248" t="str">
        <f>"SERVICE  03/20/18"</f>
        <v>SERVICE  03/20/18</v>
      </c>
    </row>
    <row r="249" spans="1:8" x14ac:dyDescent="0.25">
      <c r="A249" t="s">
        <v>90</v>
      </c>
      <c r="B249">
        <v>77670</v>
      </c>
      <c r="C249" s="2">
        <v>1429.75</v>
      </c>
      <c r="D249" s="1">
        <v>43304</v>
      </c>
      <c r="E249" t="str">
        <f>"11991"</f>
        <v>11991</v>
      </c>
      <c r="F249" t="str">
        <f>"KYOCERA M2540dw"</f>
        <v>KYOCERA M2540dw</v>
      </c>
      <c r="G249" s="3">
        <v>675</v>
      </c>
      <c r="H249" t="str">
        <f>"KYOCERA M2540dw"</f>
        <v>KYOCERA M2540dw</v>
      </c>
    </row>
    <row r="250" spans="1:8" x14ac:dyDescent="0.25">
      <c r="E250" t="str">
        <f>"201807172254"</f>
        <v>201807172254</v>
      </c>
      <c r="F250" t="str">
        <f>"ACCT#BC01/OFFICE SUPPLIES"</f>
        <v>ACCT#BC01/OFFICE SUPPLIES</v>
      </c>
      <c r="G250" s="3">
        <v>754.75</v>
      </c>
      <c r="H250" t="str">
        <f>"ACCT#BC01/OFFICE SUPPLIES"</f>
        <v>ACCT#BC01/OFFICE SUPPLIES</v>
      </c>
    </row>
    <row r="251" spans="1:8" x14ac:dyDescent="0.25">
      <c r="E251" t="str">
        <f>""</f>
        <v/>
      </c>
      <c r="F251" t="str">
        <f>""</f>
        <v/>
      </c>
      <c r="H251" t="str">
        <f>"ACCT#BC01/OFFICE SUPPLIES"</f>
        <v>ACCT#BC01/OFFICE SUPPLIES</v>
      </c>
    </row>
    <row r="252" spans="1:8" x14ac:dyDescent="0.25">
      <c r="E252" t="str">
        <f>""</f>
        <v/>
      </c>
      <c r="F252" t="str">
        <f>""</f>
        <v/>
      </c>
      <c r="H252" t="str">
        <f>"ACCT#BC01/OFFICE SUPPLIES"</f>
        <v>ACCT#BC01/OFFICE SUPPLIES</v>
      </c>
    </row>
    <row r="253" spans="1:8" x14ac:dyDescent="0.25">
      <c r="E253" t="str">
        <f>""</f>
        <v/>
      </c>
      <c r="F253" t="str">
        <f>""</f>
        <v/>
      </c>
      <c r="H253" t="str">
        <f>"ACCT#BC01/OFFICE SUPPLIES"</f>
        <v>ACCT#BC01/OFFICE SUPPLIES</v>
      </c>
    </row>
    <row r="254" spans="1:8" x14ac:dyDescent="0.25">
      <c r="E254" t="str">
        <f>""</f>
        <v/>
      </c>
      <c r="F254" t="str">
        <f>""</f>
        <v/>
      </c>
      <c r="H254" t="str">
        <f>"ACCT#BC01/OFFICE SUPPLIES"</f>
        <v>ACCT#BC01/OFFICE SUPPLIES</v>
      </c>
    </row>
    <row r="255" spans="1:8" x14ac:dyDescent="0.25">
      <c r="A255" t="s">
        <v>91</v>
      </c>
      <c r="B255">
        <v>999999</v>
      </c>
      <c r="C255" s="2">
        <v>14798.89</v>
      </c>
      <c r="D255" s="1">
        <v>43291</v>
      </c>
      <c r="E255" t="str">
        <f>"201806281732"</f>
        <v>201806281732</v>
      </c>
      <c r="F255" t="str">
        <f>"BASTROP CNTY CARES GRANT REIMB"</f>
        <v>BASTROP CNTY CARES GRANT REIMB</v>
      </c>
      <c r="G255" s="3">
        <v>14798.89</v>
      </c>
      <c r="H255" t="str">
        <f>"BASTROP CNTY CARES GRANT REIMB"</f>
        <v>BASTROP CNTY CARES GRANT REIMB</v>
      </c>
    </row>
    <row r="256" spans="1:8" x14ac:dyDescent="0.25">
      <c r="A256" t="s">
        <v>92</v>
      </c>
      <c r="B256">
        <v>77447</v>
      </c>
      <c r="C256" s="2">
        <v>1223.5899999999999</v>
      </c>
      <c r="D256" s="1">
        <v>43290</v>
      </c>
      <c r="E256" t="str">
        <f>"189"</f>
        <v>189</v>
      </c>
      <c r="F256" t="str">
        <f>"MAY 2018 FUEL USE"</f>
        <v>MAY 2018 FUEL USE</v>
      </c>
      <c r="G256" s="3">
        <v>1223.5899999999999</v>
      </c>
      <c r="H256" t="str">
        <f>"MAY 2018 FUEL USE"</f>
        <v>MAY 2018 FUEL USE</v>
      </c>
    </row>
    <row r="257" spans="1:8" x14ac:dyDescent="0.25">
      <c r="A257" t="s">
        <v>92</v>
      </c>
      <c r="B257">
        <v>77671</v>
      </c>
      <c r="C257" s="2">
        <v>94.21</v>
      </c>
      <c r="D257" s="1">
        <v>43304</v>
      </c>
      <c r="E257" t="str">
        <f>"192"</f>
        <v>192</v>
      </c>
      <c r="F257" t="str">
        <f>"FUEL  ESS/9-1-1 ADDRESSING"</f>
        <v>FUEL  ESS/9-1-1 ADDRESSING</v>
      </c>
      <c r="G257" s="3">
        <v>94.21</v>
      </c>
      <c r="H257" t="str">
        <f>"FUEL  ESS/9-1-1 ADDRESSING"</f>
        <v>FUEL  ESS/9-1-1 ADDRESSING</v>
      </c>
    </row>
    <row r="258" spans="1:8" x14ac:dyDescent="0.25">
      <c r="A258" t="s">
        <v>93</v>
      </c>
      <c r="B258">
        <v>999999</v>
      </c>
      <c r="C258" s="2">
        <v>259.57</v>
      </c>
      <c r="D258" s="1">
        <v>43291</v>
      </c>
      <c r="E258" t="str">
        <f>"201807051894"</f>
        <v>201807051894</v>
      </c>
      <c r="F258" t="str">
        <f>"INDIGENT HEALTH"</f>
        <v>INDIGENT HEALTH</v>
      </c>
      <c r="G258" s="3">
        <v>259.57</v>
      </c>
      <c r="H258" t="str">
        <f>"INDIGENT HEALTH"</f>
        <v>INDIGENT HEALTH</v>
      </c>
    </row>
    <row r="259" spans="1:8" x14ac:dyDescent="0.25">
      <c r="E259" t="str">
        <f>""</f>
        <v/>
      </c>
      <c r="F259" t="str">
        <f>""</f>
        <v/>
      </c>
      <c r="H259" t="str">
        <f>"INDIGENT HEALTH"</f>
        <v>INDIGENT HEALTH</v>
      </c>
    </row>
    <row r="260" spans="1:8" x14ac:dyDescent="0.25">
      <c r="A260" t="s">
        <v>94</v>
      </c>
      <c r="B260">
        <v>77672</v>
      </c>
      <c r="C260" s="2">
        <v>80</v>
      </c>
      <c r="D260" s="1">
        <v>43304</v>
      </c>
      <c r="E260" t="str">
        <f>"6082"</f>
        <v>6082</v>
      </c>
      <c r="F260" t="str">
        <f>"PTO SWITCH/BLADES/GEN SVCS"</f>
        <v>PTO SWITCH/BLADES/GEN SVCS</v>
      </c>
      <c r="G260" s="3">
        <v>80</v>
      </c>
      <c r="H260" t="str">
        <f>"PTO SWITCH/BLADES/GEN SVCS"</f>
        <v>PTO SWITCH/BLADES/GEN SVCS</v>
      </c>
    </row>
    <row r="261" spans="1:8" x14ac:dyDescent="0.25">
      <c r="A261" t="s">
        <v>95</v>
      </c>
      <c r="B261">
        <v>77673</v>
      </c>
      <c r="C261" s="2">
        <v>24.27</v>
      </c>
      <c r="D261" s="1">
        <v>43304</v>
      </c>
      <c r="E261" t="str">
        <f>"201807162229"</f>
        <v>201807162229</v>
      </c>
      <c r="F261" t="str">
        <f>"ARREST FEES 4/1/2018-6/30/2018"</f>
        <v>ARREST FEES 4/1/2018-6/30/2018</v>
      </c>
      <c r="G261" s="3">
        <v>24.27</v>
      </c>
      <c r="H261" t="str">
        <f>"ARREST FEES 4/1/2018-6/30/2018"</f>
        <v>ARREST FEES 4/1/2018-6/30/2018</v>
      </c>
    </row>
    <row r="262" spans="1:8" x14ac:dyDescent="0.25">
      <c r="A262" t="s">
        <v>96</v>
      </c>
      <c r="B262">
        <v>999999</v>
      </c>
      <c r="C262" s="2">
        <v>1040</v>
      </c>
      <c r="D262" s="1">
        <v>43305</v>
      </c>
      <c r="E262" t="str">
        <f>"2018075"</f>
        <v>2018075</v>
      </c>
      <c r="F262" t="str">
        <f>"TRANSPORT-R.A. CONDIE"</f>
        <v>TRANSPORT-R.A. CONDIE</v>
      </c>
      <c r="G262" s="3">
        <v>450</v>
      </c>
      <c r="H262" t="str">
        <f>"TRANSPORT-R.A. CONDIE"</f>
        <v>TRANSPORT-R.A. CONDIE</v>
      </c>
    </row>
    <row r="263" spans="1:8" x14ac:dyDescent="0.25">
      <c r="E263" t="str">
        <f>"2018077"</f>
        <v>2018077</v>
      </c>
      <c r="F263" t="str">
        <f>"TRANSPORT-K. SETTERS"</f>
        <v>TRANSPORT-K. SETTERS</v>
      </c>
      <c r="G263" s="3">
        <v>295</v>
      </c>
      <c r="H263" t="str">
        <f>"TRANSPORT-K. SETTERS"</f>
        <v>TRANSPORT-K. SETTERS</v>
      </c>
    </row>
    <row r="264" spans="1:8" x14ac:dyDescent="0.25">
      <c r="E264" t="str">
        <f>"2018090"</f>
        <v>2018090</v>
      </c>
      <c r="F264" t="str">
        <f>"TRANSPORT-B. OTTO"</f>
        <v>TRANSPORT-B. OTTO</v>
      </c>
      <c r="G264" s="3">
        <v>295</v>
      </c>
      <c r="H264" t="str">
        <f>"TRANSPORT-B. OTTO"</f>
        <v>TRANSPORT-B. OTTO</v>
      </c>
    </row>
    <row r="265" spans="1:8" x14ac:dyDescent="0.25">
      <c r="A265" t="s">
        <v>97</v>
      </c>
      <c r="B265">
        <v>77674</v>
      </c>
      <c r="C265" s="2">
        <v>2400</v>
      </c>
      <c r="D265" s="1">
        <v>43304</v>
      </c>
      <c r="E265" t="str">
        <f>"5255R"</f>
        <v>5255R</v>
      </c>
      <c r="F265" t="str">
        <f>"Dead Oak Shiloh Bridge"</f>
        <v>Dead Oak Shiloh Bridge</v>
      </c>
      <c r="G265" s="3">
        <v>2400</v>
      </c>
      <c r="H265" t="str">
        <f>"Payment"</f>
        <v>Payment</v>
      </c>
    </row>
    <row r="266" spans="1:8" x14ac:dyDescent="0.25">
      <c r="A266" t="s">
        <v>98</v>
      </c>
      <c r="B266">
        <v>999999</v>
      </c>
      <c r="C266" s="2">
        <v>227.5</v>
      </c>
      <c r="D266" s="1">
        <v>43291</v>
      </c>
      <c r="E266" t="str">
        <f>"201807031882"</f>
        <v>201807031882</v>
      </c>
      <c r="F266" t="str">
        <f>"SERVICES FOR JUNE 2018"</f>
        <v>SERVICES FOR JUNE 2018</v>
      </c>
      <c r="G266" s="3">
        <v>227.5</v>
      </c>
      <c r="H266" t="str">
        <f>"SERVICES FOR JUNE 2018"</f>
        <v>SERVICES FOR JUNE 2018</v>
      </c>
    </row>
    <row r="267" spans="1:8" x14ac:dyDescent="0.25">
      <c r="A267" t="s">
        <v>98</v>
      </c>
      <c r="B267">
        <v>999999</v>
      </c>
      <c r="C267" s="2">
        <v>1577.5</v>
      </c>
      <c r="D267" s="1">
        <v>43305</v>
      </c>
      <c r="E267" t="str">
        <f>"JUNE BACKGROUND IN"</f>
        <v>JUNE BACKGROUND IN</v>
      </c>
      <c r="F267" t="str">
        <f>"JUNE BACKGROUND CHECKS"</f>
        <v>JUNE BACKGROUND CHECKS</v>
      </c>
      <c r="G267" s="3">
        <v>1577.5</v>
      </c>
      <c r="H267" t="str">
        <f>"JAIL"</f>
        <v>JAIL</v>
      </c>
    </row>
    <row r="268" spans="1:8" x14ac:dyDescent="0.25">
      <c r="E268" t="str">
        <f>""</f>
        <v/>
      </c>
      <c r="F268" t="str">
        <f>""</f>
        <v/>
      </c>
      <c r="H268" t="str">
        <f>"LE"</f>
        <v>LE</v>
      </c>
    </row>
    <row r="269" spans="1:8" x14ac:dyDescent="0.25">
      <c r="A269" t="s">
        <v>99</v>
      </c>
      <c r="B269">
        <v>77675</v>
      </c>
      <c r="C269" s="2">
        <v>819.99</v>
      </c>
      <c r="D269" s="1">
        <v>43304</v>
      </c>
      <c r="E269" t="str">
        <f>"18-302-094"</f>
        <v>18-302-094</v>
      </c>
      <c r="F269" t="str">
        <f>"INV 18-302-094"</f>
        <v>INV 18-302-094</v>
      </c>
      <c r="G269" s="3">
        <v>444.99</v>
      </c>
      <c r="H269" t="str">
        <f>"INV 18-302-094"</f>
        <v>INV 18-302-094</v>
      </c>
    </row>
    <row r="270" spans="1:8" x14ac:dyDescent="0.25">
      <c r="E270" t="str">
        <f>"18302093-01"</f>
        <v>18302093-01</v>
      </c>
      <c r="F270" t="str">
        <f>"INV 18302093-01"</f>
        <v>INV 18302093-01</v>
      </c>
      <c r="G270" s="3">
        <v>375</v>
      </c>
      <c r="H270" t="str">
        <f>"INV 18302093-01"</f>
        <v>INV 18302093-01</v>
      </c>
    </row>
    <row r="271" spans="1:8" x14ac:dyDescent="0.25">
      <c r="A271" t="s">
        <v>100</v>
      </c>
      <c r="B271">
        <v>77676</v>
      </c>
      <c r="C271" s="2">
        <v>4224.07</v>
      </c>
      <c r="D271" s="1">
        <v>43304</v>
      </c>
      <c r="E271" t="str">
        <f>"FOOD PRODUCTS"</f>
        <v>FOOD PRODUCTS</v>
      </c>
      <c r="F271" t="str">
        <f>"INMATE FOOD"</f>
        <v>INMATE FOOD</v>
      </c>
      <c r="G271" s="3">
        <v>4224.07</v>
      </c>
      <c r="H271" t="str">
        <f>"INV 74725911"</f>
        <v>INV 74725911</v>
      </c>
    </row>
    <row r="272" spans="1:8" x14ac:dyDescent="0.25">
      <c r="E272" t="str">
        <f>""</f>
        <v/>
      </c>
      <c r="F272" t="str">
        <f>""</f>
        <v/>
      </c>
      <c r="H272" t="str">
        <f>"INV 74733413"</f>
        <v>INV 74733413</v>
      </c>
    </row>
    <row r="273" spans="1:8" x14ac:dyDescent="0.25">
      <c r="E273" t="str">
        <f>""</f>
        <v/>
      </c>
      <c r="F273" t="str">
        <f>""</f>
        <v/>
      </c>
      <c r="H273" t="str">
        <f>"INV 74740625"</f>
        <v>INV 74740625</v>
      </c>
    </row>
    <row r="274" spans="1:8" x14ac:dyDescent="0.25">
      <c r="E274" t="str">
        <f>""</f>
        <v/>
      </c>
      <c r="F274" t="str">
        <f>""</f>
        <v/>
      </c>
      <c r="H274" t="str">
        <f>"INV 74740625 - ADJUS"</f>
        <v>INV 74740625 - ADJUS</v>
      </c>
    </row>
    <row r="275" spans="1:8" x14ac:dyDescent="0.25">
      <c r="E275" t="str">
        <f>""</f>
        <v/>
      </c>
      <c r="F275" t="str">
        <f>""</f>
        <v/>
      </c>
      <c r="H275" t="str">
        <f>"INV 74748233"</f>
        <v>INV 74748233</v>
      </c>
    </row>
    <row r="276" spans="1:8" x14ac:dyDescent="0.25">
      <c r="A276" t="s">
        <v>101</v>
      </c>
      <c r="B276">
        <v>77677</v>
      </c>
      <c r="C276" s="2">
        <v>313.52</v>
      </c>
      <c r="D276" s="1">
        <v>43304</v>
      </c>
      <c r="E276" t="str">
        <f>"51401"</f>
        <v>51401</v>
      </c>
      <c r="F276" t="str">
        <f>"CUST#10842/PARTS/PCT#3"</f>
        <v>CUST#10842/PARTS/PCT#3</v>
      </c>
      <c r="G276" s="3">
        <v>313.52</v>
      </c>
      <c r="H276" t="str">
        <f>"CUST#10842/PARTS/PCT#3"</f>
        <v>CUST#10842/PARTS/PCT#3</v>
      </c>
    </row>
    <row r="277" spans="1:8" x14ac:dyDescent="0.25">
      <c r="A277" t="s">
        <v>102</v>
      </c>
      <c r="B277">
        <v>999999</v>
      </c>
      <c r="C277" s="2">
        <v>350</v>
      </c>
      <c r="D277" s="1">
        <v>43305</v>
      </c>
      <c r="E277" t="str">
        <f>"201807172260"</f>
        <v>201807172260</v>
      </c>
      <c r="F277" t="str">
        <f>"REIMBURSE BOND PAYMENT"</f>
        <v>REIMBURSE BOND PAYMENT</v>
      </c>
      <c r="G277" s="3">
        <v>350</v>
      </c>
      <c r="H277" t="str">
        <f>"REIMBURSE BOND PAYMENT"</f>
        <v>REIMBURSE BOND PAYMENT</v>
      </c>
    </row>
    <row r="278" spans="1:8" x14ac:dyDescent="0.25">
      <c r="A278" t="s">
        <v>103</v>
      </c>
      <c r="B278">
        <v>77448</v>
      </c>
      <c r="C278" s="2">
        <v>19.989999999999998</v>
      </c>
      <c r="D278" s="1">
        <v>43290</v>
      </c>
      <c r="E278" t="str">
        <f>"3298891"</f>
        <v>3298891</v>
      </c>
      <c r="F278" t="str">
        <f>"Acct# 01465920180629"</f>
        <v>Acct# 01465920180629</v>
      </c>
      <c r="G278" s="3">
        <v>19.989999999999998</v>
      </c>
      <c r="H278" t="str">
        <f>"Inv# 3298891"</f>
        <v>Inv# 3298891</v>
      </c>
    </row>
    <row r="279" spans="1:8" x14ac:dyDescent="0.25">
      <c r="A279" t="s">
        <v>103</v>
      </c>
      <c r="B279">
        <v>77678</v>
      </c>
      <c r="C279" s="2">
        <v>49.99</v>
      </c>
      <c r="D279" s="1">
        <v>43304</v>
      </c>
      <c r="E279" t="str">
        <f>"3297795"</f>
        <v>3297795</v>
      </c>
      <c r="F279" t="str">
        <f>"Stmt# 01465920180628"</f>
        <v>Stmt# 01465920180628</v>
      </c>
      <c r="G279" s="3">
        <v>49.99</v>
      </c>
      <c r="H279" t="str">
        <f>"Inv# 3297795"</f>
        <v>Inv# 3297795</v>
      </c>
    </row>
    <row r="280" spans="1:8" x14ac:dyDescent="0.25">
      <c r="A280" t="s">
        <v>104</v>
      </c>
      <c r="B280">
        <v>999999</v>
      </c>
      <c r="C280" s="2">
        <v>2933.6</v>
      </c>
      <c r="D280" s="1">
        <v>43291</v>
      </c>
      <c r="E280" t="str">
        <f>"106907"</f>
        <v>106907</v>
      </c>
      <c r="F280" t="str">
        <f>"CLIENT#001309/MATTER#000028"</f>
        <v>CLIENT#001309/MATTER#000028</v>
      </c>
      <c r="G280" s="3">
        <v>2933.6</v>
      </c>
      <c r="H280" t="str">
        <f>"CLIENT#001309/MATTER#000028"</f>
        <v>CLIENT#001309/MATTER#000028</v>
      </c>
    </row>
    <row r="281" spans="1:8" x14ac:dyDescent="0.25">
      <c r="A281" t="s">
        <v>105</v>
      </c>
      <c r="B281">
        <v>999999</v>
      </c>
      <c r="C281" s="2">
        <v>40</v>
      </c>
      <c r="D281" s="1">
        <v>43291</v>
      </c>
      <c r="E281" t="str">
        <f>"36535"</f>
        <v>36535</v>
      </c>
      <c r="F281" t="str">
        <f>"DOT INSPECTION/PCT#3"</f>
        <v>DOT INSPECTION/PCT#3</v>
      </c>
      <c r="G281" s="3">
        <v>40</v>
      </c>
      <c r="H281" t="str">
        <f>"DOT INSPECTION/PCT#3"</f>
        <v>DOT INSPECTION/PCT#3</v>
      </c>
    </row>
    <row r="282" spans="1:8" x14ac:dyDescent="0.25">
      <c r="A282" t="s">
        <v>106</v>
      </c>
      <c r="B282">
        <v>999999</v>
      </c>
      <c r="C282" s="2">
        <v>400</v>
      </c>
      <c r="D282" s="1">
        <v>43291</v>
      </c>
      <c r="E282" t="str">
        <f>"1806"</f>
        <v>1806</v>
      </c>
      <c r="F282" t="str">
        <f>"MOWING MAINT/OEM"</f>
        <v>MOWING MAINT/OEM</v>
      </c>
      <c r="G282" s="3">
        <v>400</v>
      </c>
      <c r="H282" t="str">
        <f>"MOWING MAINT/OEM"</f>
        <v>MOWING MAINT/OEM</v>
      </c>
    </row>
    <row r="283" spans="1:8" x14ac:dyDescent="0.25">
      <c r="A283" t="s">
        <v>107</v>
      </c>
      <c r="B283">
        <v>77449</v>
      </c>
      <c r="C283" s="2">
        <v>643.55999999999995</v>
      </c>
      <c r="D283" s="1">
        <v>43290</v>
      </c>
      <c r="E283" t="str">
        <f>"84078933417/497"</f>
        <v>84078933417/497</v>
      </c>
      <c r="F283" t="str">
        <f>"84078933417/84078933497"</f>
        <v>84078933417/84078933497</v>
      </c>
      <c r="G283" s="3">
        <v>643.55999999999995</v>
      </c>
      <c r="H283" t="str">
        <f>"INV 84078933417"</f>
        <v>INV 84078933417</v>
      </c>
    </row>
    <row r="284" spans="1:8" x14ac:dyDescent="0.25">
      <c r="E284" t="str">
        <f>""</f>
        <v/>
      </c>
      <c r="F284" t="str">
        <f>""</f>
        <v/>
      </c>
      <c r="H284" t="str">
        <f>"INV 84078933497"</f>
        <v>INV 84078933497</v>
      </c>
    </row>
    <row r="285" spans="1:8" x14ac:dyDescent="0.25">
      <c r="A285" t="s">
        <v>107</v>
      </c>
      <c r="B285">
        <v>77679</v>
      </c>
      <c r="C285" s="2">
        <v>544.70000000000005</v>
      </c>
      <c r="D285" s="1">
        <v>43304</v>
      </c>
      <c r="E285" t="str">
        <f>"BREAD FOR JAIL"</f>
        <v>BREAD FOR JAIL</v>
      </c>
      <c r="F285" t="str">
        <f>"BREAD PRODUCTS"</f>
        <v>BREAD PRODUCTS</v>
      </c>
      <c r="G285" s="3">
        <v>544.70000000000005</v>
      </c>
      <c r="H285" t="str">
        <f>"INV 84078933690"</f>
        <v>INV 84078933690</v>
      </c>
    </row>
    <row r="286" spans="1:8" x14ac:dyDescent="0.25">
      <c r="E286" t="str">
        <f>""</f>
        <v/>
      </c>
      <c r="F286" t="str">
        <f>""</f>
        <v/>
      </c>
      <c r="H286" t="str">
        <f>"INV 84078933671"</f>
        <v>INV 84078933671</v>
      </c>
    </row>
    <row r="287" spans="1:8" x14ac:dyDescent="0.25">
      <c r="E287" t="str">
        <f>""</f>
        <v/>
      </c>
      <c r="F287" t="str">
        <f>""</f>
        <v/>
      </c>
      <c r="H287" t="str">
        <f>"INV 84078933579"</f>
        <v>INV 84078933579</v>
      </c>
    </row>
    <row r="288" spans="1:8" x14ac:dyDescent="0.25">
      <c r="A288" t="s">
        <v>108</v>
      </c>
      <c r="B288">
        <v>999999</v>
      </c>
      <c r="C288" s="2">
        <v>700</v>
      </c>
      <c r="D288" s="1">
        <v>43291</v>
      </c>
      <c r="E288" t="str">
        <f>"201807031806"</f>
        <v>201807031806</v>
      </c>
      <c r="F288" t="str">
        <f>"20170527/7RN 925347372XADD1/LE"</f>
        <v>20170527/7RN 925347372XADD1/LE</v>
      </c>
      <c r="G288" s="3">
        <v>250</v>
      </c>
      <c r="H288" t="str">
        <f>"20170527/7RN 925347372XADD1/LE"</f>
        <v>20170527/7RN 925347372XADD1/LE</v>
      </c>
    </row>
    <row r="289" spans="1:8" x14ac:dyDescent="0.25">
      <c r="E289" t="str">
        <f>"201807031807"</f>
        <v>201807031807</v>
      </c>
      <c r="F289" t="str">
        <f>"56 103"</f>
        <v>56 103</v>
      </c>
      <c r="G289" s="3">
        <v>250</v>
      </c>
      <c r="H289" t="str">
        <f>"56 103"</f>
        <v>56 103</v>
      </c>
    </row>
    <row r="290" spans="1:8" x14ac:dyDescent="0.25">
      <c r="E290" t="str">
        <f>"201807031808"</f>
        <v>201807031808</v>
      </c>
      <c r="F290" t="str">
        <f>"17-18576"</f>
        <v>17-18576</v>
      </c>
      <c r="G290" s="3">
        <v>100</v>
      </c>
      <c r="H290" t="str">
        <f>"17-18576"</f>
        <v>17-18576</v>
      </c>
    </row>
    <row r="291" spans="1:8" x14ac:dyDescent="0.25">
      <c r="E291" t="str">
        <f>"201807031809"</f>
        <v>201807031809</v>
      </c>
      <c r="F291" t="str">
        <f>"18-18824"</f>
        <v>18-18824</v>
      </c>
      <c r="G291" s="3">
        <v>100</v>
      </c>
      <c r="H291" t="str">
        <f>"18-18824"</f>
        <v>18-18824</v>
      </c>
    </row>
    <row r="292" spans="1:8" x14ac:dyDescent="0.25">
      <c r="A292" t="s">
        <v>108</v>
      </c>
      <c r="B292">
        <v>999999</v>
      </c>
      <c r="C292" s="2">
        <v>2228.87</v>
      </c>
      <c r="D292" s="1">
        <v>43305</v>
      </c>
      <c r="E292" t="str">
        <f>"201807182292"</f>
        <v>201807182292</v>
      </c>
      <c r="F292" t="str">
        <f>"56 092"</f>
        <v>56 092</v>
      </c>
      <c r="G292" s="3">
        <v>250</v>
      </c>
      <c r="H292" t="str">
        <f>"56 092"</f>
        <v>56 092</v>
      </c>
    </row>
    <row r="293" spans="1:8" x14ac:dyDescent="0.25">
      <c r="E293" t="str">
        <f>"201807182293"</f>
        <v>201807182293</v>
      </c>
      <c r="F293" t="str">
        <f>"55 990"</f>
        <v>55 990</v>
      </c>
      <c r="G293" s="3">
        <v>250</v>
      </c>
      <c r="H293" t="str">
        <f>"55 990"</f>
        <v>55 990</v>
      </c>
    </row>
    <row r="294" spans="1:8" x14ac:dyDescent="0.25">
      <c r="E294" t="str">
        <f>"201807182294"</f>
        <v>201807182294</v>
      </c>
      <c r="F294" t="str">
        <f>"56 041"</f>
        <v>56 041</v>
      </c>
      <c r="G294" s="3">
        <v>250</v>
      </c>
      <c r="H294" t="str">
        <f>"56 041"</f>
        <v>56 041</v>
      </c>
    </row>
    <row r="295" spans="1:8" x14ac:dyDescent="0.25">
      <c r="E295" t="str">
        <f>"201807182295"</f>
        <v>201807182295</v>
      </c>
      <c r="F295" t="str">
        <f>"55 806"</f>
        <v>55 806</v>
      </c>
      <c r="G295" s="3">
        <v>250</v>
      </c>
      <c r="H295" t="str">
        <f>"55 806"</f>
        <v>55 806</v>
      </c>
    </row>
    <row r="296" spans="1:8" x14ac:dyDescent="0.25">
      <c r="E296" t="str">
        <f>"201807182296"</f>
        <v>201807182296</v>
      </c>
      <c r="F296" t="str">
        <f>"56 138"</f>
        <v>56 138</v>
      </c>
      <c r="G296" s="3">
        <v>250</v>
      </c>
      <c r="H296" t="str">
        <f>"56 138"</f>
        <v>56 138</v>
      </c>
    </row>
    <row r="297" spans="1:8" x14ac:dyDescent="0.25">
      <c r="E297" t="str">
        <f>"201807182334"</f>
        <v>201807182334</v>
      </c>
      <c r="F297" t="str">
        <f>"18-19120"</f>
        <v>18-19120</v>
      </c>
      <c r="G297" s="3">
        <v>100</v>
      </c>
      <c r="H297" t="str">
        <f>"18-19120"</f>
        <v>18-19120</v>
      </c>
    </row>
    <row r="298" spans="1:8" x14ac:dyDescent="0.25">
      <c r="E298" t="str">
        <f>"201807182335"</f>
        <v>201807182335</v>
      </c>
      <c r="F298" t="str">
        <f>"18-19119"</f>
        <v>18-19119</v>
      </c>
      <c r="G298" s="3">
        <v>100</v>
      </c>
      <c r="H298" t="str">
        <f>"18-19119"</f>
        <v>18-19119</v>
      </c>
    </row>
    <row r="299" spans="1:8" x14ac:dyDescent="0.25">
      <c r="E299" t="str">
        <f>"201807182336"</f>
        <v>201807182336</v>
      </c>
      <c r="F299" t="str">
        <f>"18-19118"</f>
        <v>18-19118</v>
      </c>
      <c r="G299" s="3">
        <v>100</v>
      </c>
      <c r="H299" t="str">
        <f>"18-19118"</f>
        <v>18-19118</v>
      </c>
    </row>
    <row r="300" spans="1:8" x14ac:dyDescent="0.25">
      <c r="E300" t="str">
        <f>"201807182337"</f>
        <v>201807182337</v>
      </c>
      <c r="F300" t="str">
        <f>"18-19117"</f>
        <v>18-19117</v>
      </c>
      <c r="G300" s="3">
        <v>100</v>
      </c>
      <c r="H300" t="str">
        <f>"18-19117"</f>
        <v>18-19117</v>
      </c>
    </row>
    <row r="301" spans="1:8" x14ac:dyDescent="0.25">
      <c r="E301" t="str">
        <f>"201807182338"</f>
        <v>201807182338</v>
      </c>
      <c r="F301" t="str">
        <f>"18-19050"</f>
        <v>18-19050</v>
      </c>
      <c r="G301" s="3">
        <v>228.87</v>
      </c>
      <c r="H301" t="str">
        <f>"18-19050"</f>
        <v>18-19050</v>
      </c>
    </row>
    <row r="302" spans="1:8" x14ac:dyDescent="0.25">
      <c r="E302" t="str">
        <f>"201807182346"</f>
        <v>201807182346</v>
      </c>
      <c r="F302" t="str">
        <f>"17-18564"</f>
        <v>17-18564</v>
      </c>
      <c r="G302" s="3">
        <v>100</v>
      </c>
      <c r="H302" t="str">
        <f>"17-18564"</f>
        <v>17-18564</v>
      </c>
    </row>
    <row r="303" spans="1:8" x14ac:dyDescent="0.25">
      <c r="E303" t="str">
        <f>"201807182347"</f>
        <v>201807182347</v>
      </c>
      <c r="F303" t="str">
        <f>"J-3060"</f>
        <v>J-3060</v>
      </c>
      <c r="G303" s="3">
        <v>250</v>
      </c>
      <c r="H303" t="str">
        <f>"J-3060"</f>
        <v>J-3060</v>
      </c>
    </row>
    <row r="304" spans="1:8" x14ac:dyDescent="0.25">
      <c r="A304" t="s">
        <v>109</v>
      </c>
      <c r="B304">
        <v>77450</v>
      </c>
      <c r="C304" s="2">
        <v>436.69</v>
      </c>
      <c r="D304" s="1">
        <v>43290</v>
      </c>
      <c r="E304" t="str">
        <f>"201807031865"</f>
        <v>201807031865</v>
      </c>
      <c r="F304" t="str">
        <f>"CRIME STOPPER FEES JUNE 2018"</f>
        <v>CRIME STOPPER FEES JUNE 2018</v>
      </c>
      <c r="G304" s="3">
        <v>436.69</v>
      </c>
      <c r="H304" t="str">
        <f>"CRIME STOPPER FEES JUNE 2018"</f>
        <v>CRIME STOPPER FEES JUNE 2018</v>
      </c>
    </row>
    <row r="305" spans="1:8" x14ac:dyDescent="0.25">
      <c r="A305" t="s">
        <v>110</v>
      </c>
      <c r="B305">
        <v>77638</v>
      </c>
      <c r="C305" s="2">
        <v>3570.39</v>
      </c>
      <c r="D305" s="1">
        <v>43294</v>
      </c>
      <c r="E305" t="str">
        <f>"201807132190"</f>
        <v>201807132190</v>
      </c>
      <c r="F305" t="str">
        <f>"ACCT# 5000057374 / 07/04/2018"</f>
        <v>ACCT# 5000057374 / 07/04/2018</v>
      </c>
      <c r="G305" s="3">
        <v>3570.39</v>
      </c>
      <c r="H305" t="str">
        <f>"ACCT# 5000057374 / 07/04/2018"</f>
        <v>ACCT# 5000057374 / 07/04/2018</v>
      </c>
    </row>
    <row r="306" spans="1:8" x14ac:dyDescent="0.25">
      <c r="E306" t="str">
        <f>""</f>
        <v/>
      </c>
      <c r="F306" t="str">
        <f>""</f>
        <v/>
      </c>
      <c r="H306" t="str">
        <f>"ACCT# 5000057374 / 07/04/2018"</f>
        <v>ACCT# 5000057374 / 07/04/2018</v>
      </c>
    </row>
    <row r="307" spans="1:8" x14ac:dyDescent="0.25">
      <c r="E307" t="str">
        <f>""</f>
        <v/>
      </c>
      <c r="F307" t="str">
        <f>""</f>
        <v/>
      </c>
      <c r="H307" t="str">
        <f>"ACCT# 5000057374 / 07/04/2018"</f>
        <v>ACCT# 5000057374 / 07/04/2018</v>
      </c>
    </row>
    <row r="308" spans="1:8" x14ac:dyDescent="0.25">
      <c r="E308" t="str">
        <f>""</f>
        <v/>
      </c>
      <c r="F308" t="str">
        <f>""</f>
        <v/>
      </c>
      <c r="H308" t="str">
        <f>"ACCT# 5000057374 / 07/04/2018"</f>
        <v>ACCT# 5000057374 / 07/04/2018</v>
      </c>
    </row>
    <row r="309" spans="1:8" x14ac:dyDescent="0.25">
      <c r="E309" t="str">
        <f>""</f>
        <v/>
      </c>
      <c r="F309" t="str">
        <f>""</f>
        <v/>
      </c>
      <c r="H309" t="str">
        <f>"ACCT# 5000057374 / 07/04/2018"</f>
        <v>ACCT# 5000057374 / 07/04/2018</v>
      </c>
    </row>
    <row r="310" spans="1:8" x14ac:dyDescent="0.25">
      <c r="A310" t="s">
        <v>111</v>
      </c>
      <c r="B310">
        <v>999999</v>
      </c>
      <c r="C310" s="2">
        <v>25219.4</v>
      </c>
      <c r="D310" s="1">
        <v>43291</v>
      </c>
      <c r="E310" t="str">
        <f>"201806281731"</f>
        <v>201806281731</v>
      </c>
      <c r="F310" t="str">
        <f>"GRANT REIMBURSEMENT"</f>
        <v>GRANT REIMBURSEMENT</v>
      </c>
      <c r="G310" s="3">
        <v>25219.4</v>
      </c>
      <c r="H310" t="str">
        <f>"GRANT REIMBURSEMENT"</f>
        <v>GRANT REIMBURSEMENT</v>
      </c>
    </row>
    <row r="311" spans="1:8" x14ac:dyDescent="0.25">
      <c r="A311" t="s">
        <v>112</v>
      </c>
      <c r="B311">
        <v>77451</v>
      </c>
      <c r="C311" s="2">
        <v>1264.8900000000001</v>
      </c>
      <c r="D311" s="1">
        <v>43290</v>
      </c>
      <c r="E311" t="str">
        <f>"8001"</f>
        <v>8001</v>
      </c>
      <c r="F311" t="str">
        <f>"2009 DODGE OIL CHG/GEN SVCS"</f>
        <v>2009 DODGE OIL CHG/GEN SVCS</v>
      </c>
      <c r="G311" s="3">
        <v>68.790000000000006</v>
      </c>
      <c r="H311" t="str">
        <f>"2009 DODGE OIL CHG/GEN SVCS"</f>
        <v>2009 DODGE OIL CHG/GEN SVCS</v>
      </c>
    </row>
    <row r="312" spans="1:8" x14ac:dyDescent="0.25">
      <c r="E312" t="str">
        <f>"8018"</f>
        <v>8018</v>
      </c>
      <c r="F312" t="str">
        <f>"INV 8018 / UNIT 81"</f>
        <v>INV 8018 / UNIT 81</v>
      </c>
      <c r="G312" s="3">
        <v>92.7</v>
      </c>
      <c r="H312" t="str">
        <f>"INV 8018 / UNIT 81"</f>
        <v>INV 8018 / UNIT 81</v>
      </c>
    </row>
    <row r="313" spans="1:8" x14ac:dyDescent="0.25">
      <c r="E313" t="str">
        <f>"8062"</f>
        <v>8062</v>
      </c>
      <c r="F313" t="str">
        <f>"2000 FORD INSPECTION/PCT#1"</f>
        <v>2000 FORD INSPECTION/PCT#1</v>
      </c>
      <c r="G313" s="3">
        <v>7</v>
      </c>
      <c r="H313" t="str">
        <f>"2000 FORD INSPECTION/PCT#1"</f>
        <v>2000 FORD INSPECTION/PCT#1</v>
      </c>
    </row>
    <row r="314" spans="1:8" x14ac:dyDescent="0.25">
      <c r="E314" t="str">
        <f>"8122"</f>
        <v>8122</v>
      </c>
      <c r="F314" t="str">
        <f>"INV 8122 / UNIT 1667"</f>
        <v>INV 8122 / UNIT 1667</v>
      </c>
      <c r="G314" s="3">
        <v>246.12</v>
      </c>
      <c r="H314" t="str">
        <f>"INV 8122 / UNIT 1667"</f>
        <v>INV 8122 / UNIT 1667</v>
      </c>
    </row>
    <row r="315" spans="1:8" x14ac:dyDescent="0.25">
      <c r="E315" t="str">
        <f>"8127"</f>
        <v>8127</v>
      </c>
      <c r="F315" t="str">
        <f>"INV 8127 / UNIT 85"</f>
        <v>INV 8127 / UNIT 85</v>
      </c>
      <c r="G315" s="3">
        <v>231.25</v>
      </c>
      <c r="H315" t="str">
        <f>"INV 8127 / UNIT 85"</f>
        <v>INV 8127 / UNIT 85</v>
      </c>
    </row>
    <row r="316" spans="1:8" x14ac:dyDescent="0.25">
      <c r="E316" t="str">
        <f>"SHERIFF-MAINT VEH"</f>
        <v>SHERIFF-MAINT VEH</v>
      </c>
      <c r="F316" t="str">
        <f>"INV 8118 / UNIT 8946"</f>
        <v>INV 8118 / UNIT 8946</v>
      </c>
      <c r="G316" s="3">
        <v>619.03</v>
      </c>
      <c r="H316" t="str">
        <f>"INV 8118 / UNIT 8946"</f>
        <v>INV 8118 / UNIT 8946</v>
      </c>
    </row>
    <row r="317" spans="1:8" x14ac:dyDescent="0.25">
      <c r="E317" t="str">
        <f>""</f>
        <v/>
      </c>
      <c r="F317" t="str">
        <f>""</f>
        <v/>
      </c>
      <c r="H317" t="str">
        <f>"INV 8128 / UNIT 8673"</f>
        <v>INV 8128 / UNIT 8673</v>
      </c>
    </row>
    <row r="318" spans="1:8" x14ac:dyDescent="0.25">
      <c r="E318" t="str">
        <f>""</f>
        <v/>
      </c>
      <c r="F318" t="str">
        <f>""</f>
        <v/>
      </c>
      <c r="H318" t="str">
        <f>"INV 8130 / UNIT 0122"</f>
        <v>INV 8130 / UNIT 0122</v>
      </c>
    </row>
    <row r="319" spans="1:8" x14ac:dyDescent="0.25">
      <c r="E319" t="str">
        <f>""</f>
        <v/>
      </c>
      <c r="F319" t="str">
        <f>""</f>
        <v/>
      </c>
      <c r="H319" t="str">
        <f>"INV 8131 / UNIT 4718"</f>
        <v>INV 8131 / UNIT 4718</v>
      </c>
    </row>
    <row r="320" spans="1:8" x14ac:dyDescent="0.25">
      <c r="E320" t="str">
        <f>""</f>
        <v/>
      </c>
      <c r="F320" t="str">
        <f>""</f>
        <v/>
      </c>
      <c r="H320" t="str">
        <f>"INV 8133 / UNIT 0127"</f>
        <v>INV 8133 / UNIT 0127</v>
      </c>
    </row>
    <row r="321" spans="1:8" x14ac:dyDescent="0.25">
      <c r="E321" t="str">
        <f>""</f>
        <v/>
      </c>
      <c r="F321" t="str">
        <f>""</f>
        <v/>
      </c>
      <c r="H321" t="str">
        <f>"INV 8137 / UNIT 6554"</f>
        <v>INV 8137 / UNIT 6554</v>
      </c>
    </row>
    <row r="322" spans="1:8" x14ac:dyDescent="0.25">
      <c r="E322" t="str">
        <f>""</f>
        <v/>
      </c>
      <c r="F322" t="str">
        <f>""</f>
        <v/>
      </c>
      <c r="H322" t="str">
        <f>"INV 8139 / UNIT 7277"</f>
        <v>INV 8139 / UNIT 7277</v>
      </c>
    </row>
    <row r="323" spans="1:8" x14ac:dyDescent="0.25">
      <c r="E323" t="str">
        <f>""</f>
        <v/>
      </c>
      <c r="F323" t="str">
        <f>""</f>
        <v/>
      </c>
      <c r="H323" t="str">
        <f>"INV 8140 / UNIT 4362"</f>
        <v>INV 8140 / UNIT 4362</v>
      </c>
    </row>
    <row r="324" spans="1:8" x14ac:dyDescent="0.25">
      <c r="E324" t="str">
        <f>""</f>
        <v/>
      </c>
      <c r="F324" t="str">
        <f>""</f>
        <v/>
      </c>
      <c r="H324" t="str">
        <f>"INV 8141 / UNIT 0123"</f>
        <v>INV 8141 / UNIT 0123</v>
      </c>
    </row>
    <row r="325" spans="1:8" x14ac:dyDescent="0.25">
      <c r="E325" t="str">
        <f>""</f>
        <v/>
      </c>
      <c r="F325" t="str">
        <f>""</f>
        <v/>
      </c>
      <c r="H325" t="str">
        <f>"INV 8159 / UNIT 126"</f>
        <v>INV 8159 / UNIT 126</v>
      </c>
    </row>
    <row r="326" spans="1:8" x14ac:dyDescent="0.25">
      <c r="E326" t="str">
        <f>""</f>
        <v/>
      </c>
      <c r="F326" t="str">
        <f>""</f>
        <v/>
      </c>
      <c r="H326" t="str">
        <f>"INV 8163 / UNIT 6535"</f>
        <v>INV 8163 / UNIT 6535</v>
      </c>
    </row>
    <row r="327" spans="1:8" x14ac:dyDescent="0.25">
      <c r="E327" t="str">
        <f>""</f>
        <v/>
      </c>
      <c r="F327" t="str">
        <f>""</f>
        <v/>
      </c>
      <c r="H327" t="str">
        <f>"INV 8173 / UNIT 6499"</f>
        <v>INV 8173 / UNIT 6499</v>
      </c>
    </row>
    <row r="328" spans="1:8" x14ac:dyDescent="0.25">
      <c r="E328" t="str">
        <f>""</f>
        <v/>
      </c>
      <c r="F328" t="str">
        <f>""</f>
        <v/>
      </c>
      <c r="H328" t="str">
        <f>"INV 8177 / UNIT 8948"</f>
        <v>INV 8177 / UNIT 8948</v>
      </c>
    </row>
    <row r="329" spans="1:8" x14ac:dyDescent="0.25">
      <c r="E329" t="str">
        <f>""</f>
        <v/>
      </c>
      <c r="F329" t="str">
        <f>""</f>
        <v/>
      </c>
      <c r="H329" t="str">
        <f>"INV 8184 / UNIT 6550"</f>
        <v>INV 8184 / UNIT 6550</v>
      </c>
    </row>
    <row r="330" spans="1:8" x14ac:dyDescent="0.25">
      <c r="E330" t="str">
        <f>""</f>
        <v/>
      </c>
      <c r="F330" t="str">
        <f>""</f>
        <v/>
      </c>
      <c r="H330" t="str">
        <f>"INV 8186 / UNIT 0121"</f>
        <v>INV 8186 / UNIT 0121</v>
      </c>
    </row>
    <row r="331" spans="1:8" x14ac:dyDescent="0.25">
      <c r="A331" t="s">
        <v>112</v>
      </c>
      <c r="B331">
        <v>77680</v>
      </c>
      <c r="C331" s="2">
        <v>4513.32</v>
      </c>
      <c r="D331" s="1">
        <v>43304</v>
      </c>
      <c r="E331" t="str">
        <f>"8123"</f>
        <v>8123</v>
      </c>
      <c r="F331" t="str">
        <f>"INV 8123 / UNIT 1628"</f>
        <v>INV 8123 / UNIT 1628</v>
      </c>
      <c r="G331" s="3">
        <v>128.69999999999999</v>
      </c>
      <c r="H331" t="str">
        <f>"INV 8123 / UNIT 1628"</f>
        <v>INV 8123 / UNIT 1628</v>
      </c>
    </row>
    <row r="332" spans="1:8" x14ac:dyDescent="0.25">
      <c r="E332" t="str">
        <f>"8183"</f>
        <v>8183</v>
      </c>
      <c r="F332" t="str">
        <f>"INV 8183 / UNIT 0117"</f>
        <v>INV 8183 / UNIT 0117</v>
      </c>
      <c r="G332" s="3">
        <v>526.99</v>
      </c>
      <c r="H332" t="str">
        <f>"INV 8183 / UNIT 0117"</f>
        <v>INV 8183 / UNIT 0117</v>
      </c>
    </row>
    <row r="333" spans="1:8" x14ac:dyDescent="0.25">
      <c r="E333" t="str">
        <f>"8199/8201/8202"</f>
        <v>8199/8201/8202</v>
      </c>
      <c r="F333" t="str">
        <f>"INV 8199 / UNIT 6557"</f>
        <v>INV 8199 / UNIT 6557</v>
      </c>
      <c r="G333" s="3">
        <v>189.08</v>
      </c>
      <c r="H333" t="str">
        <f>"INV 8199 / UNIT 6557"</f>
        <v>INV 8199 / UNIT 6557</v>
      </c>
    </row>
    <row r="334" spans="1:8" x14ac:dyDescent="0.25">
      <c r="E334" t="str">
        <f>""</f>
        <v/>
      </c>
      <c r="F334" t="str">
        <f>""</f>
        <v/>
      </c>
      <c r="H334" t="str">
        <f>"INV 8201 / UNIT 6502"</f>
        <v>INV 8201 / UNIT 6502</v>
      </c>
    </row>
    <row r="335" spans="1:8" x14ac:dyDescent="0.25">
      <c r="E335" t="str">
        <f>""</f>
        <v/>
      </c>
      <c r="F335" t="str">
        <f>""</f>
        <v/>
      </c>
      <c r="H335" t="str">
        <f>"INV 8202 / UNIT 0122"</f>
        <v>INV 8202 / UNIT 0122</v>
      </c>
    </row>
    <row r="336" spans="1:8" x14ac:dyDescent="0.25">
      <c r="E336" t="str">
        <f>"8210"</f>
        <v>8210</v>
      </c>
      <c r="F336" t="str">
        <f>"2010 FORD F-150 OIL CHG"</f>
        <v>2010 FORD F-150 OIL CHG</v>
      </c>
      <c r="G336" s="3">
        <v>36.36</v>
      </c>
      <c r="H336" t="str">
        <f>"2010 FORD F-150 OIL CHG"</f>
        <v>2010 FORD F-150 OIL CHG</v>
      </c>
    </row>
    <row r="337" spans="5:8" x14ac:dyDescent="0.25">
      <c r="E337" t="str">
        <f>"8236"</f>
        <v>8236</v>
      </c>
      <c r="F337" t="str">
        <f>"INV 8236 / UNIT 1663"</f>
        <v>INV 8236 / UNIT 1663</v>
      </c>
      <c r="G337" s="3">
        <v>544.16999999999996</v>
      </c>
      <c r="H337" t="str">
        <f>"INV 8236 / UNIT 1663"</f>
        <v>INV 8236 / UNIT 1663</v>
      </c>
    </row>
    <row r="338" spans="5:8" x14ac:dyDescent="0.25">
      <c r="E338" t="str">
        <f>"8263"</f>
        <v>8263</v>
      </c>
      <c r="F338" t="str">
        <f>"INV 8263 / UNIT 4362"</f>
        <v>INV 8263 / UNIT 4362</v>
      </c>
      <c r="G338" s="3">
        <v>428.06</v>
      </c>
      <c r="H338" t="str">
        <f>"INV 8263 / UNIT 4362"</f>
        <v>INV 8263 / UNIT 4362</v>
      </c>
    </row>
    <row r="339" spans="5:8" x14ac:dyDescent="0.25">
      <c r="E339" t="str">
        <f>"8265"</f>
        <v>8265</v>
      </c>
      <c r="F339" t="str">
        <f>"INV 8265 / UNIT 6539"</f>
        <v>INV 8265 / UNIT 6539</v>
      </c>
      <c r="G339" s="3">
        <v>128.69999999999999</v>
      </c>
      <c r="H339" t="str">
        <f>"INV 8265 / UNIT 6539"</f>
        <v>INV 8265 / UNIT 6539</v>
      </c>
    </row>
    <row r="340" spans="5:8" x14ac:dyDescent="0.25">
      <c r="E340" t="str">
        <f>"8281"</f>
        <v>8281</v>
      </c>
      <c r="F340" t="str">
        <f>"INV 8281 / UNIT 8944"</f>
        <v>INV 8281 / UNIT 8944</v>
      </c>
      <c r="G340" s="3">
        <v>778.26</v>
      </c>
      <c r="H340" t="str">
        <f>"INV 8281 / UNIT 8944"</f>
        <v>INV 8281 / UNIT 8944</v>
      </c>
    </row>
    <row r="341" spans="5:8" x14ac:dyDescent="0.25">
      <c r="E341" t="str">
        <f>"8285"</f>
        <v>8285</v>
      </c>
      <c r="F341" t="str">
        <f>"INV 8285 / UNIT 1667"</f>
        <v>INV 8285 / UNIT 1667</v>
      </c>
      <c r="G341" s="3">
        <v>579.65</v>
      </c>
      <c r="H341" t="str">
        <f>"INV 8285 / UNIT 1667"</f>
        <v>INV 8285 / UNIT 1667</v>
      </c>
    </row>
    <row r="342" spans="5:8" x14ac:dyDescent="0.25">
      <c r="E342" t="str">
        <f>"SO-VEHICLE MAINTEN"</f>
        <v>SO-VEHICLE MAINTEN</v>
      </c>
      <c r="F342" t="str">
        <f>"INV 8211 / UNIT 0118"</f>
        <v>INV 8211 / UNIT 0118</v>
      </c>
      <c r="G342" s="3">
        <v>1173.3499999999999</v>
      </c>
      <c r="H342" t="str">
        <f>"INV 8211 / UNIT 0118"</f>
        <v>INV 8211 / UNIT 0118</v>
      </c>
    </row>
    <row r="343" spans="5:8" x14ac:dyDescent="0.25">
      <c r="E343" t="str">
        <f>""</f>
        <v/>
      </c>
      <c r="F343" t="str">
        <f>""</f>
        <v/>
      </c>
      <c r="H343" t="str">
        <f>"INV 8212 / UNIT 6486"</f>
        <v>INV 8212 / UNIT 6486</v>
      </c>
    </row>
    <row r="344" spans="5:8" x14ac:dyDescent="0.25">
      <c r="E344" t="str">
        <f>""</f>
        <v/>
      </c>
      <c r="F344" t="str">
        <f>""</f>
        <v/>
      </c>
      <c r="H344" t="str">
        <f>"INV 8213 / UNIT 0120"</f>
        <v>INV 8213 / UNIT 0120</v>
      </c>
    </row>
    <row r="345" spans="5:8" x14ac:dyDescent="0.25">
      <c r="E345" t="str">
        <f>""</f>
        <v/>
      </c>
      <c r="F345" t="str">
        <f>""</f>
        <v/>
      </c>
      <c r="H345" t="str">
        <f>"INV 8226 / UNIT 1665"</f>
        <v>INV 8226 / UNIT 1665</v>
      </c>
    </row>
    <row r="346" spans="5:8" x14ac:dyDescent="0.25">
      <c r="E346" t="str">
        <f>""</f>
        <v/>
      </c>
      <c r="F346" t="str">
        <f>""</f>
        <v/>
      </c>
      <c r="H346" t="str">
        <f>"INV 8238 / UNIT 4716"</f>
        <v>INV 8238 / UNIT 4716</v>
      </c>
    </row>
    <row r="347" spans="5:8" x14ac:dyDescent="0.25">
      <c r="E347" t="str">
        <f>""</f>
        <v/>
      </c>
      <c r="F347" t="str">
        <f>""</f>
        <v/>
      </c>
      <c r="H347" t="str">
        <f>"INV 8249 / UNIT 6557"</f>
        <v>INV 8249 / UNIT 6557</v>
      </c>
    </row>
    <row r="348" spans="5:8" x14ac:dyDescent="0.25">
      <c r="E348" t="str">
        <f>""</f>
        <v/>
      </c>
      <c r="F348" t="str">
        <f>""</f>
        <v/>
      </c>
      <c r="H348" t="str">
        <f>"INV 8251 / UNIT 0125"</f>
        <v>INV 8251 / UNIT 0125</v>
      </c>
    </row>
    <row r="349" spans="5:8" x14ac:dyDescent="0.25">
      <c r="E349" t="str">
        <f>""</f>
        <v/>
      </c>
      <c r="F349" t="str">
        <f>""</f>
        <v/>
      </c>
      <c r="H349" t="str">
        <f>"INV 8252 / UNIT 7277"</f>
        <v>INV 8252 / UNIT 7277</v>
      </c>
    </row>
    <row r="350" spans="5:8" x14ac:dyDescent="0.25">
      <c r="E350" t="str">
        <f>""</f>
        <v/>
      </c>
      <c r="F350" t="str">
        <f>""</f>
        <v/>
      </c>
      <c r="H350" t="str">
        <f>"INV 8261 / UNIT 6557"</f>
        <v>INV 8261 / UNIT 6557</v>
      </c>
    </row>
    <row r="351" spans="5:8" x14ac:dyDescent="0.25">
      <c r="E351" t="str">
        <f>""</f>
        <v/>
      </c>
      <c r="F351" t="str">
        <f>""</f>
        <v/>
      </c>
      <c r="H351" t="str">
        <f>"INV 8264 / UNIT 4362"</f>
        <v>INV 8264 / UNIT 4362</v>
      </c>
    </row>
    <row r="352" spans="5:8" x14ac:dyDescent="0.25">
      <c r="E352" t="str">
        <f>""</f>
        <v/>
      </c>
      <c r="F352" t="str">
        <f>""</f>
        <v/>
      </c>
      <c r="H352" t="str">
        <f>"INV 8266 / UNIT 7278"</f>
        <v>INV 8266 / UNIT 7278</v>
      </c>
    </row>
    <row r="353" spans="1:8" x14ac:dyDescent="0.25">
      <c r="E353" t="str">
        <f>""</f>
        <v/>
      </c>
      <c r="F353" t="str">
        <f>""</f>
        <v/>
      </c>
      <c r="H353" t="str">
        <f>"INV 8274 / UNIT 4362"</f>
        <v>INV 8274 / UNIT 4362</v>
      </c>
    </row>
    <row r="354" spans="1:8" x14ac:dyDescent="0.25">
      <c r="E354" t="str">
        <f>""</f>
        <v/>
      </c>
      <c r="F354" t="str">
        <f>""</f>
        <v/>
      </c>
      <c r="H354" t="str">
        <f>"INV 8279 / UNIT 123"</f>
        <v>INV 8279 / UNIT 123</v>
      </c>
    </row>
    <row r="355" spans="1:8" x14ac:dyDescent="0.25">
      <c r="E355" t="str">
        <f>""</f>
        <v/>
      </c>
      <c r="F355" t="str">
        <f>""</f>
        <v/>
      </c>
      <c r="H355" t="str">
        <f>"INV 8286 / UNIT 6424"</f>
        <v>INV 8286 / UNIT 6424</v>
      </c>
    </row>
    <row r="356" spans="1:8" x14ac:dyDescent="0.25">
      <c r="E356" t="str">
        <f>""</f>
        <v/>
      </c>
      <c r="F356" t="str">
        <f>""</f>
        <v/>
      </c>
      <c r="H356" t="str">
        <f>"INV 8287 / UNIT 0117"</f>
        <v>INV 8287 / UNIT 0117</v>
      </c>
    </row>
    <row r="357" spans="1:8" x14ac:dyDescent="0.25">
      <c r="E357" t="str">
        <f>""</f>
        <v/>
      </c>
      <c r="F357" t="str">
        <f>""</f>
        <v/>
      </c>
      <c r="H357" t="str">
        <f>"INV 8290 / UNIT 4719"</f>
        <v>INV 8290 / UNIT 4719</v>
      </c>
    </row>
    <row r="358" spans="1:8" x14ac:dyDescent="0.25">
      <c r="E358" t="str">
        <f>""</f>
        <v/>
      </c>
      <c r="F358" t="str">
        <f>""</f>
        <v/>
      </c>
      <c r="H358" t="str">
        <f>"INV 8291 / UNIT 0119"</f>
        <v>INV 8291 / UNIT 0119</v>
      </c>
    </row>
    <row r="359" spans="1:8" x14ac:dyDescent="0.25">
      <c r="E359" t="str">
        <f>""</f>
        <v/>
      </c>
      <c r="F359" t="str">
        <f>""</f>
        <v/>
      </c>
      <c r="H359" t="str">
        <f>"INV 8296 / UNIT 1663"</f>
        <v>INV 8296 / UNIT 1663</v>
      </c>
    </row>
    <row r="360" spans="1:8" x14ac:dyDescent="0.25">
      <c r="E360" t="str">
        <f>""</f>
        <v/>
      </c>
      <c r="F360" t="str">
        <f>""</f>
        <v/>
      </c>
      <c r="H360" t="str">
        <f>"INV 8299 / UNIT 6532"</f>
        <v>INV 8299 / UNIT 6532</v>
      </c>
    </row>
    <row r="361" spans="1:8" x14ac:dyDescent="0.25">
      <c r="E361" t="str">
        <f>""</f>
        <v/>
      </c>
      <c r="F361" t="str">
        <f>""</f>
        <v/>
      </c>
      <c r="H361" t="str">
        <f>"INV 8310 / UNIT 0116"</f>
        <v>INV 8310 / UNIT 0116</v>
      </c>
    </row>
    <row r="362" spans="1:8" x14ac:dyDescent="0.25">
      <c r="E362" t="str">
        <f>""</f>
        <v/>
      </c>
      <c r="F362" t="str">
        <f>""</f>
        <v/>
      </c>
      <c r="H362" t="str">
        <f>"INV 8311 / UNIT 0127"</f>
        <v>INV 8311 / UNIT 0127</v>
      </c>
    </row>
    <row r="363" spans="1:8" x14ac:dyDescent="0.25">
      <c r="A363" t="s">
        <v>113</v>
      </c>
      <c r="B363">
        <v>77452</v>
      </c>
      <c r="C363" s="2">
        <v>53265</v>
      </c>
      <c r="D363" s="1">
        <v>43290</v>
      </c>
      <c r="E363" t="str">
        <f>"5187"</f>
        <v>5187</v>
      </c>
      <c r="F363" t="str">
        <f>"2018 New Holland Powersta"</f>
        <v>2018 New Holland Powersta</v>
      </c>
      <c r="G363" s="3">
        <v>53265</v>
      </c>
      <c r="H363" t="str">
        <f>"Payment"</f>
        <v>Payment</v>
      </c>
    </row>
    <row r="364" spans="1:8" x14ac:dyDescent="0.25">
      <c r="A364" t="s">
        <v>113</v>
      </c>
      <c r="B364">
        <v>77681</v>
      </c>
      <c r="C364" s="2">
        <v>189.28</v>
      </c>
      <c r="D364" s="1">
        <v>43304</v>
      </c>
      <c r="E364" t="str">
        <f>"CT167963"</f>
        <v>CT167963</v>
      </c>
      <c r="F364" t="str">
        <f>"GLASS/SEAL/PCT#3"</f>
        <v>GLASS/SEAL/PCT#3</v>
      </c>
      <c r="G364" s="3">
        <v>189.28</v>
      </c>
      <c r="H364" t="str">
        <f>"GLASS/SEAL/PCT#3"</f>
        <v>GLASS/SEAL/PCT#3</v>
      </c>
    </row>
    <row r="365" spans="1:8" x14ac:dyDescent="0.25">
      <c r="A365" t="s">
        <v>114</v>
      </c>
      <c r="B365">
        <v>77453</v>
      </c>
      <c r="C365" s="2">
        <v>14054.15</v>
      </c>
      <c r="D365" s="1">
        <v>43290</v>
      </c>
      <c r="E365" t="str">
        <f>"94465"</f>
        <v>94465</v>
      </c>
      <c r="F365" t="str">
        <f>"ACCT#1268/PCT#3"</f>
        <v>ACCT#1268/PCT#3</v>
      </c>
      <c r="G365" s="3">
        <v>13440.6</v>
      </c>
      <c r="H365" t="str">
        <f>"ACCT#1268/PCT#3"</f>
        <v>ACCT#1268/PCT#3</v>
      </c>
    </row>
    <row r="366" spans="1:8" x14ac:dyDescent="0.25">
      <c r="E366" t="str">
        <f>"94602"</f>
        <v>94602</v>
      </c>
      <c r="F366" t="str">
        <f>"ACCT#1268/PCT#3"</f>
        <v>ACCT#1268/PCT#3</v>
      </c>
      <c r="G366" s="3">
        <v>613.54999999999995</v>
      </c>
      <c r="H366" t="str">
        <f>"ACCT#1268/PCT#3"</f>
        <v>ACCT#1268/PCT#3</v>
      </c>
    </row>
    <row r="367" spans="1:8" x14ac:dyDescent="0.25">
      <c r="A367" t="s">
        <v>114</v>
      </c>
      <c r="B367">
        <v>77682</v>
      </c>
      <c r="C367" s="2">
        <v>1224.01</v>
      </c>
      <c r="D367" s="1">
        <v>43304</v>
      </c>
      <c r="E367" t="str">
        <f>"94756"</f>
        <v>94756</v>
      </c>
      <c r="F367" t="str">
        <f>"ACCT#1268/PCT#3"</f>
        <v>ACCT#1268/PCT#3</v>
      </c>
      <c r="G367" s="3">
        <v>273.52999999999997</v>
      </c>
      <c r="H367" t="str">
        <f>"ACCT#1268/PCT#3"</f>
        <v>ACCT#1268/PCT#3</v>
      </c>
    </row>
    <row r="368" spans="1:8" x14ac:dyDescent="0.25">
      <c r="E368" t="str">
        <f>"94889"</f>
        <v>94889</v>
      </c>
      <c r="F368" t="str">
        <f>"ACCT#1268/PCT#3"</f>
        <v>ACCT#1268/PCT#3</v>
      </c>
      <c r="G368" s="3">
        <v>950.48</v>
      </c>
      <c r="H368" t="str">
        <f>"ACCT#1268/PCT#3"</f>
        <v>ACCT#1268/PCT#3</v>
      </c>
    </row>
    <row r="369" spans="1:9" x14ac:dyDescent="0.25">
      <c r="A369" t="s">
        <v>115</v>
      </c>
      <c r="B369">
        <v>999999</v>
      </c>
      <c r="C369" s="2">
        <v>10278</v>
      </c>
      <c r="D369" s="1">
        <v>43305</v>
      </c>
      <c r="E369" t="str">
        <f>"14291-B"</f>
        <v>14291-B</v>
      </c>
      <c r="F369" t="str">
        <f>"Mobile Cooling Unit"</f>
        <v>Mobile Cooling Unit</v>
      </c>
      <c r="G369" s="3">
        <v>10278</v>
      </c>
      <c r="H369" t="str">
        <f>"Unit"</f>
        <v>Unit</v>
      </c>
    </row>
    <row r="370" spans="1:9" x14ac:dyDescent="0.25">
      <c r="E370" t="str">
        <f>""</f>
        <v/>
      </c>
      <c r="F370" t="str">
        <f>""</f>
        <v/>
      </c>
      <c r="H370" t="str">
        <f>"Shipping"</f>
        <v>Shipping</v>
      </c>
    </row>
    <row r="371" spans="1:9" x14ac:dyDescent="0.25">
      <c r="A371" t="s">
        <v>116</v>
      </c>
      <c r="B371">
        <v>77454</v>
      </c>
      <c r="C371" s="2">
        <v>1500</v>
      </c>
      <c r="D371" s="1">
        <v>43290</v>
      </c>
      <c r="E371" t="str">
        <f>"201807031810"</f>
        <v>201807031810</v>
      </c>
      <c r="F371" t="str">
        <f>"55 937"</f>
        <v>55 937</v>
      </c>
      <c r="G371" s="3">
        <v>250</v>
      </c>
      <c r="H371" t="str">
        <f>"55 937"</f>
        <v>55 937</v>
      </c>
    </row>
    <row r="372" spans="1:9" x14ac:dyDescent="0.25">
      <c r="E372" t="str">
        <f>"201807031811"</f>
        <v>201807031811</v>
      </c>
      <c r="F372" t="str">
        <f>"55 392"</f>
        <v>55 392</v>
      </c>
      <c r="G372" s="3">
        <v>250</v>
      </c>
      <c r="H372" t="str">
        <f>"55 392"</f>
        <v>55 392</v>
      </c>
    </row>
    <row r="373" spans="1:9" x14ac:dyDescent="0.25">
      <c r="E373" t="str">
        <f>"201807031812"</f>
        <v>201807031812</v>
      </c>
      <c r="F373" t="str">
        <f>"56 088"</f>
        <v>56 088</v>
      </c>
      <c r="G373" s="3">
        <v>250</v>
      </c>
      <c r="H373" t="str">
        <f>"56 088"</f>
        <v>56 088</v>
      </c>
    </row>
    <row r="374" spans="1:9" x14ac:dyDescent="0.25">
      <c r="E374" t="str">
        <f>"201807031813"</f>
        <v>201807031813</v>
      </c>
      <c r="F374" t="str">
        <f>"55 384  55 385"</f>
        <v>55 384  55 385</v>
      </c>
      <c r="G374" s="3">
        <v>375</v>
      </c>
      <c r="H374" t="str">
        <f>"55 384  55 385"</f>
        <v>55 384  55 385</v>
      </c>
    </row>
    <row r="375" spans="1:9" x14ac:dyDescent="0.25">
      <c r="E375" t="str">
        <f>"201807031814"</f>
        <v>201807031814</v>
      </c>
      <c r="F375" t="str">
        <f>"55 977  1JP11017A"</f>
        <v>55 977  1JP11017A</v>
      </c>
      <c r="G375" s="3">
        <v>375</v>
      </c>
      <c r="H375" t="str">
        <f>"55 977  1JP11017A"</f>
        <v>55 977  1JP11017A</v>
      </c>
    </row>
    <row r="376" spans="1:9" x14ac:dyDescent="0.25">
      <c r="A376" t="s">
        <v>116</v>
      </c>
      <c r="B376">
        <v>77683</v>
      </c>
      <c r="C376" s="2">
        <v>250</v>
      </c>
      <c r="D376" s="1">
        <v>43304</v>
      </c>
      <c r="E376" t="str">
        <f>"201807182307"</f>
        <v>201807182307</v>
      </c>
      <c r="F376" t="str">
        <f>"53 722"</f>
        <v>53 722</v>
      </c>
      <c r="G376" s="3">
        <v>250</v>
      </c>
      <c r="H376" t="str">
        <f>"53 722"</f>
        <v>53 722</v>
      </c>
    </row>
    <row r="377" spans="1:9" x14ac:dyDescent="0.25">
      <c r="A377" t="s">
        <v>117</v>
      </c>
      <c r="B377">
        <v>999999</v>
      </c>
      <c r="C377" s="2">
        <v>166.5</v>
      </c>
      <c r="D377" s="1">
        <v>43291</v>
      </c>
      <c r="E377" t="str">
        <f>"90045812"</f>
        <v>90045812</v>
      </c>
      <c r="F377" t="str">
        <f>"CUST#24889/ORD#31744/GEN SVCS"</f>
        <v>CUST#24889/ORD#31744/GEN SVCS</v>
      </c>
      <c r="G377" s="3">
        <v>166.5</v>
      </c>
      <c r="H377" t="str">
        <f>"CUST#24889/ORD#31744/GEN SVCS"</f>
        <v>CUST#24889/ORD#31744/GEN SVCS</v>
      </c>
    </row>
    <row r="378" spans="1:9" x14ac:dyDescent="0.25">
      <c r="A378" t="s">
        <v>118</v>
      </c>
      <c r="B378">
        <v>77684</v>
      </c>
      <c r="C378" s="2">
        <v>25</v>
      </c>
      <c r="D378" s="1">
        <v>43304</v>
      </c>
      <c r="E378" t="str">
        <f>"201807172237"</f>
        <v>201807172237</v>
      </c>
      <c r="F378" t="str">
        <f>"REFUND DRIVEWAY PERMIT"</f>
        <v>REFUND DRIVEWAY PERMIT</v>
      </c>
      <c r="G378" s="3">
        <v>25</v>
      </c>
      <c r="H378" t="str">
        <f>"REFUND DRIVEWAY PERMIT"</f>
        <v>REFUND DRIVEWAY PERMIT</v>
      </c>
    </row>
    <row r="379" spans="1:9" x14ac:dyDescent="0.25">
      <c r="A379" t="s">
        <v>119</v>
      </c>
      <c r="B379">
        <v>77685</v>
      </c>
      <c r="C379" s="2">
        <v>320</v>
      </c>
      <c r="D379" s="1">
        <v>43304</v>
      </c>
      <c r="E379" t="s">
        <v>120</v>
      </c>
      <c r="F379" t="s">
        <v>121</v>
      </c>
      <c r="G379" s="3" t="str">
        <f>"SERVICE  05/02/18"</f>
        <v>SERVICE  05/02/18</v>
      </c>
      <c r="H379" t="str">
        <f>"995-4110"</f>
        <v>995-4110</v>
      </c>
      <c r="I379" t="str">
        <f>""</f>
        <v/>
      </c>
    </row>
    <row r="380" spans="1:9" x14ac:dyDescent="0.25">
      <c r="A380" t="s">
        <v>122</v>
      </c>
      <c r="B380">
        <v>77686</v>
      </c>
      <c r="C380" s="2">
        <v>699.2</v>
      </c>
      <c r="D380" s="1">
        <v>43304</v>
      </c>
      <c r="E380" t="str">
        <f>"LODGING-A.CRIM"</f>
        <v>LODGING-A.CRIM</v>
      </c>
      <c r="F380" t="str">
        <f>"LODGING"</f>
        <v>LODGING</v>
      </c>
      <c r="G380" s="3">
        <v>699.2</v>
      </c>
      <c r="H380" t="str">
        <f>"LODGING"</f>
        <v>LODGING</v>
      </c>
    </row>
    <row r="381" spans="1:9" x14ac:dyDescent="0.25">
      <c r="A381" t="s">
        <v>123</v>
      </c>
      <c r="B381">
        <v>77687</v>
      </c>
      <c r="C381" s="2">
        <v>40</v>
      </c>
      <c r="D381" s="1">
        <v>43304</v>
      </c>
      <c r="E381" t="str">
        <f>"23179"</f>
        <v>23179</v>
      </c>
      <c r="F381" t="str">
        <f>"REGISTRANT ID:10741/V.GONZALES"</f>
        <v>REGISTRANT ID:10741/V.GONZALES</v>
      </c>
      <c r="G381" s="3">
        <v>40</v>
      </c>
      <c r="H381" t="str">
        <f>"REGISTRANT ID:10741/V.GONZALES"</f>
        <v>REGISTRANT ID:10741/V.GONZALES</v>
      </c>
    </row>
    <row r="382" spans="1:9" x14ac:dyDescent="0.25">
      <c r="A382" t="s">
        <v>124</v>
      </c>
      <c r="B382">
        <v>999999</v>
      </c>
      <c r="C382" s="2">
        <v>838.35</v>
      </c>
      <c r="D382" s="1">
        <v>43291</v>
      </c>
      <c r="E382" t="str">
        <f>"498058"</f>
        <v>498058</v>
      </c>
      <c r="F382" t="str">
        <f>"ACCT#000690/ORD#00417773/PCT#2"</f>
        <v>ACCT#000690/ORD#00417773/PCT#2</v>
      </c>
      <c r="G382" s="3">
        <v>636.35</v>
      </c>
      <c r="H382" t="str">
        <f>"ACCT#000690/ORD#00417773/PCT#2"</f>
        <v>ACCT#000690/ORD#00417773/PCT#2</v>
      </c>
    </row>
    <row r="383" spans="1:9" x14ac:dyDescent="0.25">
      <c r="E383" t="str">
        <f>"498079"</f>
        <v>498079</v>
      </c>
      <c r="F383" t="str">
        <f>"ACCT#000690/ORD#00417572/PCT#4"</f>
        <v>ACCT#000690/ORD#00417572/PCT#4</v>
      </c>
      <c r="G383" s="3">
        <v>202</v>
      </c>
      <c r="H383" t="str">
        <f>"ACCT#000690/ORD#00417572/PCT#4"</f>
        <v>ACCT#000690/ORD#00417572/PCT#4</v>
      </c>
    </row>
    <row r="384" spans="1:9" x14ac:dyDescent="0.25">
      <c r="A384" t="s">
        <v>125</v>
      </c>
      <c r="B384">
        <v>77688</v>
      </c>
      <c r="C384" s="2">
        <v>690</v>
      </c>
      <c r="D384" s="1">
        <v>43304</v>
      </c>
      <c r="E384" t="str">
        <f>"201807172257"</f>
        <v>201807172257</v>
      </c>
      <c r="F384" t="str">
        <f>"2ND &amp; 3RD QTR MAINT/TDLR CERT"</f>
        <v>2ND &amp; 3RD QTR MAINT/TDLR CERT</v>
      </c>
      <c r="G384" s="3">
        <v>690</v>
      </c>
      <c r="H384" t="str">
        <f>"2ND &amp; 3RD QTR MAINT/TDLR CERT"</f>
        <v>2ND &amp; 3RD QTR MAINT/TDLR CERT</v>
      </c>
    </row>
    <row r="385" spans="1:8" x14ac:dyDescent="0.25">
      <c r="A385" t="s">
        <v>126</v>
      </c>
      <c r="B385">
        <v>0</v>
      </c>
      <c r="C385" s="2">
        <v>7138.82</v>
      </c>
      <c r="D385" s="1">
        <v>43290</v>
      </c>
      <c r="E385" t="str">
        <f>"ACCT#XXXX XXXX0058"</f>
        <v>ACCT#XXXX XXXX0058</v>
      </c>
      <c r="F385" t="str">
        <f>"Acct# 0058"</f>
        <v>Acct# 0058</v>
      </c>
      <c r="G385" s="3">
        <v>7138.82</v>
      </c>
      <c r="H385" t="str">
        <f>"IFEBP"</f>
        <v>IFEBP</v>
      </c>
    </row>
    <row r="386" spans="1:8" x14ac:dyDescent="0.25">
      <c r="E386" t="str">
        <f>""</f>
        <v/>
      </c>
      <c r="F386" t="str">
        <f>""</f>
        <v/>
      </c>
      <c r="H386" t="str">
        <f>"Google"</f>
        <v>Google</v>
      </c>
    </row>
    <row r="387" spans="1:8" x14ac:dyDescent="0.25">
      <c r="E387" t="str">
        <f>""</f>
        <v/>
      </c>
      <c r="F387" t="str">
        <f>""</f>
        <v/>
      </c>
      <c r="H387" t="str">
        <f>"WebEx"</f>
        <v>WebEx</v>
      </c>
    </row>
    <row r="388" spans="1:8" x14ac:dyDescent="0.25">
      <c r="E388" t="str">
        <f>""</f>
        <v/>
      </c>
      <c r="F388" t="str">
        <f>""</f>
        <v/>
      </c>
      <c r="H388" t="str">
        <f>"Drop Box"</f>
        <v>Drop Box</v>
      </c>
    </row>
    <row r="389" spans="1:8" x14ac:dyDescent="0.25">
      <c r="E389" t="str">
        <f>""</f>
        <v/>
      </c>
      <c r="F389" t="str">
        <f>""</f>
        <v/>
      </c>
      <c r="H389" t="str">
        <f>"OEQ Global"</f>
        <v>OEQ Global</v>
      </c>
    </row>
    <row r="390" spans="1:8" x14ac:dyDescent="0.25">
      <c r="E390" t="str">
        <f>""</f>
        <v/>
      </c>
      <c r="F390" t="str">
        <f>""</f>
        <v/>
      </c>
      <c r="H390" t="str">
        <f>"EverGreen"</f>
        <v>EverGreen</v>
      </c>
    </row>
    <row r="391" spans="1:8" x14ac:dyDescent="0.25">
      <c r="E391" t="str">
        <f>""</f>
        <v/>
      </c>
      <c r="F391" t="str">
        <f>""</f>
        <v/>
      </c>
      <c r="H391" t="str">
        <f>"HEB"</f>
        <v>HEB</v>
      </c>
    </row>
    <row r="392" spans="1:8" x14ac:dyDescent="0.25">
      <c r="E392" t="str">
        <f>""</f>
        <v/>
      </c>
      <c r="F392" t="str">
        <f>""</f>
        <v/>
      </c>
      <c r="H392" t="str">
        <f>"TxTag"</f>
        <v>TxTag</v>
      </c>
    </row>
    <row r="393" spans="1:8" x14ac:dyDescent="0.25">
      <c r="E393" t="str">
        <f>""</f>
        <v/>
      </c>
      <c r="F393" t="str">
        <f>""</f>
        <v/>
      </c>
      <c r="H393" t="str">
        <f>"SLe Equipment"</f>
        <v>SLe Equipment</v>
      </c>
    </row>
    <row r="394" spans="1:8" x14ac:dyDescent="0.25">
      <c r="E394" t="str">
        <f>""</f>
        <v/>
      </c>
      <c r="F394" t="str">
        <f>""</f>
        <v/>
      </c>
      <c r="H394" t="str">
        <f>"Charles Adams"</f>
        <v>Charles Adams</v>
      </c>
    </row>
    <row r="395" spans="1:8" x14ac:dyDescent="0.25">
      <c r="E395" t="str">
        <f>""</f>
        <v/>
      </c>
      <c r="F395" t="str">
        <f>""</f>
        <v/>
      </c>
      <c r="H395" t="str">
        <f>"Erika DeJesus"</f>
        <v>Erika DeJesus</v>
      </c>
    </row>
    <row r="396" spans="1:8" x14ac:dyDescent="0.25">
      <c r="E396" t="str">
        <f>""</f>
        <v/>
      </c>
      <c r="F396" t="str">
        <f>""</f>
        <v/>
      </c>
      <c r="H396" t="str">
        <f>"Rosanna Garza"</f>
        <v>Rosanna Garza</v>
      </c>
    </row>
    <row r="397" spans="1:8" x14ac:dyDescent="0.25">
      <c r="E397" t="str">
        <f>""</f>
        <v/>
      </c>
      <c r="F397" t="str">
        <f>""</f>
        <v/>
      </c>
      <c r="H397" t="str">
        <f>"Robert Bennet"</f>
        <v>Robert Bennet</v>
      </c>
    </row>
    <row r="398" spans="1:8" x14ac:dyDescent="0.25">
      <c r="E398" t="str">
        <f>""</f>
        <v/>
      </c>
      <c r="F398" t="str">
        <f>""</f>
        <v/>
      </c>
      <c r="H398" t="str">
        <f>"Annette Murley"</f>
        <v>Annette Murley</v>
      </c>
    </row>
    <row r="399" spans="1:8" x14ac:dyDescent="0.25">
      <c r="E399" t="str">
        <f>""</f>
        <v/>
      </c>
      <c r="F399" t="str">
        <f>""</f>
        <v/>
      </c>
      <c r="H399" t="str">
        <f>"Kennth Leatherwood"</f>
        <v>Kennth Leatherwood</v>
      </c>
    </row>
    <row r="400" spans="1:8" x14ac:dyDescent="0.25">
      <c r="E400" t="str">
        <f>""</f>
        <v/>
      </c>
      <c r="F400" t="str">
        <f>""</f>
        <v/>
      </c>
      <c r="H400" t="str">
        <f>"Academy"</f>
        <v>Academy</v>
      </c>
    </row>
    <row r="401" spans="1:8" x14ac:dyDescent="0.25">
      <c r="E401" t="str">
        <f>""</f>
        <v/>
      </c>
      <c r="F401" t="str">
        <f>""</f>
        <v/>
      </c>
      <c r="H401" t="str">
        <f>"TX Academy of Animal"</f>
        <v>TX Academy of Animal</v>
      </c>
    </row>
    <row r="402" spans="1:8" x14ac:dyDescent="0.25">
      <c r="E402" t="str">
        <f>""</f>
        <v/>
      </c>
      <c r="F402" t="str">
        <f>""</f>
        <v/>
      </c>
      <c r="H402" t="str">
        <f>"TxTag"</f>
        <v>TxTag</v>
      </c>
    </row>
    <row r="403" spans="1:8" x14ac:dyDescent="0.25">
      <c r="E403" t="str">
        <f>""</f>
        <v/>
      </c>
      <c r="F403" t="str">
        <f>""</f>
        <v/>
      </c>
      <c r="H403" t="str">
        <f>"GameGuard"</f>
        <v>GameGuard</v>
      </c>
    </row>
    <row r="404" spans="1:8" x14ac:dyDescent="0.25">
      <c r="E404" t="str">
        <f>""</f>
        <v/>
      </c>
      <c r="F404" t="str">
        <f>""</f>
        <v/>
      </c>
      <c r="H404" t="str">
        <f>"Game Guard"</f>
        <v>Game Guard</v>
      </c>
    </row>
    <row r="405" spans="1:8" x14ac:dyDescent="0.25">
      <c r="E405" t="str">
        <f>""</f>
        <v/>
      </c>
      <c r="F405" t="str">
        <f>""</f>
        <v/>
      </c>
      <c r="H405" t="str">
        <f>"Bucess"</f>
        <v>Bucess</v>
      </c>
    </row>
    <row r="406" spans="1:8" x14ac:dyDescent="0.25">
      <c r="E406" t="str">
        <f>""</f>
        <v/>
      </c>
      <c r="F406" t="str">
        <f>""</f>
        <v/>
      </c>
      <c r="H406" t="str">
        <f>"TxTag"</f>
        <v>TxTag</v>
      </c>
    </row>
    <row r="407" spans="1:8" x14ac:dyDescent="0.25">
      <c r="E407" t="str">
        <f>""</f>
        <v/>
      </c>
      <c r="F407" t="str">
        <f>""</f>
        <v/>
      </c>
      <c r="H407" t="str">
        <f>"Harbor Freight"</f>
        <v>Harbor Freight</v>
      </c>
    </row>
    <row r="408" spans="1:8" x14ac:dyDescent="0.25">
      <c r="E408" t="str">
        <f>""</f>
        <v/>
      </c>
      <c r="F408" t="str">
        <f>""</f>
        <v/>
      </c>
      <c r="H408" t="str">
        <f>"TxTag"</f>
        <v>TxTag</v>
      </c>
    </row>
    <row r="409" spans="1:8" x14ac:dyDescent="0.25">
      <c r="E409" t="str">
        <f>""</f>
        <v/>
      </c>
      <c r="F409" t="str">
        <f>""</f>
        <v/>
      </c>
      <c r="H409" t="str">
        <f>"TxTag"</f>
        <v>TxTag</v>
      </c>
    </row>
    <row r="410" spans="1:8" x14ac:dyDescent="0.25">
      <c r="A410" t="s">
        <v>126</v>
      </c>
      <c r="B410">
        <v>0</v>
      </c>
      <c r="C410" s="2">
        <v>700.67</v>
      </c>
      <c r="D410" s="1">
        <v>43290</v>
      </c>
      <c r="E410" t="str">
        <f>"ACCT#XXXX XXXX0574"</f>
        <v>ACCT#XXXX XXXX0574</v>
      </c>
      <c r="F410" t="str">
        <f>"0574 STATEMENT"</f>
        <v>0574 STATEMENT</v>
      </c>
      <c r="G410" s="3">
        <v>700.67</v>
      </c>
      <c r="H410" t="str">
        <f>"FAIRFIELS INN"</f>
        <v>FAIRFIELS INN</v>
      </c>
    </row>
    <row r="411" spans="1:8" x14ac:dyDescent="0.25">
      <c r="E411" t="str">
        <f>""</f>
        <v/>
      </c>
      <c r="F411" t="str">
        <f>""</f>
        <v/>
      </c>
      <c r="H411" t="str">
        <f>"AMERICAN AIRLINE"</f>
        <v>AMERICAN AIRLINE</v>
      </c>
    </row>
    <row r="412" spans="1:8" x14ac:dyDescent="0.25">
      <c r="E412" t="str">
        <f>""</f>
        <v/>
      </c>
      <c r="F412" t="str">
        <f>""</f>
        <v/>
      </c>
      <c r="H412" t="str">
        <f>"STAPLES"</f>
        <v>STAPLES</v>
      </c>
    </row>
    <row r="413" spans="1:8" x14ac:dyDescent="0.25">
      <c r="A413" t="s">
        <v>127</v>
      </c>
      <c r="B413">
        <v>77456</v>
      </c>
      <c r="C413" s="2">
        <v>125</v>
      </c>
      <c r="D413" s="1">
        <v>43290</v>
      </c>
      <c r="E413" t="str">
        <f>"201807031874"</f>
        <v>201807031874</v>
      </c>
      <c r="F413" t="str">
        <f>"ASSOCIATION DUES"</f>
        <v>ASSOCIATION DUES</v>
      </c>
      <c r="G413" s="3">
        <v>125</v>
      </c>
    </row>
    <row r="414" spans="1:8" x14ac:dyDescent="0.25">
      <c r="A414" t="s">
        <v>128</v>
      </c>
      <c r="B414">
        <v>999999</v>
      </c>
      <c r="C414" s="2">
        <v>1867.44</v>
      </c>
      <c r="D414" s="1">
        <v>43291</v>
      </c>
      <c r="E414" t="str">
        <f>"NCX6150"</f>
        <v>NCX6150</v>
      </c>
      <c r="F414" t="str">
        <f>"Cannon DR C240 scanner"</f>
        <v>Cannon DR C240 scanner</v>
      </c>
      <c r="G414" s="3">
        <v>1836.6</v>
      </c>
      <c r="H414" t="str">
        <f>"Price"</f>
        <v>Price</v>
      </c>
    </row>
    <row r="415" spans="1:8" x14ac:dyDescent="0.25">
      <c r="E415" t="str">
        <f>"NDR4708"</f>
        <v>NDR4708</v>
      </c>
      <c r="F415" t="str">
        <f>"CUST#9566243/HDMI CABLES"</f>
        <v>CUST#9566243/HDMI CABLES</v>
      </c>
      <c r="G415" s="3">
        <v>30.84</v>
      </c>
      <c r="H415" t="str">
        <f>"CUST#9566243/HDMI CABLES"</f>
        <v>CUST#9566243/HDMI CABLES</v>
      </c>
    </row>
    <row r="416" spans="1:8" x14ac:dyDescent="0.25">
      <c r="A416" t="s">
        <v>129</v>
      </c>
      <c r="B416">
        <v>999999</v>
      </c>
      <c r="C416" s="2">
        <v>88</v>
      </c>
      <c r="D416" s="1">
        <v>43305</v>
      </c>
      <c r="E416" t="str">
        <f>"22389"</f>
        <v>22389</v>
      </c>
      <c r="F416" t="str">
        <f>"ANGLE/PCT#2"</f>
        <v>ANGLE/PCT#2</v>
      </c>
      <c r="G416" s="3">
        <v>88</v>
      </c>
      <c r="H416" t="str">
        <f>"ANGLE/PCT#2"</f>
        <v>ANGLE/PCT#2</v>
      </c>
    </row>
    <row r="417" spans="1:8" x14ac:dyDescent="0.25">
      <c r="A417" t="s">
        <v>130</v>
      </c>
      <c r="B417">
        <v>77420</v>
      </c>
      <c r="C417" s="2">
        <v>1375.88</v>
      </c>
      <c r="D417" s="1">
        <v>43286</v>
      </c>
      <c r="E417" t="str">
        <f>"201807051925"</f>
        <v>201807051925</v>
      </c>
      <c r="F417" t="str">
        <f>"ACCT#8000081165-5/06192018"</f>
        <v>ACCT#8000081165-5/06192018</v>
      </c>
      <c r="G417" s="3">
        <v>1375.88</v>
      </c>
      <c r="H417" t="str">
        <f>"ACCT#8000081165-5/06192018"</f>
        <v>ACCT#8000081165-5/06192018</v>
      </c>
    </row>
    <row r="418" spans="1:8" x14ac:dyDescent="0.25">
      <c r="E418" t="str">
        <f>""</f>
        <v/>
      </c>
      <c r="F418" t="str">
        <f>""</f>
        <v/>
      </c>
      <c r="H418" t="str">
        <f>"ACCT#8000081165-5/06192018"</f>
        <v>ACCT#8000081165-5/06192018</v>
      </c>
    </row>
    <row r="419" spans="1:8" x14ac:dyDescent="0.25">
      <c r="A419" t="s">
        <v>130</v>
      </c>
      <c r="B419">
        <v>77848</v>
      </c>
      <c r="C419" s="2">
        <v>1376.6</v>
      </c>
      <c r="D419" s="1">
        <v>43307</v>
      </c>
      <c r="E419" t="str">
        <f>"201807262400"</f>
        <v>201807262400</v>
      </c>
      <c r="F419" t="str">
        <f>"ACCT#8000081165-5/07202018"</f>
        <v>ACCT#8000081165-5/07202018</v>
      </c>
      <c r="G419" s="3">
        <v>1376.6</v>
      </c>
      <c r="H419" t="str">
        <f>"ACCT#8000081165-5/07202018"</f>
        <v>ACCT#8000081165-5/07202018</v>
      </c>
    </row>
    <row r="420" spans="1:8" x14ac:dyDescent="0.25">
      <c r="E420" t="str">
        <f>""</f>
        <v/>
      </c>
      <c r="F420" t="str">
        <f>""</f>
        <v/>
      </c>
      <c r="H420" t="str">
        <f>"ACCT#8000081165-5/07202018"</f>
        <v>ACCT#8000081165-5/07202018</v>
      </c>
    </row>
    <row r="421" spans="1:8" x14ac:dyDescent="0.25">
      <c r="A421" t="s">
        <v>131</v>
      </c>
      <c r="B421">
        <v>77457</v>
      </c>
      <c r="C421" s="2">
        <v>34364.78</v>
      </c>
      <c r="D421" s="1">
        <v>43290</v>
      </c>
      <c r="E421" t="str">
        <f>"30126513"</f>
        <v>30126513</v>
      </c>
      <c r="F421" t="str">
        <f t="shared" ref="F421:F429" si="2">"CUST#BASPCT2/ORD#37-18894/P2"</f>
        <v>CUST#BASPCT2/ORD#37-18894/P2</v>
      </c>
      <c r="G421" s="3">
        <v>2787.54</v>
      </c>
      <c r="H421" t="str">
        <f t="shared" ref="H421:H429" si="3">"CUST#BASPCT2/ORD#37-18894/P2"</f>
        <v>CUST#BASPCT2/ORD#37-18894/P2</v>
      </c>
    </row>
    <row r="422" spans="1:8" x14ac:dyDescent="0.25">
      <c r="E422" t="str">
        <f>"30126543"</f>
        <v>30126543</v>
      </c>
      <c r="F422" t="str">
        <f t="shared" si="2"/>
        <v>CUST#BASPCT2/ORD#37-18894/P2</v>
      </c>
      <c r="G422" s="3">
        <v>2802.66</v>
      </c>
      <c r="H422" t="str">
        <f t="shared" si="3"/>
        <v>CUST#BASPCT2/ORD#37-18894/P2</v>
      </c>
    </row>
    <row r="423" spans="1:8" x14ac:dyDescent="0.25">
      <c r="E423" t="str">
        <f>"30126574"</f>
        <v>30126574</v>
      </c>
      <c r="F423" t="str">
        <f t="shared" si="2"/>
        <v>CUST#BASPCT2/ORD#37-18894/P2</v>
      </c>
      <c r="G423" s="3">
        <v>2778.09</v>
      </c>
      <c r="H423" t="str">
        <f t="shared" si="3"/>
        <v>CUST#BASPCT2/ORD#37-18894/P2</v>
      </c>
    </row>
    <row r="424" spans="1:8" x14ac:dyDescent="0.25">
      <c r="E424" t="str">
        <f>"30126598"</f>
        <v>30126598</v>
      </c>
      <c r="F424" t="str">
        <f t="shared" si="2"/>
        <v>CUST#BASPCT2/ORD#37-18894/P2</v>
      </c>
      <c r="G424" s="3">
        <v>2811.06</v>
      </c>
      <c r="H424" t="str">
        <f t="shared" si="3"/>
        <v>CUST#BASPCT2/ORD#37-18894/P2</v>
      </c>
    </row>
    <row r="425" spans="1:8" x14ac:dyDescent="0.25">
      <c r="E425" t="str">
        <f>"30126661"</f>
        <v>30126661</v>
      </c>
      <c r="F425" t="str">
        <f t="shared" si="2"/>
        <v>CUST#BASPCT2/ORD#37-18894/P2</v>
      </c>
      <c r="G425" s="3">
        <v>2774.31</v>
      </c>
      <c r="H425" t="str">
        <f t="shared" si="3"/>
        <v>CUST#BASPCT2/ORD#37-18894/P2</v>
      </c>
    </row>
    <row r="426" spans="1:8" x14ac:dyDescent="0.25">
      <c r="E426" t="str">
        <f>"30126676"</f>
        <v>30126676</v>
      </c>
      <c r="F426" t="str">
        <f t="shared" si="2"/>
        <v>CUST#BASPCT2/ORD#37-18894/P2</v>
      </c>
      <c r="G426" s="3">
        <v>3739.68</v>
      </c>
      <c r="H426" t="str">
        <f t="shared" si="3"/>
        <v>CUST#BASPCT2/ORD#37-18894/P2</v>
      </c>
    </row>
    <row r="427" spans="1:8" x14ac:dyDescent="0.25">
      <c r="E427" t="str">
        <f>"30126691"</f>
        <v>30126691</v>
      </c>
      <c r="F427" t="str">
        <f t="shared" si="2"/>
        <v>CUST#BASPCT2/ORD#37-18894/P2</v>
      </c>
      <c r="G427" s="3">
        <v>4190.76</v>
      </c>
      <c r="H427" t="str">
        <f t="shared" si="3"/>
        <v>CUST#BASPCT2/ORD#37-18894/P2</v>
      </c>
    </row>
    <row r="428" spans="1:8" x14ac:dyDescent="0.25">
      <c r="E428" t="str">
        <f>"30126704"</f>
        <v>30126704</v>
      </c>
      <c r="F428" t="str">
        <f t="shared" si="2"/>
        <v>CUST#BASPCT2/ORD#37-18894/P2</v>
      </c>
      <c r="G428" s="3">
        <v>4170.3900000000003</v>
      </c>
      <c r="H428" t="str">
        <f t="shared" si="3"/>
        <v>CUST#BASPCT2/ORD#37-18894/P2</v>
      </c>
    </row>
    <row r="429" spans="1:8" x14ac:dyDescent="0.25">
      <c r="E429" t="str">
        <f>"30126769"</f>
        <v>30126769</v>
      </c>
      <c r="F429" t="str">
        <f t="shared" si="2"/>
        <v>CUST#BASPCT2/ORD#37-18894/P2</v>
      </c>
      <c r="G429" s="3">
        <v>3256.89</v>
      </c>
      <c r="H429" t="str">
        <f t="shared" si="3"/>
        <v>CUST#BASPCT2/ORD#37-18894/P2</v>
      </c>
    </row>
    <row r="430" spans="1:8" x14ac:dyDescent="0.25">
      <c r="E430" t="str">
        <f>"30126844"</f>
        <v>30126844</v>
      </c>
      <c r="F430" t="str">
        <f>"CUST#BASPCT1/ORD#37-19558/PCT1"</f>
        <v>CUST#BASPCT1/ORD#37-19558/PCT1</v>
      </c>
      <c r="G430" s="3">
        <v>413.87</v>
      </c>
      <c r="H430" t="str">
        <f>"CUST#BASPCT1/ORD#37-19558/PCT1"</f>
        <v>CUST#BASPCT1/ORD#37-19558/PCT1</v>
      </c>
    </row>
    <row r="431" spans="1:8" x14ac:dyDescent="0.25">
      <c r="E431" t="str">
        <f>"30126845"</f>
        <v>30126845</v>
      </c>
      <c r="F431" t="str">
        <f>"CUST#BASPCT2/ORD#37-18894/PCT2"</f>
        <v>CUST#BASPCT2/ORD#37-18894/PCT2</v>
      </c>
      <c r="G431" s="3">
        <v>4639.53</v>
      </c>
      <c r="H431" t="str">
        <f>"CUST#BASPCT2/ORD#37-18894/PCT2"</f>
        <v>CUST#BASPCT2/ORD#37-18894/PCT2</v>
      </c>
    </row>
    <row r="432" spans="1:8" x14ac:dyDescent="0.25">
      <c r="A432" t="s">
        <v>131</v>
      </c>
      <c r="B432">
        <v>77689</v>
      </c>
      <c r="C432" s="2">
        <v>6350.3</v>
      </c>
      <c r="D432" s="1">
        <v>43304</v>
      </c>
      <c r="E432" t="str">
        <f>"30126814"</f>
        <v>30126814</v>
      </c>
      <c r="F432" t="str">
        <f>"CUST#BASPCT2/ORD#37-18894/P2"</f>
        <v>CUST#BASPCT2/ORD#37-18894/P2</v>
      </c>
      <c r="G432" s="3">
        <v>2791.32</v>
      </c>
      <c r="H432" t="str">
        <f>"CUST#BASPCT2/ORD#37-18894/P2"</f>
        <v>CUST#BASPCT2/ORD#37-18894/P2</v>
      </c>
    </row>
    <row r="433" spans="1:8" x14ac:dyDescent="0.25">
      <c r="E433" t="str">
        <f>"30126953"</f>
        <v>30126953</v>
      </c>
      <c r="F433" t="str">
        <f>"CUST#BASPCT2/ORD#37-18894/P2"</f>
        <v>CUST#BASPCT2/ORD#37-18894/P2</v>
      </c>
      <c r="G433" s="3">
        <v>2339.4</v>
      </c>
      <c r="H433" t="str">
        <f>"CUST#BASPCT2/ORD#37-18894/P2"</f>
        <v>CUST#BASPCT2/ORD#37-18894/P2</v>
      </c>
    </row>
    <row r="434" spans="1:8" x14ac:dyDescent="0.25">
      <c r="E434" t="str">
        <f>"30127062"</f>
        <v>30127062</v>
      </c>
      <c r="F434" t="str">
        <f>"CUST#BASPCT1/ORD#37-19558/P1"</f>
        <v>CUST#BASPCT1/ORD#37-19558/P1</v>
      </c>
      <c r="G434" s="3">
        <v>1219.58</v>
      </c>
      <c r="H434" t="str">
        <f>"CUST#BASPCT1/ORD#37-19558/P1"</f>
        <v>CUST#BASPCT1/ORD#37-19558/P1</v>
      </c>
    </row>
    <row r="435" spans="1:8" x14ac:dyDescent="0.25">
      <c r="A435" t="s">
        <v>132</v>
      </c>
      <c r="B435">
        <v>999999</v>
      </c>
      <c r="C435" s="2">
        <v>784.1</v>
      </c>
      <c r="D435" s="1">
        <v>43291</v>
      </c>
      <c r="E435" t="str">
        <f>"0000048254"</f>
        <v>0000048254</v>
      </c>
      <c r="F435" t="str">
        <f>"CHARGED SYSTEM/OEM"</f>
        <v>CHARGED SYSTEM/OEM</v>
      </c>
      <c r="G435" s="3">
        <v>619.1</v>
      </c>
      <c r="H435" t="str">
        <f>"DIAGNOSTICS/SVC CALL/OEM"</f>
        <v>DIAGNOSTICS/SVC CALL/OEM</v>
      </c>
    </row>
    <row r="436" spans="1:8" x14ac:dyDescent="0.25">
      <c r="E436" t="str">
        <f>"0000048473"</f>
        <v>0000048473</v>
      </c>
      <c r="F436" t="str">
        <f>"CONDENSER CLEANING/DPS BLDG"</f>
        <v>CONDENSER CLEANING/DPS BLDG</v>
      </c>
      <c r="G436" s="3">
        <v>165</v>
      </c>
      <c r="H436" t="str">
        <f>"CONDENSER CLEANING/DPS BLDG"</f>
        <v>CONDENSER CLEANING/DPS BLDG</v>
      </c>
    </row>
    <row r="437" spans="1:8" x14ac:dyDescent="0.25">
      <c r="A437" t="s">
        <v>133</v>
      </c>
      <c r="B437">
        <v>77458</v>
      </c>
      <c r="C437" s="2">
        <v>2100</v>
      </c>
      <c r="D437" s="1">
        <v>43290</v>
      </c>
      <c r="E437" t="str">
        <f>"12351"</f>
        <v>12351</v>
      </c>
      <c r="F437" t="str">
        <f>"CTA 008-18/K.H. YOUNG/01/03/18"</f>
        <v>CTA 008-18/K.H. YOUNG/01/03/18</v>
      </c>
      <c r="G437" s="3">
        <v>2100</v>
      </c>
      <c r="H437" t="str">
        <f>"CTA 008-18/K.H. YOUNG/01/03/18"</f>
        <v>CTA 008-18/K.H. YOUNG/01/03/18</v>
      </c>
    </row>
    <row r="438" spans="1:8" x14ac:dyDescent="0.25">
      <c r="A438" t="s">
        <v>133</v>
      </c>
      <c r="B438">
        <v>77690</v>
      </c>
      <c r="C438" s="2">
        <v>2100</v>
      </c>
      <c r="D438" s="1">
        <v>43304</v>
      </c>
      <c r="E438" t="str">
        <f>"12310"</f>
        <v>12310</v>
      </c>
      <c r="F438" t="str">
        <f>"CTA141-18 R.W. JACKSON"</f>
        <v>CTA141-18 R.W. JACKSON</v>
      </c>
      <c r="G438" s="3">
        <v>2100</v>
      </c>
      <c r="H438" t="str">
        <f>"CTA141-18 R.W. JACKSON"</f>
        <v>CTA141-18 R.W. JACKSON</v>
      </c>
    </row>
    <row r="439" spans="1:8" x14ac:dyDescent="0.25">
      <c r="A439" t="s">
        <v>134</v>
      </c>
      <c r="B439">
        <v>77459</v>
      </c>
      <c r="C439" s="2">
        <v>275</v>
      </c>
      <c r="D439" s="1">
        <v>43290</v>
      </c>
      <c r="E439" t="str">
        <f>"201807031815"</f>
        <v>201807031815</v>
      </c>
      <c r="F439" t="str">
        <f>"18-18966"</f>
        <v>18-18966</v>
      </c>
      <c r="G439" s="3">
        <v>100</v>
      </c>
      <c r="H439" t="str">
        <f>"18-18966"</f>
        <v>18-18966</v>
      </c>
    </row>
    <row r="440" spans="1:8" x14ac:dyDescent="0.25">
      <c r="E440" t="str">
        <f>"201807031816"</f>
        <v>201807031816</v>
      </c>
      <c r="F440" t="str">
        <f>"17-18579"</f>
        <v>17-18579</v>
      </c>
      <c r="G440" s="3">
        <v>175</v>
      </c>
      <c r="H440" t="str">
        <f>"17-18579"</f>
        <v>17-18579</v>
      </c>
    </row>
    <row r="441" spans="1:8" x14ac:dyDescent="0.25">
      <c r="A441" t="s">
        <v>135</v>
      </c>
      <c r="B441">
        <v>999999</v>
      </c>
      <c r="C441" s="2">
        <v>171.94</v>
      </c>
      <c r="D441" s="1">
        <v>43291</v>
      </c>
      <c r="E441" t="str">
        <f>"0166307-IN"</f>
        <v>0166307-IN</v>
      </c>
      <c r="F441" t="str">
        <f>"INV 0166307-IN"</f>
        <v>INV 0166307-IN</v>
      </c>
      <c r="G441" s="3">
        <v>171.94</v>
      </c>
      <c r="H441" t="str">
        <f>"INV 0166307-IN"</f>
        <v>INV 0166307-IN</v>
      </c>
    </row>
    <row r="442" spans="1:8" x14ac:dyDescent="0.25">
      <c r="A442" t="s">
        <v>135</v>
      </c>
      <c r="B442">
        <v>999999</v>
      </c>
      <c r="C442" s="2">
        <v>180.06</v>
      </c>
      <c r="D442" s="1">
        <v>43305</v>
      </c>
      <c r="E442" t="str">
        <f>"0167355-IN"</f>
        <v>0167355-IN</v>
      </c>
      <c r="F442" t="str">
        <f>"INV 0167355-IN"</f>
        <v>INV 0167355-IN</v>
      </c>
      <c r="G442" s="3">
        <v>180.06</v>
      </c>
      <c r="H442" t="str">
        <f>"INV 0167355-IN"</f>
        <v>INV 0167355-IN</v>
      </c>
    </row>
    <row r="443" spans="1:8" x14ac:dyDescent="0.25">
      <c r="A443" t="s">
        <v>136</v>
      </c>
      <c r="B443">
        <v>999999</v>
      </c>
      <c r="C443" s="2">
        <v>3600</v>
      </c>
      <c r="D443" s="1">
        <v>43291</v>
      </c>
      <c r="E443" t="str">
        <f>"201806281736"</f>
        <v>201806281736</v>
      </c>
      <c r="F443" t="str">
        <f>"16 205"</f>
        <v>16 205</v>
      </c>
      <c r="G443" s="3">
        <v>400</v>
      </c>
      <c r="H443" t="str">
        <f>"16 205"</f>
        <v>16 205</v>
      </c>
    </row>
    <row r="444" spans="1:8" x14ac:dyDescent="0.25">
      <c r="E444" t="str">
        <f>"201806281737"</f>
        <v>201806281737</v>
      </c>
      <c r="F444" t="str">
        <f>"16 532"</f>
        <v>16 532</v>
      </c>
      <c r="G444" s="3">
        <v>400</v>
      </c>
      <c r="H444" t="str">
        <f>"16 532"</f>
        <v>16 532</v>
      </c>
    </row>
    <row r="445" spans="1:8" x14ac:dyDescent="0.25">
      <c r="E445" t="str">
        <f>"201806291757"</f>
        <v>201806291757</v>
      </c>
      <c r="F445" t="str">
        <f>"423-5802"</f>
        <v>423-5802</v>
      </c>
      <c r="G445" s="3">
        <v>100</v>
      </c>
      <c r="H445" t="str">
        <f>"423-5802"</f>
        <v>423-5802</v>
      </c>
    </row>
    <row r="446" spans="1:8" x14ac:dyDescent="0.25">
      <c r="E446" t="str">
        <f>"201806291758"</f>
        <v>201806291758</v>
      </c>
      <c r="F446" t="str">
        <f>"810-21"</f>
        <v>810-21</v>
      </c>
      <c r="G446" s="3">
        <v>100</v>
      </c>
      <c r="H446" t="str">
        <f>"810-21"</f>
        <v>810-21</v>
      </c>
    </row>
    <row r="447" spans="1:8" x14ac:dyDescent="0.25">
      <c r="E447" t="str">
        <f>"201806291759"</f>
        <v>201806291759</v>
      </c>
      <c r="F447" t="str">
        <f>"808-335"</f>
        <v>808-335</v>
      </c>
      <c r="G447" s="3">
        <v>100</v>
      </c>
      <c r="H447" t="str">
        <f>"808-335"</f>
        <v>808-335</v>
      </c>
    </row>
    <row r="448" spans="1:8" x14ac:dyDescent="0.25">
      <c r="E448" t="str">
        <f>"201806291760"</f>
        <v>201806291760</v>
      </c>
      <c r="F448" t="str">
        <f>"02-0409-3"</f>
        <v>02-0409-3</v>
      </c>
      <c r="G448" s="3">
        <v>400</v>
      </c>
      <c r="H448" t="str">
        <f>"02-0409-3"</f>
        <v>02-0409-3</v>
      </c>
    </row>
    <row r="449" spans="1:8" x14ac:dyDescent="0.25">
      <c r="E449" t="str">
        <f>"201806291761"</f>
        <v>201806291761</v>
      </c>
      <c r="F449" t="str">
        <f>"16 565"</f>
        <v>16 565</v>
      </c>
      <c r="G449" s="3">
        <v>400</v>
      </c>
      <c r="H449" t="str">
        <f>"16 565"</f>
        <v>16 565</v>
      </c>
    </row>
    <row r="450" spans="1:8" x14ac:dyDescent="0.25">
      <c r="E450" t="str">
        <f>"201807031822"</f>
        <v>201807031822</v>
      </c>
      <c r="F450" t="str">
        <f>"303112018J  303112018U"</f>
        <v>303112018J  303112018U</v>
      </c>
      <c r="G450" s="3">
        <v>375</v>
      </c>
      <c r="H450" t="str">
        <f>"303112018J  303112018U"</f>
        <v>303112018J  303112018U</v>
      </c>
    </row>
    <row r="451" spans="1:8" x14ac:dyDescent="0.25">
      <c r="E451" t="str">
        <f>"201807031823"</f>
        <v>201807031823</v>
      </c>
      <c r="F451" t="str">
        <f>"55 367"</f>
        <v>55 367</v>
      </c>
      <c r="G451" s="3">
        <v>250</v>
      </c>
      <c r="H451" t="str">
        <f>"55 367"</f>
        <v>55 367</v>
      </c>
    </row>
    <row r="452" spans="1:8" x14ac:dyDescent="0.25">
      <c r="E452" t="str">
        <f>"201807031824"</f>
        <v>201807031824</v>
      </c>
      <c r="F452" t="str">
        <f>"56 080 56 081 02-1022-4 02-102"</f>
        <v>56 080 56 081 02-1022-4 02-102</v>
      </c>
      <c r="G452" s="3">
        <v>625</v>
      </c>
      <c r="H452" t="str">
        <f>"56 080 56 081 02-1022-4 02-102"</f>
        <v>56 080 56 081 02-1022-4 02-102</v>
      </c>
    </row>
    <row r="453" spans="1:8" x14ac:dyDescent="0.25">
      <c r="E453" t="str">
        <f>"201807031825"</f>
        <v>201807031825</v>
      </c>
      <c r="F453" t="str">
        <f>"56 126"</f>
        <v>56 126</v>
      </c>
      <c r="G453" s="3">
        <v>250</v>
      </c>
      <c r="H453" t="str">
        <f>"56 126"</f>
        <v>56 126</v>
      </c>
    </row>
    <row r="454" spans="1:8" x14ac:dyDescent="0.25">
      <c r="E454" t="str">
        <f>"201807031826"</f>
        <v>201807031826</v>
      </c>
      <c r="F454" t="str">
        <f>"18-18996"</f>
        <v>18-18996</v>
      </c>
      <c r="G454" s="3">
        <v>100</v>
      </c>
      <c r="H454" t="str">
        <f>"18-18996"</f>
        <v>18-18996</v>
      </c>
    </row>
    <row r="455" spans="1:8" x14ac:dyDescent="0.25">
      <c r="E455" t="str">
        <f>"201807031827"</f>
        <v>201807031827</v>
      </c>
      <c r="F455" t="str">
        <f>"18-18824"</f>
        <v>18-18824</v>
      </c>
      <c r="G455" s="3">
        <v>100</v>
      </c>
      <c r="H455" t="str">
        <f>"18-18824"</f>
        <v>18-18824</v>
      </c>
    </row>
    <row r="456" spans="1:8" x14ac:dyDescent="0.25">
      <c r="A456" t="s">
        <v>136</v>
      </c>
      <c r="B456">
        <v>999999</v>
      </c>
      <c r="C456" s="2">
        <v>2075</v>
      </c>
      <c r="D456" s="1">
        <v>43305</v>
      </c>
      <c r="E456" t="str">
        <f>"201807132201"</f>
        <v>201807132201</v>
      </c>
      <c r="F456" t="str">
        <f>"16 350"</f>
        <v>16 350</v>
      </c>
      <c r="G456" s="3">
        <v>1500</v>
      </c>
      <c r="H456" t="str">
        <f>"16 350"</f>
        <v>16 350</v>
      </c>
    </row>
    <row r="457" spans="1:8" x14ac:dyDescent="0.25">
      <c r="E457" t="str">
        <f>"201807132202"</f>
        <v>201807132202</v>
      </c>
      <c r="F457" t="str">
        <f>"14 427"</f>
        <v>14 427</v>
      </c>
      <c r="G457" s="3">
        <v>400</v>
      </c>
      <c r="H457" t="str">
        <f>"14 427"</f>
        <v>14 427</v>
      </c>
    </row>
    <row r="458" spans="1:8" x14ac:dyDescent="0.25">
      <c r="E458" t="str">
        <f>"201807182331"</f>
        <v>201807182331</v>
      </c>
      <c r="F458" t="str">
        <f>"17-18646"</f>
        <v>17-18646</v>
      </c>
      <c r="G458" s="3">
        <v>175</v>
      </c>
      <c r="H458" t="str">
        <f>"17-18646"</f>
        <v>17-18646</v>
      </c>
    </row>
    <row r="459" spans="1:8" x14ac:dyDescent="0.25">
      <c r="A459" t="s">
        <v>137</v>
      </c>
      <c r="B459">
        <v>77691</v>
      </c>
      <c r="C459" s="2">
        <v>43.74</v>
      </c>
      <c r="D459" s="1">
        <v>43304</v>
      </c>
      <c r="E459" t="str">
        <f>"5011146252"</f>
        <v>5011146252</v>
      </c>
      <c r="F459" t="str">
        <f>"CUST#0011167190/PCT#1"</f>
        <v>CUST#0011167190/PCT#1</v>
      </c>
      <c r="G459" s="3">
        <v>43.74</v>
      </c>
      <c r="H459" t="str">
        <f>"CUST#0011167190/PCT#1"</f>
        <v>CUST#0011167190/PCT#1</v>
      </c>
    </row>
    <row r="460" spans="1:8" x14ac:dyDescent="0.25">
      <c r="A460" t="s">
        <v>138</v>
      </c>
      <c r="B460">
        <v>77460</v>
      </c>
      <c r="C460" s="2">
        <v>381.64</v>
      </c>
      <c r="D460" s="1">
        <v>43290</v>
      </c>
      <c r="E460" t="str">
        <f>"8403699123"</f>
        <v>8403699123</v>
      </c>
      <c r="F460" t="str">
        <f>"CUST#10377368/PCT#3"</f>
        <v>CUST#10377368/PCT#3</v>
      </c>
      <c r="G460" s="3">
        <v>381.64</v>
      </c>
      <c r="H460" t="str">
        <f>"CUST#10377368/PCT#3"</f>
        <v>CUST#10377368/PCT#3</v>
      </c>
    </row>
    <row r="461" spans="1:8" x14ac:dyDescent="0.25">
      <c r="A461" t="s">
        <v>139</v>
      </c>
      <c r="B461">
        <v>77461</v>
      </c>
      <c r="C461" s="2">
        <v>1368.73</v>
      </c>
      <c r="D461" s="1">
        <v>43290</v>
      </c>
      <c r="E461" t="str">
        <f>"201806281734"</f>
        <v>201806281734</v>
      </c>
      <c r="F461" t="str">
        <f>"ACCT#086-11381/GEN SVCS"</f>
        <v>ACCT#086-11381/GEN SVCS</v>
      </c>
      <c r="G461" s="3">
        <v>1368.73</v>
      </c>
      <c r="H461" t="str">
        <f>"ACCT#086-11381/GEN SVCS"</f>
        <v>ACCT#086-11381/GEN SVCS</v>
      </c>
    </row>
    <row r="462" spans="1:8" x14ac:dyDescent="0.25">
      <c r="A462" t="s">
        <v>138</v>
      </c>
      <c r="B462">
        <v>77692</v>
      </c>
      <c r="C462" s="2">
        <v>87.32</v>
      </c>
      <c r="D462" s="1">
        <v>43304</v>
      </c>
      <c r="E462" t="str">
        <f>"8403728281"</f>
        <v>8403728281</v>
      </c>
      <c r="F462" t="str">
        <f>"CUST#10377368/PCT#2"</f>
        <v>CUST#10377368/PCT#2</v>
      </c>
      <c r="G462" s="3">
        <v>87.32</v>
      </c>
      <c r="H462" t="str">
        <f>"CUST#10377368/PCT#2"</f>
        <v>CUST#10377368/PCT#2</v>
      </c>
    </row>
    <row r="463" spans="1:8" x14ac:dyDescent="0.25">
      <c r="A463" t="s">
        <v>139</v>
      </c>
      <c r="B463">
        <v>77693</v>
      </c>
      <c r="C463" s="2">
        <v>4118.5200000000004</v>
      </c>
      <c r="D463" s="1">
        <v>43304</v>
      </c>
      <c r="E463" t="str">
        <f>"201807112185"</f>
        <v>201807112185</v>
      </c>
      <c r="F463" t="str">
        <f>"ACCT#086-11458/ANIMAL SHELTER"</f>
        <v>ACCT#086-11458/ANIMAL SHELTER</v>
      </c>
      <c r="G463" s="3">
        <v>169.17</v>
      </c>
      <c r="H463" t="str">
        <f>"ACCT#086-11458/ANIMAL SHELTER"</f>
        <v>ACCT#086-11458/ANIMAL SHELTER</v>
      </c>
    </row>
    <row r="464" spans="1:8" x14ac:dyDescent="0.25">
      <c r="E464" t="str">
        <f>"201807132211"</f>
        <v>201807132211</v>
      </c>
      <c r="F464" t="str">
        <f>"ACCT#086-11451"</f>
        <v>ACCT#086-11451</v>
      </c>
      <c r="G464" s="3">
        <v>41.56</v>
      </c>
      <c r="H464" t="str">
        <f>"ACCT#086-11451"</f>
        <v>ACCT#086-11451</v>
      </c>
    </row>
    <row r="465" spans="1:8" x14ac:dyDescent="0.25">
      <c r="E465" t="str">
        <f>"201807132213"</f>
        <v>201807132213</v>
      </c>
      <c r="F465" t="str">
        <f>"ACCT#086-11451/PCT#1"</f>
        <v>ACCT#086-11451/PCT#1</v>
      </c>
      <c r="G465" s="3">
        <v>611.72</v>
      </c>
      <c r="H465" t="str">
        <f>"ACCT#086-11451/PCT#1"</f>
        <v>ACCT#086-11451/PCT#1</v>
      </c>
    </row>
    <row r="466" spans="1:8" x14ac:dyDescent="0.25">
      <c r="E466" t="str">
        <f>"201807132219"</f>
        <v>201807132219</v>
      </c>
      <c r="F466" t="str">
        <f>"ACCT#086-11375/PCT#2"</f>
        <v>ACCT#086-11375/PCT#2</v>
      </c>
      <c r="G466" s="3">
        <v>821.86</v>
      </c>
      <c r="H466" t="str">
        <f>"ACCT#086-11375/PCT#2"</f>
        <v>ACCT#086-11375/PCT#2</v>
      </c>
    </row>
    <row r="467" spans="1:8" x14ac:dyDescent="0.25">
      <c r="E467" t="str">
        <f>"201807132223"</f>
        <v>201807132223</v>
      </c>
      <c r="F467" t="str">
        <f>"ACCT#086-11386/PCT#4"</f>
        <v>ACCT#086-11386/PCT#4</v>
      </c>
      <c r="G467" s="3">
        <v>1194.3</v>
      </c>
      <c r="H467" t="str">
        <f>"ACCT#086-11386/PCT#4"</f>
        <v>ACCT#086-11386/PCT#4</v>
      </c>
    </row>
    <row r="468" spans="1:8" x14ac:dyDescent="0.25">
      <c r="E468" t="str">
        <f>"201807172247"</f>
        <v>201807172247</v>
      </c>
      <c r="F468" t="str">
        <f>"PAYER#13034093/PCT#3"</f>
        <v>PAYER#13034093/PCT#3</v>
      </c>
      <c r="G468" s="3">
        <v>342.55</v>
      </c>
      <c r="H468" t="str">
        <f>"PAYER#13034093/PCT#3"</f>
        <v>PAYER#13034093/PCT#3</v>
      </c>
    </row>
    <row r="469" spans="1:8" x14ac:dyDescent="0.25">
      <c r="E469" t="str">
        <f>"201807172256"</f>
        <v>201807172256</v>
      </c>
      <c r="F469" t="str">
        <f>"ACCT#086-11381/GEN SVCS"</f>
        <v>ACCT#086-11381/GEN SVCS</v>
      </c>
      <c r="G469" s="3">
        <v>937.36</v>
      </c>
      <c r="H469" t="str">
        <f>"ACCT#086-11381/GEN SVCS"</f>
        <v>ACCT#086-11381/GEN SVCS</v>
      </c>
    </row>
    <row r="470" spans="1:8" x14ac:dyDescent="0.25">
      <c r="A470" t="s">
        <v>140</v>
      </c>
      <c r="B470">
        <v>77462</v>
      </c>
      <c r="C470" s="2">
        <v>102366</v>
      </c>
      <c r="D470" s="1">
        <v>43290</v>
      </c>
      <c r="E470" t="str">
        <f>"201806281730"</f>
        <v>201806281730</v>
      </c>
      <c r="F470" t="str">
        <f>"CITY LAND LEASE COMM. CENTER"</f>
        <v>CITY LAND LEASE COMM. CENTER</v>
      </c>
      <c r="G470" s="3">
        <v>102366</v>
      </c>
      <c r="H470" t="str">
        <f>"CITY LAND LEASE COMM. CENTER"</f>
        <v>CITY LAND LEASE COMM. CENTER</v>
      </c>
    </row>
    <row r="471" spans="1:8" x14ac:dyDescent="0.25">
      <c r="A471" t="s">
        <v>140</v>
      </c>
      <c r="B471">
        <v>77639</v>
      </c>
      <c r="C471" s="2">
        <v>50456.13</v>
      </c>
      <c r="D471" s="1">
        <v>43294</v>
      </c>
      <c r="E471" t="str">
        <f>"201807132192"</f>
        <v>201807132192</v>
      </c>
      <c r="F471" t="str">
        <f>"ACCT# 02-2083-04 / 06292018"</f>
        <v>ACCT# 02-2083-04 / 06292018</v>
      </c>
      <c r="G471" s="3">
        <v>924.24</v>
      </c>
      <c r="H471" t="str">
        <f>"ACCT# 02-2083-04 / 06292018"</f>
        <v>ACCT# 02-2083-04 / 06292018</v>
      </c>
    </row>
    <row r="472" spans="1:8" x14ac:dyDescent="0.25">
      <c r="E472" t="str">
        <f>"201807132193"</f>
        <v>201807132193</v>
      </c>
      <c r="F472" t="str">
        <f>"COUNTY DEVELOPMENT CENTER"</f>
        <v>COUNTY DEVELOPMENT CENTER</v>
      </c>
      <c r="G472" s="3">
        <v>2578.46</v>
      </c>
      <c r="H472" t="str">
        <f>"COUNTY DEVELOPMENT CENTER"</f>
        <v>COUNTY DEVELOPMENT CENTER</v>
      </c>
    </row>
    <row r="473" spans="1:8" x14ac:dyDescent="0.25">
      <c r="E473" t="str">
        <f>"201807132194"</f>
        <v>201807132194</v>
      </c>
      <c r="F473" t="str">
        <f>"LAW ENFORCEMENT CENTER"</f>
        <v>LAW ENFORCEMENT CENTER</v>
      </c>
      <c r="G473" s="3">
        <v>30621.67</v>
      </c>
      <c r="H473" t="str">
        <f>"LAW ENFORCEMENT CENTER"</f>
        <v>LAW ENFORCEMENT CENTER</v>
      </c>
    </row>
    <row r="474" spans="1:8" x14ac:dyDescent="0.25">
      <c r="E474" t="str">
        <f>"201807132195"</f>
        <v>201807132195</v>
      </c>
      <c r="F474" t="str">
        <f>"BASTROP COUNTY COURTHOUSE"</f>
        <v>BASTROP COUNTY COURTHOUSE</v>
      </c>
      <c r="G474" s="3">
        <v>16331.76</v>
      </c>
      <c r="H474" t="str">
        <f>"BASTROP COUNTY COURTHOUSE"</f>
        <v>BASTROP COUNTY COURTHOUSE</v>
      </c>
    </row>
    <row r="475" spans="1:8" x14ac:dyDescent="0.25">
      <c r="A475" t="s">
        <v>140</v>
      </c>
      <c r="B475">
        <v>77694</v>
      </c>
      <c r="C475" s="2">
        <v>500</v>
      </c>
      <c r="D475" s="1">
        <v>43304</v>
      </c>
      <c r="E475" t="str">
        <f>"201807132207"</f>
        <v>201807132207</v>
      </c>
      <c r="F475" t="str">
        <f>"RENTAL-PARKING LOT"</f>
        <v>RENTAL-PARKING LOT</v>
      </c>
      <c r="G475" s="3">
        <v>500</v>
      </c>
      <c r="H475" t="str">
        <f>"RENTAL-PARKING LOT"</f>
        <v>RENTAL-PARKING LOT</v>
      </c>
    </row>
    <row r="476" spans="1:8" x14ac:dyDescent="0.25">
      <c r="A476" t="s">
        <v>141</v>
      </c>
      <c r="B476">
        <v>999999</v>
      </c>
      <c r="C476" s="2">
        <v>2528.09</v>
      </c>
      <c r="D476" s="1">
        <v>43290</v>
      </c>
      <c r="E476" t="str">
        <f>"201807051929"</f>
        <v>201807051929</v>
      </c>
      <c r="F476" t="str">
        <f>"ACCT#007-0000388-000/06262018"</f>
        <v>ACCT#007-0000388-000/06262018</v>
      </c>
      <c r="G476" s="3">
        <v>818.59</v>
      </c>
      <c r="H476" t="str">
        <f>"ACCT#007-0000388-000/06262018"</f>
        <v>ACCT#007-0000388-000/06262018</v>
      </c>
    </row>
    <row r="477" spans="1:8" x14ac:dyDescent="0.25">
      <c r="E477" t="str">
        <f>"201807051930"</f>
        <v>201807051930</v>
      </c>
      <c r="F477" t="str">
        <f>"ACCT#007-0000389-000/06262018"</f>
        <v>ACCT#007-0000389-000/06262018</v>
      </c>
      <c r="G477" s="3">
        <v>23.56</v>
      </c>
      <c r="H477" t="str">
        <f>"ACCT#007-0000389-000/06262018"</f>
        <v>ACCT#007-0000389-000/06262018</v>
      </c>
    </row>
    <row r="478" spans="1:8" x14ac:dyDescent="0.25">
      <c r="E478" t="str">
        <f>"201807051931"</f>
        <v>201807051931</v>
      </c>
      <c r="F478" t="str">
        <f>"ACCT#044-0001240-000/06262018"</f>
        <v>ACCT#044-0001240-000/06262018</v>
      </c>
      <c r="G478" s="3">
        <v>470.26</v>
      </c>
      <c r="H478" t="str">
        <f>"ACCT#044-0001240-000/06262018"</f>
        <v>ACCT#044-0001240-000/06262018</v>
      </c>
    </row>
    <row r="479" spans="1:8" x14ac:dyDescent="0.25">
      <c r="E479" t="str">
        <f>"201807051932"</f>
        <v>201807051932</v>
      </c>
      <c r="F479" t="str">
        <f>"ACCT#044-0001250-000/06262018"</f>
        <v>ACCT#044-0001250-000/06262018</v>
      </c>
      <c r="G479" s="3">
        <v>113.01</v>
      </c>
      <c r="H479" t="str">
        <f>"ACCT#044-0001250-000/06262018"</f>
        <v>ACCT#044-0001250-000/06262018</v>
      </c>
    </row>
    <row r="480" spans="1:8" x14ac:dyDescent="0.25">
      <c r="E480" t="str">
        <f>"201807051933"</f>
        <v>201807051933</v>
      </c>
      <c r="F480" t="str">
        <f>"ACCT#044-0001252-000/06262018"</f>
        <v>ACCT#044-0001252-000/06262018</v>
      </c>
      <c r="G480" s="3">
        <v>836.84</v>
      </c>
      <c r="H480" t="str">
        <f>"ACCT#044-0001252-000/06262018"</f>
        <v>ACCT#044-0001252-000/06262018</v>
      </c>
    </row>
    <row r="481" spans="1:8" x14ac:dyDescent="0.25">
      <c r="E481" t="str">
        <f>"201807051934"</f>
        <v>201807051934</v>
      </c>
      <c r="F481" t="str">
        <f>"ACCT#044-0001253-000/06262018"</f>
        <v>ACCT#044-0001253-000/06262018</v>
      </c>
      <c r="G481" s="3">
        <v>265.83</v>
      </c>
      <c r="H481" t="str">
        <f>"ACCT#044-0001253-000/06262018"</f>
        <v>ACCT#044-0001253-000/06262018</v>
      </c>
    </row>
    <row r="482" spans="1:8" x14ac:dyDescent="0.25">
      <c r="A482" t="s">
        <v>142</v>
      </c>
      <c r="B482">
        <v>999999</v>
      </c>
      <c r="C482" s="2">
        <v>464</v>
      </c>
      <c r="D482" s="1">
        <v>43291</v>
      </c>
      <c r="E482" t="str">
        <f>"PMA-0041019"</f>
        <v>PMA-0041019</v>
      </c>
      <c r="F482" t="str">
        <f>"AGREEMENT#PMA-010647"</f>
        <v>AGREEMENT#PMA-010647</v>
      </c>
      <c r="G482" s="3">
        <v>151</v>
      </c>
      <c r="H482" t="str">
        <f>"AGREEMENT#PMA-010647"</f>
        <v>AGREEMENT#PMA-010647</v>
      </c>
    </row>
    <row r="483" spans="1:8" x14ac:dyDescent="0.25">
      <c r="E483" t="str">
        <f>"PMA-0041020"</f>
        <v>PMA-0041020</v>
      </c>
      <c r="F483" t="str">
        <f>"AGREEMENT#PMA-010644"</f>
        <v>AGREEMENT#PMA-010644</v>
      </c>
      <c r="G483" s="3">
        <v>151</v>
      </c>
      <c r="H483" t="str">
        <f>"AGREEMENT#PMA-010644"</f>
        <v>AGREEMENT#PMA-010644</v>
      </c>
    </row>
    <row r="484" spans="1:8" x14ac:dyDescent="0.25">
      <c r="E484" t="str">
        <f>"PMA-0041021"</f>
        <v>PMA-0041021</v>
      </c>
      <c r="F484" t="str">
        <f>"AGREEMENT#PMA-010648"</f>
        <v>AGREEMENT#PMA-010648</v>
      </c>
      <c r="G484" s="3">
        <v>162</v>
      </c>
      <c r="H484" t="str">
        <f>"AGREEMENT#PMA-010648"</f>
        <v>AGREEMENT#PMA-010648</v>
      </c>
    </row>
    <row r="485" spans="1:8" x14ac:dyDescent="0.25">
      <c r="A485" t="s">
        <v>143</v>
      </c>
      <c r="B485">
        <v>77695</v>
      </c>
      <c r="C485" s="2">
        <v>144.61000000000001</v>
      </c>
      <c r="D485" s="1">
        <v>43304</v>
      </c>
      <c r="E485" t="str">
        <f>"201807182363"</f>
        <v>201807182363</v>
      </c>
      <c r="F485" t="str">
        <f>"INDIGENT HEALTH"</f>
        <v>INDIGENT HEALTH</v>
      </c>
      <c r="G485" s="3">
        <v>144.61000000000001</v>
      </c>
      <c r="H485" t="str">
        <f>"INDIGENT HEALTH"</f>
        <v>INDIGENT HEALTH</v>
      </c>
    </row>
    <row r="486" spans="1:8" x14ac:dyDescent="0.25">
      <c r="A486" t="s">
        <v>144</v>
      </c>
      <c r="B486">
        <v>999999</v>
      </c>
      <c r="C486" s="2">
        <v>582.41</v>
      </c>
      <c r="D486" s="1">
        <v>43291</v>
      </c>
      <c r="E486" t="str">
        <f>"201807051896"</f>
        <v>201807051896</v>
      </c>
      <c r="F486" t="str">
        <f>"INDIGENT HEALTH"</f>
        <v>INDIGENT HEALTH</v>
      </c>
      <c r="G486" s="3">
        <v>582.41</v>
      </c>
      <c r="H486" t="str">
        <f>"INDIGENT HEALTH"</f>
        <v>INDIGENT HEALTH</v>
      </c>
    </row>
    <row r="487" spans="1:8" x14ac:dyDescent="0.25">
      <c r="E487" t="str">
        <f>""</f>
        <v/>
      </c>
      <c r="F487" t="str">
        <f>""</f>
        <v/>
      </c>
      <c r="H487" t="str">
        <f>"INDIGENT HEALTH"</f>
        <v>INDIGENT HEALTH</v>
      </c>
    </row>
    <row r="488" spans="1:8" x14ac:dyDescent="0.25">
      <c r="A488" t="s">
        <v>144</v>
      </c>
      <c r="B488">
        <v>999999</v>
      </c>
      <c r="C488" s="2">
        <v>58.3</v>
      </c>
      <c r="D488" s="1">
        <v>43305</v>
      </c>
      <c r="E488" t="str">
        <f>"201807182364"</f>
        <v>201807182364</v>
      </c>
      <c r="F488" t="str">
        <f>"INDIGENT HEALTH"</f>
        <v>INDIGENT HEALTH</v>
      </c>
      <c r="G488" s="3">
        <v>58.3</v>
      </c>
      <c r="H488" t="str">
        <f>"INDIGENT HEALTH"</f>
        <v>INDIGENT HEALTH</v>
      </c>
    </row>
    <row r="489" spans="1:8" x14ac:dyDescent="0.25">
      <c r="A489" t="s">
        <v>145</v>
      </c>
      <c r="B489">
        <v>77463</v>
      </c>
      <c r="C489" s="2">
        <v>350</v>
      </c>
      <c r="D489" s="1">
        <v>43290</v>
      </c>
      <c r="E489" t="str">
        <f>"13748237 08/01/18"</f>
        <v>13748237 08/01/18</v>
      </c>
      <c r="F489" t="str">
        <f>"BOND#13748237/AGENCY#42-06587"</f>
        <v>BOND#13748237/AGENCY#42-06587</v>
      </c>
      <c r="G489" s="3">
        <v>350</v>
      </c>
      <c r="H489" t="str">
        <f>"BOND#13748237/AGENCY#42-06587"</f>
        <v>BOND#13748237/AGENCY#42-06587</v>
      </c>
    </row>
    <row r="490" spans="1:8" x14ac:dyDescent="0.25">
      <c r="A490" t="s">
        <v>146</v>
      </c>
      <c r="B490">
        <v>77464</v>
      </c>
      <c r="C490" s="2">
        <v>201.38</v>
      </c>
      <c r="D490" s="1">
        <v>43290</v>
      </c>
      <c r="E490" t="str">
        <f>"LODGING-KING/CRIM"</f>
        <v>LODGING-KING/CRIM</v>
      </c>
      <c r="F490" t="str">
        <f>"LODGING"</f>
        <v>LODGING</v>
      </c>
      <c r="G490" s="3">
        <v>201.38</v>
      </c>
      <c r="H490" t="str">
        <f>"LODGING"</f>
        <v>LODGING</v>
      </c>
    </row>
    <row r="491" spans="1:8" x14ac:dyDescent="0.25">
      <c r="A491" t="s">
        <v>147</v>
      </c>
      <c r="B491">
        <v>77696</v>
      </c>
      <c r="C491" s="2">
        <v>770</v>
      </c>
      <c r="D491" s="1">
        <v>43304</v>
      </c>
      <c r="E491" t="str">
        <f>"29033"</f>
        <v>29033</v>
      </c>
      <c r="F491" t="str">
        <f>"INTERPRETER-JOB ID#26875"</f>
        <v>INTERPRETER-JOB ID#26875</v>
      </c>
      <c r="G491" s="3">
        <v>770</v>
      </c>
      <c r="H491" t="str">
        <f>"INTERPRETER-JOB ID#26875"</f>
        <v>INTERPRETER-JOB ID#26875</v>
      </c>
    </row>
    <row r="492" spans="1:8" x14ac:dyDescent="0.25">
      <c r="A492" t="s">
        <v>148</v>
      </c>
      <c r="B492">
        <v>999999</v>
      </c>
      <c r="C492" s="2">
        <v>626</v>
      </c>
      <c r="D492" s="1">
        <v>43305</v>
      </c>
      <c r="E492" t="str">
        <f>"12457819241"</f>
        <v>12457819241</v>
      </c>
      <c r="F492" t="str">
        <f>"INV 12457819241"</f>
        <v>INV 12457819241</v>
      </c>
      <c r="G492" s="3">
        <v>626</v>
      </c>
      <c r="H492" t="str">
        <f>"INV 12457819241"</f>
        <v>INV 12457819241</v>
      </c>
    </row>
    <row r="493" spans="1:8" x14ac:dyDescent="0.25">
      <c r="A493" t="s">
        <v>149</v>
      </c>
      <c r="B493">
        <v>999999</v>
      </c>
      <c r="C493" s="2">
        <v>746.29</v>
      </c>
      <c r="D493" s="1">
        <v>43291</v>
      </c>
      <c r="E493" t="str">
        <f>"IN46973"</f>
        <v>IN46973</v>
      </c>
      <c r="F493" t="str">
        <f>"ACCT#353/PCT#4"</f>
        <v>ACCT#353/PCT#4</v>
      </c>
      <c r="G493" s="3">
        <v>746.29</v>
      </c>
      <c r="H493" t="str">
        <f>"ACCT#353/PCT#4"</f>
        <v>ACCT#353/PCT#4</v>
      </c>
    </row>
    <row r="494" spans="1:8" x14ac:dyDescent="0.25">
      <c r="A494" t="s">
        <v>149</v>
      </c>
      <c r="B494">
        <v>999999</v>
      </c>
      <c r="C494" s="2">
        <v>1437.32</v>
      </c>
      <c r="D494" s="1">
        <v>43305</v>
      </c>
      <c r="E494" t="str">
        <f>"IN46995"</f>
        <v>IN46995</v>
      </c>
      <c r="F494" t="str">
        <f>"ACCT#353/GASKET/PCT#2"</f>
        <v>ACCT#353/GASKET/PCT#2</v>
      </c>
      <c r="G494" s="3">
        <v>222.83</v>
      </c>
      <c r="H494" t="str">
        <f>"ACCT#353/GASKET/PCT#2"</f>
        <v>ACCT#353/GASKET/PCT#2</v>
      </c>
    </row>
    <row r="495" spans="1:8" x14ac:dyDescent="0.25">
      <c r="E495" t="str">
        <f>"IN47209"</f>
        <v>IN47209</v>
      </c>
      <c r="F495" t="str">
        <f>"ACCT#353/PART CHARGE/PCT#3"</f>
        <v>ACCT#353/PART CHARGE/PCT#3</v>
      </c>
      <c r="G495" s="3">
        <v>277.99</v>
      </c>
      <c r="H495" t="str">
        <f>"ACCT#353/PART CHARGE/PCT#3"</f>
        <v>ACCT#353/PART CHARGE/PCT#3</v>
      </c>
    </row>
    <row r="496" spans="1:8" x14ac:dyDescent="0.25">
      <c r="E496" t="str">
        <f>"WS18428"</f>
        <v>WS18428</v>
      </c>
      <c r="F496" t="str">
        <f>"ACCT#353/PCT#4"</f>
        <v>ACCT#353/PCT#4</v>
      </c>
      <c r="G496" s="3">
        <v>936.5</v>
      </c>
      <c r="H496" t="str">
        <f>"ACCT#353/PCT#4"</f>
        <v>ACCT#353/PCT#4</v>
      </c>
    </row>
    <row r="497" spans="1:8" x14ac:dyDescent="0.25">
      <c r="A497" t="s">
        <v>150</v>
      </c>
      <c r="B497">
        <v>77697</v>
      </c>
      <c r="C497" s="2">
        <v>200</v>
      </c>
      <c r="D497" s="1">
        <v>43304</v>
      </c>
      <c r="E497" t="str">
        <f>"201807132215"</f>
        <v>201807132215</v>
      </c>
      <c r="F497" t="str">
        <f>"CLEANING SVCS/JUNE 1  15  &amp; 24"</f>
        <v>CLEANING SVCS/JUNE 1  15  &amp; 24</v>
      </c>
      <c r="G497" s="3">
        <v>200</v>
      </c>
      <c r="H497" t="str">
        <f>"CLEANING SVCS/JUNE 1  15  &amp; 24"</f>
        <v>CLEANING SVCS/JUNE 1  15  &amp; 24</v>
      </c>
    </row>
    <row r="498" spans="1:8" x14ac:dyDescent="0.25">
      <c r="A498" t="s">
        <v>151</v>
      </c>
      <c r="B498">
        <v>77465</v>
      </c>
      <c r="C498" s="2">
        <v>185.68</v>
      </c>
      <c r="D498" s="1">
        <v>43290</v>
      </c>
      <c r="E498" t="str">
        <f>"25887436"</f>
        <v>25887436</v>
      </c>
      <c r="F498" t="str">
        <f>"REF ID:25887436/PLATE#KMH9153"</f>
        <v>REF ID:25887436/PLATE#KMH9153</v>
      </c>
      <c r="G498" s="3">
        <v>33.380000000000003</v>
      </c>
      <c r="H498" t="str">
        <f>"REF ID:25887436/PLATE#KMH9153"</f>
        <v>REF ID:25887436/PLATE#KMH9153</v>
      </c>
    </row>
    <row r="499" spans="1:8" x14ac:dyDescent="0.25">
      <c r="E499" t="str">
        <f>"26018712"</f>
        <v>26018712</v>
      </c>
      <c r="F499" t="str">
        <f>"REF ID:26018712/PLATE#9037691"</f>
        <v>REF ID:26018712/PLATE#9037691</v>
      </c>
      <c r="G499" s="3">
        <v>101.96</v>
      </c>
      <c r="H499" t="str">
        <f>"REF ID:26018712/PLATE#9037691"</f>
        <v>REF ID:26018712/PLATE#9037691</v>
      </c>
    </row>
    <row r="500" spans="1:8" x14ac:dyDescent="0.25">
      <c r="E500" t="str">
        <f>"26299956"</f>
        <v>26299956</v>
      </c>
      <c r="F500" t="str">
        <f>"REF ID:26299956/PLATE#1352231"</f>
        <v>REF ID:26299956/PLATE#1352231</v>
      </c>
      <c r="G500" s="3">
        <v>18.38</v>
      </c>
      <c r="H500" t="str">
        <f>"REF ID:26299956/PLATE#1352231"</f>
        <v>REF ID:26299956/PLATE#1352231</v>
      </c>
    </row>
    <row r="501" spans="1:8" x14ac:dyDescent="0.25">
      <c r="E501" t="str">
        <f>"26307133"</f>
        <v>26307133</v>
      </c>
      <c r="F501" t="str">
        <f>"REF ID#26307133/PLATE#KMH9153"</f>
        <v>REF ID#26307133/PLATE#KMH9153</v>
      </c>
      <c r="G501" s="3">
        <v>20.58</v>
      </c>
      <c r="H501" t="str">
        <f>"REF ID#26307133/PLATE#KMH9153"</f>
        <v>REF ID#26307133/PLATE#KMH9153</v>
      </c>
    </row>
    <row r="502" spans="1:8" x14ac:dyDescent="0.25">
      <c r="E502" t="str">
        <f>"26667252"</f>
        <v>26667252</v>
      </c>
      <c r="F502" t="str">
        <f>"REF ID:26667252/PLATE#1194229"</f>
        <v>REF ID:26667252/PLATE#1194229</v>
      </c>
      <c r="G502" s="3">
        <v>5.58</v>
      </c>
      <c r="H502" t="str">
        <f>"REF ID:26667252/PLATE#1194229"</f>
        <v>REF ID:26667252/PLATE#1194229</v>
      </c>
    </row>
    <row r="503" spans="1:8" x14ac:dyDescent="0.25">
      <c r="E503" t="str">
        <f>"26771350"</f>
        <v>26771350</v>
      </c>
      <c r="F503" t="str">
        <f>"REF ID:26771350/PLATE#9037691"</f>
        <v>REF ID:26771350/PLATE#9037691</v>
      </c>
      <c r="G503" s="3">
        <v>4.04</v>
      </c>
      <c r="H503" t="str">
        <f>"REF ID:26771350/PLATE#9037691"</f>
        <v>REF ID:26771350/PLATE#9037691</v>
      </c>
    </row>
    <row r="504" spans="1:8" x14ac:dyDescent="0.25">
      <c r="E504" t="str">
        <f>"26785645"</f>
        <v>26785645</v>
      </c>
      <c r="F504" t="str">
        <f>"REF ID:26785645/PLATE#1392597"</f>
        <v>REF ID:26785645/PLATE#1392597</v>
      </c>
      <c r="G504" s="3">
        <v>1.76</v>
      </c>
      <c r="H504" t="str">
        <f>"REF ID:26785645/PLATE#1392597"</f>
        <v>REF ID:26785645/PLATE#1392597</v>
      </c>
    </row>
    <row r="505" spans="1:8" x14ac:dyDescent="0.25">
      <c r="A505" t="s">
        <v>152</v>
      </c>
      <c r="B505">
        <v>77698</v>
      </c>
      <c r="C505" s="2">
        <v>1152.24</v>
      </c>
      <c r="D505" s="1">
        <v>43304</v>
      </c>
      <c r="E505" t="str">
        <f>"306546"</f>
        <v>306546</v>
      </c>
      <c r="F505" t="str">
        <f>"CPC"</f>
        <v>CPC</v>
      </c>
      <c r="G505" s="3">
        <v>1152.24</v>
      </c>
      <c r="H505" t="str">
        <f>"S3030W101HA"</f>
        <v>S3030W101HA</v>
      </c>
    </row>
    <row r="506" spans="1:8" x14ac:dyDescent="0.25">
      <c r="E506" t="str">
        <f>""</f>
        <v/>
      </c>
      <c r="F506" t="str">
        <f>""</f>
        <v/>
      </c>
      <c r="H506" t="str">
        <f>"S3636W101HA"</f>
        <v>S3636W101HA</v>
      </c>
    </row>
    <row r="507" spans="1:8" x14ac:dyDescent="0.25">
      <c r="E507" t="str">
        <f>""</f>
        <v/>
      </c>
      <c r="F507" t="str">
        <f>""</f>
        <v/>
      </c>
      <c r="H507" t="str">
        <f>"Q1KFR"</f>
        <v>Q1KFR</v>
      </c>
    </row>
    <row r="508" spans="1:8" x14ac:dyDescent="0.25">
      <c r="A508" t="s">
        <v>153</v>
      </c>
      <c r="B508">
        <v>77699</v>
      </c>
      <c r="C508" s="2">
        <v>17744.95</v>
      </c>
      <c r="D508" s="1">
        <v>43304</v>
      </c>
      <c r="E508" t="str">
        <f>"17091"</f>
        <v>17091</v>
      </c>
      <c r="F508" t="str">
        <f>"CUSTOM TREE CARE  INC"</f>
        <v>CUSTOM TREE CARE  INC</v>
      </c>
      <c r="G508" s="3">
        <v>17744.95</v>
      </c>
      <c r="H508" t="str">
        <f>"18BCP03A"</f>
        <v>18BCP03A</v>
      </c>
    </row>
    <row r="509" spans="1:8" x14ac:dyDescent="0.25">
      <c r="A509" t="s">
        <v>154</v>
      </c>
      <c r="B509">
        <v>77466</v>
      </c>
      <c r="C509" s="2">
        <v>140.32</v>
      </c>
      <c r="D509" s="1">
        <v>43290</v>
      </c>
      <c r="E509" t="str">
        <f>"31512381 - 60"</f>
        <v>31512381 - 60</v>
      </c>
      <c r="F509" t="str">
        <f>"LEASE 6/25-7/24"</f>
        <v>LEASE 6/25-7/24</v>
      </c>
      <c r="G509" s="3">
        <v>140.32</v>
      </c>
      <c r="H509" t="str">
        <f>"LEASE 6/25-7/24"</f>
        <v>LEASE 6/25-7/24</v>
      </c>
    </row>
    <row r="510" spans="1:8" x14ac:dyDescent="0.25">
      <c r="A510" t="s">
        <v>154</v>
      </c>
      <c r="B510">
        <v>77700</v>
      </c>
      <c r="C510" s="2">
        <v>25</v>
      </c>
      <c r="D510" s="1">
        <v>43304</v>
      </c>
      <c r="E510" t="str">
        <f>"IN1682821"</f>
        <v>IN1682821</v>
      </c>
      <c r="F510" t="str">
        <f>"ACCT#BC113:40R756/XEROX TONER"</f>
        <v>ACCT#BC113:40R756/XEROX TONER</v>
      </c>
      <c r="G510" s="3">
        <v>25</v>
      </c>
      <c r="H510" t="str">
        <f>"ACCT#BC113:40R756/XEROX TONER"</f>
        <v>ACCT#BC113:40R756/XEROX TONER</v>
      </c>
    </row>
    <row r="511" spans="1:8" x14ac:dyDescent="0.25">
      <c r="A511" t="s">
        <v>155</v>
      </c>
      <c r="B511">
        <v>77701</v>
      </c>
      <c r="C511" s="2">
        <v>45</v>
      </c>
      <c r="D511" s="1">
        <v>43304</v>
      </c>
      <c r="E511" t="str">
        <f>"7398"</f>
        <v>7398</v>
      </c>
      <c r="F511" t="str">
        <f>"SERVICE  03/20/18"</f>
        <v>SERVICE  03/20/18</v>
      </c>
      <c r="G511" s="3">
        <v>45</v>
      </c>
      <c r="H511" t="str">
        <f>"SERVICE  03/20/18"</f>
        <v>SERVICE  03/20/18</v>
      </c>
    </row>
    <row r="512" spans="1:8" x14ac:dyDescent="0.25">
      <c r="A512" t="s">
        <v>156</v>
      </c>
      <c r="B512">
        <v>77702</v>
      </c>
      <c r="C512" s="2">
        <v>25</v>
      </c>
      <c r="D512" s="1">
        <v>43304</v>
      </c>
      <c r="E512" t="str">
        <f>"201807172239"</f>
        <v>201807172239</v>
      </c>
      <c r="F512" t="str">
        <f>"REFUND DRIVEWAY PERMIT FEE"</f>
        <v>REFUND DRIVEWAY PERMIT FEE</v>
      </c>
      <c r="G512" s="3">
        <v>25</v>
      </c>
      <c r="H512" t="str">
        <f>"REFUND DRIVEWAY PERMIT FEE"</f>
        <v>REFUND DRIVEWAY PERMIT FEE</v>
      </c>
    </row>
    <row r="513" spans="1:8" x14ac:dyDescent="0.25">
      <c r="A513" t="s">
        <v>157</v>
      </c>
      <c r="B513">
        <v>77467</v>
      </c>
      <c r="C513" s="2">
        <v>100</v>
      </c>
      <c r="D513" s="1">
        <v>43290</v>
      </c>
      <c r="E513" t="str">
        <f>"201807051888"</f>
        <v>201807051888</v>
      </c>
      <c r="F513" t="str">
        <f>"LEGAL CONSULTATION-JUNE"</f>
        <v>LEGAL CONSULTATION-JUNE</v>
      </c>
      <c r="G513" s="3">
        <v>100</v>
      </c>
      <c r="H513" t="str">
        <f>"LEGAL CONSULTATION-JUNE"</f>
        <v>LEGAL CONSULTATION-JUNE</v>
      </c>
    </row>
    <row r="514" spans="1:8" x14ac:dyDescent="0.25">
      <c r="A514" t="s">
        <v>158</v>
      </c>
      <c r="B514">
        <v>999999</v>
      </c>
      <c r="C514" s="2">
        <v>1185</v>
      </c>
      <c r="D514" s="1">
        <v>43305</v>
      </c>
      <c r="E514" t="str">
        <f>"201807182276"</f>
        <v>201807182276</v>
      </c>
      <c r="F514" t="str">
        <f>"16-17819"</f>
        <v>16-17819</v>
      </c>
      <c r="G514" s="3">
        <v>235</v>
      </c>
      <c r="H514" t="str">
        <f>"16-17819"</f>
        <v>16-17819</v>
      </c>
    </row>
    <row r="515" spans="1:8" x14ac:dyDescent="0.25">
      <c r="E515" t="str">
        <f>"201807182277"</f>
        <v>201807182277</v>
      </c>
      <c r="F515" t="str">
        <f>"16-17591"</f>
        <v>16-17591</v>
      </c>
      <c r="G515" s="3">
        <v>220</v>
      </c>
      <c r="H515" t="str">
        <f>"16-17591"</f>
        <v>16-17591</v>
      </c>
    </row>
    <row r="516" spans="1:8" x14ac:dyDescent="0.25">
      <c r="E516" t="str">
        <f>"201807182278"</f>
        <v>201807182278</v>
      </c>
      <c r="F516" t="str">
        <f>"18-19054"</f>
        <v>18-19054</v>
      </c>
      <c r="G516" s="3">
        <v>52.5</v>
      </c>
      <c r="H516" t="str">
        <f>"18-19054"</f>
        <v>18-19054</v>
      </c>
    </row>
    <row r="517" spans="1:8" x14ac:dyDescent="0.25">
      <c r="E517" t="str">
        <f>"201807182279"</f>
        <v>201807182279</v>
      </c>
      <c r="F517" t="str">
        <f>"18-18990"</f>
        <v>18-18990</v>
      </c>
      <c r="G517" s="3">
        <v>45</v>
      </c>
      <c r="H517" t="str">
        <f>"18-18990"</f>
        <v>18-18990</v>
      </c>
    </row>
    <row r="518" spans="1:8" x14ac:dyDescent="0.25">
      <c r="E518" t="str">
        <f>"201807182280"</f>
        <v>201807182280</v>
      </c>
      <c r="F518" t="str">
        <f>"17-18637"</f>
        <v>17-18637</v>
      </c>
      <c r="G518" s="3">
        <v>262.5</v>
      </c>
      <c r="H518" t="str">
        <f>"17-18637"</f>
        <v>17-18637</v>
      </c>
    </row>
    <row r="519" spans="1:8" x14ac:dyDescent="0.25">
      <c r="E519" t="str">
        <f>"201807182281"</f>
        <v>201807182281</v>
      </c>
      <c r="F519" t="str">
        <f>"15-17513"</f>
        <v>15-17513</v>
      </c>
      <c r="G519" s="3">
        <v>317.5</v>
      </c>
      <c r="H519" t="str">
        <f>"15-17513"</f>
        <v>15-17513</v>
      </c>
    </row>
    <row r="520" spans="1:8" x14ac:dyDescent="0.25">
      <c r="E520" t="str">
        <f>"201807182282"</f>
        <v>201807182282</v>
      </c>
      <c r="F520" t="str">
        <f>"18-18864"</f>
        <v>18-18864</v>
      </c>
      <c r="G520" s="3">
        <v>52.5</v>
      </c>
      <c r="H520" t="str">
        <f>"18-18864"</f>
        <v>18-18864</v>
      </c>
    </row>
    <row r="521" spans="1:8" x14ac:dyDescent="0.25">
      <c r="A521" t="s">
        <v>159</v>
      </c>
      <c r="B521">
        <v>77468</v>
      </c>
      <c r="C521" s="2">
        <v>178.09</v>
      </c>
      <c r="D521" s="1">
        <v>43290</v>
      </c>
      <c r="E521" t="str">
        <f>"10251383210"</f>
        <v>10251383210</v>
      </c>
      <c r="F521" t="str">
        <f>"Dell 23 Monitor P2317H"</f>
        <v>Dell 23 Monitor P2317H</v>
      </c>
      <c r="G521" s="3">
        <v>178.09</v>
      </c>
      <c r="H521" t="str">
        <f>"Dell 23 Monitor P2317H"</f>
        <v>Dell 23 Monitor P2317H</v>
      </c>
    </row>
    <row r="522" spans="1:8" x14ac:dyDescent="0.25">
      <c r="E522" t="str">
        <f>""</f>
        <v/>
      </c>
      <c r="F522" t="str">
        <f>""</f>
        <v/>
      </c>
      <c r="H522" t="str">
        <f>"PREMIER DISCOUNT"</f>
        <v>PREMIER DISCOUNT</v>
      </c>
    </row>
    <row r="523" spans="1:8" x14ac:dyDescent="0.25">
      <c r="A523" t="s">
        <v>159</v>
      </c>
      <c r="B523">
        <v>77703</v>
      </c>
      <c r="C523" s="2">
        <v>16319.56</v>
      </c>
      <c r="D523" s="1">
        <v>43304</v>
      </c>
      <c r="E523" t="str">
        <f>"10252629712"</f>
        <v>10252629712</v>
      </c>
      <c r="F523" t="str">
        <f>"Precision 7820 XL Tower"</f>
        <v>Precision 7820 XL Tower</v>
      </c>
      <c r="G523" s="3">
        <v>3130.31</v>
      </c>
      <c r="H523" t="str">
        <f>"Precision 7820 XL Tower"</f>
        <v>Precision 7820 XL Tower</v>
      </c>
    </row>
    <row r="524" spans="1:8" x14ac:dyDescent="0.25">
      <c r="E524" t="str">
        <f>"10252629780"</f>
        <v>10252629780</v>
      </c>
      <c r="F524" t="str">
        <f>"Dell USB SoundBar - AC511"</f>
        <v>Dell USB SoundBar - AC511</v>
      </c>
      <c r="G524" s="3">
        <v>25.72</v>
      </c>
      <c r="H524" t="str">
        <f>"Dell USB SoundBar - AC511"</f>
        <v>Dell USB SoundBar - AC511</v>
      </c>
    </row>
    <row r="525" spans="1:8" x14ac:dyDescent="0.25">
      <c r="E525" t="str">
        <f>"10252834271"</f>
        <v>10252834271</v>
      </c>
      <c r="F525" t="str">
        <f>"XPS 13 Sliver"</f>
        <v>XPS 13 Sliver</v>
      </c>
      <c r="G525" s="3">
        <v>13137.81</v>
      </c>
      <c r="H525" t="str">
        <f>"XPS 13 Sliver"</f>
        <v>XPS 13 Sliver</v>
      </c>
    </row>
    <row r="526" spans="1:8" x14ac:dyDescent="0.25">
      <c r="E526" t="str">
        <f>""</f>
        <v/>
      </c>
      <c r="F526" t="str">
        <f>""</f>
        <v/>
      </c>
      <c r="H526" t="str">
        <f>"Dell Adapter - USB T"</f>
        <v>Dell Adapter - USB T</v>
      </c>
    </row>
    <row r="527" spans="1:8" x14ac:dyDescent="0.25">
      <c r="E527" t="str">
        <f>""</f>
        <v/>
      </c>
      <c r="F527" t="str">
        <f>""</f>
        <v/>
      </c>
      <c r="H527" t="str">
        <f>"Dell Dock WD15"</f>
        <v>Dell Dock WD15</v>
      </c>
    </row>
    <row r="528" spans="1:8" x14ac:dyDescent="0.25">
      <c r="E528" t="str">
        <f>""</f>
        <v/>
      </c>
      <c r="F528" t="str">
        <f>""</f>
        <v/>
      </c>
      <c r="H528" t="str">
        <f>"Dell Premier Sleeve"</f>
        <v>Dell Premier Sleeve</v>
      </c>
    </row>
    <row r="529" spans="1:8" x14ac:dyDescent="0.25">
      <c r="E529" t="str">
        <f>"10253466053"</f>
        <v>10253466053</v>
      </c>
      <c r="F529" t="str">
        <f>"Dell Soundbar AC511"</f>
        <v>Dell Soundbar AC511</v>
      </c>
      <c r="G529" s="3">
        <v>25.72</v>
      </c>
      <c r="H529" t="str">
        <f>"Dell USB SoundBar"</f>
        <v>Dell USB SoundBar</v>
      </c>
    </row>
    <row r="530" spans="1:8" x14ac:dyDescent="0.25">
      <c r="A530" t="s">
        <v>160</v>
      </c>
      <c r="B530">
        <v>77704</v>
      </c>
      <c r="C530" s="2">
        <v>173.31</v>
      </c>
      <c r="D530" s="1">
        <v>43304</v>
      </c>
      <c r="E530" t="str">
        <f>"201807172251"</f>
        <v>201807172251</v>
      </c>
      <c r="F530" t="str">
        <f>"MILEAGE REIMBURSEMENT"</f>
        <v>MILEAGE REIMBURSEMENT</v>
      </c>
      <c r="G530" s="3">
        <v>173.31</v>
      </c>
      <c r="H530" t="str">
        <f>"MILEAGE REIMBURSEMENT"</f>
        <v>MILEAGE REIMBURSEMENT</v>
      </c>
    </row>
    <row r="531" spans="1:8" x14ac:dyDescent="0.25">
      <c r="A531" t="s">
        <v>161</v>
      </c>
      <c r="B531">
        <v>77705</v>
      </c>
      <c r="C531" s="2">
        <v>201.11</v>
      </c>
      <c r="D531" s="1">
        <v>43304</v>
      </c>
      <c r="E531" t="str">
        <f>"201807172253"</f>
        <v>201807172253</v>
      </c>
      <c r="F531" t="str">
        <f>"MILEAGE REIMBURSEMENTS"</f>
        <v>MILEAGE REIMBURSEMENTS</v>
      </c>
      <c r="G531" s="3">
        <v>201.11</v>
      </c>
      <c r="H531" t="str">
        <f>"MILEAGE REIMBURSEMENTS"</f>
        <v>MILEAGE REIMBURSEMENTS</v>
      </c>
    </row>
    <row r="532" spans="1:8" x14ac:dyDescent="0.25">
      <c r="A532" t="s">
        <v>162</v>
      </c>
      <c r="B532">
        <v>77469</v>
      </c>
      <c r="C532" s="2">
        <v>225.1</v>
      </c>
      <c r="D532" s="1">
        <v>43290</v>
      </c>
      <c r="E532" t="str">
        <f>"24554"</f>
        <v>24554</v>
      </c>
      <c r="F532" t="str">
        <f>"SERVICE CALL/DUP KEY/GEN SVCS"</f>
        <v>SERVICE CALL/DUP KEY/GEN SVCS</v>
      </c>
      <c r="G532" s="3">
        <v>121.5</v>
      </c>
      <c r="H532" t="str">
        <f>"SERVICE CALL/DUP KEY/GEN SVCS"</f>
        <v>SERVICE CALL/DUP KEY/GEN SVCS</v>
      </c>
    </row>
    <row r="533" spans="1:8" x14ac:dyDescent="0.25">
      <c r="E533" t="str">
        <f>"24559"</f>
        <v>24559</v>
      </c>
      <c r="F533" t="str">
        <f>"DUPLICATE KEYS/ GEN SVCS"</f>
        <v>DUPLICATE KEYS/ GEN SVCS</v>
      </c>
      <c r="G533" s="3">
        <v>95.6</v>
      </c>
      <c r="H533" t="str">
        <f>"DUPLICATE KEYS/ GEN SVCS"</f>
        <v>DUPLICATE KEYS/ GEN SVCS</v>
      </c>
    </row>
    <row r="534" spans="1:8" x14ac:dyDescent="0.25">
      <c r="E534" t="str">
        <f>"24576"</f>
        <v>24576</v>
      </c>
      <c r="F534" t="str">
        <f>"DUPLICATE KEYS/ GEN SVCS"</f>
        <v>DUPLICATE KEYS/ GEN SVCS</v>
      </c>
      <c r="G534" s="3">
        <v>8</v>
      </c>
      <c r="H534" t="str">
        <f>"DUPLICATE KEYS/ GEN SVCS"</f>
        <v>DUPLICATE KEYS/ GEN SVCS</v>
      </c>
    </row>
    <row r="535" spans="1:8" x14ac:dyDescent="0.25">
      <c r="A535" t="s">
        <v>162</v>
      </c>
      <c r="B535">
        <v>77706</v>
      </c>
      <c r="C535" s="2">
        <v>523.04</v>
      </c>
      <c r="D535" s="1">
        <v>43304</v>
      </c>
      <c r="E535" t="str">
        <f>"24593"</f>
        <v>24593</v>
      </c>
      <c r="F535" t="str">
        <f>"DUP KEY/BOLT/KEY TAG/GEN SVCS"</f>
        <v>DUP KEY/BOLT/KEY TAG/GEN SVCS</v>
      </c>
      <c r="G535" s="3">
        <v>58.88</v>
      </c>
      <c r="H535" t="str">
        <f>"DUP KEY/BOLT/KEY TAG/GEN SVCS"</f>
        <v>DUP KEY/BOLT/KEY TAG/GEN SVCS</v>
      </c>
    </row>
    <row r="536" spans="1:8" x14ac:dyDescent="0.25">
      <c r="E536" t="str">
        <f>"24597"</f>
        <v>24597</v>
      </c>
      <c r="F536" t="str">
        <f>"SERVICE CALL/KEYS/GEN SVCS"</f>
        <v>SERVICE CALL/KEYS/GEN SVCS</v>
      </c>
      <c r="G536" s="3">
        <v>97.5</v>
      </c>
      <c r="H536" t="str">
        <f>"SERVICE CALL/KEYS/GEN SVCS"</f>
        <v>SERVICE CALL/KEYS/GEN SVCS</v>
      </c>
    </row>
    <row r="537" spans="1:8" x14ac:dyDescent="0.25">
      <c r="E537" t="str">
        <f>"24626"</f>
        <v>24626</v>
      </c>
      <c r="F537" t="str">
        <f>"INV 24626"</f>
        <v>INV 24626</v>
      </c>
      <c r="G537" s="3">
        <v>366.66</v>
      </c>
      <c r="H537" t="str">
        <f>"INV 24626"</f>
        <v>INV 24626</v>
      </c>
    </row>
    <row r="538" spans="1:8" x14ac:dyDescent="0.25">
      <c r="A538" t="s">
        <v>163</v>
      </c>
      <c r="B538">
        <v>77470</v>
      </c>
      <c r="C538" s="2">
        <v>2310.02</v>
      </c>
      <c r="D538" s="1">
        <v>43290</v>
      </c>
      <c r="E538" t="str">
        <f>"18051120N"</f>
        <v>18051120N</v>
      </c>
      <c r="F538" t="str">
        <f>"CUST#PKE5000/05/01/18-05/31/18"</f>
        <v>CUST#PKE5000/05/01/18-05/31/18</v>
      </c>
      <c r="G538" s="3">
        <v>2310.02</v>
      </c>
      <c r="H538" t="str">
        <f>"CUST#PKE5000/05/01/18-05/31/18"</f>
        <v>CUST#PKE5000/05/01/18-05/31/18</v>
      </c>
    </row>
    <row r="539" spans="1:8" x14ac:dyDescent="0.25">
      <c r="E539" t="str">
        <f>""</f>
        <v/>
      </c>
      <c r="F539" t="str">
        <f>""</f>
        <v/>
      </c>
      <c r="H539" t="str">
        <f>"CUST#PKE5000/05/01/18-05/31/18"</f>
        <v>CUST#PKE5000/05/01/18-05/31/18</v>
      </c>
    </row>
    <row r="540" spans="1:8" x14ac:dyDescent="0.25">
      <c r="A540" t="s">
        <v>164</v>
      </c>
      <c r="B540">
        <v>77707</v>
      </c>
      <c r="C540" s="2">
        <v>741.1</v>
      </c>
      <c r="D540" s="1">
        <v>43304</v>
      </c>
      <c r="E540" t="str">
        <f>"99694"</f>
        <v>99694</v>
      </c>
      <c r="F540" t="str">
        <f>"DISCOUNT DOOR &amp; METAL  LLC"</f>
        <v>DISCOUNT DOOR &amp; METAL  LLC</v>
      </c>
      <c r="G540" s="3">
        <v>741.1</v>
      </c>
      <c r="H540" t="str">
        <f>"8  Zee 22'"</f>
        <v>8  Zee 22'</v>
      </c>
    </row>
    <row r="541" spans="1:8" x14ac:dyDescent="0.25">
      <c r="E541" t="str">
        <f>""</f>
        <v/>
      </c>
      <c r="F541" t="str">
        <f>""</f>
        <v/>
      </c>
      <c r="H541" t="str">
        <f>"PBR Light Stone"</f>
        <v>PBR Light Stone</v>
      </c>
    </row>
    <row r="542" spans="1:8" x14ac:dyDescent="0.25">
      <c r="E542" t="str">
        <f>""</f>
        <v/>
      </c>
      <c r="F542" t="str">
        <f>""</f>
        <v/>
      </c>
      <c r="H542" t="str">
        <f>"Block&amp;Band and SetUp"</f>
        <v>Block&amp;Band and SetUp</v>
      </c>
    </row>
    <row r="543" spans="1:8" x14ac:dyDescent="0.25">
      <c r="E543" t="str">
        <f>""</f>
        <v/>
      </c>
      <c r="F543" t="str">
        <f>""</f>
        <v/>
      </c>
      <c r="H543" t="str">
        <f>"1-1/4 driller-saddle"</f>
        <v>1-1/4 driller-saddle</v>
      </c>
    </row>
    <row r="544" spans="1:8" x14ac:dyDescent="0.25">
      <c r="E544" t="str">
        <f>""</f>
        <v/>
      </c>
      <c r="F544" t="str">
        <f>""</f>
        <v/>
      </c>
      <c r="H544" t="str">
        <f>"Saddle Tan Laptek"</f>
        <v>Saddle Tan Laptek</v>
      </c>
    </row>
    <row r="545" spans="1:8" x14ac:dyDescent="0.25">
      <c r="A545" t="s">
        <v>165</v>
      </c>
      <c r="B545">
        <v>77471</v>
      </c>
      <c r="C545" s="2">
        <v>359.45</v>
      </c>
      <c r="D545" s="1">
        <v>43290</v>
      </c>
      <c r="E545" t="str">
        <f>"FEED FOR ESTRAY"</f>
        <v>FEED FOR ESTRAY</v>
      </c>
      <c r="F545" t="str">
        <f>"INV  1588"</f>
        <v>INV  1588</v>
      </c>
      <c r="G545" s="3">
        <v>359.45</v>
      </c>
      <c r="H545" t="str">
        <f>"k-9 FEED"</f>
        <v>k-9 FEED</v>
      </c>
    </row>
    <row r="546" spans="1:8" x14ac:dyDescent="0.25">
      <c r="E546" t="str">
        <f>""</f>
        <v/>
      </c>
      <c r="F546" t="str">
        <f>""</f>
        <v/>
      </c>
      <c r="H546" t="str">
        <f>"FEED FOR ESTRAY"</f>
        <v>FEED FOR ESTRAY</v>
      </c>
    </row>
    <row r="547" spans="1:8" x14ac:dyDescent="0.25">
      <c r="A547" t="s">
        <v>166</v>
      </c>
      <c r="B547">
        <v>77472</v>
      </c>
      <c r="C547" s="2">
        <v>1208</v>
      </c>
      <c r="D547" s="1">
        <v>43290</v>
      </c>
      <c r="E547" t="str">
        <f>"2726360"</f>
        <v>2726360</v>
      </c>
      <c r="F547" t="str">
        <f>"ACCT#27917/PCT#4"</f>
        <v>ACCT#27917/PCT#4</v>
      </c>
      <c r="G547" s="3">
        <v>1208</v>
      </c>
      <c r="H547" t="str">
        <f>"ACCT#27917/PCT#4"</f>
        <v>ACCT#27917/PCT#4</v>
      </c>
    </row>
    <row r="548" spans="1:8" x14ac:dyDescent="0.25">
      <c r="A548" t="s">
        <v>167</v>
      </c>
      <c r="B548">
        <v>77421</v>
      </c>
      <c r="C548" s="2">
        <v>749.4</v>
      </c>
      <c r="D548" s="1">
        <v>43286</v>
      </c>
      <c r="E548" t="str">
        <f>"201807051926"</f>
        <v>201807051926</v>
      </c>
      <c r="F548" t="str">
        <f>"ACCT#405900029213/07312018"</f>
        <v>ACCT#405900029213/07312018</v>
      </c>
      <c r="G548" s="3">
        <v>374.7</v>
      </c>
      <c r="H548" t="str">
        <f>"ACCT#405900029213/07312018"</f>
        <v>ACCT#405900029213/07312018</v>
      </c>
    </row>
    <row r="549" spans="1:8" x14ac:dyDescent="0.25">
      <c r="E549" t="str">
        <f>"201807051927"</f>
        <v>201807051927</v>
      </c>
      <c r="F549" t="str">
        <f>"ACCT#405900029225/07312018"</f>
        <v>ACCT#405900029225/07312018</v>
      </c>
      <c r="G549" s="3">
        <v>187.35</v>
      </c>
      <c r="H549" t="str">
        <f>"ACCT#405900029225/07312018"</f>
        <v>ACCT#405900029225/07312018</v>
      </c>
    </row>
    <row r="550" spans="1:8" x14ac:dyDescent="0.25">
      <c r="E550" t="str">
        <f>"201807051928"</f>
        <v>201807051928</v>
      </c>
      <c r="F550" t="str">
        <f>"ACCT#405900028789/07312018"</f>
        <v>ACCT#405900028789/07312018</v>
      </c>
      <c r="G550" s="3">
        <v>187.35</v>
      </c>
      <c r="H550" t="str">
        <f>"ACCT#405900028789/07312018"</f>
        <v>ACCT#405900028789/07312018</v>
      </c>
    </row>
    <row r="551" spans="1:8" x14ac:dyDescent="0.25">
      <c r="A551" t="s">
        <v>167</v>
      </c>
      <c r="B551">
        <v>77849</v>
      </c>
      <c r="C551" s="2">
        <v>749.4</v>
      </c>
      <c r="D551" s="1">
        <v>43307</v>
      </c>
      <c r="E551" t="str">
        <f>"201807262401"</f>
        <v>201807262401</v>
      </c>
      <c r="F551" t="str">
        <f>"ACCT#405900029213/08312018"</f>
        <v>ACCT#405900029213/08312018</v>
      </c>
      <c r="G551" s="3">
        <v>374.7</v>
      </c>
      <c r="H551" t="str">
        <f>"ACCT#405900029213/08312018"</f>
        <v>ACCT#405900029213/08312018</v>
      </c>
    </row>
    <row r="552" spans="1:8" x14ac:dyDescent="0.25">
      <c r="E552" t="str">
        <f>"201807262402"</f>
        <v>201807262402</v>
      </c>
      <c r="F552" t="str">
        <f>"ACCT#405900029225/08312018"</f>
        <v>ACCT#405900029225/08312018</v>
      </c>
      <c r="G552" s="3">
        <v>187.35</v>
      </c>
      <c r="H552" t="str">
        <f>"ACCT#405900029225/08312018"</f>
        <v>ACCT#405900029225/08312018</v>
      </c>
    </row>
    <row r="553" spans="1:8" x14ac:dyDescent="0.25">
      <c r="E553" t="str">
        <f>"201807262403"</f>
        <v>201807262403</v>
      </c>
      <c r="F553" t="str">
        <f>"ACCT#405900028789/08312018"</f>
        <v>ACCT#405900028789/08312018</v>
      </c>
      <c r="G553" s="3">
        <v>187.35</v>
      </c>
      <c r="H553" t="str">
        <f>"ACCT#405900028789/08312018"</f>
        <v>ACCT#405900028789/08312018</v>
      </c>
    </row>
    <row r="554" spans="1:8" x14ac:dyDescent="0.25">
      <c r="A554" t="s">
        <v>168</v>
      </c>
      <c r="B554">
        <v>77708</v>
      </c>
      <c r="C554" s="2">
        <v>155.13</v>
      </c>
      <c r="D554" s="1">
        <v>43304</v>
      </c>
      <c r="E554" t="str">
        <f>"32434"</f>
        <v>32434</v>
      </c>
      <c r="F554" t="str">
        <f>"DEGREE CAST ELBOW/PCT#4"</f>
        <v>DEGREE CAST ELBOW/PCT#4</v>
      </c>
      <c r="G554" s="3">
        <v>155.13</v>
      </c>
      <c r="H554" t="str">
        <f>"DEGREE CAST ELBOW/PCT#4"</f>
        <v>DEGREE CAST ELBOW/PCT#4</v>
      </c>
    </row>
    <row r="555" spans="1:8" x14ac:dyDescent="0.25">
      <c r="A555" t="s">
        <v>169</v>
      </c>
      <c r="B555">
        <v>77709</v>
      </c>
      <c r="C555" s="2">
        <v>418.94</v>
      </c>
      <c r="D555" s="1">
        <v>43304</v>
      </c>
      <c r="E555" t="str">
        <f>"LODGING-R.COLE"</f>
        <v>LODGING-R.COLE</v>
      </c>
      <c r="F555" t="str">
        <f>"LODGING"</f>
        <v>LODGING</v>
      </c>
      <c r="G555" s="3">
        <v>418.94</v>
      </c>
      <c r="H555" t="str">
        <f>"LODGING"</f>
        <v>LODGING</v>
      </c>
    </row>
    <row r="556" spans="1:8" x14ac:dyDescent="0.25">
      <c r="A556" t="s">
        <v>170</v>
      </c>
      <c r="B556">
        <v>999999</v>
      </c>
      <c r="C556" s="2">
        <v>2450</v>
      </c>
      <c r="D556" s="1">
        <v>43291</v>
      </c>
      <c r="E556" t="str">
        <f>"201806281745"</f>
        <v>201806281745</v>
      </c>
      <c r="F556" t="str">
        <f>"C170072"</f>
        <v>C170072</v>
      </c>
      <c r="G556" s="3">
        <v>400</v>
      </c>
      <c r="H556" t="str">
        <f>"C170072"</f>
        <v>C170072</v>
      </c>
    </row>
    <row r="557" spans="1:8" x14ac:dyDescent="0.25">
      <c r="E557" t="str">
        <f>"201806291756"</f>
        <v>201806291756</v>
      </c>
      <c r="F557" t="str">
        <f>"16467  16557  DCPC18-016"</f>
        <v>16467  16557  DCPC18-016</v>
      </c>
      <c r="G557" s="3">
        <v>800</v>
      </c>
      <c r="H557" t="str">
        <f>"16467  16557  DCPC18-016"</f>
        <v>16467  16557  DCPC18-016</v>
      </c>
    </row>
    <row r="558" spans="1:8" x14ac:dyDescent="0.25">
      <c r="E558" t="str">
        <f>"201807031817"</f>
        <v>201807031817</v>
      </c>
      <c r="F558" t="str">
        <f>"56094"</f>
        <v>56094</v>
      </c>
      <c r="G558" s="3">
        <v>250</v>
      </c>
      <c r="H558" t="str">
        <f>"56094"</f>
        <v>56094</v>
      </c>
    </row>
    <row r="559" spans="1:8" x14ac:dyDescent="0.25">
      <c r="E559" t="str">
        <f>"201807031818"</f>
        <v>201807031818</v>
      </c>
      <c r="F559" t="str">
        <f>"56047"</f>
        <v>56047</v>
      </c>
      <c r="G559" s="3">
        <v>250</v>
      </c>
      <c r="H559" t="str">
        <f>"56047"</f>
        <v>56047</v>
      </c>
    </row>
    <row r="560" spans="1:8" x14ac:dyDescent="0.25">
      <c r="E560" t="str">
        <f>"201807031819"</f>
        <v>201807031819</v>
      </c>
      <c r="F560" t="str">
        <f>"20170540"</f>
        <v>20170540</v>
      </c>
      <c r="G560" s="3">
        <v>250</v>
      </c>
      <c r="H560" t="str">
        <f>"20170540"</f>
        <v>20170540</v>
      </c>
    </row>
    <row r="561" spans="1:8" x14ac:dyDescent="0.25">
      <c r="E561" t="str">
        <f>"201807031820"</f>
        <v>201807031820</v>
      </c>
      <c r="F561" t="str">
        <f>"BC20180217B"</f>
        <v>BC20180217B</v>
      </c>
      <c r="G561" s="3">
        <v>250</v>
      </c>
      <c r="H561" t="str">
        <f>"BC20180217B"</f>
        <v>BC20180217B</v>
      </c>
    </row>
    <row r="562" spans="1:8" x14ac:dyDescent="0.25">
      <c r="E562" t="str">
        <f>"201807031821"</f>
        <v>201807031821</v>
      </c>
      <c r="F562" t="str">
        <f>"18-18967"</f>
        <v>18-18967</v>
      </c>
      <c r="G562" s="3">
        <v>250</v>
      </c>
      <c r="H562" t="str">
        <f>"18-18967"</f>
        <v>18-18967</v>
      </c>
    </row>
    <row r="563" spans="1:8" x14ac:dyDescent="0.25">
      <c r="A563" t="s">
        <v>170</v>
      </c>
      <c r="B563">
        <v>999999</v>
      </c>
      <c r="C563" s="2">
        <v>2475</v>
      </c>
      <c r="D563" s="1">
        <v>43305</v>
      </c>
      <c r="E563" t="str">
        <f>"201807102150"</f>
        <v>201807102150</v>
      </c>
      <c r="F563" t="str">
        <f>"CH-20171003"</f>
        <v>CH-20171003</v>
      </c>
      <c r="G563" s="3">
        <v>400</v>
      </c>
      <c r="H563" t="str">
        <f>"CH-20171003"</f>
        <v>CH-20171003</v>
      </c>
    </row>
    <row r="564" spans="1:8" x14ac:dyDescent="0.25">
      <c r="E564" t="str">
        <f>"201807102151"</f>
        <v>201807102151</v>
      </c>
      <c r="F564" t="str">
        <f>"C20180407A"</f>
        <v>C20180407A</v>
      </c>
      <c r="G564" s="3">
        <v>400</v>
      </c>
      <c r="H564" t="str">
        <f>"C20180407A"</f>
        <v>C20180407A</v>
      </c>
    </row>
    <row r="565" spans="1:8" x14ac:dyDescent="0.25">
      <c r="E565" t="str">
        <f>"201807102152"</f>
        <v>201807102152</v>
      </c>
      <c r="F565" t="str">
        <f>"1JP319181"</f>
        <v>1JP319181</v>
      </c>
      <c r="G565" s="3">
        <v>400</v>
      </c>
      <c r="H565" t="str">
        <f>"1JP319181"</f>
        <v>1JP319181</v>
      </c>
    </row>
    <row r="566" spans="1:8" x14ac:dyDescent="0.25">
      <c r="E566" t="str">
        <f>"201807132200"</f>
        <v>201807132200</v>
      </c>
      <c r="F566" t="str">
        <f>"16079"</f>
        <v>16079</v>
      </c>
      <c r="G566" s="3">
        <v>400</v>
      </c>
      <c r="H566" t="str">
        <f>"16079"</f>
        <v>16079</v>
      </c>
    </row>
    <row r="567" spans="1:8" x14ac:dyDescent="0.25">
      <c r="E567" t="str">
        <f>"201807182304"</f>
        <v>201807182304</v>
      </c>
      <c r="F567" t="str">
        <f>"1JP22518A"</f>
        <v>1JP22518A</v>
      </c>
      <c r="G567" s="3">
        <v>250</v>
      </c>
      <c r="H567" t="str">
        <f>"1JP22518A"</f>
        <v>1JP22518A</v>
      </c>
    </row>
    <row r="568" spans="1:8" x14ac:dyDescent="0.25">
      <c r="E568" t="str">
        <f>"201807182305"</f>
        <v>201807182305</v>
      </c>
      <c r="F568" t="str">
        <f>"56165  20170072"</f>
        <v>56165  20170072</v>
      </c>
      <c r="G568" s="3">
        <v>375</v>
      </c>
      <c r="H568" t="str">
        <f>"56165  20170072"</f>
        <v>56165  20170072</v>
      </c>
    </row>
    <row r="569" spans="1:8" x14ac:dyDescent="0.25">
      <c r="E569" t="str">
        <f>"201807182328"</f>
        <v>201807182328</v>
      </c>
      <c r="F569" t="str">
        <f>"18-19112"</f>
        <v>18-19112</v>
      </c>
      <c r="G569" s="3">
        <v>250</v>
      </c>
      <c r="H569" t="str">
        <f>"18-19112"</f>
        <v>18-19112</v>
      </c>
    </row>
    <row r="570" spans="1:8" x14ac:dyDescent="0.25">
      <c r="A570" t="s">
        <v>171</v>
      </c>
      <c r="B570">
        <v>77710</v>
      </c>
      <c r="C570" s="2">
        <v>34.56</v>
      </c>
      <c r="D570" s="1">
        <v>43304</v>
      </c>
      <c r="E570" t="str">
        <f>"15-1195"</f>
        <v>15-1195</v>
      </c>
      <c r="F570" t="str">
        <f>"12 YARD BASE/PCT#3"</f>
        <v>12 YARD BASE/PCT#3</v>
      </c>
      <c r="G570" s="3">
        <v>34.56</v>
      </c>
      <c r="H570" t="str">
        <f>"12 YARD BASE/PCT#3"</f>
        <v>12 YARD BASE/PCT#3</v>
      </c>
    </row>
    <row r="571" spans="1:8" x14ac:dyDescent="0.25">
      <c r="A571" t="s">
        <v>172</v>
      </c>
      <c r="B571">
        <v>999999</v>
      </c>
      <c r="C571" s="2">
        <v>621.76</v>
      </c>
      <c r="D571" s="1">
        <v>43305</v>
      </c>
      <c r="E571" t="str">
        <f>"46179"</f>
        <v>46179</v>
      </c>
      <c r="F571" t="str">
        <f>"INV 46179"</f>
        <v>INV 46179</v>
      </c>
      <c r="G571" s="3">
        <v>621.76</v>
      </c>
      <c r="H571" t="str">
        <f>"INV 46179"</f>
        <v>INV 46179</v>
      </c>
    </row>
    <row r="572" spans="1:8" x14ac:dyDescent="0.25">
      <c r="A572" t="s">
        <v>173</v>
      </c>
      <c r="B572">
        <v>77815</v>
      </c>
      <c r="C572" s="2">
        <v>479</v>
      </c>
      <c r="D572" s="1">
        <v>43304</v>
      </c>
      <c r="E572" t="str">
        <f>"961500"</f>
        <v>961500</v>
      </c>
      <c r="F572" t="str">
        <f>"New Orleans 2018 Conf"</f>
        <v>New Orleans 2018 Conf</v>
      </c>
      <c r="G572" s="3">
        <v>479</v>
      </c>
      <c r="H572" t="str">
        <f>"New Orleans 2018 Conf"</f>
        <v>New Orleans 2018 Conf</v>
      </c>
    </row>
    <row r="573" spans="1:8" x14ac:dyDescent="0.25">
      <c r="A573" t="s">
        <v>174</v>
      </c>
      <c r="B573">
        <v>77473</v>
      </c>
      <c r="C573" s="2">
        <v>3244.5</v>
      </c>
      <c r="D573" s="1">
        <v>43290</v>
      </c>
      <c r="E573" t="str">
        <f>"1050472"</f>
        <v>1050472</v>
      </c>
      <c r="F573" t="str">
        <f>"ACCT#B06875/ORD#1149340/ELECT"</f>
        <v>ACCT#B06875/ORD#1149340/ELECT</v>
      </c>
      <c r="G573" s="3">
        <v>2108.9299999999998</v>
      </c>
      <c r="H573" t="str">
        <f>"ACCT#B06875/ORD#1149340/ELECT"</f>
        <v>ACCT#B06875/ORD#1149340/ELECT</v>
      </c>
    </row>
    <row r="574" spans="1:8" x14ac:dyDescent="0.25">
      <c r="E574" t="str">
        <f>"1050473"</f>
        <v>1050473</v>
      </c>
      <c r="F574" t="str">
        <f>"ACCT#B06875/ORD#1149342/ELECT"</f>
        <v>ACCT#B06875/ORD#1149342/ELECT</v>
      </c>
      <c r="G574" s="3">
        <v>1135.57</v>
      </c>
      <c r="H574" t="str">
        <f>"ACCT#B06875/ORD#1149342/ELECT"</f>
        <v>ACCT#B06875/ORD#1149342/ELECT</v>
      </c>
    </row>
    <row r="575" spans="1:8" x14ac:dyDescent="0.25">
      <c r="A575" t="s">
        <v>174</v>
      </c>
      <c r="B575">
        <v>77711</v>
      </c>
      <c r="C575" s="2">
        <v>14378.35</v>
      </c>
      <c r="D575" s="1">
        <v>43304</v>
      </c>
      <c r="E575" t="str">
        <f>"1052620"</f>
        <v>1052620</v>
      </c>
      <c r="F575" t="str">
        <f>"ACCT#B06875/ORD#1142974/ELECT"</f>
        <v>ACCT#B06875/ORD#1142974/ELECT</v>
      </c>
      <c r="G575" s="3">
        <v>252.23</v>
      </c>
      <c r="H575" t="str">
        <f>"ACCT#B06875/ORD#1142974/ELECT"</f>
        <v>ACCT#B06875/ORD#1142974/ELECT</v>
      </c>
    </row>
    <row r="576" spans="1:8" x14ac:dyDescent="0.25">
      <c r="E576" t="str">
        <f>"1052741"</f>
        <v>1052741</v>
      </c>
      <c r="F576" t="str">
        <f>"ACCT#B06875/ORD#1151223/ELECT"</f>
        <v>ACCT#B06875/ORD#1151223/ELECT</v>
      </c>
      <c r="G576" s="3">
        <v>374.61</v>
      </c>
      <c r="H576" t="str">
        <f>"ACCT#B06875/ORD#1151223/ELECT"</f>
        <v>ACCT#B06875/ORD#1151223/ELECT</v>
      </c>
    </row>
    <row r="577" spans="1:8" x14ac:dyDescent="0.25">
      <c r="E577" t="str">
        <f>"1052906"</f>
        <v>1052906</v>
      </c>
      <c r="F577" t="str">
        <f>"ACCT#B06875/SOFTWARE/ELECTIONS"</f>
        <v>ACCT#B06875/SOFTWARE/ELECTIONS</v>
      </c>
      <c r="G577" s="3">
        <v>13751.51</v>
      </c>
      <c r="H577" t="str">
        <f>"ACCT#B06875/SOFTWARE/ELECTIONS"</f>
        <v>ACCT#B06875/SOFTWARE/ELECTIONS</v>
      </c>
    </row>
    <row r="578" spans="1:8" x14ac:dyDescent="0.25">
      <c r="A578" t="s">
        <v>175</v>
      </c>
      <c r="B578">
        <v>999999</v>
      </c>
      <c r="C578" s="2">
        <v>1150</v>
      </c>
      <c r="D578" s="1">
        <v>43305</v>
      </c>
      <c r="E578" t="str">
        <f>"201807102163"</f>
        <v>201807102163</v>
      </c>
      <c r="F578" t="str">
        <f>"CREMATION- R. HANNA"</f>
        <v>CREMATION- R. HANNA</v>
      </c>
      <c r="G578" s="3">
        <v>700</v>
      </c>
      <c r="H578" t="str">
        <f>"CREMATION- R. HANNA"</f>
        <v>CREMATION- R. HANNA</v>
      </c>
    </row>
    <row r="579" spans="1:8" x14ac:dyDescent="0.25">
      <c r="E579" t="str">
        <f>"201807102164"</f>
        <v>201807102164</v>
      </c>
      <c r="F579" t="str">
        <f>"TRANSPORT-R. HANNA"</f>
        <v>TRANSPORT-R. HANNA</v>
      </c>
      <c r="G579" s="3">
        <v>450</v>
      </c>
      <c r="H579" t="str">
        <f>"TRANSPORT-R. HANNA"</f>
        <v>TRANSPORT-R. HANNA</v>
      </c>
    </row>
    <row r="580" spans="1:8" x14ac:dyDescent="0.25">
      <c r="A580" t="s">
        <v>176</v>
      </c>
      <c r="B580">
        <v>77712</v>
      </c>
      <c r="C580" s="2">
        <v>30.84</v>
      </c>
      <c r="D580" s="1">
        <v>43304</v>
      </c>
      <c r="E580" t="str">
        <f>"201807162230"</f>
        <v>201807162230</v>
      </c>
      <c r="F580" t="str">
        <f>"ARREST FEES 4/1/2018-6/30/2018"</f>
        <v>ARREST FEES 4/1/2018-6/30/2018</v>
      </c>
      <c r="G580" s="3">
        <v>30.84</v>
      </c>
      <c r="H580" t="str">
        <f>"ARREST FEES 4/1/2018-6/30/2018"</f>
        <v>ARREST FEES 4/1/2018-6/30/2018</v>
      </c>
    </row>
    <row r="581" spans="1:8" x14ac:dyDescent="0.25">
      <c r="A581" t="s">
        <v>177</v>
      </c>
      <c r="B581">
        <v>77422</v>
      </c>
      <c r="C581" s="2">
        <v>1340.52</v>
      </c>
      <c r="D581" s="1">
        <v>43286</v>
      </c>
      <c r="E581" t="str">
        <f>"201807051916"</f>
        <v>201807051916</v>
      </c>
      <c r="F581" t="str">
        <f>"ACCT#007-0008410-002/06302018"</f>
        <v>ACCT#007-0008410-002/06302018</v>
      </c>
      <c r="G581" s="3">
        <v>328.13</v>
      </c>
      <c r="H581" t="str">
        <f>"ACCT#007-0008410-002/06302018"</f>
        <v>ACCT#007-0008410-002/06302018</v>
      </c>
    </row>
    <row r="582" spans="1:8" x14ac:dyDescent="0.25">
      <c r="E582" t="str">
        <f>"201807051917"</f>
        <v>201807051917</v>
      </c>
      <c r="F582" t="str">
        <f>"ACCT#007-0011501-000/06302018"</f>
        <v>ACCT#007-0011501-000/06302018</v>
      </c>
      <c r="G582" s="3">
        <v>102.64</v>
      </c>
      <c r="H582" t="str">
        <f>"ACCT#007-0011501-000/06302018"</f>
        <v>ACCT#007-0011501-000/06302018</v>
      </c>
    </row>
    <row r="583" spans="1:8" x14ac:dyDescent="0.25">
      <c r="E583" t="str">
        <f>"201807051918"</f>
        <v>201807051918</v>
      </c>
      <c r="F583" t="str">
        <f>"ACCT#007-0011510-000/06302018"</f>
        <v>ACCT#007-0011510-000/06302018</v>
      </c>
      <c r="G583" s="3">
        <v>235.91</v>
      </c>
      <c r="H583" t="str">
        <f>"ACCT#007-0011510-000/06302018"</f>
        <v>ACCT#007-0011510-000/06302018</v>
      </c>
    </row>
    <row r="584" spans="1:8" x14ac:dyDescent="0.25">
      <c r="E584" t="str">
        <f>"201807051919"</f>
        <v>201807051919</v>
      </c>
      <c r="F584" t="str">
        <f>"ACCT#007-0011530-000/06302018"</f>
        <v>ACCT#007-0011530-000/06302018</v>
      </c>
      <c r="G584" s="3">
        <v>97.4</v>
      </c>
      <c r="H584" t="str">
        <f>"ACCT#007-0011530-000/06302018"</f>
        <v>ACCT#007-0011530-000/06302018</v>
      </c>
    </row>
    <row r="585" spans="1:8" x14ac:dyDescent="0.25">
      <c r="E585" t="str">
        <f>"201807051920"</f>
        <v>201807051920</v>
      </c>
      <c r="F585" t="str">
        <f>"ACCT#007-0011534-001/06302018"</f>
        <v>ACCT#007-0011534-001/06302018</v>
      </c>
      <c r="G585" s="3">
        <v>156.88</v>
      </c>
      <c r="H585" t="str">
        <f>"ACCT#007-0011534-001/06302018"</f>
        <v>ACCT#007-0011534-001/06302018</v>
      </c>
    </row>
    <row r="586" spans="1:8" x14ac:dyDescent="0.25">
      <c r="E586" t="str">
        <f>"201807051921"</f>
        <v>201807051921</v>
      </c>
      <c r="F586" t="str">
        <f>"ACCT#007-0011535-000/06302018"</f>
        <v>ACCT#007-0011535-000/06302018</v>
      </c>
      <c r="G586" s="3">
        <v>111.49</v>
      </c>
      <c r="H586" t="str">
        <f>"ACCT#007-0011535-000/06302018"</f>
        <v>ACCT#007-0011535-000/06302018</v>
      </c>
    </row>
    <row r="587" spans="1:8" x14ac:dyDescent="0.25">
      <c r="E587" t="str">
        <f>"201807051922"</f>
        <v>201807051922</v>
      </c>
      <c r="F587" t="str">
        <f>"ACCT#007-0011544-001/06302018"</f>
        <v>ACCT#007-0011544-001/06302018</v>
      </c>
      <c r="G587" s="3">
        <v>111.49</v>
      </c>
      <c r="H587" t="str">
        <f>"ACCT#007-0011544-001/06302018"</f>
        <v>ACCT#007-0011544-001/06302018</v>
      </c>
    </row>
    <row r="588" spans="1:8" x14ac:dyDescent="0.25">
      <c r="E588" t="str">
        <f>"201807051923"</f>
        <v>201807051923</v>
      </c>
      <c r="F588" t="str">
        <f>"ACCT#007-0071128-001/06302018"</f>
        <v>ACCT#007-0071128-001/06302018</v>
      </c>
      <c r="G588" s="3">
        <v>151.47999999999999</v>
      </c>
      <c r="H588" t="str">
        <f>"ACCT#007-0071128-001/06302018"</f>
        <v>ACCT#007-0071128-001/06302018</v>
      </c>
    </row>
    <row r="589" spans="1:8" x14ac:dyDescent="0.25">
      <c r="E589" t="str">
        <f>"201807051924"</f>
        <v>201807051924</v>
      </c>
      <c r="F589" t="str">
        <f>"ACCT#099-0000007-004/06302018"</f>
        <v>ACCT#099-0000007-004/06302018</v>
      </c>
      <c r="G589" s="3">
        <v>45.1</v>
      </c>
      <c r="H589" t="str">
        <f>"ACCT#099-0000007-004/06302018"</f>
        <v>ACCT#099-0000007-004/06302018</v>
      </c>
    </row>
    <row r="590" spans="1:8" x14ac:dyDescent="0.25">
      <c r="A590" t="s">
        <v>178</v>
      </c>
      <c r="B590">
        <v>77474</v>
      </c>
      <c r="C590" s="2">
        <v>1373.73</v>
      </c>
      <c r="D590" s="1">
        <v>43290</v>
      </c>
      <c r="E590" t="str">
        <f>"145-19215-01"</f>
        <v>145-19215-01</v>
      </c>
      <c r="F590" t="str">
        <f>"CUST ID:0888336"</f>
        <v>CUST ID:0888336</v>
      </c>
      <c r="G590" s="3">
        <v>1158</v>
      </c>
      <c r="H590" t="str">
        <f>"CUST ID:0888336"</f>
        <v>CUST ID:0888336</v>
      </c>
    </row>
    <row r="591" spans="1:8" x14ac:dyDescent="0.25">
      <c r="E591" t="str">
        <f>"145-19380-01"</f>
        <v>145-19380-01</v>
      </c>
      <c r="F591" t="str">
        <f>"ACCT#0888336/SOCKET/GEN SVCS"</f>
        <v>ACCT#0888336/SOCKET/GEN SVCS</v>
      </c>
      <c r="G591" s="3">
        <v>215.73</v>
      </c>
      <c r="H591" t="str">
        <f>"ACCT#0888336/SOCKET/GEN SVCS"</f>
        <v>ACCT#0888336/SOCKET/GEN SVCS</v>
      </c>
    </row>
    <row r="592" spans="1:8" x14ac:dyDescent="0.25">
      <c r="A592" t="s">
        <v>179</v>
      </c>
      <c r="B592">
        <v>77713</v>
      </c>
      <c r="C592" s="2">
        <v>64.94</v>
      </c>
      <c r="D592" s="1">
        <v>43304</v>
      </c>
      <c r="E592" t="str">
        <f>"REIMBURSE-1TB HD"</f>
        <v>REIMBURSE-1TB HD</v>
      </c>
      <c r="F592" t="str">
        <f>"REIMBURSEMENT"</f>
        <v>REIMBURSEMENT</v>
      </c>
      <c r="G592" s="3">
        <v>64.94</v>
      </c>
      <c r="H592" t="str">
        <f>"REIMBURSEMENT"</f>
        <v>REIMBURSEMENT</v>
      </c>
    </row>
    <row r="593" spans="1:8" x14ac:dyDescent="0.25">
      <c r="A593" t="s">
        <v>180</v>
      </c>
      <c r="B593">
        <v>999999</v>
      </c>
      <c r="C593" s="2">
        <v>238.98</v>
      </c>
      <c r="D593" s="1">
        <v>43291</v>
      </c>
      <c r="E593" t="str">
        <f>"201806291755"</f>
        <v>201806291755</v>
      </c>
      <c r="F593" t="str">
        <f>"BASTROP 06/20/18"</f>
        <v>BASTROP 06/20/18</v>
      </c>
      <c r="G593" s="3">
        <v>238.98</v>
      </c>
      <c r="H593" t="str">
        <f>"BASTROP 06/20/18"</f>
        <v>BASTROP 06/20/18</v>
      </c>
    </row>
    <row r="594" spans="1:8" x14ac:dyDescent="0.25">
      <c r="A594" t="s">
        <v>181</v>
      </c>
      <c r="B594">
        <v>77475</v>
      </c>
      <c r="C594" s="2">
        <v>36732.51</v>
      </c>
      <c r="D594" s="1">
        <v>43290</v>
      </c>
      <c r="E594" t="str">
        <f>"9401859264"</f>
        <v>9401859264</v>
      </c>
      <c r="F594" t="str">
        <f>"ACCT#912904/BOL#22679/PCT#2"</f>
        <v>ACCT#912904/BOL#22679/PCT#2</v>
      </c>
      <c r="G594" s="3">
        <v>9710.5400000000009</v>
      </c>
      <c r="H594" t="str">
        <f>"ACCT#912904/BOL#22679/PCT#2"</f>
        <v>ACCT#912904/BOL#22679/PCT#2</v>
      </c>
    </row>
    <row r="595" spans="1:8" x14ac:dyDescent="0.25">
      <c r="E595" t="str">
        <f>"9401865255"</f>
        <v>9401865255</v>
      </c>
      <c r="F595" t="str">
        <f>"ACCT#912922/BOL#22647/PCT#1"</f>
        <v>ACCT#912922/BOL#22647/PCT#1</v>
      </c>
      <c r="G595" s="3">
        <v>400</v>
      </c>
      <c r="H595" t="str">
        <f>"ACCT#912922/BOL#22647/PCT#1"</f>
        <v>ACCT#912922/BOL#22647/PCT#1</v>
      </c>
    </row>
    <row r="596" spans="1:8" x14ac:dyDescent="0.25">
      <c r="E596" t="str">
        <f>"9401865365"</f>
        <v>9401865365</v>
      </c>
      <c r="F596" t="str">
        <f>"ACCT#912897/BOL#22763/PCT#3"</f>
        <v>ACCT#912897/BOL#22763/PCT#3</v>
      </c>
      <c r="G596" s="3">
        <v>13552.55</v>
      </c>
      <c r="H596" t="str">
        <f>"ACCT#912897/BOL#22763/PCT#3"</f>
        <v>ACCT#912897/BOL#22763/PCT#3</v>
      </c>
    </row>
    <row r="597" spans="1:8" x14ac:dyDescent="0.25">
      <c r="E597" t="str">
        <f>"9401866475"</f>
        <v>9401866475</v>
      </c>
      <c r="F597" t="str">
        <f>"ACCT#912897/BOL#22790/PCT#3"</f>
        <v>ACCT#912897/BOL#22790/PCT#3</v>
      </c>
      <c r="G597" s="3">
        <v>13069.42</v>
      </c>
      <c r="H597" t="str">
        <f>"ACCT#912897/BOL#22790/PCT#3"</f>
        <v>ACCT#912897/BOL#22790/PCT#3</v>
      </c>
    </row>
    <row r="598" spans="1:8" x14ac:dyDescent="0.25">
      <c r="A598" t="s">
        <v>181</v>
      </c>
      <c r="B598">
        <v>77714</v>
      </c>
      <c r="C598" s="2">
        <v>16518.599999999999</v>
      </c>
      <c r="D598" s="1">
        <v>43304</v>
      </c>
      <c r="E598" t="str">
        <f>"9401866684"</f>
        <v>9401866684</v>
      </c>
      <c r="F598" t="str">
        <f>"ACCT#912904/BOL#22794/PCT#2"</f>
        <v>ACCT#912904/BOL#22794/PCT#2</v>
      </c>
      <c r="G598" s="3">
        <v>12226.24</v>
      </c>
      <c r="H598" t="str">
        <f>"ACCT#912904/BOL#22794/PCT#2"</f>
        <v>ACCT#912904/BOL#22794/PCT#2</v>
      </c>
    </row>
    <row r="599" spans="1:8" x14ac:dyDescent="0.25">
      <c r="E599" t="str">
        <f>"9401869508"</f>
        <v>9401869508</v>
      </c>
      <c r="F599" t="str">
        <f>"ACCT#912897/BOL#22763/PCT#3"</f>
        <v>ACCT#912897/BOL#22763/PCT#3</v>
      </c>
      <c r="G599" s="3">
        <v>400</v>
      </c>
      <c r="H599" t="str">
        <f>"ACCT#912897/BOL#22763/PCT#3"</f>
        <v>ACCT#912897/BOL#22763/PCT#3</v>
      </c>
    </row>
    <row r="600" spans="1:8" x14ac:dyDescent="0.25">
      <c r="E600" t="str">
        <f>"9401871994"</f>
        <v>9401871994</v>
      </c>
      <c r="F600" t="str">
        <f>"ACCT#912904/BOL#22794/PCT#2"</f>
        <v>ACCT#912904/BOL#22794/PCT#2</v>
      </c>
      <c r="G600" s="3">
        <v>100</v>
      </c>
      <c r="H600" t="str">
        <f>"ACCT#912904/BOL#22794/PCT#2"</f>
        <v>ACCT#912904/BOL#22794/PCT#2</v>
      </c>
    </row>
    <row r="601" spans="1:8" x14ac:dyDescent="0.25">
      <c r="E601" t="str">
        <f>"9401878269"</f>
        <v>9401878269</v>
      </c>
      <c r="F601" t="str">
        <f>"ACCT#912922/BOL#22927/PCT#1"</f>
        <v>ACCT#912922/BOL#22927/PCT#1</v>
      </c>
      <c r="G601" s="3">
        <v>3792.36</v>
      </c>
      <c r="H601" t="str">
        <f>"ACCT#912922/BOL#22927/PCT#1"</f>
        <v>ACCT#912922/BOL#22927/PCT#1</v>
      </c>
    </row>
    <row r="602" spans="1:8" x14ac:dyDescent="0.25">
      <c r="A602" t="s">
        <v>182</v>
      </c>
      <c r="B602">
        <v>77715</v>
      </c>
      <c r="C602" s="2">
        <v>1248.99</v>
      </c>
      <c r="D602" s="1">
        <v>43304</v>
      </c>
      <c r="E602" t="str">
        <f>"20564"</f>
        <v>20564</v>
      </c>
      <c r="F602" t="str">
        <f>"SVC CALL/LABOR/MILEAGE/PCT#3"</f>
        <v>SVC CALL/LABOR/MILEAGE/PCT#3</v>
      </c>
      <c r="G602" s="3">
        <v>1248.99</v>
      </c>
      <c r="H602" t="str">
        <f>"SVC CALL/LABOR/MILEAGE/PCT#3"</f>
        <v>SVC CALL/LABOR/MILEAGE/PCT#3</v>
      </c>
    </row>
    <row r="603" spans="1:8" x14ac:dyDescent="0.25">
      <c r="A603" t="s">
        <v>183</v>
      </c>
      <c r="B603">
        <v>999999</v>
      </c>
      <c r="C603" s="2">
        <v>214.95</v>
      </c>
      <c r="D603" s="1">
        <v>43291</v>
      </c>
      <c r="E603" t="str">
        <f>"4677484-00"</f>
        <v>4677484-00</v>
      </c>
      <c r="F603" t="str">
        <f>"CUST#702402-0001/GEN SVCS"</f>
        <v>CUST#702402-0001/GEN SVCS</v>
      </c>
      <c r="G603" s="3">
        <v>214.95</v>
      </c>
      <c r="H603" t="str">
        <f>"CUST#702402-0001/GEN SVCS"</f>
        <v>CUST#702402-0001/GEN SVCS</v>
      </c>
    </row>
    <row r="604" spans="1:8" x14ac:dyDescent="0.25">
      <c r="A604" t="s">
        <v>184</v>
      </c>
      <c r="B604">
        <v>77476</v>
      </c>
      <c r="C604" s="2">
        <v>16369.88</v>
      </c>
      <c r="D604" s="1">
        <v>43290</v>
      </c>
      <c r="E604" t="str">
        <f>"NP53576278"</f>
        <v>NP53576278</v>
      </c>
      <c r="F604" t="str">
        <f>"Stmt# NP53576278"</f>
        <v>Stmt# NP53576278</v>
      </c>
      <c r="G604" s="3">
        <v>1541.5</v>
      </c>
      <c r="H604" t="str">
        <f>"IT"</f>
        <v>IT</v>
      </c>
    </row>
    <row r="605" spans="1:8" x14ac:dyDescent="0.25">
      <c r="E605" t="str">
        <f>""</f>
        <v/>
      </c>
      <c r="F605" t="str">
        <f>""</f>
        <v/>
      </c>
      <c r="H605" t="str">
        <f>"General Services"</f>
        <v>General Services</v>
      </c>
    </row>
    <row r="606" spans="1:8" x14ac:dyDescent="0.25">
      <c r="E606" t="str">
        <f>""</f>
        <v/>
      </c>
      <c r="F606" t="str">
        <f>""</f>
        <v/>
      </c>
      <c r="H606" t="str">
        <f>"Sign Shop"</f>
        <v>Sign Shop</v>
      </c>
    </row>
    <row r="607" spans="1:8" x14ac:dyDescent="0.25">
      <c r="E607" t="str">
        <f>""</f>
        <v/>
      </c>
      <c r="F607" t="str">
        <f>""</f>
        <v/>
      </c>
      <c r="H607" t="str">
        <f>"Animal Service"</f>
        <v>Animal Service</v>
      </c>
    </row>
    <row r="608" spans="1:8" x14ac:dyDescent="0.25">
      <c r="E608" t="str">
        <f>""</f>
        <v/>
      </c>
      <c r="F608" t="str">
        <f>""</f>
        <v/>
      </c>
      <c r="H608" t="str">
        <f>"Environmental"</f>
        <v>Environmental</v>
      </c>
    </row>
    <row r="609" spans="1:8" x14ac:dyDescent="0.25">
      <c r="E609" t="str">
        <f>""</f>
        <v/>
      </c>
      <c r="F609" t="str">
        <f>""</f>
        <v/>
      </c>
      <c r="H609" t="str">
        <f>"Habitat"</f>
        <v>Habitat</v>
      </c>
    </row>
    <row r="610" spans="1:8" x14ac:dyDescent="0.25">
      <c r="E610" t="str">
        <f>""</f>
        <v/>
      </c>
      <c r="F610" t="str">
        <f>""</f>
        <v/>
      </c>
      <c r="H610" t="str">
        <f>"Ag"</f>
        <v>Ag</v>
      </c>
    </row>
    <row r="611" spans="1:8" x14ac:dyDescent="0.25">
      <c r="E611" t="str">
        <f>"NP53576439"</f>
        <v>NP53576439</v>
      </c>
      <c r="F611" t="str">
        <f>"INV NP53576439"</f>
        <v>INV NP53576439</v>
      </c>
      <c r="G611" s="3">
        <v>14418.43</v>
      </c>
      <c r="H611" t="str">
        <f>"INV NP53576439"</f>
        <v>INV NP53576439</v>
      </c>
    </row>
    <row r="612" spans="1:8" x14ac:dyDescent="0.25">
      <c r="E612" t="str">
        <f>"NP53576465"</f>
        <v>NP53576465</v>
      </c>
      <c r="F612" t="str">
        <f>"Stmt# NP53576465"</f>
        <v>Stmt# NP53576465</v>
      </c>
      <c r="G612" s="3">
        <v>409.95</v>
      </c>
      <c r="H612" t="str">
        <f>"Payment"</f>
        <v>Payment</v>
      </c>
    </row>
    <row r="613" spans="1:8" x14ac:dyDescent="0.25">
      <c r="A613" t="s">
        <v>184</v>
      </c>
      <c r="B613">
        <v>77644</v>
      </c>
      <c r="C613" s="2">
        <v>29411.919999999998</v>
      </c>
      <c r="D613" s="1">
        <v>43300</v>
      </c>
      <c r="E613" t="str">
        <f>"NP53054878Reissue"</f>
        <v>NP53054878Reissue</v>
      </c>
      <c r="F613" t="str">
        <f>"INV NP53054878"</f>
        <v>INV NP53054878</v>
      </c>
      <c r="G613" s="3">
        <v>13701.04</v>
      </c>
      <c r="H613" t="str">
        <f>"INV NP53054878"</f>
        <v>INV NP53054878</v>
      </c>
    </row>
    <row r="614" spans="1:8" x14ac:dyDescent="0.25">
      <c r="E614" t="str">
        <f>"NP53123273REISSUE"</f>
        <v>NP53123273REISSUE</v>
      </c>
      <c r="F614" t="str">
        <f>"STMT# NP53123273"</f>
        <v>STMT# NP53123273</v>
      </c>
      <c r="G614" s="3">
        <v>1371.45</v>
      </c>
      <c r="H614" t="str">
        <f t="shared" ref="H614:H621" si="4">"STMT# NP53123273"</f>
        <v>STMT# NP53123273</v>
      </c>
    </row>
    <row r="615" spans="1:8" x14ac:dyDescent="0.25">
      <c r="E615" t="str">
        <f>""</f>
        <v/>
      </c>
      <c r="F615" t="str">
        <f>""</f>
        <v/>
      </c>
      <c r="H615" t="str">
        <f t="shared" si="4"/>
        <v>STMT# NP53123273</v>
      </c>
    </row>
    <row r="616" spans="1:8" x14ac:dyDescent="0.25">
      <c r="E616" t="str">
        <f>""</f>
        <v/>
      </c>
      <c r="F616" t="str">
        <f>""</f>
        <v/>
      </c>
      <c r="H616" t="str">
        <f t="shared" si="4"/>
        <v>STMT# NP53123273</v>
      </c>
    </row>
    <row r="617" spans="1:8" x14ac:dyDescent="0.25">
      <c r="E617" t="str">
        <f>""</f>
        <v/>
      </c>
      <c r="F617" t="str">
        <f>""</f>
        <v/>
      </c>
      <c r="H617" t="str">
        <f t="shared" si="4"/>
        <v>STMT# NP53123273</v>
      </c>
    </row>
    <row r="618" spans="1:8" x14ac:dyDescent="0.25">
      <c r="E618" t="str">
        <f>""</f>
        <v/>
      </c>
      <c r="F618" t="str">
        <f>""</f>
        <v/>
      </c>
      <c r="H618" t="str">
        <f t="shared" si="4"/>
        <v>STMT# NP53123273</v>
      </c>
    </row>
    <row r="619" spans="1:8" x14ac:dyDescent="0.25">
      <c r="E619" t="str">
        <f>""</f>
        <v/>
      </c>
      <c r="F619" t="str">
        <f>""</f>
        <v/>
      </c>
      <c r="H619" t="str">
        <f t="shared" si="4"/>
        <v>STMT# NP53123273</v>
      </c>
    </row>
    <row r="620" spans="1:8" x14ac:dyDescent="0.25">
      <c r="E620" t="str">
        <f>""</f>
        <v/>
      </c>
      <c r="F620" t="str">
        <f>""</f>
        <v/>
      </c>
      <c r="H620" t="str">
        <f t="shared" si="4"/>
        <v>STMT# NP53123273</v>
      </c>
    </row>
    <row r="621" spans="1:8" x14ac:dyDescent="0.25">
      <c r="E621" t="str">
        <f>""</f>
        <v/>
      </c>
      <c r="F621" t="str">
        <f>""</f>
        <v/>
      </c>
      <c r="H621" t="str">
        <f t="shared" si="4"/>
        <v>STMT# NP53123273</v>
      </c>
    </row>
    <row r="622" spans="1:8" x14ac:dyDescent="0.25">
      <c r="E622" t="str">
        <f>"NP53123437REISSUE"</f>
        <v>NP53123437REISSUE</v>
      </c>
      <c r="F622" t="str">
        <f>"INV NP53123437"</f>
        <v>INV NP53123437</v>
      </c>
      <c r="G622" s="3">
        <v>13766.26</v>
      </c>
      <c r="H622" t="str">
        <f>"INV NP53123437"</f>
        <v>INV NP53123437</v>
      </c>
    </row>
    <row r="623" spans="1:8" x14ac:dyDescent="0.25">
      <c r="E623" t="str">
        <f>"NP53123463REISSUE"</f>
        <v>NP53123463REISSUE</v>
      </c>
      <c r="F623" t="str">
        <f>"STMT # NP53123463"</f>
        <v>STMT # NP53123463</v>
      </c>
      <c r="G623" s="3">
        <v>573.16999999999996</v>
      </c>
      <c r="H623" t="str">
        <f>"STMT # NP53123463"</f>
        <v>STMT # NP53123463</v>
      </c>
    </row>
    <row r="624" spans="1:8" x14ac:dyDescent="0.25">
      <c r="A624" t="s">
        <v>184</v>
      </c>
      <c r="B624">
        <v>77716</v>
      </c>
      <c r="C624" s="2">
        <v>16396.79</v>
      </c>
      <c r="D624" s="1">
        <v>43304</v>
      </c>
      <c r="E624" t="str">
        <f>"NP53728552"</f>
        <v>NP53728552</v>
      </c>
      <c r="F624" t="str">
        <f>"Stmt# NP53728552"</f>
        <v>Stmt# NP53728552</v>
      </c>
      <c r="G624" s="3">
        <v>1151.26</v>
      </c>
      <c r="H624" t="str">
        <f>"IT"</f>
        <v>IT</v>
      </c>
    </row>
    <row r="625" spans="1:8" x14ac:dyDescent="0.25">
      <c r="E625" t="str">
        <f>""</f>
        <v/>
      </c>
      <c r="F625" t="str">
        <f>""</f>
        <v/>
      </c>
      <c r="H625" t="str">
        <f>"General Services"</f>
        <v>General Services</v>
      </c>
    </row>
    <row r="626" spans="1:8" x14ac:dyDescent="0.25">
      <c r="E626" t="str">
        <f>""</f>
        <v/>
      </c>
      <c r="F626" t="str">
        <f>""</f>
        <v/>
      </c>
      <c r="H626" t="str">
        <f>"SIgn Shop"</f>
        <v>SIgn Shop</v>
      </c>
    </row>
    <row r="627" spans="1:8" x14ac:dyDescent="0.25">
      <c r="E627" t="str">
        <f>""</f>
        <v/>
      </c>
      <c r="F627" t="str">
        <f>""</f>
        <v/>
      </c>
      <c r="H627" t="str">
        <f>"Animal Shelter"</f>
        <v>Animal Shelter</v>
      </c>
    </row>
    <row r="628" spans="1:8" x14ac:dyDescent="0.25">
      <c r="E628" t="str">
        <f>""</f>
        <v/>
      </c>
      <c r="F628" t="str">
        <f>""</f>
        <v/>
      </c>
      <c r="H628" t="str">
        <f>"Environmental"</f>
        <v>Environmental</v>
      </c>
    </row>
    <row r="629" spans="1:8" x14ac:dyDescent="0.25">
      <c r="E629" t="str">
        <f>""</f>
        <v/>
      </c>
      <c r="F629" t="str">
        <f>""</f>
        <v/>
      </c>
      <c r="H629" t="str">
        <f>"Ag"</f>
        <v>Ag</v>
      </c>
    </row>
    <row r="630" spans="1:8" x14ac:dyDescent="0.25">
      <c r="E630" t="str">
        <f>""</f>
        <v/>
      </c>
      <c r="F630" t="str">
        <f>""</f>
        <v/>
      </c>
      <c r="H630" t="str">
        <f>"Pct 1"</f>
        <v>Pct 1</v>
      </c>
    </row>
    <row r="631" spans="1:8" x14ac:dyDescent="0.25">
      <c r="E631" t="str">
        <f>"NP53728713"</f>
        <v>NP53728713</v>
      </c>
      <c r="F631" t="str">
        <f>"INV NP53728713"</f>
        <v>INV NP53728713</v>
      </c>
      <c r="G631" s="3">
        <v>14846.74</v>
      </c>
      <c r="H631" t="str">
        <f>"INV NP53728713"</f>
        <v>INV NP53728713</v>
      </c>
    </row>
    <row r="632" spans="1:8" x14ac:dyDescent="0.25">
      <c r="E632" t="str">
        <f>"NP53728738"</f>
        <v>NP53728738</v>
      </c>
      <c r="F632" t="str">
        <f>"Payment"</f>
        <v>Payment</v>
      </c>
      <c r="G632" s="3">
        <v>398.79</v>
      </c>
      <c r="H632" t="str">
        <f>"Payment"</f>
        <v>Payment</v>
      </c>
    </row>
    <row r="633" spans="1:8" x14ac:dyDescent="0.25">
      <c r="A633" t="s">
        <v>185</v>
      </c>
      <c r="B633">
        <v>77477</v>
      </c>
      <c r="C633" s="2">
        <v>246.04</v>
      </c>
      <c r="D633" s="1">
        <v>43290</v>
      </c>
      <c r="E633" t="str">
        <f>"96382180"</f>
        <v>96382180</v>
      </c>
      <c r="F633" t="str">
        <f>"ACCT#80975-001/PCT#3"</f>
        <v>ACCT#80975-001/PCT#3</v>
      </c>
      <c r="G633" s="3">
        <v>126.08</v>
      </c>
      <c r="H633" t="str">
        <f>"ACCT#80975-001/PCT#3"</f>
        <v>ACCT#80975-001/PCT#3</v>
      </c>
    </row>
    <row r="634" spans="1:8" x14ac:dyDescent="0.25">
      <c r="E634" t="str">
        <f>"96386466"</f>
        <v>96386466</v>
      </c>
      <c r="F634" t="str">
        <f>"ACCT#80975-001/PCT#3"</f>
        <v>ACCT#80975-001/PCT#3</v>
      </c>
      <c r="G634" s="3">
        <v>119.96</v>
      </c>
      <c r="H634" t="str">
        <f>"ACCT#80975-001/PCT#3"</f>
        <v>ACCT#80975-001/PCT#3</v>
      </c>
    </row>
    <row r="635" spans="1:8" x14ac:dyDescent="0.25">
      <c r="A635" t="s">
        <v>186</v>
      </c>
      <c r="B635">
        <v>77478</v>
      </c>
      <c r="C635" s="2">
        <v>15</v>
      </c>
      <c r="D635" s="1">
        <v>43290</v>
      </c>
      <c r="E635" t="str">
        <f>"201807031789"</f>
        <v>201807031789</v>
      </c>
      <c r="F635" t="str">
        <f>"REFUND COUPON #20425"</f>
        <v>REFUND COUPON #20425</v>
      </c>
      <c r="G635" s="3">
        <v>15</v>
      </c>
      <c r="H635" t="str">
        <f>"REFUND COUPON #20425"</f>
        <v>REFUND COUPON #20425</v>
      </c>
    </row>
    <row r="636" spans="1:8" x14ac:dyDescent="0.25">
      <c r="A636" t="s">
        <v>186</v>
      </c>
      <c r="B636">
        <v>999999</v>
      </c>
      <c r="C636" s="2">
        <v>165</v>
      </c>
      <c r="D636" s="1">
        <v>43305</v>
      </c>
      <c r="E636" t="str">
        <f>"201807172233"</f>
        <v>201807172233</v>
      </c>
      <c r="F636" t="str">
        <f>"REFUND COUPONS"</f>
        <v>REFUND COUPONS</v>
      </c>
      <c r="G636" s="3">
        <v>165</v>
      </c>
      <c r="H636" t="str">
        <f>"REFUND COUPONS"</f>
        <v>REFUND COUPONS</v>
      </c>
    </row>
    <row r="637" spans="1:8" x14ac:dyDescent="0.25">
      <c r="A637" t="s">
        <v>187</v>
      </c>
      <c r="B637">
        <v>999999</v>
      </c>
      <c r="C637" s="2">
        <v>850</v>
      </c>
      <c r="D637" s="1">
        <v>43291</v>
      </c>
      <c r="E637" t="str">
        <f>"201806291764"</f>
        <v>201806291764</v>
      </c>
      <c r="F637" t="str">
        <f>"423-5797"</f>
        <v>423-5797</v>
      </c>
      <c r="G637" s="3">
        <v>100</v>
      </c>
      <c r="H637" t="str">
        <f>"423-5797"</f>
        <v>423-5797</v>
      </c>
    </row>
    <row r="638" spans="1:8" x14ac:dyDescent="0.25">
      <c r="E638" t="str">
        <f>"201807031832"</f>
        <v>201807031832</v>
      </c>
      <c r="F638" t="str">
        <f>"55 449"</f>
        <v>55 449</v>
      </c>
      <c r="G638" s="3">
        <v>250</v>
      </c>
      <c r="H638" t="str">
        <f>"55 449"</f>
        <v>55 449</v>
      </c>
    </row>
    <row r="639" spans="1:8" x14ac:dyDescent="0.25">
      <c r="E639" t="str">
        <f>"201807031833"</f>
        <v>201807031833</v>
      </c>
      <c r="F639" t="str">
        <f>"55 768"</f>
        <v>55 768</v>
      </c>
      <c r="G639" s="3">
        <v>250</v>
      </c>
      <c r="H639" t="str">
        <f>"55 768"</f>
        <v>55 768</v>
      </c>
    </row>
    <row r="640" spans="1:8" x14ac:dyDescent="0.25">
      <c r="E640" t="str">
        <f>"201807031834"</f>
        <v>201807031834</v>
      </c>
      <c r="F640" t="str">
        <f>"55407"</f>
        <v>55407</v>
      </c>
      <c r="G640" s="3">
        <v>250</v>
      </c>
      <c r="H640" t="str">
        <f>"55407"</f>
        <v>55407</v>
      </c>
    </row>
    <row r="641" spans="1:8" x14ac:dyDescent="0.25">
      <c r="A641" t="s">
        <v>187</v>
      </c>
      <c r="B641">
        <v>999999</v>
      </c>
      <c r="C641" s="2">
        <v>1300</v>
      </c>
      <c r="D641" s="1">
        <v>43305</v>
      </c>
      <c r="E641" t="str">
        <f>"201807112181"</f>
        <v>201807112181</v>
      </c>
      <c r="F641" t="str">
        <f>"15 114"</f>
        <v>15 114</v>
      </c>
      <c r="G641" s="3">
        <v>400</v>
      </c>
      <c r="H641" t="str">
        <f>"15 114"</f>
        <v>15 114</v>
      </c>
    </row>
    <row r="642" spans="1:8" x14ac:dyDescent="0.25">
      <c r="E642" t="str">
        <f>"201807132203"</f>
        <v>201807132203</v>
      </c>
      <c r="F642" t="str">
        <f>"18-00348"</f>
        <v>18-00348</v>
      </c>
      <c r="G642" s="3">
        <v>400</v>
      </c>
      <c r="H642" t="str">
        <f>"18-00348"</f>
        <v>18-00348</v>
      </c>
    </row>
    <row r="643" spans="1:8" x14ac:dyDescent="0.25">
      <c r="E643" t="str">
        <f>"201807182291"</f>
        <v>201807182291</v>
      </c>
      <c r="F643" t="str">
        <f>"56 254"</f>
        <v>56 254</v>
      </c>
      <c r="G643" s="3">
        <v>250</v>
      </c>
      <c r="H643" t="str">
        <f>"56 254"</f>
        <v>56 254</v>
      </c>
    </row>
    <row r="644" spans="1:8" x14ac:dyDescent="0.25">
      <c r="E644" t="str">
        <f>"201807182322"</f>
        <v>201807182322</v>
      </c>
      <c r="F644" t="str">
        <f>"55 753"</f>
        <v>55 753</v>
      </c>
      <c r="G644" s="3">
        <v>250</v>
      </c>
      <c r="H644" t="str">
        <f>"55 753"</f>
        <v>55 753</v>
      </c>
    </row>
    <row r="645" spans="1:8" x14ac:dyDescent="0.25">
      <c r="A645" t="s">
        <v>188</v>
      </c>
      <c r="B645">
        <v>999999</v>
      </c>
      <c r="C645" s="2">
        <v>621.47</v>
      </c>
      <c r="D645" s="1">
        <v>43291</v>
      </c>
      <c r="E645" t="str">
        <f>"AP372942"</f>
        <v>AP372942</v>
      </c>
      <c r="F645" t="str">
        <f>"ACCT#3326/PCT#4"</f>
        <v>ACCT#3326/PCT#4</v>
      </c>
      <c r="G645" s="3">
        <v>601.5</v>
      </c>
      <c r="H645" t="str">
        <f>"ACCT#3326/PCT#4"</f>
        <v>ACCT#3326/PCT#4</v>
      </c>
    </row>
    <row r="646" spans="1:8" x14ac:dyDescent="0.25">
      <c r="E646" t="str">
        <f>"AP372943"</f>
        <v>AP372943</v>
      </c>
      <c r="F646" t="str">
        <f>"ACCT#3326/PCT#4"</f>
        <v>ACCT#3326/PCT#4</v>
      </c>
      <c r="G646" s="3">
        <v>19.97</v>
      </c>
      <c r="H646" t="str">
        <f>"ACCT#3326/PCT#4"</f>
        <v>ACCT#3326/PCT#4</v>
      </c>
    </row>
    <row r="647" spans="1:8" x14ac:dyDescent="0.25">
      <c r="A647" t="s">
        <v>188</v>
      </c>
      <c r="B647">
        <v>999999</v>
      </c>
      <c r="C647" s="2">
        <v>322.02</v>
      </c>
      <c r="D647" s="1">
        <v>43305</v>
      </c>
      <c r="E647" t="str">
        <f>"AP375113"</f>
        <v>AP375113</v>
      </c>
      <c r="F647" t="str">
        <f>"ACCT#3326/PCT#4"</f>
        <v>ACCT#3326/PCT#4</v>
      </c>
      <c r="G647" s="3">
        <v>127.97</v>
      </c>
      <c r="H647" t="str">
        <f>"ACCT#3326/PCT#4"</f>
        <v>ACCT#3326/PCT#4</v>
      </c>
    </row>
    <row r="648" spans="1:8" x14ac:dyDescent="0.25">
      <c r="E648" t="str">
        <f>"AP375331"</f>
        <v>AP375331</v>
      </c>
      <c r="F648" t="str">
        <f>"ACCT#3324/PCT#3"</f>
        <v>ACCT#3324/PCT#3</v>
      </c>
      <c r="G648" s="3">
        <v>194.05</v>
      </c>
      <c r="H648" t="str">
        <f>"ACCT#3324/PCT#3"</f>
        <v>ACCT#3324/PCT#3</v>
      </c>
    </row>
    <row r="649" spans="1:8" x14ac:dyDescent="0.25">
      <c r="A649" t="s">
        <v>189</v>
      </c>
      <c r="B649">
        <v>999999</v>
      </c>
      <c r="C649" s="2">
        <v>760.86</v>
      </c>
      <c r="D649" s="1">
        <v>43291</v>
      </c>
      <c r="E649" t="str">
        <f>"105793"</f>
        <v>105793</v>
      </c>
      <c r="F649" t="str">
        <f>"INV GC 105793"</f>
        <v>INV GC 105793</v>
      </c>
      <c r="G649" s="3">
        <v>62.5</v>
      </c>
      <c r="H649" t="str">
        <f>"INV GC 105793"</f>
        <v>INV GC 105793</v>
      </c>
    </row>
    <row r="650" spans="1:8" x14ac:dyDescent="0.25">
      <c r="E650" t="str">
        <f>"105795"</f>
        <v>105795</v>
      </c>
      <c r="F650" t="str">
        <f>"APPLICATIONS/JP#1"</f>
        <v>APPLICATIONS/JP#1</v>
      </c>
      <c r="G650" s="3">
        <v>208.21</v>
      </c>
      <c r="H650" t="str">
        <f>"APPLICATIONS/JP#1"</f>
        <v>APPLICATIONS/JP#1</v>
      </c>
    </row>
    <row r="651" spans="1:8" x14ac:dyDescent="0.25">
      <c r="E651" t="str">
        <f>"105815"</f>
        <v>105815</v>
      </c>
      <c r="F651" t="str">
        <f>"INV GC 105815"</f>
        <v>INV GC 105815</v>
      </c>
      <c r="G651" s="3">
        <v>39.630000000000003</v>
      </c>
      <c r="H651" t="str">
        <f>"INV GC 105815"</f>
        <v>INV GC 105815</v>
      </c>
    </row>
    <row r="652" spans="1:8" x14ac:dyDescent="0.25">
      <c r="E652" t="str">
        <f>"GC 105806"</f>
        <v>GC 105806</v>
      </c>
      <c r="F652" t="str">
        <f>"INV GC 105806"</f>
        <v>INV GC 105806</v>
      </c>
      <c r="G652" s="3">
        <v>450.52</v>
      </c>
      <c r="H652" t="str">
        <f>"INV GC 105806"</f>
        <v>INV GC 105806</v>
      </c>
    </row>
    <row r="653" spans="1:8" x14ac:dyDescent="0.25">
      <c r="A653" t="s">
        <v>189</v>
      </c>
      <c r="B653">
        <v>999999</v>
      </c>
      <c r="C653" s="2">
        <v>201.61</v>
      </c>
      <c r="D653" s="1">
        <v>43305</v>
      </c>
      <c r="E653" t="str">
        <f>"105840"</f>
        <v>105840</v>
      </c>
      <c r="F653" t="str">
        <f>"WINDOW/REGULAR ENV/SANITATION"</f>
        <v>WINDOW/REGULAR ENV/SANITATION</v>
      </c>
      <c r="G653" s="3">
        <v>160.65</v>
      </c>
      <c r="H653" t="str">
        <f>"WINDOW/REGULAR ENV/SANITATION"</f>
        <v>WINDOW/REGULAR ENV/SANITATION</v>
      </c>
    </row>
    <row r="654" spans="1:8" x14ac:dyDescent="0.25">
      <c r="E654" t="str">
        <f>"105992"</f>
        <v>105992</v>
      </c>
      <c r="F654" t="str">
        <f>"INV GC 105992"</f>
        <v>INV GC 105992</v>
      </c>
      <c r="G654" s="3">
        <v>40.96</v>
      </c>
      <c r="H654" t="str">
        <f>"INV GC 105992"</f>
        <v>INV GC 105992</v>
      </c>
    </row>
    <row r="655" spans="1:8" x14ac:dyDescent="0.25">
      <c r="A655" t="s">
        <v>190</v>
      </c>
      <c r="B655">
        <v>77717</v>
      </c>
      <c r="C655" s="2">
        <v>289.44</v>
      </c>
      <c r="D655" s="1">
        <v>43304</v>
      </c>
      <c r="E655" t="str">
        <f>"201807172246"</f>
        <v>201807172246</v>
      </c>
      <c r="F655" t="str">
        <f>"CUST#2179855/PCT#3"</f>
        <v>CUST#2179855/PCT#3</v>
      </c>
      <c r="G655" s="3">
        <v>289.44</v>
      </c>
      <c r="H655" t="str">
        <f>"CUST#2179855/PCT#3"</f>
        <v>CUST#2179855/PCT#3</v>
      </c>
    </row>
    <row r="656" spans="1:8" x14ac:dyDescent="0.25">
      <c r="A656" t="s">
        <v>191</v>
      </c>
      <c r="B656">
        <v>77479</v>
      </c>
      <c r="C656" s="2">
        <v>140</v>
      </c>
      <c r="D656" s="1">
        <v>43290</v>
      </c>
      <c r="E656" t="str">
        <f>"12622"</f>
        <v>12622</v>
      </c>
      <c r="F656" t="str">
        <f>"SERVICE  03/20/18"</f>
        <v>SERVICE  03/20/18</v>
      </c>
      <c r="G656" s="3">
        <v>140</v>
      </c>
      <c r="H656" t="str">
        <f>"SERVICE  03/20/18"</f>
        <v>SERVICE  03/20/18</v>
      </c>
    </row>
    <row r="657" spans="1:8" x14ac:dyDescent="0.25">
      <c r="A657" t="s">
        <v>192</v>
      </c>
      <c r="B657">
        <v>999999</v>
      </c>
      <c r="C657" s="2">
        <v>75</v>
      </c>
      <c r="D657" s="1">
        <v>43291</v>
      </c>
      <c r="E657" t="str">
        <f>"N53404"</f>
        <v>N53404</v>
      </c>
      <c r="F657" t="str">
        <f>"INV N53404"</f>
        <v>INV N53404</v>
      </c>
      <c r="G657" s="3">
        <v>75</v>
      </c>
      <c r="H657" t="str">
        <f>"INV N53404"</f>
        <v>INV N53404</v>
      </c>
    </row>
    <row r="658" spans="1:8" x14ac:dyDescent="0.25">
      <c r="A658" t="s">
        <v>193</v>
      </c>
      <c r="B658">
        <v>77480</v>
      </c>
      <c r="C658" s="2">
        <v>447.1</v>
      </c>
      <c r="D658" s="1">
        <v>43290</v>
      </c>
      <c r="E658" t="str">
        <f>"625-100936"</f>
        <v>625-100936</v>
      </c>
      <c r="F658" t="str">
        <f>"CUST#535538/ORD#104063/PCT#2"</f>
        <v>CUST#535538/ORD#104063/PCT#2</v>
      </c>
      <c r="G658" s="3">
        <v>447.1</v>
      </c>
      <c r="H658" t="str">
        <f>"CUST#535538/ORD#104063/PCT#2"</f>
        <v>CUST#535538/ORD#104063/PCT#2</v>
      </c>
    </row>
    <row r="659" spans="1:8" x14ac:dyDescent="0.25">
      <c r="A659" t="s">
        <v>193</v>
      </c>
      <c r="B659">
        <v>77718</v>
      </c>
      <c r="C659" s="2">
        <v>1152</v>
      </c>
      <c r="D659" s="1">
        <v>43304</v>
      </c>
      <c r="E659" t="str">
        <f>"625-101566 101713"</f>
        <v>625-101566 101713</v>
      </c>
      <c r="F659" t="str">
        <f>"ACCT#535538/PCT#2"</f>
        <v>ACCT#535538/PCT#2</v>
      </c>
      <c r="G659" s="3">
        <v>1152</v>
      </c>
      <c r="H659" t="str">
        <f>"ACCT#535538/PCT#2"</f>
        <v>ACCT#535538/PCT#2</v>
      </c>
    </row>
    <row r="660" spans="1:8" x14ac:dyDescent="0.25">
      <c r="A660" t="s">
        <v>194</v>
      </c>
      <c r="B660">
        <v>77719</v>
      </c>
      <c r="C660" s="2">
        <v>705</v>
      </c>
      <c r="D660" s="1">
        <v>43304</v>
      </c>
      <c r="E660" t="str">
        <f>"250"</f>
        <v>250</v>
      </c>
      <c r="F660" t="str">
        <f>"8K BRAKE AXLE/PCT#1"</f>
        <v>8K BRAKE AXLE/PCT#1</v>
      </c>
      <c r="G660" s="3">
        <v>705</v>
      </c>
      <c r="H660" t="str">
        <f>"8K BRAKE AXLE/PCT#1"</f>
        <v>8K BRAKE AXLE/PCT#1</v>
      </c>
    </row>
    <row r="661" spans="1:8" x14ac:dyDescent="0.25">
      <c r="A661" t="s">
        <v>195</v>
      </c>
      <c r="B661">
        <v>77481</v>
      </c>
      <c r="C661" s="2">
        <v>800</v>
      </c>
      <c r="D661" s="1">
        <v>43290</v>
      </c>
      <c r="E661" t="str">
        <f>"1023"</f>
        <v>1023</v>
      </c>
      <c r="F661" t="str">
        <f>"TRANSPORT-C. BOUCH"</f>
        <v>TRANSPORT-C. BOUCH</v>
      </c>
      <c r="G661" s="3">
        <v>400</v>
      </c>
      <c r="H661" t="str">
        <f>"TRANSPORT-C. BOUCH"</f>
        <v>TRANSPORT-C. BOUCH</v>
      </c>
    </row>
    <row r="662" spans="1:8" x14ac:dyDescent="0.25">
      <c r="E662" t="str">
        <f>"1024"</f>
        <v>1024</v>
      </c>
      <c r="F662" t="str">
        <f>"TRANSPORT-J. BARRIENTOS"</f>
        <v>TRANSPORT-J. BARRIENTOS</v>
      </c>
      <c r="G662" s="3">
        <v>400</v>
      </c>
      <c r="H662" t="str">
        <f>"TRANSPORT-J. BARRIENTOS"</f>
        <v>TRANSPORT-J. BARRIENTOS</v>
      </c>
    </row>
    <row r="663" spans="1:8" x14ac:dyDescent="0.25">
      <c r="A663" t="s">
        <v>196</v>
      </c>
      <c r="B663">
        <v>77482</v>
      </c>
      <c r="C663" s="2">
        <v>470.76</v>
      </c>
      <c r="D663" s="1">
        <v>43290</v>
      </c>
      <c r="E663" t="str">
        <f>"9819053803/811"</f>
        <v>9819053803/811</v>
      </c>
      <c r="F663" t="str">
        <f>"INV 9819053803/9819053811"</f>
        <v>INV 9819053803/9819053811</v>
      </c>
      <c r="G663" s="3">
        <v>245.4</v>
      </c>
      <c r="H663" t="str">
        <f>"INV 9819053803"</f>
        <v>INV 9819053803</v>
      </c>
    </row>
    <row r="664" spans="1:8" x14ac:dyDescent="0.25">
      <c r="E664" t="str">
        <f>""</f>
        <v/>
      </c>
      <c r="F664" t="str">
        <f>""</f>
        <v/>
      </c>
      <c r="H664" t="str">
        <f>"INV 9819053811"</f>
        <v>INV 9819053811</v>
      </c>
    </row>
    <row r="665" spans="1:8" x14ac:dyDescent="0.25">
      <c r="E665" t="str">
        <f>"9825236566"</f>
        <v>9825236566</v>
      </c>
      <c r="F665" t="str">
        <f>"INV 9825236566"</f>
        <v>INV 9825236566</v>
      </c>
      <c r="G665" s="3">
        <v>225.36</v>
      </c>
      <c r="H665" t="str">
        <f>"INV 9825236566"</f>
        <v>INV 9825236566</v>
      </c>
    </row>
    <row r="666" spans="1:8" x14ac:dyDescent="0.25">
      <c r="A666" t="s">
        <v>196</v>
      </c>
      <c r="B666">
        <v>77720</v>
      </c>
      <c r="C666" s="2">
        <v>1813.05</v>
      </c>
      <c r="D666" s="1">
        <v>43304</v>
      </c>
      <c r="E666" t="str">
        <f>"9836048513"</f>
        <v>9836048513</v>
      </c>
      <c r="F666" t="str">
        <f>"ACCT#814780730"</f>
        <v>ACCT#814780730</v>
      </c>
      <c r="G666" s="3">
        <v>1813.05</v>
      </c>
      <c r="H666" t="str">
        <f>"ACCT#814780730"</f>
        <v>ACCT#814780730</v>
      </c>
    </row>
    <row r="667" spans="1:8" x14ac:dyDescent="0.25">
      <c r="A667" t="s">
        <v>197</v>
      </c>
      <c r="B667">
        <v>999999</v>
      </c>
      <c r="C667" s="2">
        <v>235.08</v>
      </c>
      <c r="D667" s="1">
        <v>43291</v>
      </c>
      <c r="E667" t="str">
        <f>"INV0666496"</f>
        <v>INV0666496</v>
      </c>
      <c r="F667" t="str">
        <f>"GT DISTRIBUTORS  INC."</f>
        <v>GT DISTRIBUTORS  INC.</v>
      </c>
      <c r="G667" s="3">
        <v>235.08</v>
      </c>
      <c r="H667" t="str">
        <f>"Vehicle Mount"</f>
        <v>Vehicle Mount</v>
      </c>
    </row>
    <row r="668" spans="1:8" x14ac:dyDescent="0.25">
      <c r="E668" t="str">
        <f>""</f>
        <v/>
      </c>
      <c r="F668" t="str">
        <f>""</f>
        <v/>
      </c>
      <c r="H668" t="str">
        <f>"Shipping"</f>
        <v>Shipping</v>
      </c>
    </row>
    <row r="669" spans="1:8" x14ac:dyDescent="0.25">
      <c r="A669" t="s">
        <v>198</v>
      </c>
      <c r="B669">
        <v>77483</v>
      </c>
      <c r="C669" s="2">
        <v>749.36</v>
      </c>
      <c r="D669" s="1">
        <v>43290</v>
      </c>
      <c r="E669" t="str">
        <f>"1517735"</f>
        <v>1517735</v>
      </c>
      <c r="F669" t="str">
        <f>"CUST#0007014928/ORD#MR6R3"</f>
        <v>CUST#0007014928/ORD#MR6R3</v>
      </c>
      <c r="G669" s="3">
        <v>562.96</v>
      </c>
      <c r="H669" t="str">
        <f>"CUST#0007014928/ORD#MR6R3"</f>
        <v>CUST#0007014928/ORD#MR6R3</v>
      </c>
    </row>
    <row r="670" spans="1:8" x14ac:dyDescent="0.25">
      <c r="E670" t="str">
        <f>"1522013"</f>
        <v>1522013</v>
      </c>
      <c r="F670" t="str">
        <f>"CUST#0007014928/ORD#MU4M3"</f>
        <v>CUST#0007014928/ORD#MU4M3</v>
      </c>
      <c r="G670" s="3">
        <v>186.4</v>
      </c>
      <c r="H670" t="str">
        <f>"CUST#0007014928/ORD#MU4M3"</f>
        <v>CUST#0007014928/ORD#MU4M3</v>
      </c>
    </row>
    <row r="671" spans="1:8" x14ac:dyDescent="0.25">
      <c r="A671" t="s">
        <v>198</v>
      </c>
      <c r="B671">
        <v>999999</v>
      </c>
      <c r="C671" s="2">
        <v>1266.32</v>
      </c>
      <c r="D671" s="1">
        <v>43305</v>
      </c>
      <c r="E671" t="str">
        <f>"1524216"</f>
        <v>1524216</v>
      </c>
      <c r="F671" t="str">
        <f>"CUST#0007014928/GEN SVCS"</f>
        <v>CUST#0007014928/GEN SVCS</v>
      </c>
      <c r="G671" s="3">
        <v>1138.42</v>
      </c>
      <c r="H671" t="str">
        <f>"CUST#0007014928/GEN SVCS"</f>
        <v>CUST#0007014928/GEN SVCS</v>
      </c>
    </row>
    <row r="672" spans="1:8" x14ac:dyDescent="0.25">
      <c r="E672" t="str">
        <f>"1526488"</f>
        <v>1526488</v>
      </c>
      <c r="F672" t="str">
        <f>"CUST#0007014603/GEN SVCS"</f>
        <v>CUST#0007014603/GEN SVCS</v>
      </c>
      <c r="G672" s="3">
        <v>127.9</v>
      </c>
      <c r="H672" t="str">
        <f>"CUST#0007014603/GEN SVCS"</f>
        <v>CUST#0007014603/GEN SVCS</v>
      </c>
    </row>
    <row r="673" spans="1:8" x14ac:dyDescent="0.25">
      <c r="A673" t="s">
        <v>199</v>
      </c>
      <c r="B673">
        <v>77484</v>
      </c>
      <c r="C673" s="2">
        <v>2413</v>
      </c>
      <c r="D673" s="1">
        <v>43290</v>
      </c>
      <c r="E673" t="str">
        <f>"16610"</f>
        <v>16610</v>
      </c>
      <c r="F673" t="str">
        <f>"PUmp for Cooling Towers"</f>
        <v>PUmp for Cooling Towers</v>
      </c>
      <c r="G673" s="3">
        <v>2413</v>
      </c>
      <c r="H673" t="str">
        <f>"Pump"</f>
        <v>Pump</v>
      </c>
    </row>
    <row r="674" spans="1:8" x14ac:dyDescent="0.25">
      <c r="E674" t="str">
        <f>""</f>
        <v/>
      </c>
      <c r="F674" t="str">
        <f>""</f>
        <v/>
      </c>
      <c r="H674" t="str">
        <f>"Gasket"</f>
        <v>Gasket</v>
      </c>
    </row>
    <row r="675" spans="1:8" x14ac:dyDescent="0.25">
      <c r="A675" t="s">
        <v>200</v>
      </c>
      <c r="B675">
        <v>77721</v>
      </c>
      <c r="C675" s="2">
        <v>813.6</v>
      </c>
      <c r="D675" s="1">
        <v>43304</v>
      </c>
      <c r="E675" t="str">
        <f>"LODGING-J.LEMOND"</f>
        <v>LODGING-J.LEMOND</v>
      </c>
      <c r="F675" t="str">
        <f>"LODGING"</f>
        <v>LODGING</v>
      </c>
      <c r="G675" s="3">
        <v>406.8</v>
      </c>
      <c r="H675" t="str">
        <f>"LODGING"</f>
        <v>LODGING</v>
      </c>
    </row>
    <row r="676" spans="1:8" x14ac:dyDescent="0.25">
      <c r="E676" t="str">
        <f>"LODGING-M.GARCIA"</f>
        <v>LODGING-M.GARCIA</v>
      </c>
      <c r="F676" t="str">
        <f>"LODGING"</f>
        <v>LODGING</v>
      </c>
      <c r="G676" s="3">
        <v>406.8</v>
      </c>
      <c r="H676" t="str">
        <f>"LODGING"</f>
        <v>LODGING</v>
      </c>
    </row>
    <row r="677" spans="1:8" x14ac:dyDescent="0.25">
      <c r="A677" t="s">
        <v>201</v>
      </c>
      <c r="B677">
        <v>77485</v>
      </c>
      <c r="C677" s="2">
        <v>144.63999999999999</v>
      </c>
      <c r="D677" s="1">
        <v>43290</v>
      </c>
      <c r="E677" t="str">
        <f>"201807051887"</f>
        <v>201807051887</v>
      </c>
      <c r="F677" t="str">
        <f>"MILEAGE REIMBURSEMENT"</f>
        <v>MILEAGE REIMBURSEMENT</v>
      </c>
      <c r="G677" s="3">
        <v>144.63999999999999</v>
      </c>
      <c r="H677" t="str">
        <f>"MILEAGE REIMBURSEMENT"</f>
        <v>MILEAGE REIMBURSEMENT</v>
      </c>
    </row>
    <row r="678" spans="1:8" x14ac:dyDescent="0.25">
      <c r="A678" t="s">
        <v>202</v>
      </c>
      <c r="B678">
        <v>77486</v>
      </c>
      <c r="C678" s="2">
        <v>300</v>
      </c>
      <c r="D678" s="1">
        <v>43290</v>
      </c>
      <c r="E678" t="str">
        <f>"12525"</f>
        <v>12525</v>
      </c>
      <c r="F678" t="str">
        <f>"SERVICE  03/20/18"</f>
        <v>SERVICE  03/20/18</v>
      </c>
      <c r="G678" s="3">
        <v>75</v>
      </c>
      <c r="H678" t="str">
        <f>"12525  03/20/18"</f>
        <v>12525  03/20/18</v>
      </c>
    </row>
    <row r="679" spans="1:8" x14ac:dyDescent="0.25">
      <c r="E679" t="str">
        <f>"12622"</f>
        <v>12622</v>
      </c>
      <c r="F679" t="str">
        <f>"SERVICE  03/20/18"</f>
        <v>SERVICE  03/20/18</v>
      </c>
      <c r="G679" s="3">
        <v>150</v>
      </c>
      <c r="H679" t="str">
        <f>"SERVICE  03/20/18"</f>
        <v>SERVICE  03/20/18</v>
      </c>
    </row>
    <row r="680" spans="1:8" x14ac:dyDescent="0.25">
      <c r="E680" t="str">
        <f>"12714"</f>
        <v>12714</v>
      </c>
      <c r="F680" t="str">
        <f>"SERVICE  03/20/18"</f>
        <v>SERVICE  03/20/18</v>
      </c>
      <c r="G680" s="3">
        <v>75</v>
      </c>
      <c r="H680" t="str">
        <f>"SERVICE  03/20/18"</f>
        <v>SERVICE  03/20/18</v>
      </c>
    </row>
    <row r="681" spans="1:8" x14ac:dyDescent="0.25">
      <c r="A681" t="s">
        <v>202</v>
      </c>
      <c r="B681">
        <v>77722</v>
      </c>
      <c r="C681" s="2">
        <v>250</v>
      </c>
      <c r="D681" s="1">
        <v>43304</v>
      </c>
      <c r="E681" t="str">
        <f>"7398"</f>
        <v>7398</v>
      </c>
      <c r="F681" t="str">
        <f>"SERVICE  03/20/18"</f>
        <v>SERVICE  03/20/18</v>
      </c>
      <c r="G681" s="3">
        <v>250</v>
      </c>
      <c r="H681" t="str">
        <f>"SERVICE  03/20/18"</f>
        <v>SERVICE  03/20/18</v>
      </c>
    </row>
    <row r="682" spans="1:8" x14ac:dyDescent="0.25">
      <c r="A682" t="s">
        <v>203</v>
      </c>
      <c r="B682">
        <v>77723</v>
      </c>
      <c r="C682" s="2">
        <v>75</v>
      </c>
      <c r="D682" s="1">
        <v>43304</v>
      </c>
      <c r="E682" t="str">
        <f>"12789"</f>
        <v>12789</v>
      </c>
      <c r="F682" t="str">
        <f>"SERVICE  05/04/18"</f>
        <v>SERVICE  05/04/18</v>
      </c>
      <c r="G682" s="3">
        <v>75</v>
      </c>
      <c r="H682" t="str">
        <f>"SERVICE  05/04/18"</f>
        <v>SERVICE  05/04/18</v>
      </c>
    </row>
    <row r="683" spans="1:8" x14ac:dyDescent="0.25">
      <c r="A683" t="s">
        <v>204</v>
      </c>
      <c r="B683">
        <v>77724</v>
      </c>
      <c r="C683" s="2">
        <v>166.19</v>
      </c>
      <c r="D683" s="1">
        <v>43304</v>
      </c>
      <c r="E683" t="str">
        <f>"2866760"</f>
        <v>2866760</v>
      </c>
      <c r="F683" t="str">
        <f>"INV 2866760"</f>
        <v>INV 2866760</v>
      </c>
      <c r="G683" s="3">
        <v>166.19</v>
      </c>
      <c r="H683" t="str">
        <f>"INV 2866760"</f>
        <v>INV 2866760</v>
      </c>
    </row>
    <row r="684" spans="1:8" x14ac:dyDescent="0.25">
      <c r="A684" t="s">
        <v>205</v>
      </c>
      <c r="B684">
        <v>77725</v>
      </c>
      <c r="C684" s="2">
        <v>150</v>
      </c>
      <c r="D684" s="1">
        <v>43304</v>
      </c>
      <c r="E684" t="str">
        <f>"201807172240"</f>
        <v>201807172240</v>
      </c>
      <c r="F684" t="str">
        <f>"REFUND MOBILE FOOD PERMIT"</f>
        <v>REFUND MOBILE FOOD PERMIT</v>
      </c>
      <c r="G684" s="3">
        <v>150</v>
      </c>
      <c r="H684" t="str">
        <f>"REFUND MOBILE FOOD PERMIT"</f>
        <v>REFUND MOBILE FOOD PERMIT</v>
      </c>
    </row>
    <row r="685" spans="1:8" x14ac:dyDescent="0.25">
      <c r="A685" t="s">
        <v>206</v>
      </c>
      <c r="B685">
        <v>77487</v>
      </c>
      <c r="C685" s="2">
        <v>1656.2</v>
      </c>
      <c r="D685" s="1">
        <v>43290</v>
      </c>
      <c r="E685" t="str">
        <f>"561656-01"</f>
        <v>561656-01</v>
      </c>
      <c r="F685" t="str">
        <f>"CUST#180474-C/PCT#2"</f>
        <v>CUST#180474-C/PCT#2</v>
      </c>
      <c r="G685" s="3">
        <v>1656.2</v>
      </c>
      <c r="H685" t="str">
        <f>"CUST#180474-C/PCT#2"</f>
        <v>CUST#180474-C/PCT#2</v>
      </c>
    </row>
    <row r="686" spans="1:8" x14ac:dyDescent="0.25">
      <c r="A686" t="s">
        <v>207</v>
      </c>
      <c r="B686">
        <v>77488</v>
      </c>
      <c r="C686" s="2">
        <v>97.56</v>
      </c>
      <c r="D686" s="1">
        <v>43290</v>
      </c>
      <c r="E686" t="str">
        <f>"NS11415"</f>
        <v>NS11415</v>
      </c>
      <c r="F686" t="str">
        <f>"ACCT#68930/ANIMAL CONTROL"</f>
        <v>ACCT#68930/ANIMAL CONTROL</v>
      </c>
      <c r="G686" s="3">
        <v>80.180000000000007</v>
      </c>
      <c r="H686" t="str">
        <f>"ACCT#68930/ANIMAL CONTROL"</f>
        <v>ACCT#68930/ANIMAL CONTROL</v>
      </c>
    </row>
    <row r="687" spans="1:8" x14ac:dyDescent="0.25">
      <c r="E687" t="str">
        <f>"NS11568"</f>
        <v>NS11568</v>
      </c>
      <c r="F687" t="str">
        <f>"ACCT#68930/ANIMAL CONTROL"</f>
        <v>ACCT#68930/ANIMAL CONTROL</v>
      </c>
      <c r="G687" s="3">
        <v>17.38</v>
      </c>
      <c r="H687" t="str">
        <f>"ACCT#68930/ANIMAL CONTROL"</f>
        <v>ACCT#68930/ANIMAL CONTROL</v>
      </c>
    </row>
    <row r="688" spans="1:8" x14ac:dyDescent="0.25">
      <c r="A688" t="s">
        <v>207</v>
      </c>
      <c r="B688">
        <v>77726</v>
      </c>
      <c r="C688" s="2">
        <v>837.22</v>
      </c>
      <c r="D688" s="1">
        <v>43304</v>
      </c>
      <c r="E688" t="str">
        <f>"NS91034"</f>
        <v>NS91034</v>
      </c>
      <c r="F688" t="str">
        <f>"ACCT#68930/ANIMAL SVCS"</f>
        <v>ACCT#68930/ANIMAL SVCS</v>
      </c>
      <c r="G688" s="3">
        <v>194.63</v>
      </c>
      <c r="H688" t="str">
        <f>"ACCT#68930/ANIMAL SVCS"</f>
        <v>ACCT#68930/ANIMAL SVCS</v>
      </c>
    </row>
    <row r="689" spans="1:8" x14ac:dyDescent="0.25">
      <c r="E689" t="str">
        <f>"NT12034"</f>
        <v>NT12034</v>
      </c>
      <c r="F689" t="str">
        <f>"ACCT#68930/ANIMAL SVCS"</f>
        <v>ACCT#68930/ANIMAL SVCS</v>
      </c>
      <c r="G689" s="3">
        <v>206.16</v>
      </c>
      <c r="H689" t="str">
        <f>"ACCT#68930/ANIMAL SVCS"</f>
        <v>ACCT#68930/ANIMAL SVCS</v>
      </c>
    </row>
    <row r="690" spans="1:8" x14ac:dyDescent="0.25">
      <c r="E690" t="str">
        <f>"NT46413"</f>
        <v>NT46413</v>
      </c>
      <c r="F690" t="str">
        <f>"ACCT#68930/ANIMAL SVCS"</f>
        <v>ACCT#68930/ANIMAL SVCS</v>
      </c>
      <c r="G690" s="3">
        <v>103.93</v>
      </c>
      <c r="H690" t="str">
        <f>"ACCT#68930/ANIMAL SVCS"</f>
        <v>ACCT#68930/ANIMAL SVCS</v>
      </c>
    </row>
    <row r="691" spans="1:8" x14ac:dyDescent="0.25">
      <c r="E691" t="str">
        <f>"NT70743"</f>
        <v>NT70743</v>
      </c>
      <c r="F691" t="str">
        <f>"ACCT#68930/ANIMAL SERVICES"</f>
        <v>ACCT#68930/ANIMAL SERVICES</v>
      </c>
      <c r="G691" s="3">
        <v>221.1</v>
      </c>
      <c r="H691" t="str">
        <f>"ACCT#68930/ANIMAL SERVICES"</f>
        <v>ACCT#68930/ANIMAL SERVICES</v>
      </c>
    </row>
    <row r="692" spans="1:8" x14ac:dyDescent="0.25">
      <c r="E692" t="str">
        <f>"NT97011"</f>
        <v>NT97011</v>
      </c>
      <c r="F692" t="str">
        <f>"ACCT#68930/ANIMAL SVCS"</f>
        <v>ACCT#68930/ANIMAL SVCS</v>
      </c>
      <c r="G692" s="3">
        <v>111.4</v>
      </c>
      <c r="H692" t="str">
        <f>"ACCT#68930/ANIMAL SVCS"</f>
        <v>ACCT#68930/ANIMAL SVCS</v>
      </c>
    </row>
    <row r="693" spans="1:8" x14ac:dyDescent="0.25">
      <c r="A693" t="s">
        <v>208</v>
      </c>
      <c r="B693">
        <v>77727</v>
      </c>
      <c r="C693" s="2">
        <v>60</v>
      </c>
      <c r="D693" s="1">
        <v>43304</v>
      </c>
      <c r="E693" t="str">
        <f>"7398"</f>
        <v>7398</v>
      </c>
      <c r="F693" t="str">
        <f>"SERVICE  03/20/18"</f>
        <v>SERVICE  03/20/18</v>
      </c>
      <c r="G693" s="3">
        <v>60</v>
      </c>
      <c r="H693" t="str">
        <f>"SERVICE  03/20/18"</f>
        <v>SERVICE  03/20/18</v>
      </c>
    </row>
    <row r="694" spans="1:8" x14ac:dyDescent="0.25">
      <c r="A694" t="s">
        <v>209</v>
      </c>
      <c r="B694">
        <v>77489</v>
      </c>
      <c r="C694" s="2">
        <v>165.32</v>
      </c>
      <c r="D694" s="1">
        <v>43290</v>
      </c>
      <c r="E694" t="str">
        <f>"S101735122.001"</f>
        <v>S101735122.001</v>
      </c>
      <c r="F694" t="str">
        <f>"INV S101735122.001"</f>
        <v>INV S101735122.001</v>
      </c>
      <c r="G694" s="3">
        <v>165.32</v>
      </c>
      <c r="H694" t="str">
        <f>"INV S101735122.001"</f>
        <v>INV S101735122.001</v>
      </c>
    </row>
    <row r="695" spans="1:8" x14ac:dyDescent="0.25">
      <c r="A695" t="s">
        <v>210</v>
      </c>
      <c r="B695">
        <v>77728</v>
      </c>
      <c r="C695" s="2">
        <v>85</v>
      </c>
      <c r="D695" s="1">
        <v>43304</v>
      </c>
      <c r="E695" t="str">
        <f>"12489"</f>
        <v>12489</v>
      </c>
      <c r="F695" t="str">
        <f>"SERVICE  03/20/18"</f>
        <v>SERVICE  03/20/18</v>
      </c>
      <c r="G695" s="3">
        <v>85</v>
      </c>
      <c r="H695" t="str">
        <f>"SERVICE  03/20/18"</f>
        <v>SERVICE  03/20/18</v>
      </c>
    </row>
    <row r="696" spans="1:8" x14ac:dyDescent="0.25">
      <c r="A696" t="s">
        <v>211</v>
      </c>
      <c r="B696">
        <v>77490</v>
      </c>
      <c r="C696" s="2">
        <v>527.67999999999995</v>
      </c>
      <c r="D696" s="1">
        <v>43290</v>
      </c>
      <c r="E696" t="str">
        <f>"201807021784"</f>
        <v>201807021784</v>
      </c>
      <c r="F696" t="str">
        <f>"MILEAGE REIMBURSEMENT APRIL 18"</f>
        <v>MILEAGE REIMBURSEMENT APRIL 18</v>
      </c>
      <c r="G696" s="3">
        <v>380.41</v>
      </c>
      <c r="H696" t="str">
        <f>"MILEAGE REIMBURSEMENT APRIL 18"</f>
        <v>MILEAGE REIMBURSEMENT APRIL 18</v>
      </c>
    </row>
    <row r="697" spans="1:8" x14ac:dyDescent="0.25">
      <c r="E697" t="str">
        <f>"201807021785"</f>
        <v>201807021785</v>
      </c>
      <c r="F697" t="str">
        <f>"TRAVEL ADV REQ-HOTEL/PER DIEM"</f>
        <v>TRAVEL ADV REQ-HOTEL/PER DIEM</v>
      </c>
      <c r="G697" s="3">
        <v>147.27000000000001</v>
      </c>
      <c r="H697" t="str">
        <f>"TRAVEL ADV REQ-HOTEL/PER DIEM"</f>
        <v>TRAVEL ADV REQ-HOTEL/PER DIEM</v>
      </c>
    </row>
    <row r="698" spans="1:8" x14ac:dyDescent="0.25">
      <c r="A698" t="s">
        <v>212</v>
      </c>
      <c r="B698">
        <v>77491</v>
      </c>
      <c r="C698" s="2">
        <v>152.56</v>
      </c>
      <c r="D698" s="1">
        <v>43290</v>
      </c>
      <c r="E698" t="str">
        <f>"201807031876"</f>
        <v>201807031876</v>
      </c>
      <c r="F698" t="str">
        <f>"LODGING 7/11-7/12"</f>
        <v>LODGING 7/11-7/12</v>
      </c>
      <c r="G698" s="3">
        <v>152.56</v>
      </c>
      <c r="H698" t="str">
        <f>"LODGING 7/11-7/12"</f>
        <v>LODGING 7/11-7/12</v>
      </c>
    </row>
    <row r="699" spans="1:8" x14ac:dyDescent="0.25">
      <c r="A699" t="s">
        <v>213</v>
      </c>
      <c r="B699">
        <v>77492</v>
      </c>
      <c r="C699" s="2">
        <v>750</v>
      </c>
      <c r="D699" s="1">
        <v>43290</v>
      </c>
      <c r="E699" t="str">
        <f>"201807031828"</f>
        <v>201807031828</v>
      </c>
      <c r="F699" t="str">
        <f>"55 310"</f>
        <v>55 310</v>
      </c>
      <c r="G699" s="3">
        <v>250</v>
      </c>
      <c r="H699" t="str">
        <f>"55 310"</f>
        <v>55 310</v>
      </c>
    </row>
    <row r="700" spans="1:8" x14ac:dyDescent="0.25">
      <c r="E700" t="str">
        <f>"201807031829"</f>
        <v>201807031829</v>
      </c>
      <c r="F700" t="str">
        <f>"18-18995"</f>
        <v>18-18995</v>
      </c>
      <c r="G700" s="3">
        <v>175</v>
      </c>
      <c r="H700" t="str">
        <f>"18-18995"</f>
        <v>18-18995</v>
      </c>
    </row>
    <row r="701" spans="1:8" x14ac:dyDescent="0.25">
      <c r="E701" t="str">
        <f>"201807031830"</f>
        <v>201807031830</v>
      </c>
      <c r="F701" t="str">
        <f>"17-18576"</f>
        <v>17-18576</v>
      </c>
      <c r="G701" s="3">
        <v>150</v>
      </c>
      <c r="H701" t="str">
        <f>"17-18576"</f>
        <v>17-18576</v>
      </c>
    </row>
    <row r="702" spans="1:8" x14ac:dyDescent="0.25">
      <c r="E702" t="str">
        <f>"201807031831"</f>
        <v>201807031831</v>
      </c>
      <c r="F702" t="str">
        <f>"17-18535"</f>
        <v>17-18535</v>
      </c>
      <c r="G702" s="3">
        <v>175</v>
      </c>
      <c r="H702" t="str">
        <f>"17-18535"</f>
        <v>17-18535</v>
      </c>
    </row>
    <row r="703" spans="1:8" x14ac:dyDescent="0.25">
      <c r="A703" t="s">
        <v>213</v>
      </c>
      <c r="B703">
        <v>77729</v>
      </c>
      <c r="C703" s="2">
        <v>1000</v>
      </c>
      <c r="D703" s="1">
        <v>43304</v>
      </c>
      <c r="E703" t="str">
        <f>"201807132199"</f>
        <v>201807132199</v>
      </c>
      <c r="F703" t="str">
        <f>"423-3004"</f>
        <v>423-3004</v>
      </c>
      <c r="G703" s="3">
        <v>150</v>
      </c>
      <c r="H703" t="str">
        <f>"423-3004"</f>
        <v>423-3004</v>
      </c>
    </row>
    <row r="704" spans="1:8" x14ac:dyDescent="0.25">
      <c r="E704" t="str">
        <f>"201807182272"</f>
        <v>201807182272</v>
      </c>
      <c r="F704" t="str">
        <f>"J-3143"</f>
        <v>J-3143</v>
      </c>
      <c r="G704" s="3">
        <v>250</v>
      </c>
      <c r="H704" t="str">
        <f>"J-3143"</f>
        <v>J-3143</v>
      </c>
    </row>
    <row r="705" spans="1:8" x14ac:dyDescent="0.25">
      <c r="E705" t="str">
        <f>"201807182273"</f>
        <v>201807182273</v>
      </c>
      <c r="F705" t="str">
        <f>"18-14011"</f>
        <v>18-14011</v>
      </c>
      <c r="G705" s="3">
        <v>175</v>
      </c>
      <c r="H705" t="str">
        <f>"18-14011"</f>
        <v>18-14011</v>
      </c>
    </row>
    <row r="706" spans="1:8" x14ac:dyDescent="0.25">
      <c r="E706" t="str">
        <f>"201807182299"</f>
        <v>201807182299</v>
      </c>
      <c r="F706" t="str">
        <f>"J6 260"</f>
        <v>J6 260</v>
      </c>
      <c r="G706" s="3">
        <v>250</v>
      </c>
      <c r="H706" t="str">
        <f>"J6 260"</f>
        <v>J6 260</v>
      </c>
    </row>
    <row r="707" spans="1:8" x14ac:dyDescent="0.25">
      <c r="E707" t="str">
        <f>"201807182332"</f>
        <v>201807182332</v>
      </c>
      <c r="F707" t="str">
        <f>"18-19011"</f>
        <v>18-19011</v>
      </c>
      <c r="G707" s="3">
        <v>75</v>
      </c>
      <c r="H707" t="str">
        <f>"18-19011"</f>
        <v>18-19011</v>
      </c>
    </row>
    <row r="708" spans="1:8" x14ac:dyDescent="0.25">
      <c r="E708" t="str">
        <f>"201807182333"</f>
        <v>201807182333</v>
      </c>
      <c r="F708" t="str">
        <f>"18-19094"</f>
        <v>18-19094</v>
      </c>
      <c r="G708" s="3">
        <v>100</v>
      </c>
      <c r="H708" t="str">
        <f>"18-19094"</f>
        <v>18-19094</v>
      </c>
    </row>
    <row r="709" spans="1:8" x14ac:dyDescent="0.25">
      <c r="A709" t="s">
        <v>214</v>
      </c>
      <c r="B709">
        <v>77493</v>
      </c>
      <c r="C709" s="2">
        <v>1035</v>
      </c>
      <c r="D709" s="1">
        <v>43290</v>
      </c>
      <c r="E709" t="str">
        <f>"WIMA0106533"</f>
        <v>WIMA0106533</v>
      </c>
      <c r="F709" t="str">
        <f>"CUST#0129200/PCT#4"</f>
        <v>CUST#0129200/PCT#4</v>
      </c>
      <c r="G709" s="3">
        <v>655</v>
      </c>
      <c r="H709" t="str">
        <f>"CUST#0129200/PCT#4"</f>
        <v>CUST#0129200/PCT#4</v>
      </c>
    </row>
    <row r="710" spans="1:8" x14ac:dyDescent="0.25">
      <c r="E710" t="str">
        <f>"WIMA0106534"</f>
        <v>WIMA0106534</v>
      </c>
      <c r="F710" t="str">
        <f>"CUST#0129200/PCT#4"</f>
        <v>CUST#0129200/PCT#4</v>
      </c>
      <c r="G710" s="3">
        <v>380</v>
      </c>
      <c r="H710" t="str">
        <f>"CUST#0129200/PCT#4"</f>
        <v>CUST#0129200/PCT#4</v>
      </c>
    </row>
    <row r="711" spans="1:8" x14ac:dyDescent="0.25">
      <c r="A711" t="s">
        <v>214</v>
      </c>
      <c r="B711">
        <v>77730</v>
      </c>
      <c r="C711" s="2">
        <v>5433.56</v>
      </c>
      <c r="D711" s="1">
        <v>43304</v>
      </c>
      <c r="E711" t="str">
        <f>"201807132216"</f>
        <v>201807132216</v>
      </c>
      <c r="F711" t="str">
        <f>"CUST#0129100/PCT#2"</f>
        <v>CUST#0129100/PCT#2</v>
      </c>
      <c r="G711" s="3">
        <v>454.84</v>
      </c>
      <c r="H711" t="str">
        <f>"CUST#0129100/PCT#2"</f>
        <v>CUST#0129100/PCT#2</v>
      </c>
    </row>
    <row r="712" spans="1:8" x14ac:dyDescent="0.25">
      <c r="E712" t="str">
        <f>"201807132220"</f>
        <v>201807132220</v>
      </c>
      <c r="F712" t="str">
        <f>"CUST#0129150/PCT#3"</f>
        <v>CUST#0129150/PCT#3</v>
      </c>
      <c r="G712" s="3">
        <v>479.4</v>
      </c>
      <c r="H712" t="str">
        <f>"CUST#0129150/PCT#3"</f>
        <v>CUST#0129150/PCT#3</v>
      </c>
    </row>
    <row r="713" spans="1:8" x14ac:dyDescent="0.25">
      <c r="E713" t="str">
        <f>"201807132221"</f>
        <v>201807132221</v>
      </c>
      <c r="F713" t="str">
        <f>"CUST#0129100/PCT#3"</f>
        <v>CUST#0129100/PCT#3</v>
      </c>
      <c r="G713" s="3">
        <v>221.64</v>
      </c>
      <c r="H713" t="str">
        <f>"CUST#0129100/PCT#3"</f>
        <v>CUST#0129100/PCT#3</v>
      </c>
    </row>
    <row r="714" spans="1:8" x14ac:dyDescent="0.25">
      <c r="E714" t="str">
        <f>"PIMA0290361"</f>
        <v>PIMA0290361</v>
      </c>
      <c r="F714" t="str">
        <f>"CUST#0129150/CUTTING EDGE/PCT3"</f>
        <v>CUST#0129150/CUTTING EDGE/PCT3</v>
      </c>
      <c r="G714" s="3">
        <v>3186.48</v>
      </c>
      <c r="H714" t="str">
        <f>"CUST#0129150/CUTTING EDGE/PCT3"</f>
        <v>CUST#0129150/CUTTING EDGE/PCT3</v>
      </c>
    </row>
    <row r="715" spans="1:8" x14ac:dyDescent="0.25">
      <c r="E715" t="str">
        <f>"WIUS0115840"</f>
        <v>WIUS0115840</v>
      </c>
      <c r="F715" t="str">
        <f>"CUST#0129150/MAINTENANCE/PCT#3"</f>
        <v>CUST#0129150/MAINTENANCE/PCT#3</v>
      </c>
      <c r="G715" s="3">
        <v>1091.2</v>
      </c>
      <c r="H715" t="str">
        <f>"CUST#0129150/MAINTENANCE/PCT#3"</f>
        <v>CUST#0129150/MAINTENANCE/PCT#3</v>
      </c>
    </row>
    <row r="716" spans="1:8" x14ac:dyDescent="0.25">
      <c r="A716" t="s">
        <v>215</v>
      </c>
      <c r="B716">
        <v>77494</v>
      </c>
      <c r="C716" s="2">
        <v>1731.13</v>
      </c>
      <c r="D716" s="1">
        <v>43290</v>
      </c>
      <c r="E716" t="str">
        <f>"ACCOUNT#XXXX 3780"</f>
        <v>ACCOUNT#XXXX 3780</v>
      </c>
      <c r="F716" t="str">
        <f>"Acct# 3780"</f>
        <v>Acct# 3780</v>
      </c>
      <c r="G716" s="3">
        <v>1731.13</v>
      </c>
      <c r="H716" t="str">
        <f>"Inv# 974048"</f>
        <v>Inv# 974048</v>
      </c>
    </row>
    <row r="717" spans="1:8" x14ac:dyDescent="0.25">
      <c r="E717" t="str">
        <f>""</f>
        <v/>
      </c>
      <c r="F717" t="str">
        <f>""</f>
        <v/>
      </c>
      <c r="H717" t="str">
        <f>"Inv# 2974318"</f>
        <v>Inv# 2974318</v>
      </c>
    </row>
    <row r="718" spans="1:8" x14ac:dyDescent="0.25">
      <c r="E718" t="str">
        <f>""</f>
        <v/>
      </c>
      <c r="F718" t="str">
        <f>""</f>
        <v/>
      </c>
      <c r="H718" t="str">
        <f>"Inv# 6591269"</f>
        <v>Inv# 6591269</v>
      </c>
    </row>
    <row r="719" spans="1:8" x14ac:dyDescent="0.25">
      <c r="E719" t="str">
        <f>""</f>
        <v/>
      </c>
      <c r="F719" t="str">
        <f>""</f>
        <v/>
      </c>
      <c r="H719" t="str">
        <f>"Inv# 1150305"</f>
        <v>Inv# 1150305</v>
      </c>
    </row>
    <row r="720" spans="1:8" x14ac:dyDescent="0.25">
      <c r="E720" t="str">
        <f>""</f>
        <v/>
      </c>
      <c r="F720" t="str">
        <f>""</f>
        <v/>
      </c>
      <c r="H720" t="str">
        <f>"Inv# 8022468"</f>
        <v>Inv# 8022468</v>
      </c>
    </row>
    <row r="721" spans="5:8" x14ac:dyDescent="0.25">
      <c r="E721" t="str">
        <f>""</f>
        <v/>
      </c>
      <c r="F721" t="str">
        <f>""</f>
        <v/>
      </c>
      <c r="H721" t="str">
        <f>"Inv# 2011476"</f>
        <v>Inv# 2011476</v>
      </c>
    </row>
    <row r="722" spans="5:8" x14ac:dyDescent="0.25">
      <c r="E722" t="str">
        <f>""</f>
        <v/>
      </c>
      <c r="F722" t="str">
        <f>""</f>
        <v/>
      </c>
      <c r="H722" t="str">
        <f>"Inv# 11675"</f>
        <v>Inv# 11675</v>
      </c>
    </row>
    <row r="723" spans="5:8" x14ac:dyDescent="0.25">
      <c r="E723" t="str">
        <f>""</f>
        <v/>
      </c>
      <c r="F723" t="str">
        <f>""</f>
        <v/>
      </c>
      <c r="H723" t="str">
        <f>"Inv# 5974210"</f>
        <v>Inv# 5974210</v>
      </c>
    </row>
    <row r="724" spans="5:8" x14ac:dyDescent="0.25">
      <c r="E724" t="str">
        <f>""</f>
        <v/>
      </c>
      <c r="F724" t="str">
        <f>""</f>
        <v/>
      </c>
      <c r="H724" t="str">
        <f>"Inv# 2012526"</f>
        <v>Inv# 2012526</v>
      </c>
    </row>
    <row r="725" spans="5:8" x14ac:dyDescent="0.25">
      <c r="E725" t="str">
        <f>""</f>
        <v/>
      </c>
      <c r="F725" t="str">
        <f>""</f>
        <v/>
      </c>
      <c r="H725" t="str">
        <f>"Inv# 8024560"</f>
        <v>Inv# 8024560</v>
      </c>
    </row>
    <row r="726" spans="5:8" x14ac:dyDescent="0.25">
      <c r="E726" t="str">
        <f>""</f>
        <v/>
      </c>
      <c r="F726" t="str">
        <f>""</f>
        <v/>
      </c>
      <c r="H726" t="str">
        <f>"Inv# 1025420"</f>
        <v>Inv# 1025420</v>
      </c>
    </row>
    <row r="727" spans="5:8" x14ac:dyDescent="0.25">
      <c r="E727" t="str">
        <f>""</f>
        <v/>
      </c>
      <c r="F727" t="str">
        <f>""</f>
        <v/>
      </c>
      <c r="H727" t="str">
        <f>"Inv# 5154840"</f>
        <v>Inv# 5154840</v>
      </c>
    </row>
    <row r="728" spans="5:8" x14ac:dyDescent="0.25">
      <c r="E728" t="str">
        <f>""</f>
        <v/>
      </c>
      <c r="F728" t="str">
        <f>""</f>
        <v/>
      </c>
      <c r="H728" t="str">
        <f>"Inv# 7022581"</f>
        <v>Inv# 7022581</v>
      </c>
    </row>
    <row r="729" spans="5:8" x14ac:dyDescent="0.25">
      <c r="E729" t="str">
        <f>""</f>
        <v/>
      </c>
      <c r="F729" t="str">
        <f>""</f>
        <v/>
      </c>
      <c r="H729" t="str">
        <f>"Inv# 23362"</f>
        <v>Inv# 23362</v>
      </c>
    </row>
    <row r="730" spans="5:8" x14ac:dyDescent="0.25">
      <c r="E730" t="str">
        <f>""</f>
        <v/>
      </c>
      <c r="F730" t="str">
        <f>""</f>
        <v/>
      </c>
      <c r="H730" t="str">
        <f>"Inv# 2025246"</f>
        <v>Inv# 2025246</v>
      </c>
    </row>
    <row r="731" spans="5:8" x14ac:dyDescent="0.25">
      <c r="E731" t="str">
        <f>""</f>
        <v/>
      </c>
      <c r="F731" t="str">
        <f>""</f>
        <v/>
      </c>
      <c r="H731" t="str">
        <f>"Inv# 9574792"</f>
        <v>Inv# 9574792</v>
      </c>
    </row>
    <row r="732" spans="5:8" x14ac:dyDescent="0.25">
      <c r="E732" t="str">
        <f>""</f>
        <v/>
      </c>
      <c r="F732" t="str">
        <f>""</f>
        <v/>
      </c>
      <c r="H732" t="str">
        <f>"Inv# 2011490"</f>
        <v>Inv# 2011490</v>
      </c>
    </row>
    <row r="733" spans="5:8" x14ac:dyDescent="0.25">
      <c r="E733" t="str">
        <f>""</f>
        <v/>
      </c>
      <c r="F733" t="str">
        <f>""</f>
        <v/>
      </c>
      <c r="H733" t="str">
        <f>"Inv# 9022344"</f>
        <v>Inv# 9022344</v>
      </c>
    </row>
    <row r="734" spans="5:8" x14ac:dyDescent="0.25">
      <c r="E734" t="str">
        <f>""</f>
        <v/>
      </c>
      <c r="F734" t="str">
        <f>""</f>
        <v/>
      </c>
      <c r="H734" t="str">
        <f>"Inv# 8010889"</f>
        <v>Inv# 8010889</v>
      </c>
    </row>
    <row r="735" spans="5:8" x14ac:dyDescent="0.25">
      <c r="E735" t="str">
        <f>""</f>
        <v/>
      </c>
      <c r="F735" t="str">
        <f>""</f>
        <v/>
      </c>
      <c r="H735" t="str">
        <f>"Inv# 110107"</f>
        <v>Inv# 110107</v>
      </c>
    </row>
    <row r="736" spans="5:8" x14ac:dyDescent="0.25">
      <c r="E736" t="str">
        <f>""</f>
        <v/>
      </c>
      <c r="F736" t="str">
        <f>""</f>
        <v/>
      </c>
      <c r="H736" t="str">
        <f>"Inv# 4100459"</f>
        <v>Inv# 4100459</v>
      </c>
    </row>
    <row r="737" spans="1:8" x14ac:dyDescent="0.25">
      <c r="E737" t="str">
        <f>""</f>
        <v/>
      </c>
      <c r="F737" t="str">
        <f>""</f>
        <v/>
      </c>
      <c r="H737" t="str">
        <f>"Inv# 4081942"</f>
        <v>Inv# 4081942</v>
      </c>
    </row>
    <row r="738" spans="1:8" x14ac:dyDescent="0.25">
      <c r="E738" t="str">
        <f>""</f>
        <v/>
      </c>
      <c r="F738" t="str">
        <f>""</f>
        <v/>
      </c>
      <c r="H738" t="str">
        <f>"Inv# 5023889"</f>
        <v>Inv# 5023889</v>
      </c>
    </row>
    <row r="739" spans="1:8" x14ac:dyDescent="0.25">
      <c r="E739" t="str">
        <f>""</f>
        <v/>
      </c>
      <c r="F739" t="str">
        <f>""</f>
        <v/>
      </c>
      <c r="H739" t="str">
        <f>"Inv# 5582168"</f>
        <v>Inv# 5582168</v>
      </c>
    </row>
    <row r="740" spans="1:8" x14ac:dyDescent="0.25">
      <c r="A740" t="s">
        <v>216</v>
      </c>
      <c r="B740">
        <v>77640</v>
      </c>
      <c r="C740" s="2">
        <v>2206</v>
      </c>
      <c r="D740" s="1">
        <v>43294</v>
      </c>
      <c r="E740" t="str">
        <f>"S1807020001-00032"</f>
        <v>S1807020001-00032</v>
      </c>
      <c r="F740" t="str">
        <f>"ACCT# 100402264 / 07022018"</f>
        <v>ACCT# 100402264 / 07022018</v>
      </c>
      <c r="G740" s="3">
        <v>2206</v>
      </c>
      <c r="H740" t="str">
        <f>"ACCT# 100402264 / 07022018"</f>
        <v>ACCT# 100402264 / 07022018</v>
      </c>
    </row>
    <row r="741" spans="1:8" x14ac:dyDescent="0.25">
      <c r="E741" t="str">
        <f>""</f>
        <v/>
      </c>
      <c r="F741" t="str">
        <f>""</f>
        <v/>
      </c>
      <c r="H741" t="str">
        <f>"ACCT# 100402264 / 07022018"</f>
        <v>ACCT# 100402264 / 07022018</v>
      </c>
    </row>
    <row r="742" spans="1:8" x14ac:dyDescent="0.25">
      <c r="E742" t="str">
        <f>""</f>
        <v/>
      </c>
      <c r="F742" t="str">
        <f>""</f>
        <v/>
      </c>
      <c r="H742" t="str">
        <f>"ACCT# 100402264 / 07022018"</f>
        <v>ACCT# 100402264 / 07022018</v>
      </c>
    </row>
    <row r="743" spans="1:8" x14ac:dyDescent="0.25">
      <c r="A743" t="s">
        <v>217</v>
      </c>
      <c r="B743">
        <v>77731</v>
      </c>
      <c r="C743" s="2">
        <v>14.92</v>
      </c>
      <c r="D743" s="1">
        <v>43304</v>
      </c>
      <c r="E743" t="str">
        <f>"0214520-IN"</f>
        <v>0214520-IN</v>
      </c>
      <c r="F743" t="str">
        <f>"ACCT#0005960/ITEM#JKB5340/PCT4"</f>
        <v>ACCT#0005960/ITEM#JKB5340/PCT4</v>
      </c>
      <c r="G743" s="3">
        <v>14.92</v>
      </c>
      <c r="H743" t="str">
        <f>"ACCT#0005960/ITEM#JKB5340/PCT4"</f>
        <v>ACCT#0005960/ITEM#JKB5340/PCT4</v>
      </c>
    </row>
    <row r="744" spans="1:8" x14ac:dyDescent="0.25">
      <c r="A744" t="s">
        <v>218</v>
      </c>
      <c r="B744">
        <v>999999</v>
      </c>
      <c r="C744" s="2">
        <v>553.45000000000005</v>
      </c>
      <c r="D744" s="1">
        <v>43291</v>
      </c>
      <c r="E744" t="str">
        <f>"172246"</f>
        <v>172246</v>
      </c>
      <c r="F744" t="str">
        <f>"WIRE BRAID HOSE/PCT#3"</f>
        <v>WIRE BRAID HOSE/PCT#3</v>
      </c>
      <c r="G744" s="3">
        <v>79.150000000000006</v>
      </c>
      <c r="H744" t="str">
        <f>"WIRE BRAID HOSE/PCT#3"</f>
        <v>WIRE BRAID HOSE/PCT#3</v>
      </c>
    </row>
    <row r="745" spans="1:8" x14ac:dyDescent="0.25">
      <c r="E745" t="str">
        <f>"172315"</f>
        <v>172315</v>
      </c>
      <c r="F745" t="str">
        <f>"CYLINDER REPAIR"</f>
        <v>CYLINDER REPAIR</v>
      </c>
      <c r="G745" s="3">
        <v>474.3</v>
      </c>
      <c r="H745" t="str">
        <f>"CYLINDER REPAIR"</f>
        <v>CYLINDER REPAIR</v>
      </c>
    </row>
    <row r="746" spans="1:8" x14ac:dyDescent="0.25">
      <c r="A746" t="s">
        <v>219</v>
      </c>
      <c r="B746">
        <v>77732</v>
      </c>
      <c r="C746" s="2">
        <v>156</v>
      </c>
      <c r="D746" s="1">
        <v>43304</v>
      </c>
      <c r="E746" t="str">
        <f>"1480079"</f>
        <v>1480079</v>
      </c>
      <c r="F746" t="str">
        <f>"ORD#421076/CUST#6618/IT DEPT"</f>
        <v>ORD#421076/CUST#6618/IT DEPT</v>
      </c>
      <c r="G746" s="3">
        <v>156</v>
      </c>
      <c r="H746" t="str">
        <f>"ORD#421076/CUST#6618/IT DEPT"</f>
        <v>ORD#421076/CUST#6618/IT DEPT</v>
      </c>
    </row>
    <row r="747" spans="1:8" x14ac:dyDescent="0.25">
      <c r="A747" t="s">
        <v>220</v>
      </c>
      <c r="B747">
        <v>999999</v>
      </c>
      <c r="C747" s="2">
        <v>2430</v>
      </c>
      <c r="D747" s="1">
        <v>43305</v>
      </c>
      <c r="E747" t="str">
        <f>"66205"</f>
        <v>66205</v>
      </c>
      <c r="F747" t="str">
        <f>"PROF SVCS FOR MONTH OF AUG2018"</f>
        <v>PROF SVCS FOR MONTH OF AUG2018</v>
      </c>
      <c r="G747" s="3">
        <v>2430</v>
      </c>
      <c r="H747" t="str">
        <f>"PROF SVCS FOR MONTH OF AUG2018"</f>
        <v>PROF SVCS FOR MONTH OF AUG2018</v>
      </c>
    </row>
    <row r="748" spans="1:8" x14ac:dyDescent="0.25">
      <c r="E748" t="str">
        <f>""</f>
        <v/>
      </c>
      <c r="F748" t="str">
        <f>""</f>
        <v/>
      </c>
      <c r="H748" t="str">
        <f>"PROF SVCS FOR MONTH OF AUG2018"</f>
        <v>PROF SVCS FOR MONTH OF AUG2018</v>
      </c>
    </row>
    <row r="749" spans="1:8" x14ac:dyDescent="0.25">
      <c r="A749" t="s">
        <v>221</v>
      </c>
      <c r="B749">
        <v>77495</v>
      </c>
      <c r="C749" s="2">
        <v>435.81</v>
      </c>
      <c r="D749" s="1">
        <v>43290</v>
      </c>
      <c r="E749" t="str">
        <f>"151414A"</f>
        <v>151414A</v>
      </c>
      <c r="F749" t="str">
        <f>"CUST#31226FLAT FOLD POLL CARTS"</f>
        <v>CUST#31226FLAT FOLD POLL CARTS</v>
      </c>
      <c r="G749" s="3">
        <v>435.81</v>
      </c>
      <c r="H749" t="str">
        <f>"CUST#31226FLAT FOLD POLL CARTS"</f>
        <v>CUST#31226FLAT FOLD POLL CARTS</v>
      </c>
    </row>
    <row r="750" spans="1:8" x14ac:dyDescent="0.25">
      <c r="A750" t="s">
        <v>222</v>
      </c>
      <c r="B750">
        <v>77496</v>
      </c>
      <c r="C750" s="2">
        <v>66.12</v>
      </c>
      <c r="D750" s="1">
        <v>43290</v>
      </c>
      <c r="E750" t="str">
        <f>"ACLE485"</f>
        <v>ACLE485</v>
      </c>
      <c r="F750" t="str">
        <f>"CUST ID:AX773/COUNTY CLERK"</f>
        <v>CUST ID:AX773/COUNTY CLERK</v>
      </c>
      <c r="G750" s="3">
        <v>66.12</v>
      </c>
      <c r="H750" t="str">
        <f>"CUST ID:AX773/COUNTY CLERK"</f>
        <v>CUST ID:AX773/COUNTY CLERK</v>
      </c>
    </row>
    <row r="751" spans="1:8" x14ac:dyDescent="0.25">
      <c r="A751" t="s">
        <v>223</v>
      </c>
      <c r="B751">
        <v>999999</v>
      </c>
      <c r="C751" s="2">
        <v>135</v>
      </c>
      <c r="D751" s="1">
        <v>43291</v>
      </c>
      <c r="E751" t="str">
        <f>"18462"</f>
        <v>18462</v>
      </c>
      <c r="F751" t="str">
        <f>"CONSTRUCTION UNIT RENTAL"</f>
        <v>CONSTRUCTION UNIT RENTAL</v>
      </c>
      <c r="G751" s="3">
        <v>135</v>
      </c>
      <c r="H751" t="str">
        <f>"CONSTRUCTION UNIT RENTAL"</f>
        <v>CONSTRUCTION UNIT RENTAL</v>
      </c>
    </row>
    <row r="752" spans="1:8" x14ac:dyDescent="0.25">
      <c r="A752" t="s">
        <v>224</v>
      </c>
      <c r="B752">
        <v>77733</v>
      </c>
      <c r="C752" s="2">
        <v>294.99</v>
      </c>
      <c r="D752" s="1">
        <v>43304</v>
      </c>
      <c r="E752" t="str">
        <f>"201807112182"</f>
        <v>201807112182</v>
      </c>
      <c r="F752" t="str">
        <f>"REIMBURSEMENT MILEAGE 05/25"</f>
        <v>REIMBURSEMENT MILEAGE 05/25</v>
      </c>
      <c r="G752" s="3">
        <v>98.33</v>
      </c>
      <c r="H752" t="str">
        <f>"REIMBURSEMENT MILEAGE"</f>
        <v>REIMBURSEMENT MILEAGE</v>
      </c>
    </row>
    <row r="753" spans="1:8" x14ac:dyDescent="0.25">
      <c r="E753" t="str">
        <f>"201807182349"</f>
        <v>201807182349</v>
      </c>
      <c r="F753" t="str">
        <f>"MILEAGE REIMBURSEMENT 05/31"</f>
        <v>MILEAGE REIMBURSEMENT 05/31</v>
      </c>
      <c r="G753" s="3">
        <v>98.33</v>
      </c>
      <c r="H753" t="str">
        <f>"MILEAGE REIMBURSEMENT"</f>
        <v>MILEAGE REIMBURSEMENT</v>
      </c>
    </row>
    <row r="754" spans="1:8" x14ac:dyDescent="0.25">
      <c r="E754" t="str">
        <f>"201807182350"</f>
        <v>201807182350</v>
      </c>
      <c r="F754" t="str">
        <f>"MILEAGE REIMBURSEMENT 06/15"</f>
        <v>MILEAGE REIMBURSEMENT 06/15</v>
      </c>
      <c r="G754" s="3">
        <v>98.33</v>
      </c>
      <c r="H754" t="str">
        <f>"MILEAGE REIMBURSEMENT"</f>
        <v>MILEAGE REIMBURSEMENT</v>
      </c>
    </row>
    <row r="755" spans="1:8" x14ac:dyDescent="0.25">
      <c r="A755" t="s">
        <v>225</v>
      </c>
      <c r="B755">
        <v>77734</v>
      </c>
      <c r="C755" s="2">
        <v>300</v>
      </c>
      <c r="D755" s="1">
        <v>43304</v>
      </c>
      <c r="E755" t="str">
        <f>"201807112183"</f>
        <v>201807112183</v>
      </c>
      <c r="F755" t="str">
        <f>"COURT REPORTING SVCS-07/11/18"</f>
        <v>COURT REPORTING SVCS-07/11/18</v>
      </c>
      <c r="G755" s="3">
        <v>300</v>
      </c>
      <c r="H755" t="str">
        <f>"COURT REPORTING SVCS-07/11/18"</f>
        <v>COURT REPORTING SVCS-07/11/18</v>
      </c>
    </row>
    <row r="756" spans="1:8" x14ac:dyDescent="0.25">
      <c r="A756" t="s">
        <v>226</v>
      </c>
      <c r="B756">
        <v>77735</v>
      </c>
      <c r="C756" s="2">
        <v>55</v>
      </c>
      <c r="D756" s="1">
        <v>43304</v>
      </c>
      <c r="E756" t="str">
        <f>"PER DIEM-TRAINING"</f>
        <v>PER DIEM-TRAINING</v>
      </c>
      <c r="F756" t="str">
        <f>"PER DEIM"</f>
        <v>PER DEIM</v>
      </c>
      <c r="G756" s="3">
        <v>55</v>
      </c>
      <c r="H756" t="str">
        <f>"PER DEIM"</f>
        <v>PER DEIM</v>
      </c>
    </row>
    <row r="757" spans="1:8" x14ac:dyDescent="0.25">
      <c r="A757" t="s">
        <v>227</v>
      </c>
      <c r="B757">
        <v>999999</v>
      </c>
      <c r="C757" s="2">
        <v>77.78</v>
      </c>
      <c r="D757" s="1">
        <v>43291</v>
      </c>
      <c r="E757" t="str">
        <f>"201807051897"</f>
        <v>201807051897</v>
      </c>
      <c r="F757" t="str">
        <f>"INDIGENT HEALTH"</f>
        <v>INDIGENT HEALTH</v>
      </c>
      <c r="G757" s="3">
        <v>77.78</v>
      </c>
      <c r="H757" t="str">
        <f>"INDIGENT HEALTH"</f>
        <v>INDIGENT HEALTH</v>
      </c>
    </row>
    <row r="758" spans="1:8" x14ac:dyDescent="0.25">
      <c r="E758" t="str">
        <f>""</f>
        <v/>
      </c>
      <c r="F758" t="str">
        <f>""</f>
        <v/>
      </c>
      <c r="H758" t="str">
        <f>"INDIGENT HEALTH"</f>
        <v>INDIGENT HEALTH</v>
      </c>
    </row>
    <row r="759" spans="1:8" x14ac:dyDescent="0.25">
      <c r="A759" t="s">
        <v>228</v>
      </c>
      <c r="B759">
        <v>77497</v>
      </c>
      <c r="C759" s="2">
        <v>25</v>
      </c>
      <c r="D759" s="1">
        <v>43290</v>
      </c>
      <c r="E759" t="str">
        <f>"201806291766"</f>
        <v>201806291766</v>
      </c>
      <c r="F759" t="str">
        <f>"REFUND PERMIT FEE"</f>
        <v>REFUND PERMIT FEE</v>
      </c>
      <c r="G759" s="3">
        <v>25</v>
      </c>
      <c r="H759" t="str">
        <f>"REFUND PERMIT FEE"</f>
        <v>REFUND PERMIT FEE</v>
      </c>
    </row>
    <row r="760" spans="1:8" x14ac:dyDescent="0.25">
      <c r="A760" t="s">
        <v>229</v>
      </c>
      <c r="B760">
        <v>999999</v>
      </c>
      <c r="C760" s="2">
        <v>1700</v>
      </c>
      <c r="D760" s="1">
        <v>43291</v>
      </c>
      <c r="E760" t="str">
        <f>"12525"</f>
        <v>12525</v>
      </c>
      <c r="F760" t="str">
        <f>"AD LITEM FEE  03/20/18"</f>
        <v>AD LITEM FEE  03/20/18</v>
      </c>
      <c r="G760" s="3">
        <v>150</v>
      </c>
      <c r="H760" t="str">
        <f>"AD LITEM FEE  03/20/18"</f>
        <v>AD LITEM FEE  03/20/18</v>
      </c>
    </row>
    <row r="761" spans="1:8" x14ac:dyDescent="0.25">
      <c r="E761" t="str">
        <f>"12565"</f>
        <v>12565</v>
      </c>
      <c r="F761" t="str">
        <f>"AD LITEM FEE  03/20/18"</f>
        <v>AD LITEM FEE  03/20/18</v>
      </c>
      <c r="G761" s="3">
        <v>150</v>
      </c>
      <c r="H761" t="str">
        <f>"AD LITEM FEE  03/20/18"</f>
        <v>AD LITEM FEE  03/20/18</v>
      </c>
    </row>
    <row r="762" spans="1:8" x14ac:dyDescent="0.25">
      <c r="E762" t="str">
        <f>"12642"</f>
        <v>12642</v>
      </c>
      <c r="F762" t="str">
        <f>"AD LITEM FEE  03/20/18"</f>
        <v>AD LITEM FEE  03/20/18</v>
      </c>
      <c r="G762" s="3">
        <v>150</v>
      </c>
      <c r="H762" t="str">
        <f>"AD LITEM FEE  03/20/18"</f>
        <v>AD LITEM FEE  03/20/18</v>
      </c>
    </row>
    <row r="763" spans="1:8" x14ac:dyDescent="0.25">
      <c r="E763" t="str">
        <f>"12665"</f>
        <v>12665</v>
      </c>
      <c r="F763" t="str">
        <f>"AD LITEM FEE  03/20/18"</f>
        <v>AD LITEM FEE  03/20/18</v>
      </c>
      <c r="G763" s="3">
        <v>150</v>
      </c>
      <c r="H763" t="str">
        <f>"AD LITEM FEE  03/20/18"</f>
        <v>AD LITEM FEE  03/20/18</v>
      </c>
    </row>
    <row r="764" spans="1:8" x14ac:dyDescent="0.25">
      <c r="E764" t="str">
        <f>"12704"</f>
        <v>12704</v>
      </c>
      <c r="F764" t="str">
        <f>"AD LITEM  03/20/18"</f>
        <v>AD LITEM  03/20/18</v>
      </c>
      <c r="G764" s="3">
        <v>150</v>
      </c>
      <c r="H764" t="str">
        <f>"AD LITEM  03/20/18"</f>
        <v>AD LITEM  03/20/18</v>
      </c>
    </row>
    <row r="765" spans="1:8" x14ac:dyDescent="0.25">
      <c r="E765" t="str">
        <f>"12714"</f>
        <v>12714</v>
      </c>
      <c r="F765" t="str">
        <f>"AD LITEM FEE  03/20/18"</f>
        <v>AD LITEM FEE  03/20/18</v>
      </c>
      <c r="G765" s="3">
        <v>150</v>
      </c>
      <c r="H765" t="str">
        <f>"AD LITEM FEE  03/20/18"</f>
        <v>AD LITEM FEE  03/20/18</v>
      </c>
    </row>
    <row r="766" spans="1:8" x14ac:dyDescent="0.25">
      <c r="E766" t="str">
        <f>"12719"</f>
        <v>12719</v>
      </c>
      <c r="F766" t="str">
        <f>"AD LITEM FEE  03/20/18"</f>
        <v>AD LITEM FEE  03/20/18</v>
      </c>
      <c r="G766" s="3">
        <v>150</v>
      </c>
      <c r="H766" t="str">
        <f>"AD LITEM FEE  03/20/18"</f>
        <v>AD LITEM FEE  03/20/18</v>
      </c>
    </row>
    <row r="767" spans="1:8" x14ac:dyDescent="0.25">
      <c r="E767" t="str">
        <f>"201807031837"</f>
        <v>201807031837</v>
      </c>
      <c r="F767" t="str">
        <f>"55 727"</f>
        <v>55 727</v>
      </c>
      <c r="G767" s="3">
        <v>250</v>
      </c>
      <c r="H767" t="str">
        <f>"55 727"</f>
        <v>55 727</v>
      </c>
    </row>
    <row r="768" spans="1:8" x14ac:dyDescent="0.25">
      <c r="E768" t="str">
        <f>"201807031838"</f>
        <v>201807031838</v>
      </c>
      <c r="F768" t="str">
        <f>"18-18992"</f>
        <v>18-18992</v>
      </c>
      <c r="G768" s="3">
        <v>100</v>
      </c>
      <c r="H768" t="str">
        <f>"18-18992"</f>
        <v>18-18992</v>
      </c>
    </row>
    <row r="769" spans="1:9" x14ac:dyDescent="0.25">
      <c r="E769" t="str">
        <f>"201807031839"</f>
        <v>201807031839</v>
      </c>
      <c r="F769" t="str">
        <f>"17-18786"</f>
        <v>17-18786</v>
      </c>
      <c r="G769" s="3">
        <v>100</v>
      </c>
      <c r="H769" t="str">
        <f>"17-18786"</f>
        <v>17-18786</v>
      </c>
    </row>
    <row r="770" spans="1:9" x14ac:dyDescent="0.25">
      <c r="E770" t="str">
        <f>"201807031840"</f>
        <v>201807031840</v>
      </c>
      <c r="F770" t="str">
        <f>"18-18990"</f>
        <v>18-18990</v>
      </c>
      <c r="G770" s="3">
        <v>100</v>
      </c>
      <c r="H770" t="str">
        <f>"18-18990"</f>
        <v>18-18990</v>
      </c>
    </row>
    <row r="771" spans="1:9" x14ac:dyDescent="0.25">
      <c r="E771" t="str">
        <f>"201807031841"</f>
        <v>201807031841</v>
      </c>
      <c r="F771" t="str">
        <f>"17-18579"</f>
        <v>17-18579</v>
      </c>
      <c r="G771" s="3">
        <v>100</v>
      </c>
      <c r="H771" t="str">
        <f>"17-18579"</f>
        <v>17-18579</v>
      </c>
    </row>
    <row r="772" spans="1:9" x14ac:dyDescent="0.25">
      <c r="A772" t="s">
        <v>229</v>
      </c>
      <c r="B772">
        <v>999999</v>
      </c>
      <c r="C772" s="2">
        <v>1000</v>
      </c>
      <c r="D772" s="1">
        <v>43305</v>
      </c>
      <c r="E772" t="s">
        <v>88</v>
      </c>
      <c r="F772" t="s">
        <v>89</v>
      </c>
      <c r="G772" s="3" t="str">
        <f>"AD LITEM FEE 03/20/18"</f>
        <v>AD LITEM FEE 03/20/18</v>
      </c>
      <c r="H772" t="str">
        <f>"995-4110"</f>
        <v>995-4110</v>
      </c>
      <c r="I772" t="str">
        <f>""</f>
        <v/>
      </c>
    </row>
    <row r="773" spans="1:9" x14ac:dyDescent="0.25">
      <c r="E773" t="str">
        <f>"11694"</f>
        <v>11694</v>
      </c>
      <c r="F773" t="str">
        <f>"AD LITEM FEE  03/20/18"</f>
        <v>AD LITEM FEE  03/20/18</v>
      </c>
      <c r="G773" s="3">
        <v>150</v>
      </c>
      <c r="H773" t="str">
        <f>"AD LITEM FEE  03/20/18"</f>
        <v>AD LITEM FEE  03/20/18</v>
      </c>
    </row>
    <row r="774" spans="1:9" x14ac:dyDescent="0.25">
      <c r="E774" t="str">
        <f>"12725"</f>
        <v>12725</v>
      </c>
      <c r="F774" t="str">
        <f>"AD LITEM FEE  03/20/18"</f>
        <v>AD LITEM FEE  03/20/18</v>
      </c>
      <c r="G774" s="3">
        <v>150</v>
      </c>
      <c r="H774" t="str">
        <f>"AD LITEM FEE  03/20/18"</f>
        <v>AD LITEM FEE  03/20/18</v>
      </c>
    </row>
    <row r="775" spans="1:9" x14ac:dyDescent="0.25">
      <c r="E775" t="str">
        <f>"201807182274"</f>
        <v>201807182274</v>
      </c>
      <c r="F775" t="str">
        <f>"18-19011"</f>
        <v>18-19011</v>
      </c>
      <c r="G775" s="3">
        <v>100</v>
      </c>
      <c r="H775" t="str">
        <f>"18-19011"</f>
        <v>18-19011</v>
      </c>
    </row>
    <row r="776" spans="1:9" x14ac:dyDescent="0.25">
      <c r="E776" t="str">
        <f>"201807182275"</f>
        <v>201807182275</v>
      </c>
      <c r="F776" t="str">
        <f>"18-19023"</f>
        <v>18-19023</v>
      </c>
      <c r="G776" s="3">
        <v>100</v>
      </c>
      <c r="H776" t="str">
        <f>"18-19023"</f>
        <v>18-19023</v>
      </c>
    </row>
    <row r="777" spans="1:9" x14ac:dyDescent="0.25">
      <c r="E777" t="str">
        <f>"201807182310"</f>
        <v>201807182310</v>
      </c>
      <c r="F777" t="str">
        <f>"56 256"</f>
        <v>56 256</v>
      </c>
      <c r="G777" s="3">
        <v>250</v>
      </c>
      <c r="H777" t="str">
        <f>"56 256"</f>
        <v>56 256</v>
      </c>
    </row>
    <row r="778" spans="1:9" x14ac:dyDescent="0.25">
      <c r="E778" t="str">
        <f>"201807182345"</f>
        <v>201807182345</v>
      </c>
      <c r="F778" t="str">
        <f>"17-18579"</f>
        <v>17-18579</v>
      </c>
      <c r="G778" s="3">
        <v>100</v>
      </c>
      <c r="H778" t="str">
        <f>"17-185799"</f>
        <v>17-185799</v>
      </c>
    </row>
    <row r="779" spans="1:9" x14ac:dyDescent="0.25">
      <c r="A779" t="s">
        <v>230</v>
      </c>
      <c r="B779">
        <v>77736</v>
      </c>
      <c r="C779" s="2">
        <v>797.8</v>
      </c>
      <c r="D779" s="1">
        <v>43304</v>
      </c>
      <c r="E779" t="str">
        <f>"416285"</f>
        <v>416285</v>
      </c>
      <c r="F779" t="str">
        <f>"A/C Filters"</f>
        <v>A/C Filters</v>
      </c>
      <c r="G779" s="3">
        <v>797.8</v>
      </c>
      <c r="H779" t="str">
        <f>"16x25x2 STD Cap Plea"</f>
        <v>16x25x2 STD Cap Plea</v>
      </c>
    </row>
    <row r="780" spans="1:9" x14ac:dyDescent="0.25">
      <c r="E780" t="str">
        <f>""</f>
        <v/>
      </c>
      <c r="F780" t="str">
        <f>""</f>
        <v/>
      </c>
      <c r="H780" t="str">
        <f>"16X20x1 STD Cap Plea"</f>
        <v>16X20x1 STD Cap Plea</v>
      </c>
    </row>
    <row r="781" spans="1:9" x14ac:dyDescent="0.25">
      <c r="E781" t="str">
        <f>""</f>
        <v/>
      </c>
      <c r="F781" t="str">
        <f>""</f>
        <v/>
      </c>
      <c r="H781" t="str">
        <f>"20x20x1 STD Cap Plea"</f>
        <v>20x20x1 STD Cap Plea</v>
      </c>
    </row>
    <row r="782" spans="1:9" x14ac:dyDescent="0.25">
      <c r="E782" t="str">
        <f>""</f>
        <v/>
      </c>
      <c r="F782" t="str">
        <f>""</f>
        <v/>
      </c>
      <c r="H782" t="str">
        <f>"16X24x1 STD Cap Plea"</f>
        <v>16X24x1 STD Cap Plea</v>
      </c>
    </row>
    <row r="783" spans="1:9" x14ac:dyDescent="0.25">
      <c r="E783" t="str">
        <f>""</f>
        <v/>
      </c>
      <c r="F783" t="str">
        <f>""</f>
        <v/>
      </c>
      <c r="H783" t="str">
        <f>"20x30x1 STD Cap Plea"</f>
        <v>20x30x1 STD Cap Plea</v>
      </c>
    </row>
    <row r="784" spans="1:9" x14ac:dyDescent="0.25">
      <c r="E784" t="str">
        <f>""</f>
        <v/>
      </c>
      <c r="F784" t="str">
        <f>""</f>
        <v/>
      </c>
      <c r="H784" t="str">
        <f>"12X24x1 STD Cap Plea"</f>
        <v>12X24x1 STD Cap Plea</v>
      </c>
    </row>
    <row r="785" spans="1:8" x14ac:dyDescent="0.25">
      <c r="E785" t="str">
        <f>""</f>
        <v/>
      </c>
      <c r="F785" t="str">
        <f>""</f>
        <v/>
      </c>
      <c r="H785" t="str">
        <f>"10.5 x 32.5 x 1 Plea"</f>
        <v>10.5 x 32.5 x 1 Plea</v>
      </c>
    </row>
    <row r="786" spans="1:8" x14ac:dyDescent="0.25">
      <c r="E786" t="str">
        <f>""</f>
        <v/>
      </c>
      <c r="F786" t="str">
        <f>""</f>
        <v/>
      </c>
      <c r="H786" t="str">
        <f>"10.5 x 30.5 x 1 Plea"</f>
        <v>10.5 x 30.5 x 1 Plea</v>
      </c>
    </row>
    <row r="787" spans="1:8" x14ac:dyDescent="0.25">
      <c r="E787" t="str">
        <f>""</f>
        <v/>
      </c>
      <c r="F787" t="str">
        <f>""</f>
        <v/>
      </c>
      <c r="H787" t="str">
        <f>"20x24x1 STD Cap Plea"</f>
        <v>20x24x1 STD Cap Plea</v>
      </c>
    </row>
    <row r="788" spans="1:8" x14ac:dyDescent="0.25">
      <c r="E788" t="str">
        <f>""</f>
        <v/>
      </c>
      <c r="F788" t="str">
        <f>""</f>
        <v/>
      </c>
      <c r="H788" t="str">
        <f>"9x32x1 Pleated"</f>
        <v>9x32x1 Pleated</v>
      </c>
    </row>
    <row r="789" spans="1:8" x14ac:dyDescent="0.25">
      <c r="E789" t="str">
        <f>""</f>
        <v/>
      </c>
      <c r="F789" t="str">
        <f>""</f>
        <v/>
      </c>
      <c r="H789" t="str">
        <f>"10x34x1 Pleated"</f>
        <v>10x34x1 Pleated</v>
      </c>
    </row>
    <row r="790" spans="1:8" x14ac:dyDescent="0.25">
      <c r="E790" t="str">
        <f>""</f>
        <v/>
      </c>
      <c r="F790" t="str">
        <f>""</f>
        <v/>
      </c>
      <c r="H790" t="str">
        <f>"16.5x28x1 Pleated"</f>
        <v>16.5x28x1 Pleated</v>
      </c>
    </row>
    <row r="791" spans="1:8" x14ac:dyDescent="0.25">
      <c r="E791" t="str">
        <f>""</f>
        <v/>
      </c>
      <c r="F791" t="str">
        <f>""</f>
        <v/>
      </c>
      <c r="H791" t="str">
        <f>"20x25x2 STD Cap Plea"</f>
        <v>20x25x2 STD Cap Plea</v>
      </c>
    </row>
    <row r="792" spans="1:8" x14ac:dyDescent="0.25">
      <c r="E792" t="str">
        <f>""</f>
        <v/>
      </c>
      <c r="F792" t="str">
        <f>""</f>
        <v/>
      </c>
      <c r="H792" t="str">
        <f>"16x25x2 STD Cap Plea"</f>
        <v>16x25x2 STD Cap Plea</v>
      </c>
    </row>
    <row r="793" spans="1:8" x14ac:dyDescent="0.25">
      <c r="E793" t="str">
        <f>""</f>
        <v/>
      </c>
      <c r="F793" t="str">
        <f>""</f>
        <v/>
      </c>
      <c r="H793" t="str">
        <f>"20x25x2 STD Cap Plea"</f>
        <v>20x25x2 STD Cap Plea</v>
      </c>
    </row>
    <row r="794" spans="1:8" x14ac:dyDescent="0.25">
      <c r="E794" t="str">
        <f>""</f>
        <v/>
      </c>
      <c r="F794" t="str">
        <f>""</f>
        <v/>
      </c>
      <c r="H794" t="str">
        <f>"9x35x1 Pleated"</f>
        <v>9x35x1 Pleated</v>
      </c>
    </row>
    <row r="795" spans="1:8" x14ac:dyDescent="0.25">
      <c r="E795" t="str">
        <f>""</f>
        <v/>
      </c>
      <c r="F795" t="str">
        <f>""</f>
        <v/>
      </c>
      <c r="H795" t="str">
        <f>"16.5 x 28 x 1 pleate"</f>
        <v>16.5 x 28 x 1 pleate</v>
      </c>
    </row>
    <row r="796" spans="1:8" x14ac:dyDescent="0.25">
      <c r="E796" t="str">
        <f>""</f>
        <v/>
      </c>
      <c r="F796" t="str">
        <f>""</f>
        <v/>
      </c>
      <c r="H796" t="str">
        <f>"Grey Zipperlok Stick"</f>
        <v>Grey Zipperlok Stick</v>
      </c>
    </row>
    <row r="797" spans="1:8" x14ac:dyDescent="0.25">
      <c r="E797" t="str">
        <f>""</f>
        <v/>
      </c>
      <c r="F797" t="str">
        <f>""</f>
        <v/>
      </c>
      <c r="H797" t="str">
        <f>"Deluxe Zip Tool"</f>
        <v>Deluxe Zip Tool</v>
      </c>
    </row>
    <row r="798" spans="1:8" x14ac:dyDescent="0.25">
      <c r="E798" t="str">
        <f>""</f>
        <v/>
      </c>
      <c r="F798" t="str">
        <f>""</f>
        <v/>
      </c>
      <c r="H798" t="str">
        <f>"Delivery"</f>
        <v>Delivery</v>
      </c>
    </row>
    <row r="799" spans="1:8" x14ac:dyDescent="0.25">
      <c r="A799" t="s">
        <v>231</v>
      </c>
      <c r="B799">
        <v>77737</v>
      </c>
      <c r="C799" s="2">
        <v>22464.18</v>
      </c>
      <c r="D799" s="1">
        <v>43304</v>
      </c>
      <c r="E799" t="str">
        <f>"05648459"</f>
        <v>05648459</v>
      </c>
      <c r="F799" t="str">
        <f>"Inv#05648459"</f>
        <v>Inv#05648459</v>
      </c>
      <c r="G799" s="3">
        <v>22464.18</v>
      </c>
      <c r="H799" t="str">
        <f>"Invoice Split"</f>
        <v>Invoice Split</v>
      </c>
    </row>
    <row r="800" spans="1:8" x14ac:dyDescent="0.25">
      <c r="A800" t="s">
        <v>232</v>
      </c>
      <c r="B800">
        <v>77738</v>
      </c>
      <c r="C800" s="2">
        <v>1888.85</v>
      </c>
      <c r="D800" s="1">
        <v>43304</v>
      </c>
      <c r="E800" t="str">
        <f>"P66317/66794/67108"</f>
        <v>P66317/66794/67108</v>
      </c>
      <c r="F800" t="str">
        <f>"ACCT#8850283308/PCT#4"</f>
        <v>ACCT#8850283308/PCT#4</v>
      </c>
      <c r="G800" s="3">
        <v>1568.6</v>
      </c>
      <c r="H800" t="str">
        <f>"ACCT#8850283308/PCT#4"</f>
        <v>ACCT#8850283308/PCT#4</v>
      </c>
    </row>
    <row r="801" spans="1:8" x14ac:dyDescent="0.25">
      <c r="E801" t="str">
        <f>"P67199 &amp; P67196"</f>
        <v>P67199 &amp; P67196</v>
      </c>
      <c r="F801" t="str">
        <f>"ACCT#8850283308/PCT#2"</f>
        <v>ACCT#8850283308/PCT#2</v>
      </c>
      <c r="G801" s="3">
        <v>320.25</v>
      </c>
      <c r="H801" t="str">
        <f>"ACCT#8850283308/PCT#2"</f>
        <v>ACCT#8850283308/PCT#2</v>
      </c>
    </row>
    <row r="802" spans="1:8" x14ac:dyDescent="0.25">
      <c r="A802" t="s">
        <v>233</v>
      </c>
      <c r="B802">
        <v>77739</v>
      </c>
      <c r="C802" s="2">
        <v>168</v>
      </c>
      <c r="D802" s="1">
        <v>43304</v>
      </c>
      <c r="E802" t="str">
        <f>"201807102166"</f>
        <v>201807102166</v>
      </c>
      <c r="F802" t="str">
        <f>"REIMBURSE-STATE BAR DUES"</f>
        <v>REIMBURSE-STATE BAR DUES</v>
      </c>
      <c r="G802" s="3">
        <v>168</v>
      </c>
      <c r="H802" t="str">
        <f>"REIMBURSE-STATE BAR DUES"</f>
        <v>REIMBURSE-STATE BAR DUES</v>
      </c>
    </row>
    <row r="803" spans="1:8" x14ac:dyDescent="0.25">
      <c r="A803" t="s">
        <v>234</v>
      </c>
      <c r="B803">
        <v>999999</v>
      </c>
      <c r="C803" s="2">
        <v>4300</v>
      </c>
      <c r="D803" s="1">
        <v>43291</v>
      </c>
      <c r="E803" t="str">
        <f>"201806281738"</f>
        <v>201806281738</v>
      </c>
      <c r="F803" t="str">
        <f>"16361 16362 16362 CUT 1/2/3"</f>
        <v>16361 16362 16362 CUT 1/2/3</v>
      </c>
      <c r="G803" s="3">
        <v>2400</v>
      </c>
      <c r="H803" t="str">
        <f>"16361 16362 16362 CUT 1/2/3"</f>
        <v>16361 16362 16362 CUT 1/2/3</v>
      </c>
    </row>
    <row r="804" spans="1:8" x14ac:dyDescent="0.25">
      <c r="E804" t="str">
        <f>"201806281739"</f>
        <v>201806281739</v>
      </c>
      <c r="F804" t="str">
        <f>"DCPC-15-024"</f>
        <v>DCPC-15-024</v>
      </c>
      <c r="G804" s="3">
        <v>400</v>
      </c>
      <c r="H804" t="str">
        <f>"DCPC-15-024"</f>
        <v>DCPC-15-024</v>
      </c>
    </row>
    <row r="805" spans="1:8" x14ac:dyDescent="0.25">
      <c r="E805" t="str">
        <f>"201807031842"</f>
        <v>201807031842</v>
      </c>
      <c r="F805" t="str">
        <f>"56058"</f>
        <v>56058</v>
      </c>
      <c r="G805" s="3">
        <v>250</v>
      </c>
      <c r="H805" t="str">
        <f>"56058"</f>
        <v>56058</v>
      </c>
    </row>
    <row r="806" spans="1:8" x14ac:dyDescent="0.25">
      <c r="E806" t="str">
        <f>"201807031843"</f>
        <v>201807031843</v>
      </c>
      <c r="F806" t="str">
        <f>"56133"</f>
        <v>56133</v>
      </c>
      <c r="G806" s="3">
        <v>250</v>
      </c>
      <c r="H806" t="str">
        <f>"56133"</f>
        <v>56133</v>
      </c>
    </row>
    <row r="807" spans="1:8" x14ac:dyDescent="0.25">
      <c r="E807" t="str">
        <f>"201807031844"</f>
        <v>201807031844</v>
      </c>
      <c r="F807" t="str">
        <f>"55821"</f>
        <v>55821</v>
      </c>
      <c r="G807" s="3">
        <v>250</v>
      </c>
      <c r="H807" t="str">
        <f>"55821"</f>
        <v>55821</v>
      </c>
    </row>
    <row r="808" spans="1:8" x14ac:dyDescent="0.25">
      <c r="E808" t="str">
        <f>"201807031845"</f>
        <v>201807031845</v>
      </c>
      <c r="F808" t="str">
        <f>"C170048"</f>
        <v>C170048</v>
      </c>
      <c r="G808" s="3">
        <v>250</v>
      </c>
      <c r="H808" t="str">
        <f>"C170048"</f>
        <v>C170048</v>
      </c>
    </row>
    <row r="809" spans="1:8" x14ac:dyDescent="0.25">
      <c r="E809" t="str">
        <f>"201807031846"</f>
        <v>201807031846</v>
      </c>
      <c r="F809" t="str">
        <f>"54694 02-0726-17 309072016C"</f>
        <v>54694 02-0726-17 309072016C</v>
      </c>
      <c r="G809" s="3">
        <v>500</v>
      </c>
      <c r="H809" t="str">
        <f>"54694 02-0726-17 309072016C"</f>
        <v>54694 02-0726-17 309072016C</v>
      </c>
    </row>
    <row r="810" spans="1:8" x14ac:dyDescent="0.25">
      <c r="A810" t="s">
        <v>234</v>
      </c>
      <c r="B810">
        <v>999999</v>
      </c>
      <c r="C810" s="2">
        <v>4125</v>
      </c>
      <c r="D810" s="1">
        <v>43305</v>
      </c>
      <c r="E810" t="str">
        <f>"201807102153"</f>
        <v>201807102153</v>
      </c>
      <c r="F810" t="str">
        <f>"423-5806  423-5807"</f>
        <v>423-5806  423-5807</v>
      </c>
      <c r="G810" s="3">
        <v>200</v>
      </c>
      <c r="H810" t="str">
        <f>"423-5806  423-5807"</f>
        <v>423-5806  423-5807</v>
      </c>
    </row>
    <row r="811" spans="1:8" x14ac:dyDescent="0.25">
      <c r="E811" t="str">
        <f>"201807102154"</f>
        <v>201807102154</v>
      </c>
      <c r="F811" t="str">
        <f>"20160672  DCPC-16-005"</f>
        <v>20160672  DCPC-16-005</v>
      </c>
      <c r="G811" s="3">
        <v>550</v>
      </c>
      <c r="H811" t="str">
        <f>"20160672  DCPC-16-005"</f>
        <v>20160672  DCPC-16-005</v>
      </c>
    </row>
    <row r="812" spans="1:8" x14ac:dyDescent="0.25">
      <c r="E812" t="str">
        <f>"201807112173"</f>
        <v>201807112173</v>
      </c>
      <c r="F812" t="str">
        <f>"16292"</f>
        <v>16292</v>
      </c>
      <c r="G812" s="3">
        <v>400</v>
      </c>
      <c r="H812" t="str">
        <f>"16292"</f>
        <v>16292</v>
      </c>
    </row>
    <row r="813" spans="1:8" x14ac:dyDescent="0.25">
      <c r="E813" t="str">
        <f>"201807112174"</f>
        <v>201807112174</v>
      </c>
      <c r="F813" t="str">
        <f>"16554   18-S-01679"</f>
        <v>16554   18-S-01679</v>
      </c>
      <c r="G813" s="3">
        <v>600</v>
      </c>
      <c r="H813" t="str">
        <f>"16554   18-S-01679"</f>
        <v>16554   18-S-01679</v>
      </c>
    </row>
    <row r="814" spans="1:8" x14ac:dyDescent="0.25">
      <c r="E814" t="str">
        <f>"201807112175"</f>
        <v>201807112175</v>
      </c>
      <c r="F814" t="str">
        <f>"423-5814"</f>
        <v>423-5814</v>
      </c>
      <c r="G814" s="3">
        <v>100</v>
      </c>
      <c r="H814" t="str">
        <f>"423-5814"</f>
        <v>423-5814</v>
      </c>
    </row>
    <row r="815" spans="1:8" x14ac:dyDescent="0.25">
      <c r="E815" t="str">
        <f>"201807112176"</f>
        <v>201807112176</v>
      </c>
      <c r="F815" t="str">
        <f>"16522"</f>
        <v>16522</v>
      </c>
      <c r="G815" s="3">
        <v>400</v>
      </c>
      <c r="H815" t="str">
        <f>"16522"</f>
        <v>16522</v>
      </c>
    </row>
    <row r="816" spans="1:8" x14ac:dyDescent="0.25">
      <c r="E816" t="str">
        <f>"201807132197"</f>
        <v>201807132197</v>
      </c>
      <c r="F816" t="str">
        <f>"423-2898"</f>
        <v>423-2898</v>
      </c>
      <c r="G816" s="3">
        <v>325</v>
      </c>
      <c r="H816" t="str">
        <f>"423-2898"</f>
        <v>423-2898</v>
      </c>
    </row>
    <row r="817" spans="1:8" x14ac:dyDescent="0.25">
      <c r="E817" t="str">
        <f>"201807132198"</f>
        <v>201807132198</v>
      </c>
      <c r="F817" t="str">
        <f>"302082018H"</f>
        <v>302082018H</v>
      </c>
      <c r="G817" s="3">
        <v>400</v>
      </c>
      <c r="H817" t="str">
        <f>"302082018H"</f>
        <v>302082018H</v>
      </c>
    </row>
    <row r="818" spans="1:8" x14ac:dyDescent="0.25">
      <c r="E818" t="str">
        <f>"201807132204"</f>
        <v>201807132204</v>
      </c>
      <c r="F818" t="str">
        <f>"201800304"</f>
        <v>201800304</v>
      </c>
      <c r="G818" s="3">
        <v>400</v>
      </c>
      <c r="H818" t="str">
        <f>"201800304"</f>
        <v>201800304</v>
      </c>
    </row>
    <row r="819" spans="1:8" x14ac:dyDescent="0.25">
      <c r="E819" t="str">
        <f>"201807182300"</f>
        <v>201807182300</v>
      </c>
      <c r="F819" t="str">
        <f>"18-S-01673"</f>
        <v>18-S-01673</v>
      </c>
      <c r="G819" s="3">
        <v>250</v>
      </c>
      <c r="H819" t="str">
        <f>"18-S-01673"</f>
        <v>18-S-01673</v>
      </c>
    </row>
    <row r="820" spans="1:8" x14ac:dyDescent="0.25">
      <c r="E820" t="str">
        <f>"201807182301"</f>
        <v>201807182301</v>
      </c>
      <c r="F820" t="str">
        <f>"AC-2018-0108WB"</f>
        <v>AC-2018-0108WB</v>
      </c>
      <c r="G820" s="3">
        <v>250</v>
      </c>
      <c r="H820" t="str">
        <f>"AC-2018-0108WB"</f>
        <v>AC-2018-0108WB</v>
      </c>
    </row>
    <row r="821" spans="1:8" x14ac:dyDescent="0.25">
      <c r="E821" t="str">
        <f>"201807182302"</f>
        <v>201807182302</v>
      </c>
      <c r="F821" t="str">
        <f>"56169"</f>
        <v>56169</v>
      </c>
      <c r="G821" s="3">
        <v>250</v>
      </c>
      <c r="H821" t="str">
        <f>"56169"</f>
        <v>56169</v>
      </c>
    </row>
    <row r="822" spans="1:8" x14ac:dyDescent="0.25">
      <c r="A822" t="s">
        <v>235</v>
      </c>
      <c r="B822">
        <v>999999</v>
      </c>
      <c r="C822" s="2">
        <v>4500</v>
      </c>
      <c r="D822" s="1">
        <v>43291</v>
      </c>
      <c r="E822" t="str">
        <f>"1009"</f>
        <v>1009</v>
      </c>
      <c r="F822" t="str">
        <f>"BUILD &amp; INSTALL RAILS/PCT#2"</f>
        <v>BUILD &amp; INSTALL RAILS/PCT#2</v>
      </c>
      <c r="G822" s="3">
        <v>4500</v>
      </c>
      <c r="H822" t="str">
        <f>"BUILD &amp; INSTALL RAILS/PCT#2"</f>
        <v>BUILD &amp; INSTALL RAILS/PCT#2</v>
      </c>
    </row>
    <row r="823" spans="1:8" x14ac:dyDescent="0.25">
      <c r="A823" t="s">
        <v>236</v>
      </c>
      <c r="B823">
        <v>77498</v>
      </c>
      <c r="C823" s="2">
        <v>380</v>
      </c>
      <c r="D823" s="1">
        <v>43290</v>
      </c>
      <c r="E823" t="str">
        <f>"228856"</f>
        <v>228856</v>
      </c>
      <c r="F823" t="str">
        <f>"TRASH REMOVAL SVCS/PCT#1"</f>
        <v>TRASH REMOVAL SVCS/PCT#1</v>
      </c>
      <c r="G823" s="3">
        <v>380</v>
      </c>
      <c r="H823" t="str">
        <f>"TRASH REMOVAL SVCS/PCT#1"</f>
        <v>TRASH REMOVAL SVCS/PCT#1</v>
      </c>
    </row>
    <row r="824" spans="1:8" x14ac:dyDescent="0.25">
      <c r="A824" t="s">
        <v>237</v>
      </c>
      <c r="B824">
        <v>999999</v>
      </c>
      <c r="C824" s="2">
        <v>2617</v>
      </c>
      <c r="D824" s="1">
        <v>43291</v>
      </c>
      <c r="E824" t="str">
        <f>"83"</f>
        <v>83</v>
      </c>
      <c r="F824" t="str">
        <f>"TOWER RENT - JULY"</f>
        <v>TOWER RENT - JULY</v>
      </c>
      <c r="G824" s="3">
        <v>2617</v>
      </c>
      <c r="H824" t="str">
        <f>"TOWER RENT - JULY"</f>
        <v>TOWER RENT - JULY</v>
      </c>
    </row>
    <row r="825" spans="1:8" x14ac:dyDescent="0.25">
      <c r="A825" t="s">
        <v>238</v>
      </c>
      <c r="B825">
        <v>77740</v>
      </c>
      <c r="C825" s="2">
        <v>343.84</v>
      </c>
      <c r="D825" s="1">
        <v>43304</v>
      </c>
      <c r="E825" t="str">
        <f>"251133"</f>
        <v>251133</v>
      </c>
      <c r="F825" t="str">
        <f>"ACCT#BASCO1/PCT#1"</f>
        <v>ACCT#BASCO1/PCT#1</v>
      </c>
      <c r="G825" s="3">
        <v>35.840000000000003</v>
      </c>
      <c r="H825" t="str">
        <f>"ACCT#BASCO1/PCT#1"</f>
        <v>ACCT#BASCO1/PCT#1</v>
      </c>
    </row>
    <row r="826" spans="1:8" x14ac:dyDescent="0.25">
      <c r="E826" t="str">
        <f>"251183"</f>
        <v>251183</v>
      </c>
      <c r="F826" t="str">
        <f>"ACCT#BASCO3/CAB GLASS/PCT#3"</f>
        <v>ACCT#BASCO3/CAB GLASS/PCT#3</v>
      </c>
      <c r="G826" s="3">
        <v>308</v>
      </c>
      <c r="H826" t="str">
        <f>"ACCT#BASCO3/CAB GLASS/PCT#3"</f>
        <v>ACCT#BASCO3/CAB GLASS/PCT#3</v>
      </c>
    </row>
    <row r="827" spans="1:8" x14ac:dyDescent="0.25">
      <c r="A827" t="s">
        <v>239</v>
      </c>
      <c r="B827">
        <v>999999</v>
      </c>
      <c r="C827" s="2">
        <v>1999</v>
      </c>
      <c r="D827" s="1">
        <v>43291</v>
      </c>
      <c r="E827" t="str">
        <f>"265806"</f>
        <v>265806</v>
      </c>
      <c r="F827" t="str">
        <f>"INSPECT OF FIRE SPRINKLER SYS"</f>
        <v>INSPECT OF FIRE SPRINKLER SYS</v>
      </c>
      <c r="G827" s="3">
        <v>1900</v>
      </c>
      <c r="H827" t="str">
        <f>"INSPECT OF FIRE SPRINKLER SYS"</f>
        <v>INSPECT OF FIRE SPRINKLER SYS</v>
      </c>
    </row>
    <row r="828" spans="1:8" x14ac:dyDescent="0.25">
      <c r="E828" t="str">
        <f>"265891"</f>
        <v>265891</v>
      </c>
      <c r="F828" t="str">
        <f>"QRTLY FIRE PROT/JULY/AUG/SPT18"</f>
        <v>QRTLY FIRE PROT/JULY/AUG/SPT18</v>
      </c>
      <c r="G828" s="3">
        <v>99</v>
      </c>
      <c r="H828" t="str">
        <f>"QRTLY FIRE PROT/JULY/AUG/SPT18"</f>
        <v>QRTLY FIRE PROT/JULY/AUG/SPT18</v>
      </c>
    </row>
    <row r="829" spans="1:8" x14ac:dyDescent="0.25">
      <c r="A829" t="s">
        <v>240</v>
      </c>
      <c r="B829">
        <v>77499</v>
      </c>
      <c r="C829" s="2">
        <v>76.58</v>
      </c>
      <c r="D829" s="1">
        <v>43290</v>
      </c>
      <c r="E829" t="str">
        <f>"X301014685:01"</f>
        <v>X301014685:01</v>
      </c>
      <c r="F829" t="str">
        <f>"ACCT#104992/FILTER/PCT#1"</f>
        <v>ACCT#104992/FILTER/PCT#1</v>
      </c>
      <c r="G829" s="3">
        <v>66.12</v>
      </c>
      <c r="H829" t="str">
        <f>"ACCT#104992/FILTER/PCT#1"</f>
        <v>ACCT#104992/FILTER/PCT#1</v>
      </c>
    </row>
    <row r="830" spans="1:8" x14ac:dyDescent="0.25">
      <c r="E830" t="str">
        <f>"X301014685:02"</f>
        <v>X301014685:02</v>
      </c>
      <c r="F830" t="str">
        <f>"ACCT#104992/FILTER/PCT#1"</f>
        <v>ACCT#104992/FILTER/PCT#1</v>
      </c>
      <c r="G830" s="3">
        <v>10.46</v>
      </c>
      <c r="H830" t="str">
        <f>"ACCT#104992/FILTER/PCT#1"</f>
        <v>ACCT#104992/FILTER/PCT#1</v>
      </c>
    </row>
    <row r="831" spans="1:8" x14ac:dyDescent="0.25">
      <c r="A831" t="s">
        <v>240</v>
      </c>
      <c r="B831">
        <v>77741</v>
      </c>
      <c r="C831" s="2">
        <v>141.44</v>
      </c>
      <c r="D831" s="1">
        <v>43304</v>
      </c>
      <c r="E831" t="str">
        <f>"X301015859:01"</f>
        <v>X301015859:01</v>
      </c>
      <c r="F831" t="str">
        <f>"ACCT#104992/PCT#1"</f>
        <v>ACCT#104992/PCT#1</v>
      </c>
      <c r="G831" s="3">
        <v>141.44</v>
      </c>
      <c r="H831" t="str">
        <f>"ACCT#104992/PCT#1"</f>
        <v>ACCT#104992/PCT#1</v>
      </c>
    </row>
    <row r="832" spans="1:8" x14ac:dyDescent="0.25">
      <c r="A832" t="s">
        <v>241</v>
      </c>
      <c r="B832">
        <v>77742</v>
      </c>
      <c r="C832" s="2">
        <v>3004.07</v>
      </c>
      <c r="D832" s="1">
        <v>43304</v>
      </c>
      <c r="E832" t="str">
        <f>"201807132218"</f>
        <v>201807132218</v>
      </c>
      <c r="F832" t="str">
        <f>"ACCT#1700/PCT#2"</f>
        <v>ACCT#1700/PCT#2</v>
      </c>
      <c r="G832" s="3">
        <v>664.18</v>
      </c>
      <c r="H832" t="str">
        <f>"ACCT#1700/PCT#2"</f>
        <v>ACCT#1700/PCT#2</v>
      </c>
    </row>
    <row r="833" spans="1:8" x14ac:dyDescent="0.25">
      <c r="E833" t="str">
        <f>"201807132222"</f>
        <v>201807132222</v>
      </c>
      <c r="F833" t="str">
        <f>"ACCT#1750/PCT#3"</f>
        <v>ACCT#1750/PCT#3</v>
      </c>
      <c r="G833" s="3">
        <v>1116.21</v>
      </c>
      <c r="H833" t="str">
        <f>"ACCT#1750/PCT#3"</f>
        <v>ACCT#1750/PCT#3</v>
      </c>
    </row>
    <row r="834" spans="1:8" x14ac:dyDescent="0.25">
      <c r="E834" t="str">
        <f>"201807172241"</f>
        <v>201807172241</v>
      </c>
      <c r="F834" t="str">
        <f>"CUST#1650/GEN SVCS"</f>
        <v>CUST#1650/GEN SVCS</v>
      </c>
      <c r="G834" s="3">
        <v>697.61</v>
      </c>
      <c r="H834" t="str">
        <f>"CUST#1650/GEN SVCS"</f>
        <v>CUST#1650/GEN SVCS</v>
      </c>
    </row>
    <row r="835" spans="1:8" x14ac:dyDescent="0.25">
      <c r="E835" t="str">
        <f>""</f>
        <v/>
      </c>
      <c r="F835" t="str">
        <f>""</f>
        <v/>
      </c>
      <c r="H835" t="str">
        <f>"CUST#1650/GEN SVCS"</f>
        <v>CUST#1650/GEN SVCS</v>
      </c>
    </row>
    <row r="836" spans="1:8" x14ac:dyDescent="0.25">
      <c r="E836" t="str">
        <f>""</f>
        <v/>
      </c>
      <c r="F836" t="str">
        <f>""</f>
        <v/>
      </c>
      <c r="H836" t="str">
        <f>"CUST#1650/GEN SVCS"</f>
        <v>CUST#1650/GEN SVCS</v>
      </c>
    </row>
    <row r="837" spans="1:8" x14ac:dyDescent="0.25">
      <c r="E837" t="str">
        <f>"201807172242"</f>
        <v>201807172242</v>
      </c>
      <c r="F837" t="str">
        <f>"CUST#1650/PCT#1"</f>
        <v>CUST#1650/PCT#1</v>
      </c>
      <c r="G837" s="3">
        <v>526.07000000000005</v>
      </c>
      <c r="H837" t="str">
        <f>"CUST#1650/PCT#1"</f>
        <v>CUST#1650/PCT#1</v>
      </c>
    </row>
    <row r="838" spans="1:8" x14ac:dyDescent="0.25">
      <c r="A838" t="s">
        <v>242</v>
      </c>
      <c r="B838">
        <v>77743</v>
      </c>
      <c r="C838" s="2">
        <v>5201.07</v>
      </c>
      <c r="D838" s="1">
        <v>43304</v>
      </c>
      <c r="E838" t="str">
        <f>"INMATE FOOD"</f>
        <v>INMATE FOOD</v>
      </c>
      <c r="F838" t="str">
        <f>"FOOD FOR INMATES"</f>
        <v>FOOD FOR INMATES</v>
      </c>
      <c r="G838" s="3">
        <v>5201.07</v>
      </c>
      <c r="H838" t="str">
        <f>"INV 06201186"</f>
        <v>INV 06201186</v>
      </c>
    </row>
    <row r="839" spans="1:8" x14ac:dyDescent="0.25">
      <c r="E839" t="str">
        <f>""</f>
        <v/>
      </c>
      <c r="F839" t="str">
        <f>""</f>
        <v/>
      </c>
      <c r="H839" t="str">
        <f>"INV 06272087"</f>
        <v>INV 06272087</v>
      </c>
    </row>
    <row r="840" spans="1:8" x14ac:dyDescent="0.25">
      <c r="E840" t="str">
        <f>""</f>
        <v/>
      </c>
      <c r="F840" t="str">
        <f>""</f>
        <v/>
      </c>
      <c r="H840" t="str">
        <f>"INV 07041734"</f>
        <v>INV 07041734</v>
      </c>
    </row>
    <row r="841" spans="1:8" x14ac:dyDescent="0.25">
      <c r="E841" t="str">
        <f>""</f>
        <v/>
      </c>
      <c r="F841" t="str">
        <f>""</f>
        <v/>
      </c>
      <c r="H841" t="str">
        <f>"INV 07111643"</f>
        <v>INV 07111643</v>
      </c>
    </row>
    <row r="842" spans="1:8" x14ac:dyDescent="0.25">
      <c r="A842" t="s">
        <v>243</v>
      </c>
      <c r="B842">
        <v>77500</v>
      </c>
      <c r="C842" s="2">
        <v>70</v>
      </c>
      <c r="D842" s="1">
        <v>43290</v>
      </c>
      <c r="E842" t="str">
        <f>"PER DIEM-CRIM"</f>
        <v>PER DIEM-CRIM</v>
      </c>
      <c r="F842" t="str">
        <f>"PER DIEM"</f>
        <v>PER DIEM</v>
      </c>
      <c r="G842" s="3">
        <v>70</v>
      </c>
      <c r="H842" t="str">
        <f>"PER DIEM"</f>
        <v>PER DIEM</v>
      </c>
    </row>
    <row r="843" spans="1:8" x14ac:dyDescent="0.25">
      <c r="A843" t="s">
        <v>244</v>
      </c>
      <c r="B843">
        <v>77744</v>
      </c>
      <c r="C843" s="2">
        <v>82</v>
      </c>
      <c r="D843" s="1">
        <v>43304</v>
      </c>
      <c r="E843" t="str">
        <f>"201807132224"</f>
        <v>201807132224</v>
      </c>
      <c r="F843" t="str">
        <f>"INV#44198/44206/44288/44301/P4"</f>
        <v>INV#44198/44206/44288/44301/P4</v>
      </c>
      <c r="G843" s="3">
        <v>82</v>
      </c>
      <c r="H843" t="str">
        <f>"INV#44198/44206/44288/44301/P4"</f>
        <v>INV#44198/44206/44288/44301/P4</v>
      </c>
    </row>
    <row r="844" spans="1:8" x14ac:dyDescent="0.25">
      <c r="A844" t="s">
        <v>245</v>
      </c>
      <c r="B844">
        <v>77423</v>
      </c>
      <c r="C844" s="2">
        <v>50.25</v>
      </c>
      <c r="D844" s="1">
        <v>43286</v>
      </c>
      <c r="E844" t="str">
        <f>"201807051915"</f>
        <v>201807051915</v>
      </c>
      <c r="F844" t="str">
        <f>"ACCT#1-09-00072-02 1 /06252018"</f>
        <v>ACCT#1-09-00072-02 1 /06252018</v>
      </c>
      <c r="G844" s="3">
        <v>50.25</v>
      </c>
      <c r="H844" t="str">
        <f>"ACCT#1-09-00072-02 1 /06252018"</f>
        <v>ACCT#1-09-00072-02 1 /06252018</v>
      </c>
    </row>
    <row r="845" spans="1:8" x14ac:dyDescent="0.25">
      <c r="A845" t="s">
        <v>245</v>
      </c>
      <c r="B845">
        <v>77641</v>
      </c>
      <c r="C845" s="2">
        <v>50.25</v>
      </c>
      <c r="D845" s="1">
        <v>43294</v>
      </c>
      <c r="E845" t="str">
        <f>"201807132196"</f>
        <v>201807132196</v>
      </c>
      <c r="F845" t="str">
        <f>"ACCT#3-09-00175-03 1 /06252018"</f>
        <v>ACCT#3-09-00175-03 1 /06252018</v>
      </c>
      <c r="G845" s="3">
        <v>50.25</v>
      </c>
      <c r="H845" t="str">
        <f>"ACCT#3-09-00175-03 1 /06252018"</f>
        <v>ACCT#3-09-00175-03 1 /06252018</v>
      </c>
    </row>
    <row r="846" spans="1:8" x14ac:dyDescent="0.25">
      <c r="A846" t="s">
        <v>246</v>
      </c>
      <c r="B846">
        <v>999999</v>
      </c>
      <c r="C846" s="2">
        <v>120</v>
      </c>
      <c r="D846" s="1">
        <v>43291</v>
      </c>
      <c r="E846" t="str">
        <f>"201807021786"</f>
        <v>201807021786</v>
      </c>
      <c r="F846" t="str">
        <f>"REIMBURSEMENT-PER DIEM"</f>
        <v>REIMBURSEMENT-PER DIEM</v>
      </c>
      <c r="G846" s="3">
        <v>120</v>
      </c>
      <c r="H846" t="str">
        <f>"REIMBURSEMENT-PER DIEM"</f>
        <v>REIMBURSEMENT-PER DIEM</v>
      </c>
    </row>
    <row r="847" spans="1:8" x14ac:dyDescent="0.25">
      <c r="A847" t="s">
        <v>247</v>
      </c>
      <c r="B847">
        <v>77745</v>
      </c>
      <c r="C847" s="2">
        <v>545.04999999999995</v>
      </c>
      <c r="D847" s="1">
        <v>43304</v>
      </c>
      <c r="E847" t="str">
        <f>"1211621-20180630"</f>
        <v>1211621-20180630</v>
      </c>
      <c r="F847" t="str">
        <f>"BILLING ID:1211621/HEALTH SVCS"</f>
        <v>BILLING ID:1211621/HEALTH SVCS</v>
      </c>
      <c r="G847" s="3">
        <v>106.6</v>
      </c>
      <c r="H847" t="str">
        <f>"BILLING ID:1211621/HEALTH SVCS"</f>
        <v>BILLING ID:1211621/HEALTH SVCS</v>
      </c>
    </row>
    <row r="848" spans="1:8" x14ac:dyDescent="0.25">
      <c r="E848" t="str">
        <f>"1361725-20180630"</f>
        <v>1361725-20180630</v>
      </c>
      <c r="F848" t="str">
        <f>"BILLING ID:1361725/INDIGENT HL"</f>
        <v>BILLING ID:1361725/INDIGENT HL</v>
      </c>
      <c r="G848" s="3">
        <v>44.45</v>
      </c>
      <c r="H848" t="str">
        <f>"BILLING ID:1361725/INDIGENT HL"</f>
        <v>BILLING ID:1361725/INDIGENT HL</v>
      </c>
    </row>
    <row r="849" spans="1:8" x14ac:dyDescent="0.25">
      <c r="E849" t="str">
        <f>"1394645-20180630"</f>
        <v>1394645-20180630</v>
      </c>
      <c r="F849" t="str">
        <f>"BILLING ID:1394645/COUNTY CLER"</f>
        <v>BILLING ID:1394645/COUNTY CLER</v>
      </c>
      <c r="G849" s="3">
        <v>50</v>
      </c>
      <c r="H849" t="str">
        <f>"BILLING ID:1394645/COUNTY CLER"</f>
        <v>BILLING ID:1394645/COUNTY CLER</v>
      </c>
    </row>
    <row r="850" spans="1:8" x14ac:dyDescent="0.25">
      <c r="E850" t="str">
        <f>"1420944-20180630"</f>
        <v>1420944-20180630</v>
      </c>
      <c r="F850" t="str">
        <f>"BILLING ID:1420944/SHERIFF"</f>
        <v>BILLING ID:1420944/SHERIFF</v>
      </c>
      <c r="G850" s="3">
        <v>294</v>
      </c>
      <c r="H850" t="str">
        <f>"BILLING ID:1420944/SHERIFF"</f>
        <v>BILLING ID:1420944/SHERIFF</v>
      </c>
    </row>
    <row r="851" spans="1:8" x14ac:dyDescent="0.25">
      <c r="E851" t="str">
        <f>"1489870-20180630"</f>
        <v>1489870-20180630</v>
      </c>
      <c r="F851" t="str">
        <f>"BILLING ID:1489870/DIST CLERK"</f>
        <v>BILLING ID:1489870/DIST CLERK</v>
      </c>
      <c r="G851" s="3">
        <v>50</v>
      </c>
      <c r="H851" t="str">
        <f>"BILLING ID:1489870/DIST CLERK"</f>
        <v>BILLING ID:1489870/DIST CLERK</v>
      </c>
    </row>
    <row r="852" spans="1:8" x14ac:dyDescent="0.25">
      <c r="A852" t="s">
        <v>248</v>
      </c>
      <c r="B852">
        <v>77501</v>
      </c>
      <c r="C852" s="2">
        <v>1728.4</v>
      </c>
      <c r="D852" s="1">
        <v>43290</v>
      </c>
      <c r="E852" t="str">
        <f>"1392777"</f>
        <v>1392777</v>
      </c>
      <c r="F852" t="str">
        <f>"ACCT#15717/TIRE SVCS"</f>
        <v>ACCT#15717/TIRE SVCS</v>
      </c>
      <c r="G852" s="3">
        <v>1728.4</v>
      </c>
      <c r="H852" t="str">
        <f>"ACCT#15717/TIRE SVCS"</f>
        <v>ACCT#15717/TIRE SVCS</v>
      </c>
    </row>
    <row r="853" spans="1:8" x14ac:dyDescent="0.25">
      <c r="A853" t="s">
        <v>249</v>
      </c>
      <c r="B853">
        <v>999999</v>
      </c>
      <c r="C853" s="2">
        <v>44.5</v>
      </c>
      <c r="D853" s="1">
        <v>43291</v>
      </c>
      <c r="E853" t="str">
        <f>"201806281749"</f>
        <v>201806281749</v>
      </c>
      <c r="F853" t="str">
        <f>"REGISTRATION 2010 DODGE/PCT#1"</f>
        <v>REGISTRATION 2010 DODGE/PCT#1</v>
      </c>
      <c r="G853" s="3">
        <v>22</v>
      </c>
      <c r="H853" t="str">
        <f>"REGISTRATION 2010 DODGE/PCT#1"</f>
        <v>REGISTRATION 2010 DODGE/PCT#1</v>
      </c>
    </row>
    <row r="854" spans="1:8" x14ac:dyDescent="0.25">
      <c r="E854" t="str">
        <f>"201807031881"</f>
        <v>201807031881</v>
      </c>
      <c r="F854" t="str">
        <f>"VEHICLE REGISTRATIONS-SHERIFF"</f>
        <v>VEHICLE REGISTRATIONS-SHERIFF</v>
      </c>
      <c r="G854" s="3">
        <v>22.5</v>
      </c>
      <c r="H854" t="str">
        <f>"VEHICLE REGISTRATIONS-SHERIFF"</f>
        <v>VEHICLE REGISTRATIONS-SHERIFF</v>
      </c>
    </row>
    <row r="855" spans="1:8" x14ac:dyDescent="0.25">
      <c r="A855" t="s">
        <v>249</v>
      </c>
      <c r="B855">
        <v>999999</v>
      </c>
      <c r="C855" s="2">
        <v>30</v>
      </c>
      <c r="D855" s="1">
        <v>43305</v>
      </c>
      <c r="E855" t="str">
        <f>"201807122186"</f>
        <v>201807122186</v>
      </c>
      <c r="F855" t="str">
        <f>"2017 FORD REGISTRATION/PCT#2"</f>
        <v>2017 FORD REGISTRATION/PCT#2</v>
      </c>
      <c r="G855" s="3">
        <v>7.5</v>
      </c>
      <c r="H855" t="str">
        <f>"2017 FORD REGISTRATION/PCT#2"</f>
        <v>2017 FORD REGISTRATION/PCT#2</v>
      </c>
    </row>
    <row r="856" spans="1:8" x14ac:dyDescent="0.25">
      <c r="E856" t="str">
        <f>"201807172261"</f>
        <v>201807172261</v>
      </c>
      <c r="F856" t="str">
        <f>"REGISTRATIONS-SHERIFF'S OFFICE"</f>
        <v>REGISTRATIONS-SHERIFF'S OFFICE</v>
      </c>
      <c r="G856" s="3">
        <v>22.5</v>
      </c>
      <c r="H856" t="str">
        <f>"REGISTRATIONS-SHERIFF'S OFFICE"</f>
        <v>REGISTRATIONS-SHERIFF'S OFFICE</v>
      </c>
    </row>
    <row r="857" spans="1:8" x14ac:dyDescent="0.25">
      <c r="A857" t="s">
        <v>250</v>
      </c>
      <c r="B857">
        <v>999999</v>
      </c>
      <c r="C857" s="2">
        <v>40</v>
      </c>
      <c r="D857" s="1">
        <v>43291</v>
      </c>
      <c r="E857" t="str">
        <f>"VICTIM SVCS RENEWA"</f>
        <v>VICTIM SVCS RENEWA</v>
      </c>
      <c r="F857" t="str">
        <f>"L. JASCKSON MEMBERSHIP"</f>
        <v>L. JASCKSON MEMBERSHIP</v>
      </c>
      <c r="G857" s="3">
        <v>40</v>
      </c>
      <c r="H857" t="str">
        <f>"L. JASCKSON MEMBERSHIP"</f>
        <v>L. JASCKSON MEMBERSHIP</v>
      </c>
    </row>
    <row r="858" spans="1:8" x14ac:dyDescent="0.25">
      <c r="A858" t="s">
        <v>251</v>
      </c>
      <c r="B858">
        <v>77502</v>
      </c>
      <c r="C858" s="2">
        <v>500</v>
      </c>
      <c r="D858" s="1">
        <v>43290</v>
      </c>
      <c r="E858" t="str">
        <f>"201807031835"</f>
        <v>201807031835</v>
      </c>
      <c r="F858" t="str">
        <f>"55 635"</f>
        <v>55 635</v>
      </c>
      <c r="G858" s="3">
        <v>250</v>
      </c>
      <c r="H858" t="str">
        <f>"55 635"</f>
        <v>55 635</v>
      </c>
    </row>
    <row r="859" spans="1:8" x14ac:dyDescent="0.25">
      <c r="E859" t="str">
        <f>"201807031836"</f>
        <v>201807031836</v>
      </c>
      <c r="F859" t="str">
        <f>"55 072"</f>
        <v>55 072</v>
      </c>
      <c r="G859" s="3">
        <v>250</v>
      </c>
      <c r="H859" t="str">
        <f>"55 072"</f>
        <v>55 072</v>
      </c>
    </row>
    <row r="860" spans="1:8" x14ac:dyDescent="0.25">
      <c r="A860" t="s">
        <v>251</v>
      </c>
      <c r="B860">
        <v>77746</v>
      </c>
      <c r="C860" s="2">
        <v>1000</v>
      </c>
      <c r="D860" s="1">
        <v>43304</v>
      </c>
      <c r="E860" t="str">
        <f>"201807182323"</f>
        <v>201807182323</v>
      </c>
      <c r="F860" t="str">
        <f>"55 938"</f>
        <v>55 938</v>
      </c>
      <c r="G860" s="3">
        <v>250</v>
      </c>
      <c r="H860" t="str">
        <f>"55 938"</f>
        <v>55 938</v>
      </c>
    </row>
    <row r="861" spans="1:8" x14ac:dyDescent="0.25">
      <c r="E861" t="str">
        <f>"201807182324"</f>
        <v>201807182324</v>
      </c>
      <c r="F861" t="str">
        <f>"54 739"</f>
        <v>54 739</v>
      </c>
      <c r="G861" s="3">
        <v>250</v>
      </c>
      <c r="H861" t="str">
        <f>"54 739"</f>
        <v>54 739</v>
      </c>
    </row>
    <row r="862" spans="1:8" x14ac:dyDescent="0.25">
      <c r="E862" t="str">
        <f>"201807182325"</f>
        <v>201807182325</v>
      </c>
      <c r="F862" t="str">
        <f>"52 801"</f>
        <v>52 801</v>
      </c>
      <c r="G862" s="3">
        <v>250</v>
      </c>
      <c r="H862" t="str">
        <f>"52 801"</f>
        <v>52 801</v>
      </c>
    </row>
    <row r="863" spans="1:8" x14ac:dyDescent="0.25">
      <c r="E863" t="str">
        <f>"201807182326"</f>
        <v>201807182326</v>
      </c>
      <c r="F863" t="str">
        <f>"55 866"</f>
        <v>55 866</v>
      </c>
      <c r="G863" s="3">
        <v>250</v>
      </c>
      <c r="H863" t="str">
        <f>"55 866"</f>
        <v>55 866</v>
      </c>
    </row>
    <row r="864" spans="1:8" x14ac:dyDescent="0.25">
      <c r="A864" t="s">
        <v>252</v>
      </c>
      <c r="B864">
        <v>999999</v>
      </c>
      <c r="C864" s="2">
        <v>335.5</v>
      </c>
      <c r="D864" s="1">
        <v>43291</v>
      </c>
      <c r="E864" t="str">
        <f>"97492717"</f>
        <v>97492717</v>
      </c>
      <c r="F864" t="str">
        <f>"CLIENT#3619/PROF SVCS 053118"</f>
        <v>CLIENT#3619/PROF SVCS 053118</v>
      </c>
      <c r="G864" s="3">
        <v>335.5</v>
      </c>
      <c r="H864" t="str">
        <f>"CLIENT#3619/PROF SVCS 053118"</f>
        <v>CLIENT#3619/PROF SVCS 053118</v>
      </c>
    </row>
    <row r="865" spans="1:8" x14ac:dyDescent="0.25">
      <c r="A865" t="s">
        <v>253</v>
      </c>
      <c r="B865">
        <v>77503</v>
      </c>
      <c r="C865" s="2">
        <v>762.38</v>
      </c>
      <c r="D865" s="1">
        <v>43290</v>
      </c>
      <c r="E865" t="str">
        <f>"201807051898"</f>
        <v>201807051898</v>
      </c>
      <c r="F865" t="str">
        <f>"INDIGENT HEALTH"</f>
        <v>INDIGENT HEALTH</v>
      </c>
      <c r="G865" s="3">
        <v>762.38</v>
      </c>
      <c r="H865" t="str">
        <f>"INDIGENT HEALTH"</f>
        <v>INDIGENT HEALTH</v>
      </c>
    </row>
    <row r="866" spans="1:8" x14ac:dyDescent="0.25">
      <c r="E866" t="str">
        <f>""</f>
        <v/>
      </c>
      <c r="F866" t="str">
        <f>""</f>
        <v/>
      </c>
      <c r="H866" t="str">
        <f>"INDIGENT HEALTH"</f>
        <v>INDIGENT HEALTH</v>
      </c>
    </row>
    <row r="867" spans="1:8" x14ac:dyDescent="0.25">
      <c r="A867" t="s">
        <v>254</v>
      </c>
      <c r="B867">
        <v>77747</v>
      </c>
      <c r="C867" s="2">
        <v>1339.41</v>
      </c>
      <c r="D867" s="1">
        <v>43304</v>
      </c>
      <c r="E867" t="str">
        <f>"201807182365"</f>
        <v>201807182365</v>
      </c>
      <c r="F867" t="str">
        <f>"INDIGENT HEALTH"</f>
        <v>INDIGENT HEALTH</v>
      </c>
      <c r="G867" s="3">
        <v>1339.41</v>
      </c>
      <c r="H867" t="str">
        <f>"INDIGENT HEALTH"</f>
        <v>INDIGENT HEALTH</v>
      </c>
    </row>
    <row r="868" spans="1:8" x14ac:dyDescent="0.25">
      <c r="A868" t="s">
        <v>255</v>
      </c>
      <c r="B868">
        <v>77504</v>
      </c>
      <c r="C868" s="2">
        <v>528.35</v>
      </c>
      <c r="D868" s="1">
        <v>43290</v>
      </c>
      <c r="E868" t="str">
        <f>"201807051899"</f>
        <v>201807051899</v>
      </c>
      <c r="F868" t="str">
        <f>"INDIGENT HEALTH"</f>
        <v>INDIGENT HEALTH</v>
      </c>
      <c r="G868" s="3">
        <v>528.35</v>
      </c>
      <c r="H868" t="str">
        <f>"INDIGENT HEALTH"</f>
        <v>INDIGENT HEALTH</v>
      </c>
    </row>
    <row r="869" spans="1:8" x14ac:dyDescent="0.25">
      <c r="A869" t="s">
        <v>255</v>
      </c>
      <c r="B869">
        <v>77748</v>
      </c>
      <c r="C869" s="2">
        <v>105.4</v>
      </c>
      <c r="D869" s="1">
        <v>43304</v>
      </c>
      <c r="E869" t="str">
        <f>"201807182366"</f>
        <v>201807182366</v>
      </c>
      <c r="F869" t="str">
        <f>"INDIGENT HEALTH"</f>
        <v>INDIGENT HEALTH</v>
      </c>
      <c r="G869" s="3">
        <v>105.4</v>
      </c>
      <c r="H869" t="str">
        <f>"INDIGENT HEALTH"</f>
        <v>INDIGENT HEALTH</v>
      </c>
    </row>
    <row r="870" spans="1:8" x14ac:dyDescent="0.25">
      <c r="A870" t="s">
        <v>256</v>
      </c>
      <c r="B870">
        <v>77505</v>
      </c>
      <c r="C870" s="2">
        <v>364</v>
      </c>
      <c r="D870" s="1">
        <v>43290</v>
      </c>
      <c r="E870" t="str">
        <f>"201807021780"</f>
        <v>201807021780</v>
      </c>
      <c r="F870" t="str">
        <f>"TRASH REMOVAL 7/2-7/3/PCT#4"</f>
        <v>TRASH REMOVAL 7/2-7/3/PCT#4</v>
      </c>
      <c r="G870" s="3">
        <v>143</v>
      </c>
      <c r="H870" t="str">
        <f>"TRASH REMOVAL 7/2-7/3/PCT#4"</f>
        <v>TRASH REMOVAL 7/2-7/3/PCT#4</v>
      </c>
    </row>
    <row r="871" spans="1:8" x14ac:dyDescent="0.25">
      <c r="E871" t="str">
        <f>"201807021781"</f>
        <v>201807021781</v>
      </c>
      <c r="F871" t="str">
        <f>"TRASH REMOVAL 6/25-6/28/PCT#4"</f>
        <v>TRASH REMOVAL 6/25-6/28/PCT#4</v>
      </c>
      <c r="G871" s="3">
        <v>221</v>
      </c>
      <c r="H871" t="str">
        <f>"TRASH REMOVAL 6/25-6/28/PCT#4"</f>
        <v>TRASH REMOVAL 6/25-6/28/PCT#4</v>
      </c>
    </row>
    <row r="872" spans="1:8" x14ac:dyDescent="0.25">
      <c r="A872" t="s">
        <v>256</v>
      </c>
      <c r="B872">
        <v>999999</v>
      </c>
      <c r="C872" s="2">
        <v>487.5</v>
      </c>
      <c r="D872" s="1">
        <v>43305</v>
      </c>
      <c r="E872" t="str">
        <f>"201807172255"</f>
        <v>201807172255</v>
      </c>
      <c r="F872" t="str">
        <f>"TRASH REMOVAL 07/09-07/20/PCT4"</f>
        <v>TRASH REMOVAL 07/09-07/20/PCT4</v>
      </c>
      <c r="G872" s="3">
        <v>487.5</v>
      </c>
      <c r="H872" t="str">
        <f>"TRASH REMOVAL 07/09-07/20/PCT4"</f>
        <v>TRASH REMOVAL 07/09-07/20/PCT4</v>
      </c>
    </row>
    <row r="873" spans="1:8" x14ac:dyDescent="0.25">
      <c r="A873" t="s">
        <v>257</v>
      </c>
      <c r="B873">
        <v>999999</v>
      </c>
      <c r="C873" s="2">
        <v>350</v>
      </c>
      <c r="D873" s="1">
        <v>43291</v>
      </c>
      <c r="E873" t="str">
        <f>"10-000186"</f>
        <v>10-000186</v>
      </c>
      <c r="F873" t="str">
        <f>"INV 10-000186"</f>
        <v>INV 10-000186</v>
      </c>
      <c r="G873" s="3">
        <v>350</v>
      </c>
      <c r="H873" t="str">
        <f>"INV 10-000186"</f>
        <v>INV 10-000186</v>
      </c>
    </row>
    <row r="874" spans="1:8" x14ac:dyDescent="0.25">
      <c r="A874" t="s">
        <v>258</v>
      </c>
      <c r="B874">
        <v>77506</v>
      </c>
      <c r="C874" s="2">
        <v>11090</v>
      </c>
      <c r="D874" s="1">
        <v>43290</v>
      </c>
      <c r="E874" t="str">
        <f>"4-5/2018-MC"</f>
        <v>4-5/2018-MC</v>
      </c>
      <c r="F874" t="str">
        <f>"CONSULTING SVCS-PRO4120651.120"</f>
        <v>CONSULTING SVCS-PRO4120651.120</v>
      </c>
      <c r="G874" s="3">
        <v>11090</v>
      </c>
      <c r="H874" t="str">
        <f>"CONSULTING SVCS-PRO4120651.120"</f>
        <v>CONSULTING SVCS-PRO4120651.120</v>
      </c>
    </row>
    <row r="875" spans="1:8" x14ac:dyDescent="0.25">
      <c r="A875" t="s">
        <v>259</v>
      </c>
      <c r="B875">
        <v>77749</v>
      </c>
      <c r="C875" s="2">
        <v>961.7</v>
      </c>
      <c r="D875" s="1">
        <v>43304</v>
      </c>
      <c r="E875" t="str">
        <f>"ACCT#8692/PURCHASI"</f>
        <v>ACCT#8692/PURCHASI</v>
      </c>
      <c r="F875" t="str">
        <f>"Acct# 99006938692"</f>
        <v>Acct# 99006938692</v>
      </c>
      <c r="G875" s="3">
        <v>961.7</v>
      </c>
      <c r="H875" t="str">
        <f>"Inv# 913586"</f>
        <v>Inv# 913586</v>
      </c>
    </row>
    <row r="876" spans="1:8" x14ac:dyDescent="0.25">
      <c r="E876" t="str">
        <f>""</f>
        <v/>
      </c>
      <c r="F876" t="str">
        <f>""</f>
        <v/>
      </c>
      <c r="H876" t="str">
        <f>"Inv# 915940"</f>
        <v>Inv# 915940</v>
      </c>
    </row>
    <row r="877" spans="1:8" x14ac:dyDescent="0.25">
      <c r="E877" t="str">
        <f>""</f>
        <v/>
      </c>
      <c r="F877" t="str">
        <f>""</f>
        <v/>
      </c>
      <c r="H877" t="str">
        <f>"Inv# 914981"</f>
        <v>Inv# 914981</v>
      </c>
    </row>
    <row r="878" spans="1:8" x14ac:dyDescent="0.25">
      <c r="E878" t="str">
        <f>""</f>
        <v/>
      </c>
      <c r="F878" t="str">
        <f>""</f>
        <v/>
      </c>
      <c r="H878" t="str">
        <f>"Inv# 914185"</f>
        <v>Inv# 914185</v>
      </c>
    </row>
    <row r="879" spans="1:8" x14ac:dyDescent="0.25">
      <c r="E879" t="str">
        <f>""</f>
        <v/>
      </c>
      <c r="F879" t="str">
        <f>""</f>
        <v/>
      </c>
      <c r="H879" t="str">
        <f>"Inv# 914298"</f>
        <v>Inv# 914298</v>
      </c>
    </row>
    <row r="880" spans="1:8" x14ac:dyDescent="0.25">
      <c r="E880" t="str">
        <f>""</f>
        <v/>
      </c>
      <c r="F880" t="str">
        <f>""</f>
        <v/>
      </c>
      <c r="H880" t="str">
        <f>"Inv# 914447"</f>
        <v>Inv# 914447</v>
      </c>
    </row>
    <row r="881" spans="5:8" x14ac:dyDescent="0.25">
      <c r="E881" t="str">
        <f>""</f>
        <v/>
      </c>
      <c r="F881" t="str">
        <f>""</f>
        <v/>
      </c>
      <c r="H881" t="str">
        <f>"Inv# 914547"</f>
        <v>Inv# 914547</v>
      </c>
    </row>
    <row r="882" spans="5:8" x14ac:dyDescent="0.25">
      <c r="E882" t="str">
        <f>""</f>
        <v/>
      </c>
      <c r="F882" t="str">
        <f>""</f>
        <v/>
      </c>
      <c r="H882" t="str">
        <f>"Inv# 910491"</f>
        <v>Inv# 910491</v>
      </c>
    </row>
    <row r="883" spans="5:8" x14ac:dyDescent="0.25">
      <c r="E883" t="str">
        <f>""</f>
        <v/>
      </c>
      <c r="F883" t="str">
        <f>""</f>
        <v/>
      </c>
      <c r="H883" t="str">
        <f>"Inv# 912346"</f>
        <v>Inv# 912346</v>
      </c>
    </row>
    <row r="884" spans="5:8" x14ac:dyDescent="0.25">
      <c r="E884" t="str">
        <f>""</f>
        <v/>
      </c>
      <c r="F884" t="str">
        <f>""</f>
        <v/>
      </c>
      <c r="H884" t="str">
        <f>"Inv# 914614"</f>
        <v>Inv# 914614</v>
      </c>
    </row>
    <row r="885" spans="5:8" x14ac:dyDescent="0.25">
      <c r="E885" t="str">
        <f>""</f>
        <v/>
      </c>
      <c r="F885" t="str">
        <f>""</f>
        <v/>
      </c>
      <c r="H885" t="str">
        <f>"Inv# 917475"</f>
        <v>Inv# 917475</v>
      </c>
    </row>
    <row r="886" spans="5:8" x14ac:dyDescent="0.25">
      <c r="E886" t="str">
        <f>""</f>
        <v/>
      </c>
      <c r="F886" t="str">
        <f>""</f>
        <v/>
      </c>
      <c r="H886" t="str">
        <f>"Inv# 917489"</f>
        <v>Inv# 917489</v>
      </c>
    </row>
    <row r="887" spans="5:8" x14ac:dyDescent="0.25">
      <c r="E887" t="str">
        <f>""</f>
        <v/>
      </c>
      <c r="F887" t="str">
        <f>""</f>
        <v/>
      </c>
      <c r="H887" t="str">
        <f>"Inv# 914507"</f>
        <v>Inv# 914507</v>
      </c>
    </row>
    <row r="888" spans="5:8" x14ac:dyDescent="0.25">
      <c r="E888" t="str">
        <f>""</f>
        <v/>
      </c>
      <c r="F888" t="str">
        <f>""</f>
        <v/>
      </c>
      <c r="H888" t="str">
        <f>"Inv# 914143"</f>
        <v>Inv# 914143</v>
      </c>
    </row>
    <row r="889" spans="5:8" x14ac:dyDescent="0.25">
      <c r="E889" t="str">
        <f>""</f>
        <v/>
      </c>
      <c r="F889" t="str">
        <f>""</f>
        <v/>
      </c>
      <c r="H889" t="str">
        <f>"Inv# 914270"</f>
        <v>Inv# 914270</v>
      </c>
    </row>
    <row r="890" spans="5:8" x14ac:dyDescent="0.25">
      <c r="E890" t="str">
        <f>""</f>
        <v/>
      </c>
      <c r="F890" t="str">
        <f>""</f>
        <v/>
      </c>
      <c r="H890" t="str">
        <f>"Inv# 902166"</f>
        <v>Inv# 902166</v>
      </c>
    </row>
    <row r="891" spans="5:8" x14ac:dyDescent="0.25">
      <c r="E891" t="str">
        <f>""</f>
        <v/>
      </c>
      <c r="F891" t="str">
        <f>""</f>
        <v/>
      </c>
      <c r="H891" t="str">
        <f>"Inv# 614096"</f>
        <v>Inv# 614096</v>
      </c>
    </row>
    <row r="892" spans="5:8" x14ac:dyDescent="0.25">
      <c r="E892" t="str">
        <f>""</f>
        <v/>
      </c>
      <c r="F892" t="str">
        <f>""</f>
        <v/>
      </c>
      <c r="H892" t="str">
        <f>"Inv# 911423"</f>
        <v>Inv# 911423</v>
      </c>
    </row>
    <row r="893" spans="5:8" x14ac:dyDescent="0.25">
      <c r="E893" t="str">
        <f>""</f>
        <v/>
      </c>
      <c r="F893" t="str">
        <f>""</f>
        <v/>
      </c>
      <c r="H893" t="str">
        <f>"Inv# 915584"</f>
        <v>Inv# 915584</v>
      </c>
    </row>
    <row r="894" spans="5:8" x14ac:dyDescent="0.25">
      <c r="E894" t="str">
        <f>""</f>
        <v/>
      </c>
      <c r="F894" t="str">
        <f>""</f>
        <v/>
      </c>
      <c r="H894" t="str">
        <f>"Inv# 911196"</f>
        <v>Inv# 911196</v>
      </c>
    </row>
    <row r="895" spans="5:8" x14ac:dyDescent="0.25">
      <c r="E895" t="str">
        <f>""</f>
        <v/>
      </c>
      <c r="F895" t="str">
        <f>""</f>
        <v/>
      </c>
      <c r="H895" t="str">
        <f>"Inv# 901800"</f>
        <v>Inv# 901800</v>
      </c>
    </row>
    <row r="896" spans="5:8" x14ac:dyDescent="0.25">
      <c r="E896" t="str">
        <f>""</f>
        <v/>
      </c>
      <c r="F896" t="str">
        <f>""</f>
        <v/>
      </c>
      <c r="H896" t="str">
        <f>"Inv# 914488"</f>
        <v>Inv# 914488</v>
      </c>
    </row>
    <row r="897" spans="1:8" x14ac:dyDescent="0.25">
      <c r="A897" t="s">
        <v>260</v>
      </c>
      <c r="B897">
        <v>77750</v>
      </c>
      <c r="C897" s="2">
        <v>24449</v>
      </c>
      <c r="D897" s="1">
        <v>43304</v>
      </c>
      <c r="E897" t="str">
        <f>"INV-0315"</f>
        <v>INV-0315</v>
      </c>
      <c r="F897" t="str">
        <f>"Elgin Tower Lighting"</f>
        <v>Elgin Tower Lighting</v>
      </c>
      <c r="G897" s="3">
        <v>24449</v>
      </c>
      <c r="H897" t="str">
        <f>"Elgin Tower Lighting"</f>
        <v>Elgin Tower Lighting</v>
      </c>
    </row>
    <row r="898" spans="1:8" x14ac:dyDescent="0.25">
      <c r="A898" t="s">
        <v>261</v>
      </c>
      <c r="B898">
        <v>77507</v>
      </c>
      <c r="C898" s="2">
        <v>150</v>
      </c>
      <c r="D898" s="1">
        <v>43290</v>
      </c>
      <c r="E898" t="str">
        <f>"201806281748"</f>
        <v>201806281748</v>
      </c>
      <c r="F898" t="str">
        <f>"423-5649"</f>
        <v>423-5649</v>
      </c>
      <c r="G898" s="3">
        <v>150</v>
      </c>
      <c r="H898" t="str">
        <f>"423-5649"</f>
        <v>423-5649</v>
      </c>
    </row>
    <row r="899" spans="1:8" x14ac:dyDescent="0.25">
      <c r="A899" t="s">
        <v>262</v>
      </c>
      <c r="B899">
        <v>77508</v>
      </c>
      <c r="C899" s="2">
        <v>1735</v>
      </c>
      <c r="D899" s="1">
        <v>43290</v>
      </c>
      <c r="E899" t="str">
        <f>"11511"</f>
        <v>11511</v>
      </c>
      <c r="F899" t="str">
        <f>"CLEAN CARPET/ANIMAL CONTROL"</f>
        <v>CLEAN CARPET/ANIMAL CONTROL</v>
      </c>
      <c r="G899" s="3">
        <v>290</v>
      </c>
      <c r="H899" t="str">
        <f>"CLEAN CARPET/ANIMAL CONTROL"</f>
        <v>CLEAN CARPET/ANIMAL CONTROL</v>
      </c>
    </row>
    <row r="900" spans="1:8" x14ac:dyDescent="0.25">
      <c r="E900" t="str">
        <f>"11512"</f>
        <v>11512</v>
      </c>
      <c r="F900" t="str">
        <f>"WATER EMERGENCY SERVICE/A/C"</f>
        <v>WATER EMERGENCY SERVICE/A/C</v>
      </c>
      <c r="G900" s="3">
        <v>1445</v>
      </c>
      <c r="H900" t="str">
        <f>"WATER EMERGENCY SERVICE/A/C"</f>
        <v>WATER EMERGENCY SERVICE/A/C</v>
      </c>
    </row>
    <row r="901" spans="1:8" x14ac:dyDescent="0.25">
      <c r="A901" t="s">
        <v>263</v>
      </c>
      <c r="B901">
        <v>999999</v>
      </c>
      <c r="C901" s="2">
        <v>183.79</v>
      </c>
      <c r="D901" s="1">
        <v>43291</v>
      </c>
      <c r="E901" t="str">
        <f>"201807031847"</f>
        <v>201807031847</v>
      </c>
      <c r="F901" t="str">
        <f>"CRIMINAL CCL 06/21/18"</f>
        <v>CRIMINAL CCL 06/21/18</v>
      </c>
      <c r="G901" s="3">
        <v>183.79</v>
      </c>
      <c r="H901" t="str">
        <f>"CRIMINAL CCL 06/21/18"</f>
        <v>CRIMINAL CCL 06/21/18</v>
      </c>
    </row>
    <row r="902" spans="1:8" x14ac:dyDescent="0.25">
      <c r="A902" t="s">
        <v>264</v>
      </c>
      <c r="B902">
        <v>77509</v>
      </c>
      <c r="C902" s="2">
        <v>3600</v>
      </c>
      <c r="D902" s="1">
        <v>43290</v>
      </c>
      <c r="E902" t="str">
        <f>"201807031879"</f>
        <v>201807031879</v>
      </c>
      <c r="F902" t="str">
        <f>"VETERINARY SERVICES- JUNE 2018"</f>
        <v>VETERINARY SERVICES- JUNE 2018</v>
      </c>
      <c r="G902" s="3">
        <v>3600</v>
      </c>
      <c r="H902" t="str">
        <f>"VETERINARY SERVICES- JUNE 2018"</f>
        <v>VETERINARY SERVICES- JUNE 2018</v>
      </c>
    </row>
    <row r="903" spans="1:8" x14ac:dyDescent="0.25">
      <c r="A903" t="s">
        <v>265</v>
      </c>
      <c r="B903">
        <v>77751</v>
      </c>
      <c r="C903" s="2">
        <v>55</v>
      </c>
      <c r="D903" s="1">
        <v>43304</v>
      </c>
      <c r="E903" t="str">
        <f>"PER DIEM-M.GARCIA"</f>
        <v>PER DIEM-M.GARCIA</v>
      </c>
      <c r="F903" t="str">
        <f>"PER DIEM"</f>
        <v>PER DIEM</v>
      </c>
      <c r="G903" s="3">
        <v>55</v>
      </c>
      <c r="H903" t="str">
        <f>"PER DIEM"</f>
        <v>PER DIEM</v>
      </c>
    </row>
    <row r="904" spans="1:8" x14ac:dyDescent="0.25">
      <c r="A904" t="s">
        <v>266</v>
      </c>
      <c r="B904">
        <v>999999</v>
      </c>
      <c r="C904" s="2">
        <v>220.16</v>
      </c>
      <c r="D904" s="1">
        <v>43291</v>
      </c>
      <c r="E904" t="str">
        <f>"201806281750"</f>
        <v>201806281750</v>
      </c>
      <c r="F904" t="str">
        <f>"REIMBURSEMENT-FOOD-PAVING CRE"</f>
        <v>REIMBURSEMENT-FOOD-PAVING CRE</v>
      </c>
      <c r="G904" s="3">
        <v>220.16</v>
      </c>
      <c r="H904" t="str">
        <f>"REIMBURSEMENT-FOOD-PAVING CRE"</f>
        <v>REIMBURSEMENT-FOOD-PAVING CRE</v>
      </c>
    </row>
    <row r="905" spans="1:8" x14ac:dyDescent="0.25">
      <c r="A905" t="s">
        <v>267</v>
      </c>
      <c r="B905">
        <v>77510</v>
      </c>
      <c r="C905" s="2">
        <v>1101.92</v>
      </c>
      <c r="D905" s="1">
        <v>43290</v>
      </c>
      <c r="E905" t="str">
        <f>"201807051900"</f>
        <v>201807051900</v>
      </c>
      <c r="F905" t="str">
        <f>"INDIGENT HEALTH"</f>
        <v>INDIGENT HEALTH</v>
      </c>
      <c r="G905" s="3">
        <v>1101.92</v>
      </c>
      <c r="H905" t="str">
        <f>"INDIGENT HEALTH"</f>
        <v>INDIGENT HEALTH</v>
      </c>
    </row>
    <row r="906" spans="1:8" x14ac:dyDescent="0.25">
      <c r="E906" t="str">
        <f>""</f>
        <v/>
      </c>
      <c r="F906" t="str">
        <f>""</f>
        <v/>
      </c>
      <c r="H906" t="str">
        <f>"INDIGENT HEALTH"</f>
        <v>INDIGENT HEALTH</v>
      </c>
    </row>
    <row r="907" spans="1:8" x14ac:dyDescent="0.25">
      <c r="A907" t="s">
        <v>267</v>
      </c>
      <c r="B907">
        <v>77752</v>
      </c>
      <c r="C907" s="2">
        <v>113.27</v>
      </c>
      <c r="D907" s="1">
        <v>43304</v>
      </c>
      <c r="E907" t="str">
        <f>"201807182367"</f>
        <v>201807182367</v>
      </c>
      <c r="F907" t="str">
        <f>"INDIGENT HEALTH"</f>
        <v>INDIGENT HEALTH</v>
      </c>
      <c r="G907" s="3">
        <v>113.27</v>
      </c>
      <c r="H907" t="str">
        <f>"INDIGENT HEALTH"</f>
        <v>INDIGENT HEALTH</v>
      </c>
    </row>
    <row r="908" spans="1:8" x14ac:dyDescent="0.25">
      <c r="A908" t="s">
        <v>268</v>
      </c>
      <c r="B908">
        <v>77753</v>
      </c>
      <c r="C908" s="2">
        <v>946.94</v>
      </c>
      <c r="D908" s="1">
        <v>43304</v>
      </c>
      <c r="E908" t="str">
        <f>"IN001722289"</f>
        <v>IN001722289</v>
      </c>
      <c r="F908" t="str">
        <f>"INV IN001722289"</f>
        <v>INV IN001722289</v>
      </c>
      <c r="G908" s="3">
        <v>946.94</v>
      </c>
      <c r="H908" t="str">
        <f>"INV IN001722289"</f>
        <v>INV IN001722289</v>
      </c>
    </row>
    <row r="909" spans="1:8" x14ac:dyDescent="0.25">
      <c r="A909" t="s">
        <v>269</v>
      </c>
      <c r="B909">
        <v>77754</v>
      </c>
      <c r="C909" s="2">
        <v>299</v>
      </c>
      <c r="D909" s="1">
        <v>43304</v>
      </c>
      <c r="E909" t="str">
        <f>"1824-002027"</f>
        <v>1824-002027</v>
      </c>
      <c r="F909" t="str">
        <f>"TRANSPORT-E. BATES"</f>
        <v>TRANSPORT-E. BATES</v>
      </c>
      <c r="G909" s="3">
        <v>299</v>
      </c>
      <c r="H909" t="str">
        <f>"TRANSPORT-E. BATES"</f>
        <v>TRANSPORT-E. BATES</v>
      </c>
    </row>
    <row r="910" spans="1:8" x14ac:dyDescent="0.25">
      <c r="A910" t="s">
        <v>270</v>
      </c>
      <c r="B910">
        <v>999999</v>
      </c>
      <c r="C910" s="2">
        <v>1350</v>
      </c>
      <c r="D910" s="1">
        <v>43305</v>
      </c>
      <c r="E910" t="str">
        <f>"201807182284"</f>
        <v>201807182284</v>
      </c>
      <c r="F910" t="str">
        <f>"18-19016"</f>
        <v>18-19016</v>
      </c>
      <c r="G910" s="3">
        <v>512.5</v>
      </c>
      <c r="H910" t="str">
        <f>"18-19016"</f>
        <v>18-19016</v>
      </c>
    </row>
    <row r="911" spans="1:8" x14ac:dyDescent="0.25">
      <c r="E911" t="str">
        <f>"201807182285"</f>
        <v>201807182285</v>
      </c>
      <c r="F911" t="str">
        <f>"18-19093"</f>
        <v>18-19093</v>
      </c>
      <c r="G911" s="3">
        <v>587.5</v>
      </c>
      <c r="H911" t="str">
        <f>"18-19093"</f>
        <v>18-19093</v>
      </c>
    </row>
    <row r="912" spans="1:8" x14ac:dyDescent="0.25">
      <c r="E912" t="str">
        <f>"201807182308"</f>
        <v>201807182308</v>
      </c>
      <c r="F912" t="str">
        <f>"55 742"</f>
        <v>55 742</v>
      </c>
      <c r="G912" s="3">
        <v>250</v>
      </c>
      <c r="H912" t="str">
        <f>"55 742"</f>
        <v>55 742</v>
      </c>
    </row>
    <row r="913" spans="1:8" x14ac:dyDescent="0.25">
      <c r="A913" t="s">
        <v>271</v>
      </c>
      <c r="B913">
        <v>77511</v>
      </c>
      <c r="C913" s="2">
        <v>70</v>
      </c>
      <c r="D913" s="1">
        <v>43290</v>
      </c>
      <c r="E913" t="str">
        <f>"PER DIEM-KING"</f>
        <v>PER DIEM-KING</v>
      </c>
      <c r="F913" t="str">
        <f>"PER DIEM"</f>
        <v>PER DIEM</v>
      </c>
      <c r="G913" s="3">
        <v>70</v>
      </c>
      <c r="H913" t="str">
        <f>"PER DIEM"</f>
        <v>PER DIEM</v>
      </c>
    </row>
    <row r="914" spans="1:8" x14ac:dyDescent="0.25">
      <c r="A914" t="s">
        <v>272</v>
      </c>
      <c r="B914">
        <v>77512</v>
      </c>
      <c r="C914" s="2">
        <v>285.08</v>
      </c>
      <c r="D914" s="1">
        <v>43290</v>
      </c>
      <c r="E914" t="str">
        <f>"17784611"</f>
        <v>17784611</v>
      </c>
      <c r="F914" t="str">
        <f>"ACCT#45057/PCT#4"</f>
        <v>ACCT#45057/PCT#4</v>
      </c>
      <c r="G914" s="3">
        <v>285.08</v>
      </c>
      <c r="H914" t="str">
        <f>"ACCT#45057/PCT#4"</f>
        <v>ACCT#45057/PCT#4</v>
      </c>
    </row>
    <row r="915" spans="1:8" x14ac:dyDescent="0.25">
      <c r="A915" t="s">
        <v>272</v>
      </c>
      <c r="B915">
        <v>77755</v>
      </c>
      <c r="C915" s="2">
        <v>166.96</v>
      </c>
      <c r="D915" s="1">
        <v>43304</v>
      </c>
      <c r="E915" t="str">
        <f>"17857285"</f>
        <v>17857285</v>
      </c>
      <c r="F915" t="str">
        <f>"CUST#41472/PCT#1"</f>
        <v>CUST#41472/PCT#1</v>
      </c>
      <c r="G915" s="3">
        <v>22.23</v>
      </c>
      <c r="H915" t="str">
        <f>"CUST#41472/PCT#1"</f>
        <v>CUST#41472/PCT#1</v>
      </c>
    </row>
    <row r="916" spans="1:8" x14ac:dyDescent="0.25">
      <c r="E916" t="str">
        <f>"17865665"</f>
        <v>17865665</v>
      </c>
      <c r="F916" t="str">
        <f>"ACCT#S9549/PCT#1"</f>
        <v>ACCT#S9549/PCT#1</v>
      </c>
      <c r="G916" s="3">
        <v>105</v>
      </c>
      <c r="H916" t="str">
        <f>"ACCT#S9549/PCT#1"</f>
        <v>ACCT#S9549/PCT#1</v>
      </c>
    </row>
    <row r="917" spans="1:8" x14ac:dyDescent="0.25">
      <c r="E917" t="str">
        <f>"201807132226"</f>
        <v>201807132226</v>
      </c>
      <c r="F917" t="str">
        <f>"CUST#45057/PCT#4"</f>
        <v>CUST#45057/PCT#4</v>
      </c>
      <c r="G917" s="3">
        <v>39.729999999999997</v>
      </c>
      <c r="H917" t="str">
        <f>"CUST#45057/PCT#4"</f>
        <v>CUST#45057/PCT#4</v>
      </c>
    </row>
    <row r="918" spans="1:8" x14ac:dyDescent="0.25">
      <c r="A918" t="s">
        <v>273</v>
      </c>
      <c r="B918">
        <v>999999</v>
      </c>
      <c r="C918" s="2">
        <v>39.979999999999997</v>
      </c>
      <c r="D918" s="1">
        <v>43291</v>
      </c>
      <c r="E918" t="str">
        <f>"657774"</f>
        <v>657774</v>
      </c>
      <c r="F918" t="str">
        <f>"ACCT#900-98011130-001/PCT#3"</f>
        <v>ACCT#900-98011130-001/PCT#3</v>
      </c>
      <c r="G918" s="3">
        <v>39.979999999999997</v>
      </c>
      <c r="H918" t="str">
        <f>"ACCT#900-98011130-001/PCT#3"</f>
        <v>ACCT#900-98011130-001/PCT#3</v>
      </c>
    </row>
    <row r="919" spans="1:8" x14ac:dyDescent="0.25">
      <c r="A919" t="s">
        <v>273</v>
      </c>
      <c r="B919">
        <v>999999</v>
      </c>
      <c r="C919" s="2">
        <v>132</v>
      </c>
      <c r="D919" s="1">
        <v>43305</v>
      </c>
      <c r="E919" t="str">
        <f>"658046"</f>
        <v>658046</v>
      </c>
      <c r="F919" t="str">
        <f>"ACCT#900-98011130-001/PCT#3"</f>
        <v>ACCT#900-98011130-001/PCT#3</v>
      </c>
      <c r="G919" s="3">
        <v>132</v>
      </c>
      <c r="H919" t="str">
        <f>"ACCT#900-98011130-001/PCT#3"</f>
        <v>ACCT#900-98011130-001/PCT#3</v>
      </c>
    </row>
    <row r="920" spans="1:8" x14ac:dyDescent="0.25">
      <c r="A920" t="s">
        <v>274</v>
      </c>
      <c r="B920">
        <v>77513</v>
      </c>
      <c r="C920" s="2">
        <v>12444.99</v>
      </c>
      <c r="D920" s="1">
        <v>43290</v>
      </c>
      <c r="E920" t="str">
        <f>"12525"</f>
        <v>12525</v>
      </c>
      <c r="F920" t="str">
        <f t="shared" ref="F920:F925" si="5">"ABST FEE  03/20/18"</f>
        <v>ABST FEE  03/20/18</v>
      </c>
      <c r="G920" s="3">
        <v>175</v>
      </c>
      <c r="H920" t="str">
        <f t="shared" ref="H920:H925" si="6">"ABST FEE  03/20/18"</f>
        <v>ABST FEE  03/20/18</v>
      </c>
    </row>
    <row r="921" spans="1:8" x14ac:dyDescent="0.25">
      <c r="E921" t="str">
        <f>"12565"</f>
        <v>12565</v>
      </c>
      <c r="F921" t="str">
        <f t="shared" si="5"/>
        <v>ABST FEE  03/20/18</v>
      </c>
      <c r="G921" s="3">
        <v>230</v>
      </c>
      <c r="H921" t="str">
        <f t="shared" si="6"/>
        <v>ABST FEE  03/20/18</v>
      </c>
    </row>
    <row r="922" spans="1:8" x14ac:dyDescent="0.25">
      <c r="E922" t="str">
        <f>"12590"</f>
        <v>12590</v>
      </c>
      <c r="F922" t="str">
        <f t="shared" si="5"/>
        <v>ABST FEE  03/20/18</v>
      </c>
      <c r="G922" s="3">
        <v>175</v>
      </c>
      <c r="H922" t="str">
        <f t="shared" si="6"/>
        <v>ABST FEE  03/20/18</v>
      </c>
    </row>
    <row r="923" spans="1:8" x14ac:dyDescent="0.25">
      <c r="E923" t="str">
        <f>"12622"</f>
        <v>12622</v>
      </c>
      <c r="F923" t="str">
        <f t="shared" si="5"/>
        <v>ABST FEE  03/20/18</v>
      </c>
      <c r="G923" s="3">
        <v>225</v>
      </c>
      <c r="H923" t="str">
        <f t="shared" si="6"/>
        <v>ABST FEE  03/20/18</v>
      </c>
    </row>
    <row r="924" spans="1:8" x14ac:dyDescent="0.25">
      <c r="E924" t="str">
        <f>"12642"</f>
        <v>12642</v>
      </c>
      <c r="F924" t="str">
        <f t="shared" si="5"/>
        <v>ABST FEE  03/20/18</v>
      </c>
      <c r="G924" s="3">
        <v>225</v>
      </c>
      <c r="H924" t="str">
        <f t="shared" si="6"/>
        <v>ABST FEE  03/20/18</v>
      </c>
    </row>
    <row r="925" spans="1:8" x14ac:dyDescent="0.25">
      <c r="E925" t="str">
        <f>"12665"</f>
        <v>12665</v>
      </c>
      <c r="F925" t="str">
        <f t="shared" si="5"/>
        <v>ABST FEE  03/20/18</v>
      </c>
      <c r="G925" s="3">
        <v>225</v>
      </c>
      <c r="H925" t="str">
        <f t="shared" si="6"/>
        <v>ABST FEE  03/20/18</v>
      </c>
    </row>
    <row r="926" spans="1:8" x14ac:dyDescent="0.25">
      <c r="E926" t="str">
        <f>"12704"</f>
        <v>12704</v>
      </c>
      <c r="F926" t="str">
        <f>"ABST FEE 03/20/18"</f>
        <v>ABST FEE 03/20/18</v>
      </c>
      <c r="G926" s="3">
        <v>225</v>
      </c>
      <c r="H926" t="str">
        <f>"ABST FEE 03/20/18"</f>
        <v>ABST FEE 03/20/18</v>
      </c>
    </row>
    <row r="927" spans="1:8" x14ac:dyDescent="0.25">
      <c r="E927" t="str">
        <f>"12714"</f>
        <v>12714</v>
      </c>
      <c r="F927" t="str">
        <f>"ABST FEE 03/20/18"</f>
        <v>ABST FEE 03/20/18</v>
      </c>
      <c r="G927" s="3">
        <v>225</v>
      </c>
      <c r="H927" t="str">
        <f>"ABST FEE 03/20/18"</f>
        <v>ABST FEE 03/20/18</v>
      </c>
    </row>
    <row r="928" spans="1:8" x14ac:dyDescent="0.25">
      <c r="E928" t="str">
        <f>"12719"</f>
        <v>12719</v>
      </c>
      <c r="F928" t="str">
        <f>"ABST FEE  03/20/18"</f>
        <v>ABST FEE  03/20/18</v>
      </c>
      <c r="G928" s="3">
        <v>225</v>
      </c>
      <c r="H928" t="str">
        <f>"ABST FEE  03/20/18"</f>
        <v>ABST FEE  03/20/18</v>
      </c>
    </row>
    <row r="929" spans="1:9" x14ac:dyDescent="0.25">
      <c r="E929" t="str">
        <f>"201807031880"</f>
        <v>201807031880</v>
      </c>
      <c r="F929" t="str">
        <f>"COLLECTION OF DELINQUENT TAXES"</f>
        <v>COLLECTION OF DELINQUENT TAXES</v>
      </c>
      <c r="G929" s="3">
        <v>10514.99</v>
      </c>
      <c r="H929" t="str">
        <f>"COLLECTION OF DELINQUENT TAXES"</f>
        <v>COLLECTION OF DELINQUENT TAXES</v>
      </c>
    </row>
    <row r="930" spans="1:9" x14ac:dyDescent="0.25">
      <c r="A930" t="s">
        <v>274</v>
      </c>
      <c r="B930">
        <v>77756</v>
      </c>
      <c r="C930" s="2">
        <v>1500</v>
      </c>
      <c r="D930" s="1">
        <v>43304</v>
      </c>
      <c r="E930" t="s">
        <v>88</v>
      </c>
      <c r="F930" t="s">
        <v>89</v>
      </c>
      <c r="G930" s="3" t="str">
        <f>"ABST FEE  03/20/18"</f>
        <v>ABST FEE  03/20/18</v>
      </c>
      <c r="H930" t="str">
        <f>"995-4110"</f>
        <v>995-4110</v>
      </c>
      <c r="I930" t="str">
        <f>""</f>
        <v/>
      </c>
    </row>
    <row r="931" spans="1:9" x14ac:dyDescent="0.25">
      <c r="E931" t="s">
        <v>120</v>
      </c>
      <c r="F931" t="s">
        <v>275</v>
      </c>
      <c r="G931" s="3" t="str">
        <f>"PRINTER FEE  05/02/18"</f>
        <v>PRINTER FEE  05/02/18</v>
      </c>
      <c r="H931" t="str">
        <f>"995-4110"</f>
        <v>995-4110</v>
      </c>
      <c r="I931" t="str">
        <f>""</f>
        <v/>
      </c>
    </row>
    <row r="932" spans="1:9" x14ac:dyDescent="0.25">
      <c r="E932" t="str">
        <f>"12489"</f>
        <v>12489</v>
      </c>
      <c r="F932" t="str">
        <f>"ABST FEE  03/20/18"</f>
        <v>ABST FEE  03/20/18</v>
      </c>
      <c r="G932" s="3">
        <v>175</v>
      </c>
      <c r="H932" t="str">
        <f>"ABST FEE  03/20/18"</f>
        <v>ABST FEE  03/20/18</v>
      </c>
    </row>
    <row r="933" spans="1:9" x14ac:dyDescent="0.25">
      <c r="E933" t="str">
        <f>"12654"</f>
        <v>12654</v>
      </c>
      <c r="F933" t="str">
        <f>"ABST FEE  05/03/18"</f>
        <v>ABST FEE  05/03/18</v>
      </c>
      <c r="G933" s="3">
        <v>225</v>
      </c>
      <c r="H933" t="str">
        <f>"ABST FEE  05/03/18"</f>
        <v>ABST FEE  05/03/18</v>
      </c>
    </row>
    <row r="934" spans="1:9" x14ac:dyDescent="0.25">
      <c r="E934" t="str">
        <f>"12725"</f>
        <v>12725</v>
      </c>
      <c r="F934" t="str">
        <f>"ABST FEE  03/20/18"</f>
        <v>ABST FEE  03/20/18</v>
      </c>
      <c r="G934" s="3">
        <v>225</v>
      </c>
      <c r="H934" t="str">
        <f>"ABST FEE  03/20/18"</f>
        <v>ABST FEE  03/20/18</v>
      </c>
    </row>
    <row r="935" spans="1:9" x14ac:dyDescent="0.25">
      <c r="E935" t="str">
        <f>"12753"</f>
        <v>12753</v>
      </c>
      <c r="F935" t="str">
        <f>"ABST FEE  03/20/18"</f>
        <v>ABST FEE  03/20/18</v>
      </c>
      <c r="G935" s="3">
        <v>225</v>
      </c>
      <c r="H935" t="str">
        <f>"ABST FEE  03/20/18"</f>
        <v>ABST FEE  03/20/18</v>
      </c>
    </row>
    <row r="936" spans="1:9" x14ac:dyDescent="0.25">
      <c r="E936" t="str">
        <f>"12789"</f>
        <v>12789</v>
      </c>
      <c r="F936" t="str">
        <f>"ABST FEE  05/04/18"</f>
        <v>ABST FEE  05/04/18</v>
      </c>
      <c r="G936" s="3">
        <v>225</v>
      </c>
      <c r="H936" t="str">
        <f>"ABST FEE  05/04/18"</f>
        <v>ABST FEE  05/04/18</v>
      </c>
    </row>
    <row r="937" spans="1:9" x14ac:dyDescent="0.25">
      <c r="E937" t="str">
        <f>"7398  03/20/18"</f>
        <v>7398  03/20/18</v>
      </c>
      <c r="F937" t="str">
        <f>"ABST FEE  03/20/18"</f>
        <v>ABST FEE  03/20/18</v>
      </c>
      <c r="G937" s="3">
        <v>175</v>
      </c>
      <c r="H937" t="str">
        <f>"ABST FEE  03/20/18"</f>
        <v>ABST FEE  03/20/18</v>
      </c>
    </row>
    <row r="938" spans="1:9" x14ac:dyDescent="0.25">
      <c r="A938" t="s">
        <v>276</v>
      </c>
      <c r="B938">
        <v>77514</v>
      </c>
      <c r="C938" s="2">
        <v>1939</v>
      </c>
      <c r="D938" s="1">
        <v>43290</v>
      </c>
      <c r="E938" t="str">
        <f>"1086"</f>
        <v>1086</v>
      </c>
      <c r="F938" t="str">
        <f>"MILEAGE/PRIVATE INVESTIGATION"</f>
        <v>MILEAGE/PRIVATE INVESTIGATION</v>
      </c>
      <c r="G938" s="3">
        <v>1939</v>
      </c>
      <c r="H938" t="str">
        <f>"MILEAGE/PRIVATE INVESTIGATION"</f>
        <v>MILEAGE/PRIVATE INVESTIGATION</v>
      </c>
    </row>
    <row r="939" spans="1:9" x14ac:dyDescent="0.25">
      <c r="A939" t="s">
        <v>277</v>
      </c>
      <c r="B939">
        <v>77515</v>
      </c>
      <c r="C939" s="2">
        <v>1158.02</v>
      </c>
      <c r="D939" s="1">
        <v>43290</v>
      </c>
      <c r="E939" t="str">
        <f>"201807051901"</f>
        <v>201807051901</v>
      </c>
      <c r="F939" t="str">
        <f>"INDIGENT HEALTH"</f>
        <v>INDIGENT HEALTH</v>
      </c>
      <c r="G939" s="3">
        <v>1158.02</v>
      </c>
      <c r="H939" t="str">
        <f>"INDIGENT HEALTH"</f>
        <v>INDIGENT HEALTH</v>
      </c>
    </row>
    <row r="940" spans="1:9" x14ac:dyDescent="0.25">
      <c r="A940" t="s">
        <v>277</v>
      </c>
      <c r="B940">
        <v>77757</v>
      </c>
      <c r="C940" s="2">
        <v>1404.14</v>
      </c>
      <c r="D940" s="1">
        <v>43304</v>
      </c>
      <c r="E940" t="str">
        <f>"201807182368"</f>
        <v>201807182368</v>
      </c>
      <c r="F940" t="str">
        <f>"INDIGENT HEALTH"</f>
        <v>INDIGENT HEALTH</v>
      </c>
      <c r="G940" s="3">
        <v>1404.14</v>
      </c>
      <c r="H940" t="str">
        <f>"INDIGENT HEALTH"</f>
        <v>INDIGENT HEALTH</v>
      </c>
    </row>
    <row r="941" spans="1:9" x14ac:dyDescent="0.25">
      <c r="A941" t="s">
        <v>278</v>
      </c>
      <c r="B941">
        <v>77758</v>
      </c>
      <c r="C941" s="2">
        <v>5538.74</v>
      </c>
      <c r="D941" s="1">
        <v>43304</v>
      </c>
      <c r="E941" t="str">
        <f>"11640"</f>
        <v>11640</v>
      </c>
      <c r="F941" t="str">
        <f>"Mentalix Annual Renewal"</f>
        <v>Mentalix Annual Renewal</v>
      </c>
      <c r="G941" s="3">
        <v>5538.74</v>
      </c>
      <c r="H941" t="str">
        <f>"Quote: 11640"</f>
        <v>Quote: 11640</v>
      </c>
    </row>
    <row r="942" spans="1:9" x14ac:dyDescent="0.25">
      <c r="E942" t="str">
        <f>""</f>
        <v/>
      </c>
      <c r="F942" t="str">
        <f>""</f>
        <v/>
      </c>
      <c r="H942" t="str">
        <f>"Quote: 11640"</f>
        <v>Quote: 11640</v>
      </c>
    </row>
    <row r="943" spans="1:9" x14ac:dyDescent="0.25">
      <c r="A943" t="s">
        <v>279</v>
      </c>
      <c r="B943">
        <v>999999</v>
      </c>
      <c r="C943" s="2">
        <v>50</v>
      </c>
      <c r="D943" s="1">
        <v>43305</v>
      </c>
      <c r="E943" t="str">
        <f>"18-036"</f>
        <v>18-036</v>
      </c>
      <c r="F943" t="str">
        <f>"423-5826"</f>
        <v>423-5826</v>
      </c>
      <c r="G943" s="3">
        <v>50</v>
      </c>
      <c r="H943" t="str">
        <f>"423-5826"</f>
        <v>423-5826</v>
      </c>
    </row>
    <row r="944" spans="1:9" x14ac:dyDescent="0.25">
      <c r="A944" t="s">
        <v>280</v>
      </c>
      <c r="B944">
        <v>999999</v>
      </c>
      <c r="C944" s="2">
        <v>28299.439999999999</v>
      </c>
      <c r="D944" s="1">
        <v>43291</v>
      </c>
      <c r="E944" t="str">
        <f>"17356"</f>
        <v>17356</v>
      </c>
      <c r="F944" t="str">
        <f t="shared" ref="F944:F952" si="7">"FREIGHT SALES/PCT#2"</f>
        <v>FREIGHT SALES/PCT#2</v>
      </c>
      <c r="G944" s="3">
        <v>1128.72</v>
      </c>
      <c r="H944" t="str">
        <f t="shared" ref="H944:H952" si="8">"FREIGHT SALES/PCT#2"</f>
        <v>FREIGHT SALES/PCT#2</v>
      </c>
    </row>
    <row r="945" spans="1:8" x14ac:dyDescent="0.25">
      <c r="E945" t="str">
        <f>"17375"</f>
        <v>17375</v>
      </c>
      <c r="F945" t="str">
        <f t="shared" si="7"/>
        <v>FREIGHT SALES/PCT#2</v>
      </c>
      <c r="G945" s="3">
        <v>353.12</v>
      </c>
      <c r="H945" t="str">
        <f t="shared" si="8"/>
        <v>FREIGHT SALES/PCT#2</v>
      </c>
    </row>
    <row r="946" spans="1:8" x14ac:dyDescent="0.25">
      <c r="E946" t="str">
        <f>"17376"</f>
        <v>17376</v>
      </c>
      <c r="F946" t="str">
        <f t="shared" si="7"/>
        <v>FREIGHT SALES/PCT#2</v>
      </c>
      <c r="G946" s="3">
        <v>8398.32</v>
      </c>
      <c r="H946" t="str">
        <f t="shared" si="8"/>
        <v>FREIGHT SALES/PCT#2</v>
      </c>
    </row>
    <row r="947" spans="1:8" x14ac:dyDescent="0.25">
      <c r="E947" t="str">
        <f>"17377"</f>
        <v>17377</v>
      </c>
      <c r="F947" t="str">
        <f t="shared" si="7"/>
        <v>FREIGHT SALES/PCT#2</v>
      </c>
      <c r="G947" s="3">
        <v>4193.84</v>
      </c>
      <c r="H947" t="str">
        <f t="shared" si="8"/>
        <v>FREIGHT SALES/PCT#2</v>
      </c>
    </row>
    <row r="948" spans="1:8" x14ac:dyDescent="0.25">
      <c r="E948" t="str">
        <f>"17414"</f>
        <v>17414</v>
      </c>
      <c r="F948" t="str">
        <f t="shared" si="7"/>
        <v>FREIGHT SALES/PCT#2</v>
      </c>
      <c r="G948" s="3">
        <v>9829.6</v>
      </c>
      <c r="H948" t="str">
        <f t="shared" si="8"/>
        <v>FREIGHT SALES/PCT#2</v>
      </c>
    </row>
    <row r="949" spans="1:8" x14ac:dyDescent="0.25">
      <c r="E949" t="str">
        <f>"17441"</f>
        <v>17441</v>
      </c>
      <c r="F949" t="str">
        <f t="shared" si="7"/>
        <v>FREIGHT SALES/PCT#2</v>
      </c>
      <c r="G949" s="3">
        <v>4395.84</v>
      </c>
      <c r="H949" t="str">
        <f t="shared" si="8"/>
        <v>FREIGHT SALES/PCT#2</v>
      </c>
    </row>
    <row r="950" spans="1:8" x14ac:dyDescent="0.25">
      <c r="A950" t="s">
        <v>280</v>
      </c>
      <c r="B950">
        <v>999999</v>
      </c>
      <c r="C950" s="2">
        <v>10209.26</v>
      </c>
      <c r="D950" s="1">
        <v>43305</v>
      </c>
      <c r="E950" t="str">
        <f>"17291"</f>
        <v>17291</v>
      </c>
      <c r="F950" t="str">
        <f t="shared" si="7"/>
        <v>FREIGHT SALES/PCT#2</v>
      </c>
      <c r="G950" s="3">
        <v>1512.72</v>
      </c>
      <c r="H950" t="str">
        <f t="shared" si="8"/>
        <v>FREIGHT SALES/PCT#2</v>
      </c>
    </row>
    <row r="951" spans="1:8" x14ac:dyDescent="0.25">
      <c r="E951" t="str">
        <f>"17462"</f>
        <v>17462</v>
      </c>
      <c r="F951" t="str">
        <f t="shared" si="7"/>
        <v>FREIGHT SALES/PCT#2</v>
      </c>
      <c r="G951" s="3">
        <v>7488.34</v>
      </c>
      <c r="H951" t="str">
        <f t="shared" si="8"/>
        <v>FREIGHT SALES/PCT#2</v>
      </c>
    </row>
    <row r="952" spans="1:8" x14ac:dyDescent="0.25">
      <c r="E952" t="str">
        <f>"17515"</f>
        <v>17515</v>
      </c>
      <c r="F952" t="str">
        <f t="shared" si="7"/>
        <v>FREIGHT SALES/PCT#2</v>
      </c>
      <c r="G952" s="3">
        <v>1208.2</v>
      </c>
      <c r="H952" t="str">
        <f t="shared" si="8"/>
        <v>FREIGHT SALES/PCT#2</v>
      </c>
    </row>
    <row r="953" spans="1:8" x14ac:dyDescent="0.25">
      <c r="A953" t="s">
        <v>281</v>
      </c>
      <c r="B953">
        <v>77759</v>
      </c>
      <c r="C953" s="2">
        <v>6700</v>
      </c>
      <c r="D953" s="1">
        <v>43304</v>
      </c>
      <c r="E953" t="str">
        <f>"201807132209"</f>
        <v>201807132209</v>
      </c>
      <c r="F953" t="str">
        <f>"HCP TOAD SURVEY/MAY-JUNE 2018"</f>
        <v>HCP TOAD SURVEY/MAY-JUNE 2018</v>
      </c>
      <c r="G953" s="3">
        <v>6700</v>
      </c>
      <c r="H953" t="str">
        <f>"HCP TOAD SURVEY/MAY-JUNE 2018"</f>
        <v>HCP TOAD SURVEY/MAY-JUNE 2018</v>
      </c>
    </row>
    <row r="954" spans="1:8" x14ac:dyDescent="0.25">
      <c r="A954" t="s">
        <v>282</v>
      </c>
      <c r="B954">
        <v>999999</v>
      </c>
      <c r="C954" s="2">
        <v>997.48</v>
      </c>
      <c r="D954" s="1">
        <v>43291</v>
      </c>
      <c r="E954" t="str">
        <f>"111432/113428"</f>
        <v>111432/113428</v>
      </c>
      <c r="F954" t="str">
        <f>"INV 111432/113428"</f>
        <v>INV 111432/113428</v>
      </c>
      <c r="G954" s="3">
        <v>290</v>
      </c>
      <c r="H954" t="str">
        <f>"INV 111432"</f>
        <v>INV 111432</v>
      </c>
    </row>
    <row r="955" spans="1:8" x14ac:dyDescent="0.25">
      <c r="E955" t="str">
        <f>""</f>
        <v/>
      </c>
      <c r="F955" t="str">
        <f>""</f>
        <v/>
      </c>
      <c r="H955" t="str">
        <f>"INV 113428"</f>
        <v>INV 113428</v>
      </c>
    </row>
    <row r="956" spans="1:8" x14ac:dyDescent="0.25">
      <c r="E956" t="str">
        <f>"111433/1113430"</f>
        <v>111433/1113430</v>
      </c>
      <c r="F956" t="str">
        <f>"INV 111433/1113430"</f>
        <v>INV 111433/1113430</v>
      </c>
      <c r="G956" s="3">
        <v>290</v>
      </c>
      <c r="H956" t="str">
        <f>"INV 111433"</f>
        <v>INV 111433</v>
      </c>
    </row>
    <row r="957" spans="1:8" x14ac:dyDescent="0.25">
      <c r="E957" t="str">
        <f>""</f>
        <v/>
      </c>
      <c r="F957" t="str">
        <f>""</f>
        <v/>
      </c>
      <c r="H957" t="str">
        <f>"INV 1113430"</f>
        <v>INV 1113430</v>
      </c>
    </row>
    <row r="958" spans="1:8" x14ac:dyDescent="0.25">
      <c r="E958" t="str">
        <f>"113424"</f>
        <v>113424</v>
      </c>
      <c r="F958" t="str">
        <f>"INV 113424"</f>
        <v>INV 113424</v>
      </c>
      <c r="G958" s="3">
        <v>139</v>
      </c>
      <c r="H958" t="str">
        <f>"INV 113424"</f>
        <v>INV 113424</v>
      </c>
    </row>
    <row r="959" spans="1:8" x14ac:dyDescent="0.25">
      <c r="E959" t="str">
        <f>"113427"</f>
        <v>113427</v>
      </c>
      <c r="F959" t="str">
        <f>"INV 113427"</f>
        <v>INV 113427</v>
      </c>
      <c r="G959" s="3">
        <v>69.98</v>
      </c>
      <c r="H959" t="str">
        <f>"INV 113427"</f>
        <v>INV 113427</v>
      </c>
    </row>
    <row r="960" spans="1:8" x14ac:dyDescent="0.25">
      <c r="E960" t="str">
        <f>"113429"</f>
        <v>113429</v>
      </c>
      <c r="F960" t="str">
        <f>"INV 113429"</f>
        <v>INV 113429</v>
      </c>
      <c r="G960" s="3">
        <v>208.5</v>
      </c>
      <c r="H960" t="str">
        <f>"INV 113429"</f>
        <v>INV 113429</v>
      </c>
    </row>
    <row r="961" spans="1:8" x14ac:dyDescent="0.25">
      <c r="A961" t="s">
        <v>282</v>
      </c>
      <c r="B961">
        <v>999999</v>
      </c>
      <c r="C961" s="2">
        <v>581.45000000000005</v>
      </c>
      <c r="D961" s="1">
        <v>43305</v>
      </c>
      <c r="E961" t="str">
        <f>"114092/115276"</f>
        <v>114092/115276</v>
      </c>
      <c r="F961" t="str">
        <f>"INV 114092 / 115276"</f>
        <v>INV 114092 / 115276</v>
      </c>
      <c r="G961" s="3">
        <v>581.45000000000005</v>
      </c>
      <c r="H961" t="str">
        <f>"INV 114092"</f>
        <v>INV 114092</v>
      </c>
    </row>
    <row r="962" spans="1:8" x14ac:dyDescent="0.25">
      <c r="E962" t="str">
        <f>""</f>
        <v/>
      </c>
      <c r="F962" t="str">
        <f>""</f>
        <v/>
      </c>
      <c r="H962" t="str">
        <f>"INV 115276"</f>
        <v>INV 115276</v>
      </c>
    </row>
    <row r="963" spans="1:8" x14ac:dyDescent="0.25">
      <c r="A963" t="s">
        <v>283</v>
      </c>
      <c r="B963">
        <v>77582</v>
      </c>
      <c r="C963" s="2">
        <v>20</v>
      </c>
      <c r="D963" s="1">
        <v>43291</v>
      </c>
      <c r="E963" t="str">
        <f>"201807102090"</f>
        <v>201807102090</v>
      </c>
      <c r="F963" t="str">
        <f>"Miscel"</f>
        <v>Miscel</v>
      </c>
      <c r="G963" s="3">
        <v>20</v>
      </c>
      <c r="H963" t="str">
        <f>"BRIAN ALEXANDER YOUNG"</f>
        <v>BRIAN ALEXANDER YOUNG</v>
      </c>
    </row>
    <row r="964" spans="1:8" x14ac:dyDescent="0.25">
      <c r="A964" t="s">
        <v>284</v>
      </c>
      <c r="B964">
        <v>77583</v>
      </c>
      <c r="C964" s="2">
        <v>20</v>
      </c>
      <c r="D964" s="1">
        <v>43291</v>
      </c>
      <c r="E964" t="str">
        <f>"201807102091"</f>
        <v>201807102091</v>
      </c>
      <c r="F964" t="str">
        <f>"Mis"</f>
        <v>Mis</v>
      </c>
      <c r="G964" s="3">
        <v>20</v>
      </c>
      <c r="H964" t="str">
        <f>"MARCO HUMBERTO RODRIGUEZ"</f>
        <v>MARCO HUMBERTO RODRIGUEZ</v>
      </c>
    </row>
    <row r="965" spans="1:8" x14ac:dyDescent="0.25">
      <c r="A965" t="s">
        <v>285</v>
      </c>
      <c r="B965">
        <v>77584</v>
      </c>
      <c r="C965" s="2">
        <v>20</v>
      </c>
      <c r="D965" s="1">
        <v>43291</v>
      </c>
      <c r="E965" t="str">
        <f>"201807102092"</f>
        <v>201807102092</v>
      </c>
      <c r="F965" t="str">
        <f>"Miscellane"</f>
        <v>Miscellane</v>
      </c>
      <c r="G965" s="3">
        <v>20</v>
      </c>
      <c r="H965" t="str">
        <f>"CAROL ANN DARLING"</f>
        <v>CAROL ANN DARLING</v>
      </c>
    </row>
    <row r="966" spans="1:8" x14ac:dyDescent="0.25">
      <c r="A966" t="s">
        <v>286</v>
      </c>
      <c r="B966">
        <v>77585</v>
      </c>
      <c r="C966" s="2">
        <v>20</v>
      </c>
      <c r="D966" s="1">
        <v>43291</v>
      </c>
      <c r="E966" t="str">
        <f>"201807102093"</f>
        <v>201807102093</v>
      </c>
      <c r="F966" t="str">
        <f>"Miscellaneou"</f>
        <v>Miscellaneou</v>
      </c>
      <c r="G966" s="3">
        <v>20</v>
      </c>
      <c r="H966" t="str">
        <f>"DAVID GOSTECNIK"</f>
        <v>DAVID GOSTECNIK</v>
      </c>
    </row>
    <row r="967" spans="1:8" x14ac:dyDescent="0.25">
      <c r="A967" t="s">
        <v>287</v>
      </c>
      <c r="B967">
        <v>77586</v>
      </c>
      <c r="C967" s="2">
        <v>20</v>
      </c>
      <c r="D967" s="1">
        <v>43291</v>
      </c>
      <c r="E967" t="str">
        <f>"201807102094"</f>
        <v>201807102094</v>
      </c>
      <c r="F967" t="str">
        <f>"Miscellaneo"</f>
        <v>Miscellaneo</v>
      </c>
      <c r="G967" s="3">
        <v>20</v>
      </c>
      <c r="H967" t="str">
        <f>"SARAH BLACK PAGE"</f>
        <v>SARAH BLACK PAGE</v>
      </c>
    </row>
    <row r="968" spans="1:8" x14ac:dyDescent="0.25">
      <c r="A968" t="s">
        <v>288</v>
      </c>
      <c r="B968">
        <v>77587</v>
      </c>
      <c r="C968" s="2">
        <v>20</v>
      </c>
      <c r="D968" s="1">
        <v>43291</v>
      </c>
      <c r="E968" t="str">
        <f>"201807102095"</f>
        <v>201807102095</v>
      </c>
      <c r="F968" t="str">
        <f>"Misc"</f>
        <v>Misc</v>
      </c>
      <c r="G968" s="3">
        <v>20</v>
      </c>
      <c r="H968" t="str">
        <f>"ARTHUR EVERETT THOMPSON"</f>
        <v>ARTHUR EVERETT THOMPSON</v>
      </c>
    </row>
    <row r="969" spans="1:8" x14ac:dyDescent="0.25">
      <c r="A969" t="s">
        <v>289</v>
      </c>
      <c r="B969">
        <v>77588</v>
      </c>
      <c r="C969" s="2">
        <v>20</v>
      </c>
      <c r="D969" s="1">
        <v>43291</v>
      </c>
      <c r="E969" t="str">
        <f>"201807102096"</f>
        <v>201807102096</v>
      </c>
      <c r="F969" t="str">
        <f>"Miscellane"</f>
        <v>Miscellane</v>
      </c>
      <c r="G969" s="3">
        <v>20</v>
      </c>
      <c r="H969" t="str">
        <f>"LAUREN RAE OLIVER"</f>
        <v>LAUREN RAE OLIVER</v>
      </c>
    </row>
    <row r="970" spans="1:8" x14ac:dyDescent="0.25">
      <c r="A970" t="s">
        <v>290</v>
      </c>
      <c r="B970">
        <v>77589</v>
      </c>
      <c r="C970" s="2">
        <v>20</v>
      </c>
      <c r="D970" s="1">
        <v>43291</v>
      </c>
      <c r="E970" t="str">
        <f>"201807102097"</f>
        <v>201807102097</v>
      </c>
      <c r="F970" t="str">
        <f>"Miscel"</f>
        <v>Miscel</v>
      </c>
      <c r="G970" s="3">
        <v>20</v>
      </c>
      <c r="H970" t="str">
        <f>"JANICE EVONNE CLEMONS"</f>
        <v>JANICE EVONNE CLEMONS</v>
      </c>
    </row>
    <row r="971" spans="1:8" x14ac:dyDescent="0.25">
      <c r="A971" t="s">
        <v>291</v>
      </c>
      <c r="B971">
        <v>77590</v>
      </c>
      <c r="C971" s="2">
        <v>20</v>
      </c>
      <c r="D971" s="1">
        <v>43291</v>
      </c>
      <c r="E971" t="str">
        <f>"201807102098"</f>
        <v>201807102098</v>
      </c>
      <c r="F971" t="str">
        <f>""</f>
        <v/>
      </c>
      <c r="G971" s="3">
        <v>20</v>
      </c>
      <c r="H971" t="str">
        <f>"MARCOS MARGARITO DELGADO JR"</f>
        <v>MARCOS MARGARITO DELGADO JR</v>
      </c>
    </row>
    <row r="972" spans="1:8" x14ac:dyDescent="0.25">
      <c r="A972" t="s">
        <v>292</v>
      </c>
      <c r="B972">
        <v>77591</v>
      </c>
      <c r="C972" s="2">
        <v>20</v>
      </c>
      <c r="D972" s="1">
        <v>43291</v>
      </c>
      <c r="E972" t="str">
        <f>"201807102099"</f>
        <v>201807102099</v>
      </c>
      <c r="F972" t="str">
        <f>"Miscellaneou"</f>
        <v>Miscellaneou</v>
      </c>
      <c r="G972" s="3">
        <v>20</v>
      </c>
      <c r="H972" t="str">
        <f>"BILLY JOE GOBER"</f>
        <v>BILLY JOE GOBER</v>
      </c>
    </row>
    <row r="973" spans="1:8" x14ac:dyDescent="0.25">
      <c r="A973" t="s">
        <v>293</v>
      </c>
      <c r="B973">
        <v>77592</v>
      </c>
      <c r="C973" s="2">
        <v>20</v>
      </c>
      <c r="D973" s="1">
        <v>43291</v>
      </c>
      <c r="E973" t="str">
        <f>"201807102100"</f>
        <v>201807102100</v>
      </c>
      <c r="F973" t="str">
        <f>""</f>
        <v/>
      </c>
      <c r="G973" s="3">
        <v>20</v>
      </c>
      <c r="H973" t="str">
        <f>"CHRISTOPHER MICHAEL BARBEITE"</f>
        <v>CHRISTOPHER MICHAEL BARBEITE</v>
      </c>
    </row>
    <row r="974" spans="1:8" x14ac:dyDescent="0.25">
      <c r="A974" t="s">
        <v>294</v>
      </c>
      <c r="B974">
        <v>77593</v>
      </c>
      <c r="C974" s="2">
        <v>20</v>
      </c>
      <c r="D974" s="1">
        <v>43291</v>
      </c>
      <c r="E974" t="str">
        <f>"201807102101"</f>
        <v>201807102101</v>
      </c>
      <c r="F974" t="str">
        <f>"Miscell"</f>
        <v>Miscell</v>
      </c>
      <c r="G974" s="3">
        <v>20</v>
      </c>
      <c r="H974" t="str">
        <f>"MALISSA SUE SHEPHERD"</f>
        <v>MALISSA SUE SHEPHERD</v>
      </c>
    </row>
    <row r="975" spans="1:8" x14ac:dyDescent="0.25">
      <c r="A975" t="s">
        <v>295</v>
      </c>
      <c r="B975">
        <v>77594</v>
      </c>
      <c r="C975" s="2">
        <v>20</v>
      </c>
      <c r="D975" s="1">
        <v>43291</v>
      </c>
      <c r="E975" t="str">
        <f>"201807102102"</f>
        <v>201807102102</v>
      </c>
      <c r="F975" t="str">
        <f>"Miscella"</f>
        <v>Miscella</v>
      </c>
      <c r="G975" s="3">
        <v>20</v>
      </c>
      <c r="H975" t="str">
        <f>"DENA MARIE POUDRIER"</f>
        <v>DENA MARIE POUDRIER</v>
      </c>
    </row>
    <row r="976" spans="1:8" x14ac:dyDescent="0.25">
      <c r="A976" t="s">
        <v>296</v>
      </c>
      <c r="B976">
        <v>77595</v>
      </c>
      <c r="C976" s="2">
        <v>20</v>
      </c>
      <c r="D976" s="1">
        <v>43291</v>
      </c>
      <c r="E976" t="str">
        <f>"201807102103"</f>
        <v>201807102103</v>
      </c>
      <c r="F976" t="str">
        <f>"Miscella"</f>
        <v>Miscella</v>
      </c>
      <c r="G976" s="3">
        <v>20</v>
      </c>
      <c r="H976" t="str">
        <f>"CHARLES DOYLE BARRY"</f>
        <v>CHARLES DOYLE BARRY</v>
      </c>
    </row>
    <row r="977" spans="1:8" x14ac:dyDescent="0.25">
      <c r="A977" t="s">
        <v>297</v>
      </c>
      <c r="B977">
        <v>77596</v>
      </c>
      <c r="C977" s="2">
        <v>20</v>
      </c>
      <c r="D977" s="1">
        <v>43291</v>
      </c>
      <c r="E977" t="str">
        <f>"201807102104"</f>
        <v>201807102104</v>
      </c>
      <c r="F977" t="str">
        <f>"Miscell"</f>
        <v>Miscell</v>
      </c>
      <c r="G977" s="3">
        <v>20</v>
      </c>
      <c r="H977" t="str">
        <f>"SHARON RUTH HUMPHREY"</f>
        <v>SHARON RUTH HUMPHREY</v>
      </c>
    </row>
    <row r="978" spans="1:8" x14ac:dyDescent="0.25">
      <c r="A978" t="s">
        <v>298</v>
      </c>
      <c r="B978">
        <v>77597</v>
      </c>
      <c r="C978" s="2">
        <v>20</v>
      </c>
      <c r="D978" s="1">
        <v>43291</v>
      </c>
      <c r="E978" t="str">
        <f>"201807102105"</f>
        <v>201807102105</v>
      </c>
      <c r="F978" t="str">
        <f>"Miscella"</f>
        <v>Miscella</v>
      </c>
      <c r="G978" s="3">
        <v>20</v>
      </c>
      <c r="H978" t="str">
        <f>"RONEISHIA M HARRELL"</f>
        <v>RONEISHIA M HARRELL</v>
      </c>
    </row>
    <row r="979" spans="1:8" x14ac:dyDescent="0.25">
      <c r="A979" t="s">
        <v>299</v>
      </c>
      <c r="B979">
        <v>77598</v>
      </c>
      <c r="C979" s="2">
        <v>20</v>
      </c>
      <c r="D979" s="1">
        <v>43291</v>
      </c>
      <c r="E979" t="str">
        <f>"201807102106"</f>
        <v>201807102106</v>
      </c>
      <c r="F979" t="str">
        <f>"Miscellan"</f>
        <v>Miscellan</v>
      </c>
      <c r="G979" s="3">
        <v>20</v>
      </c>
      <c r="H979" t="str">
        <f>"TODD RYAN DEJULIUS"</f>
        <v>TODD RYAN DEJULIUS</v>
      </c>
    </row>
    <row r="980" spans="1:8" x14ac:dyDescent="0.25">
      <c r="A980" t="s">
        <v>300</v>
      </c>
      <c r="B980">
        <v>77599</v>
      </c>
      <c r="C980" s="2">
        <v>20</v>
      </c>
      <c r="D980" s="1">
        <v>43291</v>
      </c>
      <c r="E980" t="str">
        <f>"201807102107"</f>
        <v>201807102107</v>
      </c>
      <c r="F980" t="str">
        <f>"Miscellan"</f>
        <v>Miscellan</v>
      </c>
      <c r="G980" s="3">
        <v>20</v>
      </c>
      <c r="H980" t="str">
        <f>"SHERRE DAWN HOWELL"</f>
        <v>SHERRE DAWN HOWELL</v>
      </c>
    </row>
    <row r="981" spans="1:8" x14ac:dyDescent="0.25">
      <c r="A981" t="s">
        <v>301</v>
      </c>
      <c r="B981">
        <v>77600</v>
      </c>
      <c r="C981" s="2">
        <v>20</v>
      </c>
      <c r="D981" s="1">
        <v>43291</v>
      </c>
      <c r="E981" t="str">
        <f>"201807102108"</f>
        <v>201807102108</v>
      </c>
      <c r="F981" t="str">
        <f>"Miscella"</f>
        <v>Miscella</v>
      </c>
      <c r="G981" s="3">
        <v>20</v>
      </c>
      <c r="H981" t="str">
        <f>"ELEAZAR MARTINEZ JR"</f>
        <v>ELEAZAR MARTINEZ JR</v>
      </c>
    </row>
    <row r="982" spans="1:8" x14ac:dyDescent="0.25">
      <c r="A982" t="s">
        <v>302</v>
      </c>
      <c r="B982">
        <v>77601</v>
      </c>
      <c r="C982" s="2">
        <v>20</v>
      </c>
      <c r="D982" s="1">
        <v>43291</v>
      </c>
      <c r="E982" t="str">
        <f>"201807102109"</f>
        <v>201807102109</v>
      </c>
      <c r="F982" t="str">
        <f>"Miscel"</f>
        <v>Miscel</v>
      </c>
      <c r="G982" s="3">
        <v>20</v>
      </c>
      <c r="H982" t="str">
        <f>"MICHAEL DAVID KRADJEL"</f>
        <v>MICHAEL DAVID KRADJEL</v>
      </c>
    </row>
    <row r="983" spans="1:8" x14ac:dyDescent="0.25">
      <c r="A983" t="s">
        <v>303</v>
      </c>
      <c r="B983">
        <v>77602</v>
      </c>
      <c r="C983" s="2">
        <v>20</v>
      </c>
      <c r="D983" s="1">
        <v>43291</v>
      </c>
      <c r="E983" t="str">
        <f>"201807102110"</f>
        <v>201807102110</v>
      </c>
      <c r="F983" t="str">
        <f>"Miscell"</f>
        <v>Miscell</v>
      </c>
      <c r="G983" s="3">
        <v>20</v>
      </c>
      <c r="H983" t="str">
        <f>"GUSTAVO ADOLFO REYES"</f>
        <v>GUSTAVO ADOLFO REYES</v>
      </c>
    </row>
    <row r="984" spans="1:8" x14ac:dyDescent="0.25">
      <c r="A984" t="s">
        <v>304</v>
      </c>
      <c r="B984">
        <v>77603</v>
      </c>
      <c r="C984" s="2">
        <v>20</v>
      </c>
      <c r="D984" s="1">
        <v>43291</v>
      </c>
      <c r="E984" t="str">
        <f>"201807102111"</f>
        <v>201807102111</v>
      </c>
      <c r="F984" t="str">
        <f>"Miscellaneo"</f>
        <v>Miscellaneo</v>
      </c>
      <c r="G984" s="3">
        <v>20</v>
      </c>
      <c r="H984" t="str">
        <f>"VIRGIL DON BOMAR"</f>
        <v>VIRGIL DON BOMAR</v>
      </c>
    </row>
    <row r="985" spans="1:8" x14ac:dyDescent="0.25">
      <c r="A985" t="s">
        <v>305</v>
      </c>
      <c r="B985">
        <v>77604</v>
      </c>
      <c r="C985" s="2">
        <v>20</v>
      </c>
      <c r="D985" s="1">
        <v>43291</v>
      </c>
      <c r="E985" t="str">
        <f>"201807102112"</f>
        <v>201807102112</v>
      </c>
      <c r="F985" t="str">
        <f>"Miscellan"</f>
        <v>Miscellan</v>
      </c>
      <c r="G985" s="3">
        <v>20</v>
      </c>
      <c r="H985" t="str">
        <f>"BLAIR ANISA HARVEY"</f>
        <v>BLAIR ANISA HARVEY</v>
      </c>
    </row>
    <row r="986" spans="1:8" x14ac:dyDescent="0.25">
      <c r="A986" t="s">
        <v>306</v>
      </c>
      <c r="B986">
        <v>77605</v>
      </c>
      <c r="C986" s="2">
        <v>20</v>
      </c>
      <c r="D986" s="1">
        <v>43291</v>
      </c>
      <c r="E986" t="str">
        <f>"201807102113"</f>
        <v>201807102113</v>
      </c>
      <c r="F986" t="str">
        <f>"Misc"</f>
        <v>Misc</v>
      </c>
      <c r="G986" s="3">
        <v>20</v>
      </c>
      <c r="H986" t="str">
        <f>"MARSHALL LAMONT MUNSELL"</f>
        <v>MARSHALL LAMONT MUNSELL</v>
      </c>
    </row>
    <row r="987" spans="1:8" x14ac:dyDescent="0.25">
      <c r="A987" t="s">
        <v>307</v>
      </c>
      <c r="B987">
        <v>77606</v>
      </c>
      <c r="C987" s="2">
        <v>20</v>
      </c>
      <c r="D987" s="1">
        <v>43291</v>
      </c>
      <c r="E987" t="str">
        <f>"201807102114"</f>
        <v>201807102114</v>
      </c>
      <c r="F987" t="str">
        <f>"Miscel"</f>
        <v>Miscel</v>
      </c>
      <c r="G987" s="3">
        <v>20</v>
      </c>
      <c r="H987" t="str">
        <f>"LEAH RACHEL GUTIERREZ"</f>
        <v>LEAH RACHEL GUTIERREZ</v>
      </c>
    </row>
    <row r="988" spans="1:8" x14ac:dyDescent="0.25">
      <c r="A988" t="s">
        <v>308</v>
      </c>
      <c r="B988">
        <v>77607</v>
      </c>
      <c r="C988" s="2">
        <v>20</v>
      </c>
      <c r="D988" s="1">
        <v>43291</v>
      </c>
      <c r="E988" t="str">
        <f>"201807102115"</f>
        <v>201807102115</v>
      </c>
      <c r="F988" t="str">
        <f>"Miscell"</f>
        <v>Miscell</v>
      </c>
      <c r="G988" s="3">
        <v>20</v>
      </c>
      <c r="H988" t="str">
        <f>"DEMETRIO GONZALEZ JR"</f>
        <v>DEMETRIO GONZALEZ JR</v>
      </c>
    </row>
    <row r="989" spans="1:8" x14ac:dyDescent="0.25">
      <c r="A989" t="s">
        <v>309</v>
      </c>
      <c r="B989">
        <v>77608</v>
      </c>
      <c r="C989" s="2">
        <v>20</v>
      </c>
      <c r="D989" s="1">
        <v>43291</v>
      </c>
      <c r="E989" t="str">
        <f>"201807102116"</f>
        <v>201807102116</v>
      </c>
      <c r="F989" t="str">
        <f>"Miscell"</f>
        <v>Miscell</v>
      </c>
      <c r="G989" s="3">
        <v>20</v>
      </c>
      <c r="H989" t="str">
        <f>"GUADALUPE GARCIA III"</f>
        <v>GUADALUPE GARCIA III</v>
      </c>
    </row>
    <row r="990" spans="1:8" x14ac:dyDescent="0.25">
      <c r="A990" t="s">
        <v>310</v>
      </c>
      <c r="B990">
        <v>77609</v>
      </c>
      <c r="C990" s="2">
        <v>20</v>
      </c>
      <c r="D990" s="1">
        <v>43291</v>
      </c>
      <c r="E990" t="str">
        <f>"201807102117"</f>
        <v>201807102117</v>
      </c>
      <c r="F990" t="str">
        <f>"Mis"</f>
        <v>Mis</v>
      </c>
      <c r="G990" s="3">
        <v>20</v>
      </c>
      <c r="H990" t="str">
        <f>"TAYLOR COSETTE COUSINEAU"</f>
        <v>TAYLOR COSETTE COUSINEAU</v>
      </c>
    </row>
    <row r="991" spans="1:8" x14ac:dyDescent="0.25">
      <c r="A991" t="s">
        <v>311</v>
      </c>
      <c r="B991">
        <v>77610</v>
      </c>
      <c r="C991" s="2">
        <v>20</v>
      </c>
      <c r="D991" s="1">
        <v>43291</v>
      </c>
      <c r="E991" t="str">
        <f>"201807102118"</f>
        <v>201807102118</v>
      </c>
      <c r="F991" t="str">
        <f>"Misc"</f>
        <v>Misc</v>
      </c>
      <c r="G991" s="3">
        <v>20</v>
      </c>
      <c r="H991" t="str">
        <f>"KATHRYN L HEILINGOETTER"</f>
        <v>KATHRYN L HEILINGOETTER</v>
      </c>
    </row>
    <row r="992" spans="1:8" x14ac:dyDescent="0.25">
      <c r="A992" t="s">
        <v>312</v>
      </c>
      <c r="B992">
        <v>77611</v>
      </c>
      <c r="C992" s="2">
        <v>20</v>
      </c>
      <c r="D992" s="1">
        <v>43291</v>
      </c>
      <c r="E992" t="str">
        <f>"201807102119"</f>
        <v>201807102119</v>
      </c>
      <c r="F992" t="str">
        <f>"Miscellaneous"</f>
        <v>Miscellaneous</v>
      </c>
      <c r="G992" s="3">
        <v>20</v>
      </c>
      <c r="H992" t="str">
        <f>"HECTOR GARCIA"</f>
        <v>HECTOR GARCIA</v>
      </c>
    </row>
    <row r="993" spans="1:8" x14ac:dyDescent="0.25">
      <c r="A993" t="s">
        <v>313</v>
      </c>
      <c r="B993">
        <v>77612</v>
      </c>
      <c r="C993" s="2">
        <v>20</v>
      </c>
      <c r="D993" s="1">
        <v>43291</v>
      </c>
      <c r="E993" t="str">
        <f>"201807102120"</f>
        <v>201807102120</v>
      </c>
      <c r="F993" t="str">
        <f>"Miscellane"</f>
        <v>Miscellane</v>
      </c>
      <c r="G993" s="3">
        <v>20</v>
      </c>
      <c r="H993" t="str">
        <f>"GERALD RAY STRONG"</f>
        <v>GERALD RAY STRONG</v>
      </c>
    </row>
    <row r="994" spans="1:8" x14ac:dyDescent="0.25">
      <c r="A994" t="s">
        <v>314</v>
      </c>
      <c r="B994">
        <v>77613</v>
      </c>
      <c r="C994" s="2">
        <v>20</v>
      </c>
      <c r="D994" s="1">
        <v>43291</v>
      </c>
      <c r="E994" t="str">
        <f>"201807102121"</f>
        <v>201807102121</v>
      </c>
      <c r="F994" t="str">
        <f>"Miscell"</f>
        <v>Miscell</v>
      </c>
      <c r="G994" s="3">
        <v>20</v>
      </c>
      <c r="H994" t="str">
        <f>"BYRON JOSEPH BARNETT"</f>
        <v>BYRON JOSEPH BARNETT</v>
      </c>
    </row>
    <row r="995" spans="1:8" x14ac:dyDescent="0.25">
      <c r="A995" t="s">
        <v>315</v>
      </c>
      <c r="B995">
        <v>77614</v>
      </c>
      <c r="C995" s="2">
        <v>20</v>
      </c>
      <c r="D995" s="1">
        <v>43291</v>
      </c>
      <c r="E995" t="str">
        <f>"201807102122"</f>
        <v>201807102122</v>
      </c>
      <c r="F995" t="str">
        <f>"Miscell"</f>
        <v>Miscell</v>
      </c>
      <c r="G995" s="3">
        <v>20</v>
      </c>
      <c r="H995" t="str">
        <f>"DUSTIN JOSIAH HAINES"</f>
        <v>DUSTIN JOSIAH HAINES</v>
      </c>
    </row>
    <row r="996" spans="1:8" x14ac:dyDescent="0.25">
      <c r="A996" t="s">
        <v>316</v>
      </c>
      <c r="B996">
        <v>77615</v>
      </c>
      <c r="C996" s="2">
        <v>20</v>
      </c>
      <c r="D996" s="1">
        <v>43291</v>
      </c>
      <c r="E996" t="str">
        <f>"201807102123"</f>
        <v>201807102123</v>
      </c>
      <c r="F996" t="str">
        <f>"Miscell"</f>
        <v>Miscell</v>
      </c>
      <c r="G996" s="3">
        <v>20</v>
      </c>
      <c r="H996" t="str">
        <f>"MARTIN FLORES GALVAN"</f>
        <v>MARTIN FLORES GALVAN</v>
      </c>
    </row>
    <row r="997" spans="1:8" x14ac:dyDescent="0.25">
      <c r="A997" t="s">
        <v>317</v>
      </c>
      <c r="B997">
        <v>77616</v>
      </c>
      <c r="C997" s="2">
        <v>20</v>
      </c>
      <c r="D997" s="1">
        <v>43291</v>
      </c>
      <c r="E997" t="str">
        <f>"201807102124"</f>
        <v>201807102124</v>
      </c>
      <c r="F997" t="str">
        <f>"Miscellan"</f>
        <v>Miscellan</v>
      </c>
      <c r="G997" s="3">
        <v>20</v>
      </c>
      <c r="H997" t="str">
        <f>"JULIA DAVIS SULSAR"</f>
        <v>JULIA DAVIS SULSAR</v>
      </c>
    </row>
    <row r="998" spans="1:8" x14ac:dyDescent="0.25">
      <c r="A998" t="s">
        <v>318</v>
      </c>
      <c r="B998">
        <v>77617</v>
      </c>
      <c r="C998" s="2">
        <v>20</v>
      </c>
      <c r="D998" s="1">
        <v>43291</v>
      </c>
      <c r="E998" t="str">
        <f>"201807102125"</f>
        <v>201807102125</v>
      </c>
      <c r="F998" t="str">
        <f>"Miscel"</f>
        <v>Miscel</v>
      </c>
      <c r="G998" s="3">
        <v>20</v>
      </c>
      <c r="H998" t="str">
        <f>"GEORGE LUIS VELASQUEZ"</f>
        <v>GEORGE LUIS VELASQUEZ</v>
      </c>
    </row>
    <row r="999" spans="1:8" x14ac:dyDescent="0.25">
      <c r="A999" t="s">
        <v>319</v>
      </c>
      <c r="B999">
        <v>77618</v>
      </c>
      <c r="C999" s="2">
        <v>20</v>
      </c>
      <c r="D999" s="1">
        <v>43291</v>
      </c>
      <c r="E999" t="str">
        <f>"201807102126"</f>
        <v>201807102126</v>
      </c>
      <c r="F999" t="str">
        <f>"Miscella"</f>
        <v>Miscella</v>
      </c>
      <c r="G999" s="3">
        <v>20</v>
      </c>
      <c r="H999" t="str">
        <f>"STEVEN JOHN LEDESMA"</f>
        <v>STEVEN JOHN LEDESMA</v>
      </c>
    </row>
    <row r="1000" spans="1:8" x14ac:dyDescent="0.25">
      <c r="A1000" t="s">
        <v>320</v>
      </c>
      <c r="B1000">
        <v>77619</v>
      </c>
      <c r="C1000" s="2">
        <v>20</v>
      </c>
      <c r="D1000" s="1">
        <v>43291</v>
      </c>
      <c r="E1000" t="str">
        <f>"201807102127"</f>
        <v>201807102127</v>
      </c>
      <c r="F1000" t="str">
        <f>"Mis"</f>
        <v>Mis</v>
      </c>
      <c r="G1000" s="3">
        <v>20</v>
      </c>
      <c r="H1000" t="str">
        <f>"KERRI LYNETTE WASHINGTON"</f>
        <v>KERRI LYNETTE WASHINGTON</v>
      </c>
    </row>
    <row r="1001" spans="1:8" x14ac:dyDescent="0.25">
      <c r="A1001" t="s">
        <v>321</v>
      </c>
      <c r="B1001">
        <v>77620</v>
      </c>
      <c r="C1001" s="2">
        <v>20</v>
      </c>
      <c r="D1001" s="1">
        <v>43291</v>
      </c>
      <c r="E1001" t="str">
        <f>"201807102128"</f>
        <v>201807102128</v>
      </c>
      <c r="F1001" t="str">
        <f>"Miscellaneous"</f>
        <v>Miscellaneous</v>
      </c>
      <c r="G1001" s="3">
        <v>20</v>
      </c>
      <c r="H1001" t="str">
        <f>"SHARI JO WYATT"</f>
        <v>SHARI JO WYATT</v>
      </c>
    </row>
    <row r="1002" spans="1:8" x14ac:dyDescent="0.25">
      <c r="A1002" t="s">
        <v>322</v>
      </c>
      <c r="B1002">
        <v>77621</v>
      </c>
      <c r="C1002" s="2">
        <v>20</v>
      </c>
      <c r="D1002" s="1">
        <v>43291</v>
      </c>
      <c r="E1002" t="str">
        <f>"201807102129"</f>
        <v>201807102129</v>
      </c>
      <c r="F1002" t="str">
        <f>"Miscell"</f>
        <v>Miscell</v>
      </c>
      <c r="G1002" s="3">
        <v>20</v>
      </c>
      <c r="H1002" t="str">
        <f>"HILLARY MARIE KVAMME"</f>
        <v>HILLARY MARIE KVAMME</v>
      </c>
    </row>
    <row r="1003" spans="1:8" x14ac:dyDescent="0.25">
      <c r="A1003" t="s">
        <v>323</v>
      </c>
      <c r="B1003">
        <v>77622</v>
      </c>
      <c r="C1003" s="2">
        <v>20</v>
      </c>
      <c r="D1003" s="1">
        <v>43291</v>
      </c>
      <c r="E1003" t="str">
        <f>"201807102130"</f>
        <v>201807102130</v>
      </c>
      <c r="F1003" t="str">
        <f>"Misc"</f>
        <v>Misc</v>
      </c>
      <c r="G1003" s="3">
        <v>20</v>
      </c>
      <c r="H1003" t="str">
        <f>"VALENTIN T REGALADO III"</f>
        <v>VALENTIN T REGALADO III</v>
      </c>
    </row>
    <row r="1004" spans="1:8" x14ac:dyDescent="0.25">
      <c r="A1004" t="s">
        <v>324</v>
      </c>
      <c r="B1004">
        <v>77623</v>
      </c>
      <c r="C1004" s="2">
        <v>20</v>
      </c>
      <c r="D1004" s="1">
        <v>43291</v>
      </c>
      <c r="E1004" t="str">
        <f>"201807102131"</f>
        <v>201807102131</v>
      </c>
      <c r="F1004" t="str">
        <f>"Miscella"</f>
        <v>Miscella</v>
      </c>
      <c r="G1004" s="3">
        <v>20</v>
      </c>
      <c r="H1004" t="str">
        <f>"DONNA BESS SCHUBERT"</f>
        <v>DONNA BESS SCHUBERT</v>
      </c>
    </row>
    <row r="1005" spans="1:8" x14ac:dyDescent="0.25">
      <c r="A1005" t="s">
        <v>325</v>
      </c>
      <c r="B1005">
        <v>77624</v>
      </c>
      <c r="C1005" s="2">
        <v>20</v>
      </c>
      <c r="D1005" s="1">
        <v>43291</v>
      </c>
      <c r="E1005" t="str">
        <f>"201807102132"</f>
        <v>201807102132</v>
      </c>
      <c r="F1005" t="str">
        <f>"Miscellaneous"</f>
        <v>Miscellaneous</v>
      </c>
      <c r="G1005" s="3">
        <v>20</v>
      </c>
      <c r="H1005" t="str">
        <f>"HEIDI S LYONS"</f>
        <v>HEIDI S LYONS</v>
      </c>
    </row>
    <row r="1006" spans="1:8" x14ac:dyDescent="0.25">
      <c r="A1006" t="s">
        <v>326</v>
      </c>
      <c r="B1006">
        <v>77625</v>
      </c>
      <c r="C1006" s="2">
        <v>20</v>
      </c>
      <c r="D1006" s="1">
        <v>43291</v>
      </c>
      <c r="E1006" t="str">
        <f>"201807102133"</f>
        <v>201807102133</v>
      </c>
      <c r="F1006" t="str">
        <f>"Miscella"</f>
        <v>Miscella</v>
      </c>
      <c r="G1006" s="3">
        <v>20</v>
      </c>
      <c r="H1006" t="str">
        <f>"SHANNON JOY BOWLING"</f>
        <v>SHANNON JOY BOWLING</v>
      </c>
    </row>
    <row r="1007" spans="1:8" x14ac:dyDescent="0.25">
      <c r="A1007" t="s">
        <v>327</v>
      </c>
      <c r="B1007">
        <v>77626</v>
      </c>
      <c r="C1007" s="2">
        <v>20</v>
      </c>
      <c r="D1007" s="1">
        <v>43291</v>
      </c>
      <c r="E1007" t="str">
        <f>"201807102134"</f>
        <v>201807102134</v>
      </c>
      <c r="F1007" t="str">
        <f>"Miscellane"</f>
        <v>Miscellane</v>
      </c>
      <c r="G1007" s="3">
        <v>20</v>
      </c>
      <c r="H1007" t="str">
        <f>"MICHIEL GENE WEBB"</f>
        <v>MICHIEL GENE WEBB</v>
      </c>
    </row>
    <row r="1008" spans="1:8" x14ac:dyDescent="0.25">
      <c r="A1008" t="s">
        <v>328</v>
      </c>
      <c r="B1008">
        <v>77627</v>
      </c>
      <c r="C1008" s="2">
        <v>20</v>
      </c>
      <c r="D1008" s="1">
        <v>43291</v>
      </c>
      <c r="E1008" t="str">
        <f>"201807102135"</f>
        <v>201807102135</v>
      </c>
      <c r="F1008" t="str">
        <f>"Miscellane"</f>
        <v>Miscellane</v>
      </c>
      <c r="G1008" s="3">
        <v>20</v>
      </c>
      <c r="H1008" t="str">
        <f>"DONNA RAE NONDORF"</f>
        <v>DONNA RAE NONDORF</v>
      </c>
    </row>
    <row r="1009" spans="1:8" x14ac:dyDescent="0.25">
      <c r="A1009" t="s">
        <v>329</v>
      </c>
      <c r="B1009">
        <v>77628</v>
      </c>
      <c r="C1009" s="2">
        <v>20</v>
      </c>
      <c r="D1009" s="1">
        <v>43291</v>
      </c>
      <c r="E1009" t="str">
        <f>"201807102136"</f>
        <v>201807102136</v>
      </c>
      <c r="F1009" t="str">
        <f>"Miscel"</f>
        <v>Miscel</v>
      </c>
      <c r="G1009" s="3">
        <v>20</v>
      </c>
      <c r="H1009" t="str">
        <f>"CATHERINE JANE PERRIN"</f>
        <v>CATHERINE JANE PERRIN</v>
      </c>
    </row>
    <row r="1010" spans="1:8" x14ac:dyDescent="0.25">
      <c r="A1010" t="s">
        <v>330</v>
      </c>
      <c r="B1010">
        <v>77629</v>
      </c>
      <c r="C1010" s="2">
        <v>20</v>
      </c>
      <c r="D1010" s="1">
        <v>43291</v>
      </c>
      <c r="E1010" t="str">
        <f>"201807102137"</f>
        <v>201807102137</v>
      </c>
      <c r="F1010" t="str">
        <f>"Misce"</f>
        <v>Misce</v>
      </c>
      <c r="G1010" s="3">
        <v>20</v>
      </c>
      <c r="H1010" t="str">
        <f>"CHARLES EARL HAJDIK SR"</f>
        <v>CHARLES EARL HAJDIK SR</v>
      </c>
    </row>
    <row r="1011" spans="1:8" x14ac:dyDescent="0.25">
      <c r="A1011" t="s">
        <v>331</v>
      </c>
      <c r="B1011">
        <v>77630</v>
      </c>
      <c r="C1011" s="2">
        <v>20</v>
      </c>
      <c r="D1011" s="1">
        <v>43291</v>
      </c>
      <c r="E1011" t="str">
        <f>"201807102138"</f>
        <v>201807102138</v>
      </c>
      <c r="F1011" t="str">
        <f>"Miscellaneous"</f>
        <v>Miscellaneous</v>
      </c>
      <c r="G1011" s="3">
        <v>20</v>
      </c>
      <c r="H1011" t="str">
        <f>"MARIE ALVAREZ"</f>
        <v>MARIE ALVAREZ</v>
      </c>
    </row>
    <row r="1012" spans="1:8" x14ac:dyDescent="0.25">
      <c r="A1012" t="s">
        <v>332</v>
      </c>
      <c r="B1012">
        <v>77631</v>
      </c>
      <c r="C1012" s="2">
        <v>20</v>
      </c>
      <c r="D1012" s="1">
        <v>43291</v>
      </c>
      <c r="E1012" t="str">
        <f>"201807102139"</f>
        <v>201807102139</v>
      </c>
      <c r="F1012" t="str">
        <f>"Miscella"</f>
        <v>Miscella</v>
      </c>
      <c r="G1012" s="3">
        <v>20</v>
      </c>
      <c r="H1012" t="str">
        <f>"PATRICIA ANN COFFEE"</f>
        <v>PATRICIA ANN COFFEE</v>
      </c>
    </row>
    <row r="1013" spans="1:8" x14ac:dyDescent="0.25">
      <c r="A1013" t="s">
        <v>333</v>
      </c>
      <c r="B1013">
        <v>77632</v>
      </c>
      <c r="C1013" s="2">
        <v>20</v>
      </c>
      <c r="D1013" s="1">
        <v>43291</v>
      </c>
      <c r="E1013" t="str">
        <f>"201807102140"</f>
        <v>201807102140</v>
      </c>
      <c r="F1013" t="str">
        <f>"M"</f>
        <v>M</v>
      </c>
      <c r="G1013" s="3">
        <v>20</v>
      </c>
      <c r="H1013" t="str">
        <f>"VERONICA MICHELLE GUAJARDO"</f>
        <v>VERONICA MICHELLE GUAJARDO</v>
      </c>
    </row>
    <row r="1014" spans="1:8" x14ac:dyDescent="0.25">
      <c r="A1014" t="s">
        <v>334</v>
      </c>
      <c r="B1014">
        <v>77633</v>
      </c>
      <c r="C1014" s="2">
        <v>20</v>
      </c>
      <c r="D1014" s="1">
        <v>43291</v>
      </c>
      <c r="E1014" t="str">
        <f>"201807102141"</f>
        <v>201807102141</v>
      </c>
      <c r="F1014" t="str">
        <f>"Miscella"</f>
        <v>Miscella</v>
      </c>
      <c r="G1014" s="3">
        <v>20</v>
      </c>
      <c r="H1014" t="str">
        <f>"DARRELL WAYNE KANAK"</f>
        <v>DARRELL WAYNE KANAK</v>
      </c>
    </row>
    <row r="1015" spans="1:8" x14ac:dyDescent="0.25">
      <c r="A1015" t="s">
        <v>335</v>
      </c>
      <c r="B1015">
        <v>77634</v>
      </c>
      <c r="C1015" s="2">
        <v>20</v>
      </c>
      <c r="D1015" s="1">
        <v>43291</v>
      </c>
      <c r="E1015" t="str">
        <f>"201807102142"</f>
        <v>201807102142</v>
      </c>
      <c r="F1015" t="str">
        <f>"Miscell"</f>
        <v>Miscell</v>
      </c>
      <c r="G1015" s="3">
        <v>20</v>
      </c>
      <c r="H1015" t="str">
        <f>"RHONDA ELEANOR HAYES"</f>
        <v>RHONDA ELEANOR HAYES</v>
      </c>
    </row>
    <row r="1016" spans="1:8" x14ac:dyDescent="0.25">
      <c r="A1016" t="s">
        <v>336</v>
      </c>
      <c r="B1016">
        <v>77635</v>
      </c>
      <c r="C1016" s="2">
        <v>20</v>
      </c>
      <c r="D1016" s="1">
        <v>43291</v>
      </c>
      <c r="E1016" t="str">
        <f>"201807102143"</f>
        <v>201807102143</v>
      </c>
      <c r="F1016" t="str">
        <f>"Miscellane"</f>
        <v>Miscellane</v>
      </c>
      <c r="G1016" s="3">
        <v>20</v>
      </c>
      <c r="H1016" t="str">
        <f>"DANIEL LEE HEPKER"</f>
        <v>DANIEL LEE HEPKER</v>
      </c>
    </row>
    <row r="1017" spans="1:8" x14ac:dyDescent="0.25">
      <c r="A1017" t="s">
        <v>337</v>
      </c>
      <c r="B1017">
        <v>77636</v>
      </c>
      <c r="C1017" s="2">
        <v>20</v>
      </c>
      <c r="D1017" s="1">
        <v>43291</v>
      </c>
      <c r="E1017" t="str">
        <f>"201807102144"</f>
        <v>201807102144</v>
      </c>
      <c r="F1017" t="str">
        <f>"Misc"</f>
        <v>Misc</v>
      </c>
      <c r="G1017" s="3">
        <v>20</v>
      </c>
      <c r="H1017" t="str">
        <f>"DAVID ALEXANDER SALMONS"</f>
        <v>DAVID ALEXANDER SALMONS</v>
      </c>
    </row>
    <row r="1018" spans="1:8" x14ac:dyDescent="0.25">
      <c r="A1018" t="s">
        <v>338</v>
      </c>
      <c r="B1018">
        <v>77637</v>
      </c>
      <c r="C1018" s="2">
        <v>20</v>
      </c>
      <c r="D1018" s="1">
        <v>43291</v>
      </c>
      <c r="E1018" t="str">
        <f>"201807102145"</f>
        <v>201807102145</v>
      </c>
      <c r="F1018" t="str">
        <f>"Miscellan"</f>
        <v>Miscellan</v>
      </c>
      <c r="G1018" s="3">
        <v>20</v>
      </c>
      <c r="H1018" t="str">
        <f>"DEBBIE GAIL OEDING"</f>
        <v>DEBBIE GAIL OEDING</v>
      </c>
    </row>
    <row r="1019" spans="1:8" x14ac:dyDescent="0.25">
      <c r="A1019" t="s">
        <v>339</v>
      </c>
      <c r="B1019">
        <v>77850</v>
      </c>
      <c r="C1019" s="2">
        <v>42</v>
      </c>
      <c r="D1019" s="1">
        <v>43312</v>
      </c>
      <c r="E1019" t="str">
        <f>"201807312427"</f>
        <v>201807312427</v>
      </c>
      <c r="F1019" t="str">
        <f>"Miscell"</f>
        <v>Miscell</v>
      </c>
      <c r="G1019" s="3">
        <v>42</v>
      </c>
      <c r="H1019" t="str">
        <f>"Family Crisis Center"</f>
        <v>Family Crisis Center</v>
      </c>
    </row>
    <row r="1020" spans="1:8" x14ac:dyDescent="0.25">
      <c r="A1020" t="s">
        <v>340</v>
      </c>
      <c r="B1020">
        <v>77851</v>
      </c>
      <c r="C1020" s="2">
        <v>100</v>
      </c>
      <c r="D1020" s="1">
        <v>43312</v>
      </c>
      <c r="E1020" t="str">
        <f>"201807312428"</f>
        <v>201807312428</v>
      </c>
      <c r="F1020" t="str">
        <f>""</f>
        <v/>
      </c>
      <c r="G1020" s="3">
        <v>100</v>
      </c>
      <c r="H1020" t="str">
        <f>"COURT APPOINTED SPECIAL ADVOCA"</f>
        <v>COURT APPOINTED SPECIAL ADVOCA</v>
      </c>
    </row>
    <row r="1021" spans="1:8" x14ac:dyDescent="0.25">
      <c r="A1021" t="s">
        <v>341</v>
      </c>
      <c r="B1021">
        <v>77852</v>
      </c>
      <c r="C1021" s="2">
        <v>72</v>
      </c>
      <c r="D1021" s="1">
        <v>43312</v>
      </c>
      <c r="E1021" t="str">
        <f>"201807312429"</f>
        <v>201807312429</v>
      </c>
      <c r="F1021" t="str">
        <f>"Mi"</f>
        <v>Mi</v>
      </c>
      <c r="G1021" s="3">
        <v>72</v>
      </c>
      <c r="H1021" t="str">
        <f>"Child Protective Services"</f>
        <v>Child Protective Services</v>
      </c>
    </row>
    <row r="1022" spans="1:8" x14ac:dyDescent="0.25">
      <c r="A1022" t="s">
        <v>342</v>
      </c>
      <c r="B1022">
        <v>77853</v>
      </c>
      <c r="C1022" s="2">
        <v>66</v>
      </c>
      <c r="D1022" s="1">
        <v>43312</v>
      </c>
      <c r="E1022" t="str">
        <f>"201807312430"</f>
        <v>201807312430</v>
      </c>
      <c r="F1022" t="str">
        <f>"M"</f>
        <v>M</v>
      </c>
      <c r="G1022" s="3">
        <v>66</v>
      </c>
      <c r="H1022" t="str">
        <f>"Children's Advocacy Center"</f>
        <v>Children's Advocacy Center</v>
      </c>
    </row>
    <row r="1023" spans="1:8" x14ac:dyDescent="0.25">
      <c r="A1023" t="s">
        <v>343</v>
      </c>
      <c r="B1023">
        <v>77854</v>
      </c>
      <c r="C1023" s="2">
        <v>6</v>
      </c>
      <c r="D1023" s="1">
        <v>43312</v>
      </c>
      <c r="E1023" t="str">
        <f>"201807312431"</f>
        <v>201807312431</v>
      </c>
      <c r="F1023" t="str">
        <f>"Mis"</f>
        <v>Mis</v>
      </c>
      <c r="G1023" s="3">
        <v>6</v>
      </c>
      <c r="H1023" t="str">
        <f>"DEBBIE NARANJO CERVANTES"</f>
        <v>DEBBIE NARANJO CERVANTES</v>
      </c>
    </row>
    <row r="1024" spans="1:8" x14ac:dyDescent="0.25">
      <c r="A1024" t="s">
        <v>344</v>
      </c>
      <c r="B1024">
        <v>77855</v>
      </c>
      <c r="C1024" s="2">
        <v>6</v>
      </c>
      <c r="D1024" s="1">
        <v>43312</v>
      </c>
      <c r="E1024" t="str">
        <f>"201807312432"</f>
        <v>201807312432</v>
      </c>
      <c r="F1024" t="str">
        <f>"Miscellaneou"</f>
        <v>Miscellaneou</v>
      </c>
      <c r="G1024" s="3">
        <v>6</v>
      </c>
      <c r="H1024" t="str">
        <f>"RUBEN HERNANDEZ"</f>
        <v>RUBEN HERNANDEZ</v>
      </c>
    </row>
    <row r="1025" spans="1:8" x14ac:dyDescent="0.25">
      <c r="A1025" t="s">
        <v>345</v>
      </c>
      <c r="B1025">
        <v>77856</v>
      </c>
      <c r="C1025" s="2">
        <v>6</v>
      </c>
      <c r="D1025" s="1">
        <v>43312</v>
      </c>
      <c r="E1025" t="str">
        <f>"201807312433"</f>
        <v>201807312433</v>
      </c>
      <c r="F1025" t="str">
        <f>"Miscel"</f>
        <v>Miscel</v>
      </c>
      <c r="G1025" s="3">
        <v>6</v>
      </c>
      <c r="H1025" t="str">
        <f>"LARRY DARNELL HAYWOOD"</f>
        <v>LARRY DARNELL HAYWOOD</v>
      </c>
    </row>
    <row r="1026" spans="1:8" x14ac:dyDescent="0.25">
      <c r="A1026" t="s">
        <v>346</v>
      </c>
      <c r="B1026">
        <v>77857</v>
      </c>
      <c r="C1026" s="2">
        <v>6</v>
      </c>
      <c r="D1026" s="1">
        <v>43312</v>
      </c>
      <c r="E1026" t="str">
        <f>"201807312434"</f>
        <v>201807312434</v>
      </c>
      <c r="F1026" t="str">
        <f>"Misce"</f>
        <v>Misce</v>
      </c>
      <c r="G1026" s="3">
        <v>6</v>
      </c>
      <c r="H1026" t="str">
        <f>"BRITNEY DANIELLE REESE"</f>
        <v>BRITNEY DANIELLE REESE</v>
      </c>
    </row>
    <row r="1027" spans="1:8" x14ac:dyDescent="0.25">
      <c r="A1027" t="s">
        <v>347</v>
      </c>
      <c r="B1027">
        <v>77858</v>
      </c>
      <c r="C1027" s="2">
        <v>46</v>
      </c>
      <c r="D1027" s="1">
        <v>43312</v>
      </c>
      <c r="E1027" t="str">
        <f>"201807312435"</f>
        <v>201807312435</v>
      </c>
      <c r="F1027" t="str">
        <f>"Miscellane"</f>
        <v>Miscellane</v>
      </c>
      <c r="G1027" s="3">
        <v>46</v>
      </c>
      <c r="H1027" t="str">
        <f>"JOSHUA RAY GUSMAN"</f>
        <v>JOSHUA RAY GUSMAN</v>
      </c>
    </row>
    <row r="1028" spans="1:8" x14ac:dyDescent="0.25">
      <c r="A1028" t="s">
        <v>348</v>
      </c>
      <c r="B1028">
        <v>77859</v>
      </c>
      <c r="C1028" s="2">
        <v>6</v>
      </c>
      <c r="D1028" s="1">
        <v>43312</v>
      </c>
      <c r="E1028" t="str">
        <f>"201807312436"</f>
        <v>201807312436</v>
      </c>
      <c r="F1028" t="str">
        <f>"Mi"</f>
        <v>Mi</v>
      </c>
      <c r="G1028" s="3">
        <v>6</v>
      </c>
      <c r="H1028" t="str">
        <f>"CHARLOTTE SANSOM THORNTON"</f>
        <v>CHARLOTTE SANSOM THORNTON</v>
      </c>
    </row>
    <row r="1029" spans="1:8" x14ac:dyDescent="0.25">
      <c r="A1029" t="s">
        <v>349</v>
      </c>
      <c r="B1029">
        <v>77860</v>
      </c>
      <c r="C1029" s="2">
        <v>6</v>
      </c>
      <c r="D1029" s="1">
        <v>43312</v>
      </c>
      <c r="E1029" t="str">
        <f>"201807312437"</f>
        <v>201807312437</v>
      </c>
      <c r="F1029" t="str">
        <f>"Miscell"</f>
        <v>Miscell</v>
      </c>
      <c r="G1029" s="3">
        <v>6</v>
      </c>
      <c r="H1029" t="str">
        <f>"MEGAN MENZEL WAGONER"</f>
        <v>MEGAN MENZEL WAGONER</v>
      </c>
    </row>
    <row r="1030" spans="1:8" x14ac:dyDescent="0.25">
      <c r="A1030" t="s">
        <v>350</v>
      </c>
      <c r="B1030">
        <v>77861</v>
      </c>
      <c r="C1030" s="2">
        <v>6</v>
      </c>
      <c r="D1030" s="1">
        <v>43312</v>
      </c>
      <c r="E1030" t="str">
        <f>"201807312438"</f>
        <v>201807312438</v>
      </c>
      <c r="F1030" t="str">
        <f>"Miscel"</f>
        <v>Miscel</v>
      </c>
      <c r="G1030" s="3">
        <v>6</v>
      </c>
      <c r="H1030" t="str">
        <f>"BLAIR WILLIAM DOUGLAS"</f>
        <v>BLAIR WILLIAM DOUGLAS</v>
      </c>
    </row>
    <row r="1031" spans="1:8" x14ac:dyDescent="0.25">
      <c r="A1031" t="s">
        <v>351</v>
      </c>
      <c r="B1031">
        <v>77862</v>
      </c>
      <c r="C1031" s="2">
        <v>6</v>
      </c>
      <c r="D1031" s="1">
        <v>43312</v>
      </c>
      <c r="E1031" t="str">
        <f>"201807312439"</f>
        <v>201807312439</v>
      </c>
      <c r="F1031" t="str">
        <f>"Miscellaneou"</f>
        <v>Miscellaneou</v>
      </c>
      <c r="G1031" s="3">
        <v>6</v>
      </c>
      <c r="H1031" t="str">
        <f>"JILL ANN MULDER"</f>
        <v>JILL ANN MULDER</v>
      </c>
    </row>
    <row r="1032" spans="1:8" x14ac:dyDescent="0.25">
      <c r="A1032" t="s">
        <v>352</v>
      </c>
      <c r="B1032">
        <v>77863</v>
      </c>
      <c r="C1032" s="2">
        <v>6</v>
      </c>
      <c r="D1032" s="1">
        <v>43312</v>
      </c>
      <c r="E1032" t="str">
        <f>"201807312440"</f>
        <v>201807312440</v>
      </c>
      <c r="F1032" t="str">
        <f>"Miscellaneous"</f>
        <v>Miscellaneous</v>
      </c>
      <c r="G1032" s="3">
        <v>6</v>
      </c>
      <c r="H1032" t="str">
        <f>"MARK WILKERSON"</f>
        <v>MARK WILKERSON</v>
      </c>
    </row>
    <row r="1033" spans="1:8" x14ac:dyDescent="0.25">
      <c r="A1033" t="s">
        <v>353</v>
      </c>
      <c r="B1033">
        <v>77864</v>
      </c>
      <c r="C1033" s="2">
        <v>6</v>
      </c>
      <c r="D1033" s="1">
        <v>43312</v>
      </c>
      <c r="E1033" t="str">
        <f>"201807312441"</f>
        <v>201807312441</v>
      </c>
      <c r="F1033" t="str">
        <f>"Miscell"</f>
        <v>Miscell</v>
      </c>
      <c r="G1033" s="3">
        <v>6</v>
      </c>
      <c r="H1033" t="str">
        <f>"BENNETT DAVID WILSON"</f>
        <v>BENNETT DAVID WILSON</v>
      </c>
    </row>
    <row r="1034" spans="1:8" x14ac:dyDescent="0.25">
      <c r="A1034" t="s">
        <v>354</v>
      </c>
      <c r="B1034">
        <v>77865</v>
      </c>
      <c r="C1034" s="2">
        <v>46</v>
      </c>
      <c r="D1034" s="1">
        <v>43312</v>
      </c>
      <c r="E1034" t="str">
        <f>"201807312442"</f>
        <v>201807312442</v>
      </c>
      <c r="F1034" t="str">
        <f>"Mis"</f>
        <v>Mis</v>
      </c>
      <c r="G1034" s="3">
        <v>46</v>
      </c>
      <c r="H1034" t="str">
        <f>"CATHERINE ROMINSKI KIRBY"</f>
        <v>CATHERINE ROMINSKI KIRBY</v>
      </c>
    </row>
    <row r="1035" spans="1:8" x14ac:dyDescent="0.25">
      <c r="A1035" t="s">
        <v>355</v>
      </c>
      <c r="B1035">
        <v>77866</v>
      </c>
      <c r="C1035" s="2">
        <v>46</v>
      </c>
      <c r="D1035" s="1">
        <v>43312</v>
      </c>
      <c r="E1035" t="str">
        <f>"201807312443"</f>
        <v>201807312443</v>
      </c>
      <c r="F1035" t="str">
        <f>"Miscellaneous"</f>
        <v>Miscellaneous</v>
      </c>
      <c r="G1035" s="3">
        <v>46</v>
      </c>
      <c r="H1035" t="str">
        <f>"GAYLAND MCAFEE"</f>
        <v>GAYLAND MCAFEE</v>
      </c>
    </row>
    <row r="1036" spans="1:8" x14ac:dyDescent="0.25">
      <c r="A1036" t="s">
        <v>356</v>
      </c>
      <c r="B1036">
        <v>77867</v>
      </c>
      <c r="C1036" s="2">
        <v>6</v>
      </c>
      <c r="D1036" s="1">
        <v>43312</v>
      </c>
      <c r="E1036" t="str">
        <f>"201807312444"</f>
        <v>201807312444</v>
      </c>
      <c r="F1036" t="str">
        <f>"Miscellane"</f>
        <v>Miscellane</v>
      </c>
      <c r="G1036" s="3">
        <v>6</v>
      </c>
      <c r="H1036" t="str">
        <f>"JAMES AARON HUSER"</f>
        <v>JAMES AARON HUSER</v>
      </c>
    </row>
    <row r="1037" spans="1:8" x14ac:dyDescent="0.25">
      <c r="A1037" t="s">
        <v>357</v>
      </c>
      <c r="B1037">
        <v>77868</v>
      </c>
      <c r="C1037" s="2">
        <v>6</v>
      </c>
      <c r="D1037" s="1">
        <v>43312</v>
      </c>
      <c r="E1037" t="str">
        <f>"201807312445"</f>
        <v>201807312445</v>
      </c>
      <c r="F1037" t="str">
        <f>"Miscella"</f>
        <v>Miscella</v>
      </c>
      <c r="G1037" s="3">
        <v>6</v>
      </c>
      <c r="H1037" t="str">
        <f>"REBECCA HAMBY DURDA"</f>
        <v>REBECCA HAMBY DURDA</v>
      </c>
    </row>
    <row r="1038" spans="1:8" x14ac:dyDescent="0.25">
      <c r="A1038" t="s">
        <v>358</v>
      </c>
      <c r="B1038">
        <v>77869</v>
      </c>
      <c r="C1038" s="2">
        <v>6</v>
      </c>
      <c r="D1038" s="1">
        <v>43312</v>
      </c>
      <c r="E1038" t="str">
        <f>"201807312446"</f>
        <v>201807312446</v>
      </c>
      <c r="F1038" t="str">
        <f>"Miscellaneo"</f>
        <v>Miscellaneo</v>
      </c>
      <c r="G1038" s="3">
        <v>6</v>
      </c>
      <c r="H1038" t="str">
        <f>"TIA NICOLE TATUM"</f>
        <v>TIA NICOLE TATUM</v>
      </c>
    </row>
    <row r="1039" spans="1:8" x14ac:dyDescent="0.25">
      <c r="A1039" t="s">
        <v>359</v>
      </c>
      <c r="B1039">
        <v>77870</v>
      </c>
      <c r="C1039" s="2">
        <v>6</v>
      </c>
      <c r="D1039" s="1">
        <v>43312</v>
      </c>
      <c r="E1039" t="str">
        <f>"201807312447"</f>
        <v>201807312447</v>
      </c>
      <c r="F1039" t="str">
        <f>"Miscella"</f>
        <v>Miscella</v>
      </c>
      <c r="G1039" s="3">
        <v>6</v>
      </c>
      <c r="H1039" t="str">
        <f>"ZACHARY SEAN CROLEY"</f>
        <v>ZACHARY SEAN CROLEY</v>
      </c>
    </row>
    <row r="1040" spans="1:8" x14ac:dyDescent="0.25">
      <c r="A1040" t="s">
        <v>360</v>
      </c>
      <c r="B1040">
        <v>77871</v>
      </c>
      <c r="C1040" s="2">
        <v>6</v>
      </c>
      <c r="D1040" s="1">
        <v>43312</v>
      </c>
      <c r="E1040" t="str">
        <f>"201807312448"</f>
        <v>201807312448</v>
      </c>
      <c r="F1040" t="str">
        <f>"Miscellan"</f>
        <v>Miscellan</v>
      </c>
      <c r="G1040" s="3">
        <v>6</v>
      </c>
      <c r="H1040" t="str">
        <f>"ROBERT EARLE HOYLE"</f>
        <v>ROBERT EARLE HOYLE</v>
      </c>
    </row>
    <row r="1041" spans="1:8" x14ac:dyDescent="0.25">
      <c r="A1041" t="s">
        <v>361</v>
      </c>
      <c r="B1041">
        <v>77872</v>
      </c>
      <c r="C1041" s="2">
        <v>6</v>
      </c>
      <c r="D1041" s="1">
        <v>43312</v>
      </c>
      <c r="E1041" t="str">
        <f>"201807312449"</f>
        <v>201807312449</v>
      </c>
      <c r="F1041" t="str">
        <f>"Miscellaneo"</f>
        <v>Miscellaneo</v>
      </c>
      <c r="G1041" s="3">
        <v>6</v>
      </c>
      <c r="H1041" t="str">
        <f>"LANCE ALAN ETZEL"</f>
        <v>LANCE ALAN ETZEL</v>
      </c>
    </row>
    <row r="1042" spans="1:8" x14ac:dyDescent="0.25">
      <c r="A1042" t="s">
        <v>362</v>
      </c>
      <c r="B1042">
        <v>77873</v>
      </c>
      <c r="C1042" s="2">
        <v>6</v>
      </c>
      <c r="D1042" s="1">
        <v>43312</v>
      </c>
      <c r="E1042" t="str">
        <f>"201807312450"</f>
        <v>201807312450</v>
      </c>
      <c r="F1042" t="str">
        <f>"Mis"</f>
        <v>Mis</v>
      </c>
      <c r="G1042" s="3">
        <v>6</v>
      </c>
      <c r="H1042" t="str">
        <f>"JOHNATHAN ARTHUR NEUROTH"</f>
        <v>JOHNATHAN ARTHUR NEUROTH</v>
      </c>
    </row>
    <row r="1043" spans="1:8" x14ac:dyDescent="0.25">
      <c r="A1043" t="s">
        <v>363</v>
      </c>
      <c r="B1043">
        <v>77874</v>
      </c>
      <c r="C1043" s="2">
        <v>6</v>
      </c>
      <c r="D1043" s="1">
        <v>43312</v>
      </c>
      <c r="E1043" t="str">
        <f>"201807312451"</f>
        <v>201807312451</v>
      </c>
      <c r="F1043" t="str">
        <f>"Miscellane"</f>
        <v>Miscellane</v>
      </c>
      <c r="G1043" s="3">
        <v>6</v>
      </c>
      <c r="H1043" t="str">
        <f>"RANDALL J MOGONYE"</f>
        <v>RANDALL J MOGONYE</v>
      </c>
    </row>
    <row r="1044" spans="1:8" x14ac:dyDescent="0.25">
      <c r="A1044" t="s">
        <v>364</v>
      </c>
      <c r="B1044">
        <v>77875</v>
      </c>
      <c r="C1044" s="2">
        <v>6</v>
      </c>
      <c r="D1044" s="1">
        <v>43312</v>
      </c>
      <c r="E1044" t="str">
        <f>"201807312452"</f>
        <v>201807312452</v>
      </c>
      <c r="F1044" t="str">
        <f>"Miscellaneou"</f>
        <v>Miscellaneou</v>
      </c>
      <c r="G1044" s="3">
        <v>6</v>
      </c>
      <c r="H1044" t="str">
        <f>"KELSEY LEE SNOW"</f>
        <v>KELSEY LEE SNOW</v>
      </c>
    </row>
    <row r="1045" spans="1:8" x14ac:dyDescent="0.25">
      <c r="A1045" t="s">
        <v>365</v>
      </c>
      <c r="B1045">
        <v>77876</v>
      </c>
      <c r="C1045" s="2">
        <v>46</v>
      </c>
      <c r="D1045" s="1">
        <v>43312</v>
      </c>
      <c r="E1045" t="str">
        <f>"201807312453"</f>
        <v>201807312453</v>
      </c>
      <c r="F1045" t="str">
        <f>"Miscellaneou"</f>
        <v>Miscellaneou</v>
      </c>
      <c r="G1045" s="3">
        <v>46</v>
      </c>
      <c r="H1045" t="str">
        <f>"KRISTA LEE MARX"</f>
        <v>KRISTA LEE MARX</v>
      </c>
    </row>
    <row r="1046" spans="1:8" x14ac:dyDescent="0.25">
      <c r="A1046" t="s">
        <v>366</v>
      </c>
      <c r="B1046">
        <v>77877</v>
      </c>
      <c r="C1046" s="2">
        <v>6</v>
      </c>
      <c r="D1046" s="1">
        <v>43312</v>
      </c>
      <c r="E1046" t="str">
        <f>"201807312454"</f>
        <v>201807312454</v>
      </c>
      <c r="F1046" t="str">
        <f>"Misce"</f>
        <v>Misce</v>
      </c>
      <c r="G1046" s="3">
        <v>6</v>
      </c>
      <c r="H1046" t="str">
        <f>"ISSAC DAVID VILLARREAL"</f>
        <v>ISSAC DAVID VILLARREAL</v>
      </c>
    </row>
    <row r="1047" spans="1:8" x14ac:dyDescent="0.25">
      <c r="A1047" t="s">
        <v>367</v>
      </c>
      <c r="B1047">
        <v>77878</v>
      </c>
      <c r="C1047" s="2">
        <v>6</v>
      </c>
      <c r="D1047" s="1">
        <v>43312</v>
      </c>
      <c r="E1047" t="str">
        <f>"201807312455"</f>
        <v>201807312455</v>
      </c>
      <c r="F1047" t="str">
        <f>"Misce"</f>
        <v>Misce</v>
      </c>
      <c r="G1047" s="3">
        <v>6</v>
      </c>
      <c r="H1047" t="str">
        <f>"PAMELA CHRIS GERRITSEN"</f>
        <v>PAMELA CHRIS GERRITSEN</v>
      </c>
    </row>
    <row r="1048" spans="1:8" x14ac:dyDescent="0.25">
      <c r="A1048" t="s">
        <v>368</v>
      </c>
      <c r="B1048">
        <v>77879</v>
      </c>
      <c r="C1048" s="2">
        <v>6</v>
      </c>
      <c r="D1048" s="1">
        <v>43312</v>
      </c>
      <c r="E1048" t="str">
        <f>"201807312456"</f>
        <v>201807312456</v>
      </c>
      <c r="F1048" t="str">
        <f>"Misce"</f>
        <v>Misce</v>
      </c>
      <c r="G1048" s="3">
        <v>6</v>
      </c>
      <c r="H1048" t="str">
        <f>"CLARENCE EDWARD FLUKER"</f>
        <v>CLARENCE EDWARD FLUKER</v>
      </c>
    </row>
    <row r="1049" spans="1:8" x14ac:dyDescent="0.25">
      <c r="A1049" t="s">
        <v>369</v>
      </c>
      <c r="B1049">
        <v>77880</v>
      </c>
      <c r="C1049" s="2">
        <v>6</v>
      </c>
      <c r="D1049" s="1">
        <v>43312</v>
      </c>
      <c r="E1049" t="str">
        <f>"201807312457"</f>
        <v>201807312457</v>
      </c>
      <c r="F1049" t="str">
        <f>"Miscella"</f>
        <v>Miscella</v>
      </c>
      <c r="G1049" s="3">
        <v>6</v>
      </c>
      <c r="H1049" t="str">
        <f>"ROBERT EARL BRISCOE"</f>
        <v>ROBERT EARL BRISCOE</v>
      </c>
    </row>
    <row r="1050" spans="1:8" x14ac:dyDescent="0.25">
      <c r="A1050" t="s">
        <v>370</v>
      </c>
      <c r="B1050">
        <v>77881</v>
      </c>
      <c r="C1050" s="2">
        <v>6</v>
      </c>
      <c r="D1050" s="1">
        <v>43312</v>
      </c>
      <c r="E1050" t="str">
        <f>"201807312458"</f>
        <v>201807312458</v>
      </c>
      <c r="F1050" t="str">
        <f>""</f>
        <v/>
      </c>
      <c r="G1050" s="3">
        <v>6</v>
      </c>
      <c r="H1050" t="str">
        <f>"SAMINA JENEA ANDERSON JONES"</f>
        <v>SAMINA JENEA ANDERSON JONES</v>
      </c>
    </row>
    <row r="1051" spans="1:8" x14ac:dyDescent="0.25">
      <c r="A1051" t="s">
        <v>371</v>
      </c>
      <c r="B1051">
        <v>77882</v>
      </c>
      <c r="C1051" s="2">
        <v>6</v>
      </c>
      <c r="D1051" s="1">
        <v>43312</v>
      </c>
      <c r="E1051" t="str">
        <f>"201807312459"</f>
        <v>201807312459</v>
      </c>
      <c r="F1051" t="str">
        <f>"Mis"</f>
        <v>Mis</v>
      </c>
      <c r="G1051" s="3">
        <v>6</v>
      </c>
      <c r="H1051" t="str">
        <f>"DAVID ANDRONICUS THORSON"</f>
        <v>DAVID ANDRONICUS THORSON</v>
      </c>
    </row>
    <row r="1052" spans="1:8" x14ac:dyDescent="0.25">
      <c r="A1052" t="s">
        <v>372</v>
      </c>
      <c r="B1052">
        <v>77883</v>
      </c>
      <c r="C1052" s="2">
        <v>6</v>
      </c>
      <c r="D1052" s="1">
        <v>43312</v>
      </c>
      <c r="E1052" t="str">
        <f>"201807312460"</f>
        <v>201807312460</v>
      </c>
      <c r="F1052" t="str">
        <f>"Miscell"</f>
        <v>Miscell</v>
      </c>
      <c r="G1052" s="3">
        <v>6</v>
      </c>
      <c r="H1052" t="str">
        <f>"CYNTHIA DENISE JONES"</f>
        <v>CYNTHIA DENISE JONES</v>
      </c>
    </row>
    <row r="1053" spans="1:8" x14ac:dyDescent="0.25">
      <c r="A1053" t="s">
        <v>373</v>
      </c>
      <c r="B1053">
        <v>77884</v>
      </c>
      <c r="C1053" s="2">
        <v>46</v>
      </c>
      <c r="D1053" s="1">
        <v>43312</v>
      </c>
      <c r="E1053" t="str">
        <f>"201807312461"</f>
        <v>201807312461</v>
      </c>
      <c r="F1053" t="str">
        <f>"Miscellaneous"</f>
        <v>Miscellaneous</v>
      </c>
      <c r="G1053" s="3">
        <v>46</v>
      </c>
      <c r="H1053" t="str">
        <f>"JUAN M GARCIA"</f>
        <v>JUAN M GARCIA</v>
      </c>
    </row>
    <row r="1054" spans="1:8" x14ac:dyDescent="0.25">
      <c r="A1054" t="s">
        <v>374</v>
      </c>
      <c r="B1054">
        <v>77885</v>
      </c>
      <c r="C1054" s="2">
        <v>6</v>
      </c>
      <c r="D1054" s="1">
        <v>43312</v>
      </c>
      <c r="E1054" t="str">
        <f>"201807312462"</f>
        <v>201807312462</v>
      </c>
      <c r="F1054" t="str">
        <f>"Miscel"</f>
        <v>Miscel</v>
      </c>
      <c r="G1054" s="3">
        <v>6</v>
      </c>
      <c r="H1054" t="str">
        <f>"MICHAEL ANTHONY SHARP"</f>
        <v>MICHAEL ANTHONY SHARP</v>
      </c>
    </row>
    <row r="1055" spans="1:8" x14ac:dyDescent="0.25">
      <c r="A1055" t="s">
        <v>375</v>
      </c>
      <c r="B1055">
        <v>77886</v>
      </c>
      <c r="C1055" s="2">
        <v>6</v>
      </c>
      <c r="D1055" s="1">
        <v>43312</v>
      </c>
      <c r="E1055" t="str">
        <f>"201807312463"</f>
        <v>201807312463</v>
      </c>
      <c r="F1055" t="str">
        <f>"Misce"</f>
        <v>Misce</v>
      </c>
      <c r="G1055" s="3">
        <v>6</v>
      </c>
      <c r="H1055" t="str">
        <f>"MARSHALL BRENT HILL JR"</f>
        <v>MARSHALL BRENT HILL JR</v>
      </c>
    </row>
    <row r="1056" spans="1:8" x14ac:dyDescent="0.25">
      <c r="A1056" t="s">
        <v>376</v>
      </c>
      <c r="B1056">
        <v>77887</v>
      </c>
      <c r="C1056" s="2">
        <v>6</v>
      </c>
      <c r="D1056" s="1">
        <v>43312</v>
      </c>
      <c r="E1056" t="str">
        <f>"201807312464"</f>
        <v>201807312464</v>
      </c>
      <c r="F1056" t="str">
        <f>"Miscell"</f>
        <v>Miscell</v>
      </c>
      <c r="G1056" s="3">
        <v>6</v>
      </c>
      <c r="H1056" t="str">
        <f>"ISAIAH PATRICK RIVAS"</f>
        <v>ISAIAH PATRICK RIVAS</v>
      </c>
    </row>
    <row r="1057" spans="1:8" x14ac:dyDescent="0.25">
      <c r="A1057" t="s">
        <v>377</v>
      </c>
      <c r="B1057">
        <v>77888</v>
      </c>
      <c r="C1057" s="2">
        <v>6</v>
      </c>
      <c r="D1057" s="1">
        <v>43312</v>
      </c>
      <c r="E1057" t="str">
        <f>"201807312465"</f>
        <v>201807312465</v>
      </c>
      <c r="F1057" t="str">
        <f>"Miscellaneous"</f>
        <v>Miscellaneous</v>
      </c>
      <c r="G1057" s="3">
        <v>6</v>
      </c>
      <c r="H1057" t="str">
        <f>"NATHAN HEATH"</f>
        <v>NATHAN HEATH</v>
      </c>
    </row>
    <row r="1058" spans="1:8" x14ac:dyDescent="0.25">
      <c r="A1058" t="s">
        <v>378</v>
      </c>
      <c r="B1058">
        <v>77760</v>
      </c>
      <c r="C1058" s="2">
        <v>290</v>
      </c>
      <c r="D1058" s="1">
        <v>43304</v>
      </c>
      <c r="E1058" t="str">
        <f>"15867"</f>
        <v>15867</v>
      </c>
      <c r="F1058" t="str">
        <f>"JUNE DUMPSTER RENTAL/GEN SVCS"</f>
        <v>JUNE DUMPSTER RENTAL/GEN SVCS</v>
      </c>
      <c r="G1058" s="3">
        <v>145</v>
      </c>
      <c r="H1058" t="str">
        <f>"JUNE DUMPSTER RENTAL/GEN SVCS"</f>
        <v>JUNE DUMPSTER RENTAL/GEN SVCS</v>
      </c>
    </row>
    <row r="1059" spans="1:8" x14ac:dyDescent="0.25">
      <c r="E1059" t="str">
        <f>"16490"</f>
        <v>16490</v>
      </c>
      <c r="F1059" t="str">
        <f>"JULY DUMPSTER RENTAL/GEN SVCS"</f>
        <v>JULY DUMPSTER RENTAL/GEN SVCS</v>
      </c>
      <c r="G1059" s="3">
        <v>145</v>
      </c>
      <c r="H1059" t="str">
        <f>"JULY DUMPSTER RENTAL/GEN SVCS"</f>
        <v>JULY DUMPSTER RENTAL/GEN SVCS</v>
      </c>
    </row>
    <row r="1060" spans="1:8" x14ac:dyDescent="0.25">
      <c r="A1060" t="s">
        <v>379</v>
      </c>
      <c r="B1060">
        <v>77761</v>
      </c>
      <c r="C1060" s="2">
        <v>531.42999999999995</v>
      </c>
      <c r="D1060" s="1">
        <v>43304</v>
      </c>
      <c r="E1060" t="str">
        <f>"SUPPLIES FOR JAIL"</f>
        <v>SUPPLIES FOR JAIL</v>
      </c>
      <c r="F1060" t="str">
        <f>"MEDICAL SUPPLIES"</f>
        <v>MEDICAL SUPPLIES</v>
      </c>
      <c r="G1060" s="3">
        <v>531.42999999999995</v>
      </c>
      <c r="H1060" t="str">
        <f>"INV 99910588"</f>
        <v>INV 99910588</v>
      </c>
    </row>
    <row r="1061" spans="1:8" x14ac:dyDescent="0.25">
      <c r="E1061" t="str">
        <f>""</f>
        <v/>
      </c>
      <c r="F1061" t="str">
        <f>""</f>
        <v/>
      </c>
      <c r="H1061" t="str">
        <f>"INV 99921543"</f>
        <v>INV 99921543</v>
      </c>
    </row>
    <row r="1062" spans="1:8" x14ac:dyDescent="0.25">
      <c r="E1062" t="str">
        <f>""</f>
        <v/>
      </c>
      <c r="F1062" t="str">
        <f>""</f>
        <v/>
      </c>
      <c r="H1062" t="str">
        <f>"INV 99951855"</f>
        <v>INV 99951855</v>
      </c>
    </row>
    <row r="1063" spans="1:8" x14ac:dyDescent="0.25">
      <c r="E1063" t="str">
        <f>""</f>
        <v/>
      </c>
      <c r="F1063" t="str">
        <f>""</f>
        <v/>
      </c>
      <c r="H1063" t="str">
        <f>"INV 99956450"</f>
        <v>INV 99956450</v>
      </c>
    </row>
    <row r="1064" spans="1:8" x14ac:dyDescent="0.25">
      <c r="A1064" t="s">
        <v>380</v>
      </c>
      <c r="B1064">
        <v>77455</v>
      </c>
      <c r="C1064" s="2">
        <v>1377.24</v>
      </c>
      <c r="D1064" s="1">
        <v>43290</v>
      </c>
      <c r="E1064" t="str">
        <f>"201807021769"</f>
        <v>201807021769</v>
      </c>
      <c r="F1064" t="str">
        <f>"18-19013"</f>
        <v>18-19013</v>
      </c>
      <c r="G1064" s="3">
        <v>1377.24</v>
      </c>
      <c r="H1064" t="str">
        <f>"18-19013"</f>
        <v>18-19013</v>
      </c>
    </row>
    <row r="1065" spans="1:8" x14ac:dyDescent="0.25">
      <c r="A1065" t="s">
        <v>381</v>
      </c>
      <c r="B1065">
        <v>77516</v>
      </c>
      <c r="C1065" s="2">
        <v>988.94</v>
      </c>
      <c r="D1065" s="1">
        <v>43290</v>
      </c>
      <c r="E1065" t="str">
        <f>"S1004343774.001"</f>
        <v>S1004343774.001</v>
      </c>
      <c r="F1065" t="str">
        <f>"INV S1004343774.001"</f>
        <v>INV S1004343774.001</v>
      </c>
      <c r="G1065" s="3">
        <v>988.94</v>
      </c>
      <c r="H1065" t="str">
        <f>"INV S1004343774.001"</f>
        <v>INV S1004343774.001</v>
      </c>
    </row>
    <row r="1066" spans="1:8" x14ac:dyDescent="0.25">
      <c r="A1066" t="s">
        <v>382</v>
      </c>
      <c r="B1066">
        <v>77762</v>
      </c>
      <c r="C1066" s="2">
        <v>20462.349999999999</v>
      </c>
      <c r="D1066" s="1">
        <v>43304</v>
      </c>
      <c r="E1066" t="str">
        <f>"201807132208"</f>
        <v>201807132208</v>
      </c>
      <c r="F1066" t="str">
        <f>"RADIO SERVICE AGREEMENT"</f>
        <v>RADIO SERVICE AGREEMENT</v>
      </c>
      <c r="G1066" s="3">
        <v>20462.349999999999</v>
      </c>
      <c r="H1066" t="str">
        <f>"RADIO SERVICE AGREEMENT"</f>
        <v>RADIO SERVICE AGREEMENT</v>
      </c>
    </row>
    <row r="1067" spans="1:8" x14ac:dyDescent="0.25">
      <c r="A1067" t="s">
        <v>383</v>
      </c>
      <c r="B1067">
        <v>77763</v>
      </c>
      <c r="C1067" s="2">
        <v>795</v>
      </c>
      <c r="D1067" s="1">
        <v>43304</v>
      </c>
      <c r="E1067" t="str">
        <f>"86508370"</f>
        <v>86508370</v>
      </c>
      <c r="F1067" t="str">
        <f>"ACCT#150344157/GEN SVCS"</f>
        <v>ACCT#150344157/GEN SVCS</v>
      </c>
      <c r="G1067" s="3">
        <v>795</v>
      </c>
      <c r="H1067" t="str">
        <f>"ACCT#150344157/GEN SVCS"</f>
        <v>ACCT#150344157/GEN SVCS</v>
      </c>
    </row>
    <row r="1068" spans="1:8" x14ac:dyDescent="0.25">
      <c r="A1068" t="s">
        <v>384</v>
      </c>
      <c r="B1068">
        <v>77517</v>
      </c>
      <c r="C1068" s="2">
        <v>314.16000000000003</v>
      </c>
      <c r="D1068" s="1">
        <v>43290</v>
      </c>
      <c r="E1068" t="str">
        <f>"201807031877"</f>
        <v>201807031877</v>
      </c>
      <c r="F1068" t="str">
        <f>"TRAVEL ADVANCE-PER DIEM/MILEAG"</f>
        <v>TRAVEL ADVANCE-PER DIEM/MILEAG</v>
      </c>
      <c r="G1068" s="3">
        <v>314.16000000000003</v>
      </c>
      <c r="H1068" t="str">
        <f>"TRAVEL ADVANCE-PER DIEM/MILEAG"</f>
        <v>TRAVEL ADVANCE-PER DIEM/MILEAG</v>
      </c>
    </row>
    <row r="1069" spans="1:8" x14ac:dyDescent="0.25">
      <c r="A1069" t="s">
        <v>385</v>
      </c>
      <c r="B1069">
        <v>77764</v>
      </c>
      <c r="C1069" s="2">
        <v>263.06</v>
      </c>
      <c r="D1069" s="1">
        <v>43304</v>
      </c>
      <c r="E1069" t="str">
        <f>"488063"</f>
        <v>488063</v>
      </c>
      <c r="F1069" t="str">
        <f>"ACCT#24367000/RABIES TAGS"</f>
        <v>ACCT#24367000/RABIES TAGS</v>
      </c>
      <c r="G1069" s="3">
        <v>263.06</v>
      </c>
      <c r="H1069" t="str">
        <f>"ACCT#24367000/RABIES TAGS"</f>
        <v>ACCT#24367000/RABIES TAGS</v>
      </c>
    </row>
    <row r="1070" spans="1:8" x14ac:dyDescent="0.25">
      <c r="A1070" t="s">
        <v>386</v>
      </c>
      <c r="B1070">
        <v>999999</v>
      </c>
      <c r="C1070" s="2">
        <v>11444.06</v>
      </c>
      <c r="D1070" s="1">
        <v>43291</v>
      </c>
      <c r="E1070" t="str">
        <f>"FOOD FOR JAIL INMA"</f>
        <v>FOOD FOR JAIL INMA</v>
      </c>
      <c r="F1070" t="str">
        <f>"MULTIPLE INVOICES"</f>
        <v>MULTIPLE INVOICES</v>
      </c>
      <c r="G1070" s="3">
        <v>11444.06</v>
      </c>
      <c r="H1070" t="str">
        <f>"INV IN0804498"</f>
        <v>INV IN0804498</v>
      </c>
    </row>
    <row r="1071" spans="1:8" x14ac:dyDescent="0.25">
      <c r="E1071" t="str">
        <f>""</f>
        <v/>
      </c>
      <c r="F1071" t="str">
        <f>""</f>
        <v/>
      </c>
      <c r="H1071" t="str">
        <f>"INV IN0804686"</f>
        <v>INV IN0804686</v>
      </c>
    </row>
    <row r="1072" spans="1:8" x14ac:dyDescent="0.25">
      <c r="E1072" t="str">
        <f>""</f>
        <v/>
      </c>
      <c r="F1072" t="str">
        <f>""</f>
        <v/>
      </c>
      <c r="H1072" t="str">
        <f>"INV IN0804775"</f>
        <v>INV IN0804775</v>
      </c>
    </row>
    <row r="1073" spans="1:8" x14ac:dyDescent="0.25">
      <c r="E1073" t="str">
        <f>""</f>
        <v/>
      </c>
      <c r="F1073" t="str">
        <f>""</f>
        <v/>
      </c>
      <c r="H1073" t="str">
        <f>"INV IN0804772"</f>
        <v>INV IN0804772</v>
      </c>
    </row>
    <row r="1074" spans="1:8" x14ac:dyDescent="0.25">
      <c r="E1074" t="str">
        <f>""</f>
        <v/>
      </c>
      <c r="F1074" t="str">
        <f>""</f>
        <v/>
      </c>
      <c r="H1074" t="str">
        <f>"INV IN0804830"</f>
        <v>INV IN0804830</v>
      </c>
    </row>
    <row r="1075" spans="1:8" x14ac:dyDescent="0.25">
      <c r="A1075" t="s">
        <v>386</v>
      </c>
      <c r="B1075">
        <v>999999</v>
      </c>
      <c r="C1075" s="2">
        <v>7698.45</v>
      </c>
      <c r="D1075" s="1">
        <v>43305</v>
      </c>
      <c r="E1075" t="str">
        <f>"IN0804822/5110"</f>
        <v>IN0804822/5110</v>
      </c>
      <c r="F1075" t="str">
        <f>"FOOD PRODUCTS FOR JAIL"</f>
        <v>FOOD PRODUCTS FOR JAIL</v>
      </c>
      <c r="G1075" s="3">
        <v>7698.45</v>
      </c>
      <c r="H1075" t="str">
        <f>"INV IN0804822"</f>
        <v>INV IN0804822</v>
      </c>
    </row>
    <row r="1076" spans="1:8" x14ac:dyDescent="0.25">
      <c r="E1076" t="str">
        <f>""</f>
        <v/>
      </c>
      <c r="F1076" t="str">
        <f>""</f>
        <v/>
      </c>
      <c r="H1076" t="str">
        <f>"INV IN0805110"</f>
        <v>INV IN0805110</v>
      </c>
    </row>
    <row r="1077" spans="1:8" x14ac:dyDescent="0.25">
      <c r="A1077" t="s">
        <v>387</v>
      </c>
      <c r="B1077">
        <v>77765</v>
      </c>
      <c r="C1077" s="2">
        <v>75</v>
      </c>
      <c r="D1077" s="1">
        <v>43304</v>
      </c>
      <c r="E1077" t="str">
        <f>"12654"</f>
        <v>12654</v>
      </c>
      <c r="F1077" t="str">
        <f>"SERVICE  05/03/18"</f>
        <v>SERVICE  05/03/18</v>
      </c>
      <c r="G1077" s="3">
        <v>75</v>
      </c>
      <c r="H1077" t="str">
        <f>"SERVICE  05/03/18"</f>
        <v>SERVICE  05/03/18</v>
      </c>
    </row>
    <row r="1078" spans="1:8" x14ac:dyDescent="0.25">
      <c r="A1078" t="s">
        <v>388</v>
      </c>
      <c r="B1078">
        <v>999999</v>
      </c>
      <c r="C1078" s="2">
        <v>26.52</v>
      </c>
      <c r="D1078" s="1">
        <v>43291</v>
      </c>
      <c r="E1078" t="str">
        <f>"0581-371577"</f>
        <v>0581-371577</v>
      </c>
      <c r="F1078" t="str">
        <f>"INV 0581-371577"</f>
        <v>INV 0581-371577</v>
      </c>
      <c r="G1078" s="3">
        <v>26.52</v>
      </c>
      <c r="H1078" t="str">
        <f>"INV 0581-371577"</f>
        <v>INV 0581-371577</v>
      </c>
    </row>
    <row r="1079" spans="1:8" x14ac:dyDescent="0.25">
      <c r="A1079" t="s">
        <v>388</v>
      </c>
      <c r="B1079">
        <v>999999</v>
      </c>
      <c r="C1079" s="2">
        <v>494.22</v>
      </c>
      <c r="D1079" s="1">
        <v>43305</v>
      </c>
      <c r="E1079" t="str">
        <f>"201807132227"</f>
        <v>201807132227</v>
      </c>
      <c r="F1079" t="str">
        <f>"CUST#99088/PCT#4"</f>
        <v>CUST#99088/PCT#4</v>
      </c>
      <c r="G1079" s="3">
        <v>494.22</v>
      </c>
      <c r="H1079" t="str">
        <f>"CUST#99088/PCT#4"</f>
        <v>CUST#99088/PCT#4</v>
      </c>
    </row>
    <row r="1080" spans="1:8" x14ac:dyDescent="0.25">
      <c r="A1080" t="s">
        <v>389</v>
      </c>
      <c r="B1080">
        <v>77518</v>
      </c>
      <c r="C1080" s="2">
        <v>476</v>
      </c>
      <c r="D1080" s="1">
        <v>43290</v>
      </c>
      <c r="E1080" t="str">
        <f>"1282791/1286045"</f>
        <v>1282791/1286045</v>
      </c>
      <c r="F1080" t="str">
        <f>"INV 1282791/1286045"</f>
        <v>INV 1282791/1286045</v>
      </c>
      <c r="G1080" s="3">
        <v>476</v>
      </c>
      <c r="H1080" t="str">
        <f>"INV 1282791"</f>
        <v>INV 1282791</v>
      </c>
    </row>
    <row r="1081" spans="1:8" x14ac:dyDescent="0.25">
      <c r="E1081" t="str">
        <f>""</f>
        <v/>
      </c>
      <c r="F1081" t="str">
        <f>""</f>
        <v/>
      </c>
      <c r="H1081" t="str">
        <f>"INV 1286045"</f>
        <v>INV 1286045</v>
      </c>
    </row>
    <row r="1082" spans="1:8" x14ac:dyDescent="0.25">
      <c r="A1082" t="s">
        <v>389</v>
      </c>
      <c r="B1082">
        <v>77766</v>
      </c>
      <c r="C1082" s="2">
        <v>952</v>
      </c>
      <c r="D1082" s="1">
        <v>43304</v>
      </c>
      <c r="E1082" t="str">
        <f>"MILK PRODUCTS-JAIL"</f>
        <v>MILK PRODUCTS-JAIL</v>
      </c>
      <c r="F1082" t="str">
        <f>"MILK PRODUCTS FOR JAIL"</f>
        <v>MILK PRODUCTS FOR JAIL</v>
      </c>
      <c r="G1082" s="3">
        <v>952</v>
      </c>
      <c r="H1082" t="str">
        <f>"INV 1287906"</f>
        <v>INV 1287906</v>
      </c>
    </row>
    <row r="1083" spans="1:8" x14ac:dyDescent="0.25">
      <c r="E1083" t="str">
        <f>""</f>
        <v/>
      </c>
      <c r="F1083" t="str">
        <f>""</f>
        <v/>
      </c>
      <c r="H1083" t="str">
        <f>"INV 1291804"</f>
        <v>INV 1291804</v>
      </c>
    </row>
    <row r="1084" spans="1:8" x14ac:dyDescent="0.25">
      <c r="E1084" t="str">
        <f>""</f>
        <v/>
      </c>
      <c r="F1084" t="str">
        <f>""</f>
        <v/>
      </c>
      <c r="H1084" t="str">
        <f>"INV 1294280"</f>
        <v>INV 1294280</v>
      </c>
    </row>
    <row r="1085" spans="1:8" x14ac:dyDescent="0.25">
      <c r="E1085" t="str">
        <f>""</f>
        <v/>
      </c>
      <c r="F1085" t="str">
        <f>""</f>
        <v/>
      </c>
      <c r="H1085" t="str">
        <f>"INV 1297887"</f>
        <v>INV 1297887</v>
      </c>
    </row>
    <row r="1086" spans="1:8" x14ac:dyDescent="0.25">
      <c r="A1086" t="s">
        <v>390</v>
      </c>
      <c r="B1086">
        <v>77767</v>
      </c>
      <c r="C1086" s="2">
        <v>2694.44</v>
      </c>
      <c r="D1086" s="1">
        <v>43304</v>
      </c>
      <c r="E1086" t="str">
        <f>"9765267"</f>
        <v>9765267</v>
      </c>
      <c r="F1086" t="str">
        <f>"Bill# 9765267"</f>
        <v>Bill# 9765267</v>
      </c>
      <c r="G1086" s="3">
        <v>2694.44</v>
      </c>
      <c r="H1086" t="str">
        <f>"Ord# 156813751001"</f>
        <v>Ord# 156813751001</v>
      </c>
    </row>
    <row r="1087" spans="1:8" x14ac:dyDescent="0.25">
      <c r="E1087" t="str">
        <f>""</f>
        <v/>
      </c>
      <c r="F1087" t="str">
        <f>""</f>
        <v/>
      </c>
      <c r="H1087" t="str">
        <f>"Ord# 156820529002"</f>
        <v>Ord# 156820529002</v>
      </c>
    </row>
    <row r="1088" spans="1:8" x14ac:dyDescent="0.25">
      <c r="E1088" t="str">
        <f>""</f>
        <v/>
      </c>
      <c r="F1088" t="str">
        <f>""</f>
        <v/>
      </c>
      <c r="H1088" t="str">
        <f>"Ord# 155425719001"</f>
        <v>Ord# 155425719001</v>
      </c>
    </row>
    <row r="1089" spans="5:8" x14ac:dyDescent="0.25">
      <c r="E1089" t="str">
        <f>""</f>
        <v/>
      </c>
      <c r="F1089" t="str">
        <f>""</f>
        <v/>
      </c>
      <c r="H1089" t="str">
        <f>"Ord# 159466858001"</f>
        <v>Ord# 159466858001</v>
      </c>
    </row>
    <row r="1090" spans="5:8" x14ac:dyDescent="0.25">
      <c r="E1090" t="str">
        <f>""</f>
        <v/>
      </c>
      <c r="F1090" t="str">
        <f>""</f>
        <v/>
      </c>
      <c r="H1090" t="str">
        <f>"Ord# 157550221001"</f>
        <v>Ord# 157550221001</v>
      </c>
    </row>
    <row r="1091" spans="5:8" x14ac:dyDescent="0.25">
      <c r="E1091" t="str">
        <f>""</f>
        <v/>
      </c>
      <c r="F1091" t="str">
        <f>""</f>
        <v/>
      </c>
      <c r="H1091" t="str">
        <f>"Ord# 157580035001"</f>
        <v>Ord# 157580035001</v>
      </c>
    </row>
    <row r="1092" spans="5:8" x14ac:dyDescent="0.25">
      <c r="E1092" t="str">
        <f>""</f>
        <v/>
      </c>
      <c r="F1092" t="str">
        <f>""</f>
        <v/>
      </c>
      <c r="H1092" t="str">
        <f>"Ord# 157580036001"</f>
        <v>Ord# 157580036001</v>
      </c>
    </row>
    <row r="1093" spans="5:8" x14ac:dyDescent="0.25">
      <c r="E1093" t="str">
        <f>""</f>
        <v/>
      </c>
      <c r="F1093" t="str">
        <f>""</f>
        <v/>
      </c>
      <c r="H1093" t="str">
        <f>"Ord# 157580038001"</f>
        <v>Ord# 157580038001</v>
      </c>
    </row>
    <row r="1094" spans="5:8" x14ac:dyDescent="0.25">
      <c r="E1094" t="str">
        <f>""</f>
        <v/>
      </c>
      <c r="F1094" t="str">
        <f>""</f>
        <v/>
      </c>
      <c r="H1094" t="str">
        <f>"Ord# 15803202001"</f>
        <v>Ord# 15803202001</v>
      </c>
    </row>
    <row r="1095" spans="5:8" x14ac:dyDescent="0.25">
      <c r="E1095" t="str">
        <f>""</f>
        <v/>
      </c>
      <c r="F1095" t="str">
        <f>""</f>
        <v/>
      </c>
      <c r="H1095" t="str">
        <f>"Ord# 158034208001"</f>
        <v>Ord# 158034208001</v>
      </c>
    </row>
    <row r="1096" spans="5:8" x14ac:dyDescent="0.25">
      <c r="E1096" t="str">
        <f>""</f>
        <v/>
      </c>
      <c r="F1096" t="str">
        <f>""</f>
        <v/>
      </c>
      <c r="H1096" t="str">
        <f>"Ord# 156971079001"</f>
        <v>Ord# 156971079001</v>
      </c>
    </row>
    <row r="1097" spans="5:8" x14ac:dyDescent="0.25">
      <c r="E1097" t="str">
        <f>""</f>
        <v/>
      </c>
      <c r="F1097" t="str">
        <f>""</f>
        <v/>
      </c>
      <c r="H1097" t="str">
        <f>"Ord# 156975438001"</f>
        <v>Ord# 156975438001</v>
      </c>
    </row>
    <row r="1098" spans="5:8" x14ac:dyDescent="0.25">
      <c r="E1098" t="str">
        <f>""</f>
        <v/>
      </c>
      <c r="F1098" t="str">
        <f>""</f>
        <v/>
      </c>
      <c r="H1098" t="str">
        <f>"Ord# 155249488001"</f>
        <v>Ord# 155249488001</v>
      </c>
    </row>
    <row r="1099" spans="5:8" x14ac:dyDescent="0.25">
      <c r="E1099" t="str">
        <f>""</f>
        <v/>
      </c>
      <c r="F1099" t="str">
        <f>""</f>
        <v/>
      </c>
      <c r="H1099" t="str">
        <f>"Ord# 155253222001"</f>
        <v>Ord# 155253222001</v>
      </c>
    </row>
    <row r="1100" spans="5:8" x14ac:dyDescent="0.25">
      <c r="E1100" t="str">
        <f>""</f>
        <v/>
      </c>
      <c r="F1100" t="str">
        <f>""</f>
        <v/>
      </c>
      <c r="H1100" t="str">
        <f>"Ord# 155253223001"</f>
        <v>Ord# 155253223001</v>
      </c>
    </row>
    <row r="1101" spans="5:8" x14ac:dyDescent="0.25">
      <c r="E1101" t="str">
        <f>""</f>
        <v/>
      </c>
      <c r="F1101" t="str">
        <f>""</f>
        <v/>
      </c>
      <c r="H1101" t="str">
        <f>"Ord# 156469468001"</f>
        <v>Ord# 156469468001</v>
      </c>
    </row>
    <row r="1102" spans="5:8" x14ac:dyDescent="0.25">
      <c r="E1102" t="str">
        <f>""</f>
        <v/>
      </c>
      <c r="F1102" t="str">
        <f>""</f>
        <v/>
      </c>
      <c r="H1102" t="str">
        <f>"Ord# 156471407001"</f>
        <v>Ord# 156471407001</v>
      </c>
    </row>
    <row r="1103" spans="5:8" x14ac:dyDescent="0.25">
      <c r="E1103" t="str">
        <f>""</f>
        <v/>
      </c>
      <c r="F1103" t="str">
        <f>""</f>
        <v/>
      </c>
      <c r="H1103" t="str">
        <f>"Ord# 154149403001"</f>
        <v>Ord# 154149403001</v>
      </c>
    </row>
    <row r="1104" spans="5:8" x14ac:dyDescent="0.25">
      <c r="E1104" t="str">
        <f>""</f>
        <v/>
      </c>
      <c r="F1104" t="str">
        <f>""</f>
        <v/>
      </c>
      <c r="H1104" t="str">
        <f>"Ord# 154485102001"</f>
        <v>Ord# 154485102001</v>
      </c>
    </row>
    <row r="1105" spans="1:8" x14ac:dyDescent="0.25">
      <c r="E1105" t="str">
        <f>""</f>
        <v/>
      </c>
      <c r="F1105" t="str">
        <f>""</f>
        <v/>
      </c>
      <c r="H1105" t="str">
        <f>"Ord# 157288492001"</f>
        <v>Ord# 157288492001</v>
      </c>
    </row>
    <row r="1106" spans="1:8" x14ac:dyDescent="0.25">
      <c r="E1106" t="str">
        <f>""</f>
        <v/>
      </c>
      <c r="F1106" t="str">
        <f>""</f>
        <v/>
      </c>
      <c r="H1106" t="str">
        <f>"Ord# 157291889001"</f>
        <v>Ord# 157291889001</v>
      </c>
    </row>
    <row r="1107" spans="1:8" x14ac:dyDescent="0.25">
      <c r="A1107" t="s">
        <v>391</v>
      </c>
      <c r="B1107">
        <v>77768</v>
      </c>
      <c r="C1107" s="2">
        <v>2754</v>
      </c>
      <c r="D1107" s="1">
        <v>43304</v>
      </c>
      <c r="E1107" t="str">
        <f>"218-001011"</f>
        <v>218-001011</v>
      </c>
      <c r="F1107" t="str">
        <f>"2ND QTR ACTIVITY/PCT#1"</f>
        <v>2ND QTR ACTIVITY/PCT#1</v>
      </c>
      <c r="G1107" s="3">
        <v>420</v>
      </c>
      <c r="H1107" t="str">
        <f>"2ND QTR ACTIVITY/PCT#1"</f>
        <v>2ND QTR ACTIVITY/PCT#1</v>
      </c>
    </row>
    <row r="1108" spans="1:8" x14ac:dyDescent="0.25">
      <c r="E1108" t="str">
        <f>"218-003011"</f>
        <v>218-003011</v>
      </c>
      <c r="F1108" t="str">
        <f>"2ND QTR ACTIVITY/PCT#3"</f>
        <v>2ND QTR ACTIVITY/PCT#3</v>
      </c>
      <c r="G1108" s="3">
        <v>1296</v>
      </c>
      <c r="H1108" t="str">
        <f>"2ND QTR ACTIVITY/PCT#3"</f>
        <v>2ND QTR ACTIVITY/PCT#3</v>
      </c>
    </row>
    <row r="1109" spans="1:8" x14ac:dyDescent="0.25">
      <c r="E1109" t="str">
        <f>"218-004011"</f>
        <v>218-004011</v>
      </c>
      <c r="F1109" t="str">
        <f>"2ND QTR ACTIVITY/PCT#4"</f>
        <v>2ND QTR ACTIVITY/PCT#4</v>
      </c>
      <c r="G1109" s="3">
        <v>984</v>
      </c>
      <c r="H1109" t="str">
        <f>"2ND QTR ACTIVITY/PCT#4"</f>
        <v>2ND QTR ACTIVITY/PCT#4</v>
      </c>
    </row>
    <row r="1110" spans="1:8" x14ac:dyDescent="0.25">
      <c r="E1110" t="str">
        <f>"218-008011"</f>
        <v>218-008011</v>
      </c>
      <c r="F1110" t="str">
        <f>"2ND QTR 2018-COUNTY CLERK"</f>
        <v>2ND QTR 2018-COUNTY CLERK</v>
      </c>
      <c r="G1110" s="3">
        <v>48</v>
      </c>
      <c r="H1110" t="str">
        <f>"2ND QTR 2018-COUNTY CLERK"</f>
        <v>2ND QTR 2018-COUNTY CLERK</v>
      </c>
    </row>
    <row r="1111" spans="1:8" x14ac:dyDescent="0.25">
      <c r="E1111" t="str">
        <f>"218-009011"</f>
        <v>218-009011</v>
      </c>
      <c r="F1111" t="str">
        <f>"2ND QTR ACTIVITY/DIST CLERK"</f>
        <v>2ND QTR ACTIVITY/DIST CLERK</v>
      </c>
      <c r="G1111" s="3">
        <v>6</v>
      </c>
      <c r="H1111" t="str">
        <f>"2ND QTR ACTIVITY/DIST CLERK"</f>
        <v>2ND QTR ACTIVITY/DIST CLERK</v>
      </c>
    </row>
    <row r="1112" spans="1:8" x14ac:dyDescent="0.25">
      <c r="A1112" t="s">
        <v>392</v>
      </c>
      <c r="B1112">
        <v>77769</v>
      </c>
      <c r="C1112" s="2">
        <v>420</v>
      </c>
      <c r="D1112" s="1">
        <v>43304</v>
      </c>
      <c r="E1112" t="str">
        <f>"284429"</f>
        <v>284429</v>
      </c>
      <c r="F1112" t="str">
        <f>"CUST ID:BASCOU/DRUG SCREEN/AS"</f>
        <v>CUST ID:BASCOU/DRUG SCREEN/AS</v>
      </c>
      <c r="G1112" s="3">
        <v>40</v>
      </c>
      <c r="H1112" t="str">
        <f>"CUST ID:BASCOU/DRUG SCREEN/AS"</f>
        <v>CUST ID:BASCOU/DRUG SCREEN/AS</v>
      </c>
    </row>
    <row r="1113" spans="1:8" x14ac:dyDescent="0.25">
      <c r="E1113" t="str">
        <f>"284429 - P1"</f>
        <v>284429 - P1</v>
      </c>
      <c r="F1113" t="str">
        <f>"CUST ID:BASCOU/DRUG SCREEN/P1"</f>
        <v>CUST ID:BASCOU/DRUG SCREEN/P1</v>
      </c>
      <c r="G1113" s="3">
        <v>45</v>
      </c>
      <c r="H1113" t="str">
        <f>"CUST ID:BASCOU/DRUG SCREEN/P1"</f>
        <v>CUST ID:BASCOU/DRUG SCREEN/P1</v>
      </c>
    </row>
    <row r="1114" spans="1:8" x14ac:dyDescent="0.25">
      <c r="E1114" t="str">
        <f>"284429 - P2"</f>
        <v>284429 - P2</v>
      </c>
      <c r="F1114" t="str">
        <f>"CUST ID:BASCOU/DRUG SCREEN/P2"</f>
        <v>CUST ID:BASCOU/DRUG SCREEN/P2</v>
      </c>
      <c r="G1114" s="3">
        <v>120</v>
      </c>
      <c r="H1114" t="str">
        <f>"CUST ID:BASCOU/DRUG SCREEN/P2"</f>
        <v>CUST ID:BASCOU/DRUG SCREEN/P2</v>
      </c>
    </row>
    <row r="1115" spans="1:8" x14ac:dyDescent="0.25">
      <c r="E1115" t="str">
        <f>"284429 - P4"</f>
        <v>284429 - P4</v>
      </c>
      <c r="F1115" t="str">
        <f>"CUST ID:BASCOU/DRUG SCREEN/P4"</f>
        <v>CUST ID:BASCOU/DRUG SCREEN/P4</v>
      </c>
      <c r="G1115" s="3">
        <v>215</v>
      </c>
      <c r="H1115" t="str">
        <f>"CUST ID:BASCOU/DRUG SCREEN/P4"</f>
        <v>CUST ID:BASCOU/DRUG SCREEN/P4</v>
      </c>
    </row>
    <row r="1116" spans="1:8" x14ac:dyDescent="0.25">
      <c r="A1116" t="s">
        <v>393</v>
      </c>
      <c r="B1116">
        <v>77770</v>
      </c>
      <c r="C1116" s="2">
        <v>441</v>
      </c>
      <c r="D1116" s="1">
        <v>43304</v>
      </c>
      <c r="E1116" t="str">
        <f>"230683"</f>
        <v>230683</v>
      </c>
      <c r="F1116" t="str">
        <f>"18 BCP04E"</f>
        <v>18 BCP04E</v>
      </c>
      <c r="G1116" s="3">
        <v>441</v>
      </c>
      <c r="H1116" t="str">
        <f>"36 x50yds Black YD3M"</f>
        <v>36 x50yds Black YD3M</v>
      </c>
    </row>
    <row r="1117" spans="1:8" x14ac:dyDescent="0.25">
      <c r="A1117" t="s">
        <v>394</v>
      </c>
      <c r="B1117">
        <v>77520</v>
      </c>
      <c r="C1117" s="2">
        <v>1142.5899999999999</v>
      </c>
      <c r="D1117" s="1">
        <v>43290</v>
      </c>
      <c r="E1117" t="str">
        <f>"10153"</f>
        <v>10153</v>
      </c>
      <c r="F1117" t="str">
        <f>"REPAIRS/PCT#4"</f>
        <v>REPAIRS/PCT#4</v>
      </c>
      <c r="G1117" s="3">
        <v>247.64</v>
      </c>
      <c r="H1117" t="str">
        <f>"REPAIRS/PCT#4"</f>
        <v>REPAIRS/PCT#4</v>
      </c>
    </row>
    <row r="1118" spans="1:8" x14ac:dyDescent="0.25">
      <c r="E1118" t="str">
        <f>"62203"</f>
        <v>62203</v>
      </c>
      <c r="F1118" t="str">
        <f>"DRIVE SHAFT ASSY/PCT#2"</f>
        <v>DRIVE SHAFT ASSY/PCT#2</v>
      </c>
      <c r="G1118" s="3">
        <v>853.52</v>
      </c>
      <c r="H1118" t="str">
        <f>"DRIVE SHAFT ASSY/PCT#2"</f>
        <v>DRIVE SHAFT ASSY/PCT#2</v>
      </c>
    </row>
    <row r="1119" spans="1:8" x14ac:dyDescent="0.25">
      <c r="E1119" t="str">
        <f>"62204"</f>
        <v>62204</v>
      </c>
      <c r="F1119" t="str">
        <f>"FUEL VALVE/PCT#2"</f>
        <v>FUEL VALVE/PCT#2</v>
      </c>
      <c r="G1119" s="3">
        <v>41.43</v>
      </c>
      <c r="H1119" t="str">
        <f>"FUEL VALVE/PCT#2"</f>
        <v>FUEL VALVE/PCT#2</v>
      </c>
    </row>
    <row r="1120" spans="1:8" x14ac:dyDescent="0.25">
      <c r="A1120" t="s">
        <v>395</v>
      </c>
      <c r="B1120">
        <v>77521</v>
      </c>
      <c r="C1120" s="2">
        <v>5510.6</v>
      </c>
      <c r="D1120" s="1">
        <v>43290</v>
      </c>
      <c r="E1120" t="str">
        <f>"2008331"</f>
        <v>2008331</v>
      </c>
      <c r="F1120" t="str">
        <f>"INSTALL 2 NEW EXIT LIGHTS"</f>
        <v>INSTALL 2 NEW EXIT LIGHTS</v>
      </c>
      <c r="G1120" s="3">
        <v>760.3</v>
      </c>
    </row>
    <row r="1121" spans="1:8" x14ac:dyDescent="0.25">
      <c r="E1121" t="str">
        <f>"2008333"</f>
        <v>2008333</v>
      </c>
      <c r="F1121" t="str">
        <f>"ELECTRICAL SVCS/CT HOUSE ANNEX"</f>
        <v>ELECTRICAL SVCS/CT HOUSE ANNEX</v>
      </c>
      <c r="G1121" s="3">
        <v>2448.8000000000002</v>
      </c>
    </row>
    <row r="1122" spans="1:8" x14ac:dyDescent="0.25">
      <c r="E1122" t="str">
        <f>"2008336"</f>
        <v>2008336</v>
      </c>
      <c r="F1122" t="str">
        <f>"REPLACE BURNED/SHORTED PANEL"</f>
        <v>REPLACE BURNED/SHORTED PANEL</v>
      </c>
      <c r="G1122" s="3">
        <v>1361.85</v>
      </c>
    </row>
    <row r="1123" spans="1:8" x14ac:dyDescent="0.25">
      <c r="E1123" t="str">
        <f>"2008337"</f>
        <v>2008337</v>
      </c>
      <c r="F1123" t="str">
        <f>"ADD OUTLET/CT HOUSE ANNEX"</f>
        <v>ADD OUTLET/CT HOUSE ANNEX</v>
      </c>
      <c r="G1123" s="3">
        <v>405.75</v>
      </c>
    </row>
    <row r="1124" spans="1:8" x14ac:dyDescent="0.25">
      <c r="E1124" t="str">
        <f>"2008338"</f>
        <v>2008338</v>
      </c>
      <c r="F1124" t="str">
        <f>"ADD TWO OULETS TO HALLWAY"</f>
        <v>ADD TWO OULETS TO HALLWAY</v>
      </c>
      <c r="G1124" s="3">
        <v>533.9</v>
      </c>
    </row>
    <row r="1125" spans="1:8" x14ac:dyDescent="0.25">
      <c r="A1125" t="s">
        <v>395</v>
      </c>
      <c r="B1125">
        <v>77521</v>
      </c>
      <c r="C1125" s="2">
        <v>5510.6</v>
      </c>
      <c r="D1125" s="1">
        <v>43312</v>
      </c>
      <c r="E1125" t="str">
        <f>"CHECK"</f>
        <v>CHECK</v>
      </c>
      <c r="F1125" t="str">
        <f>""</f>
        <v/>
      </c>
      <c r="G1125" s="3">
        <v>5510.6</v>
      </c>
    </row>
    <row r="1126" spans="1:8" x14ac:dyDescent="0.25">
      <c r="A1126" t="s">
        <v>395</v>
      </c>
      <c r="B1126">
        <v>77771</v>
      </c>
      <c r="C1126" s="2">
        <v>1040.75</v>
      </c>
      <c r="D1126" s="1">
        <v>43304</v>
      </c>
      <c r="E1126" t="str">
        <f>"2008341"</f>
        <v>2008341</v>
      </c>
      <c r="F1126" t="str">
        <f>"ELECTRICAL SVCS/PCT3 BARN"</f>
        <v>ELECTRICAL SVCS/PCT3 BARN</v>
      </c>
      <c r="G1126" s="3">
        <v>475</v>
      </c>
      <c r="H1126" t="str">
        <f>"ELECTRICAL SVCS/PCT3 BARN"</f>
        <v>ELECTRICAL SVCS/PCT3 BARN</v>
      </c>
    </row>
    <row r="1127" spans="1:8" x14ac:dyDescent="0.25">
      <c r="E1127" t="str">
        <f>"2008343"</f>
        <v>2008343</v>
      </c>
      <c r="F1127" t="str">
        <f>"ELECTRICAL SVCS/ANNEX BLDG"</f>
        <v>ELECTRICAL SVCS/ANNEX BLDG</v>
      </c>
      <c r="G1127" s="3">
        <v>565.75</v>
      </c>
      <c r="H1127" t="str">
        <f>"ELECTRICAL SVCS/ANNEX BLDG"</f>
        <v>ELECTRICAL SVCS/ANNEX BLDG</v>
      </c>
    </row>
    <row r="1128" spans="1:8" x14ac:dyDescent="0.25">
      <c r="A1128" t="s">
        <v>396</v>
      </c>
      <c r="B1128">
        <v>77522</v>
      </c>
      <c r="C1128" s="2">
        <v>1885.73</v>
      </c>
      <c r="D1128" s="1">
        <v>43290</v>
      </c>
      <c r="E1128" t="str">
        <f>"201807051889"</f>
        <v>201807051889</v>
      </c>
      <c r="F1128" t="str">
        <f>"ACCT#0200140783/ANIMAL CONTROL"</f>
        <v>ACCT#0200140783/ANIMAL CONTROL</v>
      </c>
      <c r="G1128" s="3">
        <v>1885.73</v>
      </c>
      <c r="H1128" t="str">
        <f>"ACCT#0200140783/ANIMAL CONTROL"</f>
        <v>ACCT#0200140783/ANIMAL CONTROL</v>
      </c>
    </row>
    <row r="1129" spans="1:8" x14ac:dyDescent="0.25">
      <c r="E1129" t="str">
        <f>""</f>
        <v/>
      </c>
      <c r="F1129" t="str">
        <f>""</f>
        <v/>
      </c>
      <c r="H1129" t="str">
        <f>"ACCT#0200140783/ANIMAL CONTROL"</f>
        <v>ACCT#0200140783/ANIMAL CONTROL</v>
      </c>
    </row>
    <row r="1130" spans="1:8" x14ac:dyDescent="0.25">
      <c r="A1130" t="s">
        <v>397</v>
      </c>
      <c r="B1130">
        <v>77772</v>
      </c>
      <c r="C1130" s="2">
        <v>25</v>
      </c>
      <c r="D1130" s="1">
        <v>43304</v>
      </c>
      <c r="E1130" t="str">
        <f>"201807182352"</f>
        <v>201807182352</v>
      </c>
      <c r="F1130" t="str">
        <f>"REFUND PET DEPOSIT"</f>
        <v>REFUND PET DEPOSIT</v>
      </c>
      <c r="G1130" s="3">
        <v>25</v>
      </c>
    </row>
    <row r="1131" spans="1:8" x14ac:dyDescent="0.25">
      <c r="A1131" t="s">
        <v>398</v>
      </c>
      <c r="B1131">
        <v>77773</v>
      </c>
      <c r="C1131" s="2">
        <v>33.950000000000003</v>
      </c>
      <c r="D1131" s="1">
        <v>43304</v>
      </c>
      <c r="E1131" t="str">
        <f>"SIUN11947612"</f>
        <v>SIUN11947612</v>
      </c>
      <c r="F1131" t="str">
        <f>"ACCT#CUN000000233/ANIMAL CONT"</f>
        <v>ACCT#CUN000000233/ANIMAL CONT</v>
      </c>
      <c r="G1131" s="3">
        <v>33.950000000000003</v>
      </c>
      <c r="H1131" t="str">
        <f>"ACCT#CUN000000233/ANIMAL CONT"</f>
        <v>ACCT#CUN000000233/ANIMAL CONT</v>
      </c>
    </row>
    <row r="1132" spans="1:8" x14ac:dyDescent="0.25">
      <c r="A1132" t="s">
        <v>399</v>
      </c>
      <c r="B1132">
        <v>999999</v>
      </c>
      <c r="C1132" s="2">
        <v>1693</v>
      </c>
      <c r="D1132" s="1">
        <v>43291</v>
      </c>
      <c r="E1132" t="str">
        <f>"201807031848"</f>
        <v>201807031848</v>
      </c>
      <c r="F1132" t="str">
        <f>"55596"</f>
        <v>55596</v>
      </c>
      <c r="G1132" s="3">
        <v>250</v>
      </c>
      <c r="H1132" t="str">
        <f>"55596"</f>
        <v>55596</v>
      </c>
    </row>
    <row r="1133" spans="1:8" x14ac:dyDescent="0.25">
      <c r="E1133" t="str">
        <f>"201807031849"</f>
        <v>201807031849</v>
      </c>
      <c r="F1133" t="str">
        <f>"55729"</f>
        <v>55729</v>
      </c>
      <c r="G1133" s="3">
        <v>250</v>
      </c>
      <c r="H1133" t="str">
        <f>"55729"</f>
        <v>55729</v>
      </c>
    </row>
    <row r="1134" spans="1:8" x14ac:dyDescent="0.25">
      <c r="E1134" t="str">
        <f>"201807031850"</f>
        <v>201807031850</v>
      </c>
      <c r="F1134" t="str">
        <f>"17-18576"</f>
        <v>17-18576</v>
      </c>
      <c r="G1134" s="3">
        <v>595</v>
      </c>
      <c r="H1134" t="str">
        <f>"17-18576"</f>
        <v>17-18576</v>
      </c>
    </row>
    <row r="1135" spans="1:8" x14ac:dyDescent="0.25">
      <c r="E1135" t="str">
        <f>"201807031851"</f>
        <v>201807031851</v>
      </c>
      <c r="F1135" t="str">
        <f>"18-18992"</f>
        <v>18-18992</v>
      </c>
      <c r="G1135" s="3">
        <v>295</v>
      </c>
      <c r="H1135" t="str">
        <f>"18-18992"</f>
        <v>18-18992</v>
      </c>
    </row>
    <row r="1136" spans="1:8" x14ac:dyDescent="0.25">
      <c r="E1136" t="str">
        <f>"201807031852"</f>
        <v>201807031852</v>
      </c>
      <c r="F1136" t="str">
        <f>"17-18535"</f>
        <v>17-18535</v>
      </c>
      <c r="G1136" s="3">
        <v>303</v>
      </c>
      <c r="H1136" t="str">
        <f>"17-18535"</f>
        <v>17-18535</v>
      </c>
    </row>
    <row r="1137" spans="1:8" x14ac:dyDescent="0.25">
      <c r="A1137" t="s">
        <v>399</v>
      </c>
      <c r="B1137">
        <v>999999</v>
      </c>
      <c r="C1137" s="2">
        <v>2090</v>
      </c>
      <c r="D1137" s="1">
        <v>43305</v>
      </c>
      <c r="E1137" t="str">
        <f>"201807182283"</f>
        <v>201807182283</v>
      </c>
      <c r="F1137" t="str">
        <f>"1617591"</f>
        <v>1617591</v>
      </c>
      <c r="G1137" s="3">
        <v>100</v>
      </c>
      <c r="H1137" t="str">
        <f>"1617591"</f>
        <v>1617591</v>
      </c>
    </row>
    <row r="1138" spans="1:8" x14ac:dyDescent="0.25">
      <c r="E1138" t="str">
        <f>"201807182286"</f>
        <v>201807182286</v>
      </c>
      <c r="F1138" t="str">
        <f>"1819130"</f>
        <v>1819130</v>
      </c>
      <c r="G1138" s="3">
        <v>490</v>
      </c>
      <c r="H1138" t="str">
        <f>"1819130"</f>
        <v>1819130</v>
      </c>
    </row>
    <row r="1139" spans="1:8" x14ac:dyDescent="0.25">
      <c r="E1139" t="str">
        <f>"201807182306"</f>
        <v>201807182306</v>
      </c>
      <c r="F1139" t="str">
        <f>"20170544  929-347-6184"</f>
        <v>20170544  929-347-6184</v>
      </c>
      <c r="G1139" s="3">
        <v>250</v>
      </c>
      <c r="H1139" t="str">
        <f>"20170544  929-347-6184"</f>
        <v>20170544  929-347-6184</v>
      </c>
    </row>
    <row r="1140" spans="1:8" x14ac:dyDescent="0.25">
      <c r="E1140" t="str">
        <f>"201807182309"</f>
        <v>201807182309</v>
      </c>
      <c r="F1140" t="str">
        <f>"56145"</f>
        <v>56145</v>
      </c>
      <c r="G1140" s="3">
        <v>250</v>
      </c>
      <c r="H1140" t="str">
        <f>"56145"</f>
        <v>56145</v>
      </c>
    </row>
    <row r="1141" spans="1:8" x14ac:dyDescent="0.25">
      <c r="E1141" t="str">
        <f>"201807182319"</f>
        <v>201807182319</v>
      </c>
      <c r="F1141" t="str">
        <f>"55524"</f>
        <v>55524</v>
      </c>
      <c r="G1141" s="3">
        <v>250</v>
      </c>
      <c r="H1141" t="str">
        <f>"55524"</f>
        <v>55524</v>
      </c>
    </row>
    <row r="1142" spans="1:8" x14ac:dyDescent="0.25">
      <c r="E1142" t="str">
        <f>"201807182320"</f>
        <v>201807182320</v>
      </c>
      <c r="F1142" t="str">
        <f>"56122"</f>
        <v>56122</v>
      </c>
      <c r="G1142" s="3">
        <v>250</v>
      </c>
      <c r="H1142" t="str">
        <f>"56122"</f>
        <v>56122</v>
      </c>
    </row>
    <row r="1143" spans="1:8" x14ac:dyDescent="0.25">
      <c r="E1143" t="str">
        <f>"201807182321"</f>
        <v>201807182321</v>
      </c>
      <c r="F1143" t="str">
        <f>"56151"</f>
        <v>56151</v>
      </c>
      <c r="G1143" s="3">
        <v>250</v>
      </c>
      <c r="H1143" t="str">
        <f>"56151"</f>
        <v>56151</v>
      </c>
    </row>
    <row r="1144" spans="1:8" x14ac:dyDescent="0.25">
      <c r="E1144" t="str">
        <f>"201807182348"</f>
        <v>201807182348</v>
      </c>
      <c r="F1144" t="str">
        <f>"J3076"</f>
        <v>J3076</v>
      </c>
      <c r="G1144" s="3">
        <v>250</v>
      </c>
      <c r="H1144" t="str">
        <f>"J3076"</f>
        <v>J3076</v>
      </c>
    </row>
    <row r="1145" spans="1:8" x14ac:dyDescent="0.25">
      <c r="A1145" t="s">
        <v>400</v>
      </c>
      <c r="B1145">
        <v>77775</v>
      </c>
      <c r="C1145" s="2">
        <v>6743.5</v>
      </c>
      <c r="D1145" s="1">
        <v>43304</v>
      </c>
      <c r="E1145" t="str">
        <f>"204346"</f>
        <v>204346</v>
      </c>
      <c r="F1145" t="str">
        <f>"Grills and Trash Cans"</f>
        <v>Grills and Trash Cans</v>
      </c>
      <c r="G1145" s="3">
        <v>6743.5</v>
      </c>
      <c r="H1145" t="str">
        <f>"N2-2023 B2"</f>
        <v>N2-2023 B2</v>
      </c>
    </row>
    <row r="1146" spans="1:8" x14ac:dyDescent="0.25">
      <c r="E1146" t="str">
        <f>""</f>
        <v/>
      </c>
      <c r="F1146" t="str">
        <f>""</f>
        <v/>
      </c>
      <c r="H1146" t="str">
        <f>"S2"</f>
        <v>S2</v>
      </c>
    </row>
    <row r="1147" spans="1:8" x14ac:dyDescent="0.25">
      <c r="E1147" t="str">
        <f>""</f>
        <v/>
      </c>
      <c r="F1147" t="str">
        <f>""</f>
        <v/>
      </c>
      <c r="H1147" t="str">
        <f>"N-20/s B2"</f>
        <v>N-20/s B2</v>
      </c>
    </row>
    <row r="1148" spans="1:8" x14ac:dyDescent="0.25">
      <c r="E1148" t="str">
        <f>""</f>
        <v/>
      </c>
      <c r="F1148" t="str">
        <f>""</f>
        <v/>
      </c>
      <c r="H1148" t="str">
        <f>"CN-TR/CN-52RW"</f>
        <v>CN-TR/CN-52RW</v>
      </c>
    </row>
    <row r="1149" spans="1:8" x14ac:dyDescent="0.25">
      <c r="E1149" t="str">
        <f>""</f>
        <v/>
      </c>
      <c r="F1149" t="str">
        <f>""</f>
        <v/>
      </c>
      <c r="H1149" t="str">
        <f>"Freight"</f>
        <v>Freight</v>
      </c>
    </row>
    <row r="1150" spans="1:8" x14ac:dyDescent="0.25">
      <c r="A1150" t="s">
        <v>401</v>
      </c>
      <c r="B1150">
        <v>77774</v>
      </c>
      <c r="C1150" s="2">
        <v>32.25</v>
      </c>
      <c r="D1150" s="1">
        <v>43304</v>
      </c>
      <c r="E1150" t="str">
        <f>"1008028498"</f>
        <v>1008028498</v>
      </c>
      <c r="F1150" t="str">
        <f>"INV 1008028498"</f>
        <v>INV 1008028498</v>
      </c>
      <c r="G1150" s="3">
        <v>32.25</v>
      </c>
      <c r="H1150" t="str">
        <f>"INV 1008028498"</f>
        <v>INV 1008028498</v>
      </c>
    </row>
    <row r="1151" spans="1:8" x14ac:dyDescent="0.25">
      <c r="A1151" t="s">
        <v>402</v>
      </c>
      <c r="B1151">
        <v>999999</v>
      </c>
      <c r="C1151" s="2">
        <v>1631.01</v>
      </c>
      <c r="D1151" s="1">
        <v>43305</v>
      </c>
      <c r="E1151" t="str">
        <f>"3306581822"</f>
        <v>3306581822</v>
      </c>
      <c r="F1151" t="str">
        <f>"ACCT#0011198047/TAX OFFICE"</f>
        <v>ACCT#0011198047/TAX OFFICE</v>
      </c>
      <c r="G1151" s="3">
        <v>1631.01</v>
      </c>
      <c r="H1151" t="str">
        <f>"ACCT#0011198047/TAX OFFICE"</f>
        <v>ACCT#0011198047/TAX OFFICE</v>
      </c>
    </row>
    <row r="1152" spans="1:8" x14ac:dyDescent="0.25">
      <c r="A1152" t="s">
        <v>403</v>
      </c>
      <c r="B1152">
        <v>77523</v>
      </c>
      <c r="C1152" s="2">
        <v>250</v>
      </c>
      <c r="D1152" s="1">
        <v>43290</v>
      </c>
      <c r="E1152" t="str">
        <f>"201807031853"</f>
        <v>201807031853</v>
      </c>
      <c r="F1152" t="str">
        <f>"55 804"</f>
        <v>55 804</v>
      </c>
      <c r="G1152" s="3">
        <v>250</v>
      </c>
      <c r="H1152" t="str">
        <f>"55 804"</f>
        <v>55 804</v>
      </c>
    </row>
    <row r="1153" spans="1:8" x14ac:dyDescent="0.25">
      <c r="A1153" t="s">
        <v>404</v>
      </c>
      <c r="B1153">
        <v>77847</v>
      </c>
      <c r="C1153" s="2">
        <v>182</v>
      </c>
      <c r="D1153" s="1">
        <v>43304</v>
      </c>
      <c r="E1153" t="str">
        <f>"201807232377"</f>
        <v>201807232377</v>
      </c>
      <c r="F1153" t="str">
        <f>"P O BOX 650 / TX AGRILIFE EXT"</f>
        <v>P O BOX 650 / TX AGRILIFE EXT</v>
      </c>
      <c r="G1153" s="3">
        <v>182</v>
      </c>
      <c r="H1153" t="str">
        <f>"P O BOX 650 / TX AGRILIFE EXT"</f>
        <v>P O BOX 650 / TX AGRILIFE EXT</v>
      </c>
    </row>
    <row r="1154" spans="1:8" x14ac:dyDescent="0.25">
      <c r="A1154" t="s">
        <v>405</v>
      </c>
      <c r="B1154">
        <v>77524</v>
      </c>
      <c r="C1154" s="2">
        <v>770</v>
      </c>
      <c r="D1154" s="1">
        <v>43290</v>
      </c>
      <c r="E1154" t="str">
        <f>"5495"</f>
        <v>5495</v>
      </c>
      <c r="F1154" t="str">
        <f>"INV 5495    TRAINING"</f>
        <v>INV 5495    TRAINING</v>
      </c>
      <c r="G1154" s="3">
        <v>770</v>
      </c>
      <c r="H1154" t="str">
        <f>"INV 5495    TRAINING"</f>
        <v>INV 5495    TRAINING</v>
      </c>
    </row>
    <row r="1155" spans="1:8" x14ac:dyDescent="0.25">
      <c r="A1155" t="s">
        <v>406</v>
      </c>
      <c r="B1155">
        <v>999999</v>
      </c>
      <c r="C1155" s="2">
        <v>2440</v>
      </c>
      <c r="D1155" s="1">
        <v>43305</v>
      </c>
      <c r="E1155" t="str">
        <f>"5-14-ASD-BCTX"</f>
        <v>5-14-ASD-BCTX</v>
      </c>
      <c r="F1155" t="str">
        <f>"Triad Aer Air Purifers"</f>
        <v>Triad Aer Air Purifers</v>
      </c>
      <c r="G1155" s="3">
        <v>2440</v>
      </c>
      <c r="H1155" t="str">
        <f>"Triad Aer Air Purifers"</f>
        <v>Triad Aer Air Purifers</v>
      </c>
    </row>
    <row r="1156" spans="1:8" x14ac:dyDescent="0.25">
      <c r="E1156" t="str">
        <f>""</f>
        <v/>
      </c>
      <c r="F1156" t="str">
        <f>""</f>
        <v/>
      </c>
      <c r="H1156" t="str">
        <f>"Shipping"</f>
        <v>Shipping</v>
      </c>
    </row>
    <row r="1157" spans="1:8" x14ac:dyDescent="0.25">
      <c r="A1157" t="s">
        <v>407</v>
      </c>
      <c r="B1157">
        <v>77525</v>
      </c>
      <c r="C1157" s="2">
        <v>107.52</v>
      </c>
      <c r="D1157" s="1">
        <v>43290</v>
      </c>
      <c r="E1157" t="str">
        <f>"201807051903"</f>
        <v>201807051903</v>
      </c>
      <c r="F1157" t="str">
        <f>"INDIGENT HEALTH"</f>
        <v>INDIGENT HEALTH</v>
      </c>
      <c r="G1157" s="3">
        <v>107.52</v>
      </c>
      <c r="H1157" t="str">
        <f>"INDIGENT HEALTH"</f>
        <v>INDIGENT HEALTH</v>
      </c>
    </row>
    <row r="1158" spans="1:8" x14ac:dyDescent="0.25">
      <c r="A1158" t="s">
        <v>408</v>
      </c>
      <c r="B1158">
        <v>999999</v>
      </c>
      <c r="C1158" s="2">
        <v>125.23</v>
      </c>
      <c r="D1158" s="1">
        <v>43305</v>
      </c>
      <c r="E1158" t="str">
        <f>"201807101997"</f>
        <v>201807101997</v>
      </c>
      <c r="F1158" t="str">
        <f>"REIMBURSE-OIL CHANGE COUNTY TR"</f>
        <v>REIMBURSE-OIL CHANGE COUNTY TR</v>
      </c>
      <c r="G1158" s="3">
        <v>79.13</v>
      </c>
      <c r="H1158" t="str">
        <f>"REIMBURSE-OIL CHANGE COUNTY TR"</f>
        <v>REIMBURSE-OIL CHANGE COUNTY TR</v>
      </c>
    </row>
    <row r="1159" spans="1:8" x14ac:dyDescent="0.25">
      <c r="E1159" t="str">
        <f>"201807172248"</f>
        <v>201807172248</v>
      </c>
      <c r="F1159" t="str">
        <f>"REIMBURSE FUEL-COUNTY TRUCK"</f>
        <v>REIMBURSE FUEL-COUNTY TRUCK</v>
      </c>
      <c r="G1159" s="3">
        <v>46.1</v>
      </c>
      <c r="H1159" t="str">
        <f>"REIMBURSE FUEL-COUNTY TRUCK"</f>
        <v>REIMBURSE FUEL-COUNTY TRUCK</v>
      </c>
    </row>
    <row r="1160" spans="1:8" x14ac:dyDescent="0.25">
      <c r="A1160" t="s">
        <v>409</v>
      </c>
      <c r="B1160">
        <v>77776</v>
      </c>
      <c r="C1160" s="2">
        <v>21.98</v>
      </c>
      <c r="D1160" s="1">
        <v>43304</v>
      </c>
      <c r="E1160" t="str">
        <f>"201807172232"</f>
        <v>201807172232</v>
      </c>
      <c r="F1160" t="str">
        <f>"REIMBURSEMENT-SUPPLIES"</f>
        <v>REIMBURSEMENT-SUPPLIES</v>
      </c>
      <c r="G1160" s="3">
        <v>21.98</v>
      </c>
      <c r="H1160" t="str">
        <f>"REIMBURSEMENT-SUPPLIES"</f>
        <v>REIMBURSEMENT-SUPPLIES</v>
      </c>
    </row>
    <row r="1161" spans="1:8" x14ac:dyDescent="0.25">
      <c r="A1161" t="s">
        <v>410</v>
      </c>
      <c r="B1161">
        <v>77777</v>
      </c>
      <c r="C1161" s="2">
        <v>1835</v>
      </c>
      <c r="D1161" s="1">
        <v>43304</v>
      </c>
      <c r="E1161" t="str">
        <f>"30282"</f>
        <v>30282</v>
      </c>
      <c r="F1161" t="str">
        <f>"Inv# 30282"</f>
        <v>Inv# 30282</v>
      </c>
      <c r="G1161" s="3">
        <v>1835</v>
      </c>
      <c r="H1161" t="str">
        <f>"Inv# 30282"</f>
        <v>Inv# 30282</v>
      </c>
    </row>
    <row r="1162" spans="1:8" x14ac:dyDescent="0.25">
      <c r="A1162" t="s">
        <v>411</v>
      </c>
      <c r="B1162">
        <v>999999</v>
      </c>
      <c r="C1162" s="2">
        <v>157.33000000000001</v>
      </c>
      <c r="D1162" s="1">
        <v>43305</v>
      </c>
      <c r="E1162" t="str">
        <f>"08G0121569859"</f>
        <v>08G0121569859</v>
      </c>
      <c r="F1162" t="str">
        <f>"ACCT#0121569859/JP#4"</f>
        <v>ACCT#0121569859/JP#4</v>
      </c>
      <c r="G1162" s="3">
        <v>29.22</v>
      </c>
      <c r="H1162" t="str">
        <f>"ACCT#0121569859/JP#4"</f>
        <v>ACCT#0121569859/JP#4</v>
      </c>
    </row>
    <row r="1163" spans="1:8" x14ac:dyDescent="0.25">
      <c r="E1163" t="str">
        <f>"08G0121587851"</f>
        <v>08G0121587851</v>
      </c>
      <c r="F1163" t="str">
        <f>"ACCT#0121587851/PCT#4"</f>
        <v>ACCT#0121587851/PCT#4</v>
      </c>
      <c r="G1163" s="3">
        <v>128.11000000000001</v>
      </c>
      <c r="H1163" t="str">
        <f>"ACCT#0121587851/PCT#4"</f>
        <v>ACCT#0121587851/PCT#4</v>
      </c>
    </row>
    <row r="1164" spans="1:8" x14ac:dyDescent="0.25">
      <c r="A1164" t="s">
        <v>412</v>
      </c>
      <c r="B1164">
        <v>77526</v>
      </c>
      <c r="C1164" s="2">
        <v>103.49</v>
      </c>
      <c r="D1164" s="1">
        <v>43290</v>
      </c>
      <c r="E1164" t="str">
        <f>"201806281735"</f>
        <v>201806281735</v>
      </c>
      <c r="F1164" t="str">
        <f>"ACCT#19610/GEN SVCS"</f>
        <v>ACCT#19610/GEN SVCS</v>
      </c>
      <c r="G1164" s="3">
        <v>103.49</v>
      </c>
      <c r="H1164" t="str">
        <f>"ACCT#19610/GEN SVCS"</f>
        <v>ACCT#19610/GEN SVCS</v>
      </c>
    </row>
    <row r="1165" spans="1:8" x14ac:dyDescent="0.25">
      <c r="A1165" t="s">
        <v>413</v>
      </c>
      <c r="B1165">
        <v>77527</v>
      </c>
      <c r="C1165" s="2">
        <v>640.65</v>
      </c>
      <c r="D1165" s="1">
        <v>43290</v>
      </c>
      <c r="E1165" t="str">
        <f>"0843-001473484"</f>
        <v>0843-001473484</v>
      </c>
      <c r="F1165" t="str">
        <f>"ACCT#3-0843-1269216/A/C"</f>
        <v>ACCT#3-0843-1269216/A/C</v>
      </c>
      <c r="G1165" s="3">
        <v>640.65</v>
      </c>
      <c r="H1165" t="str">
        <f>"ACCT#3-0843-1269216/A/C"</f>
        <v>ACCT#3-0843-1269216/A/C</v>
      </c>
    </row>
    <row r="1166" spans="1:8" x14ac:dyDescent="0.25">
      <c r="A1166" t="s">
        <v>414</v>
      </c>
      <c r="B1166">
        <v>77528</v>
      </c>
      <c r="C1166" s="2">
        <v>4916</v>
      </c>
      <c r="D1166" s="1">
        <v>43290</v>
      </c>
      <c r="E1166" t="str">
        <f>"201807051884"</f>
        <v>201807051884</v>
      </c>
      <c r="F1166" t="str">
        <f>"CURB &amp; GUTTER-FOOD PANTRY/P2"</f>
        <v>CURB &amp; GUTTER-FOOD PANTRY/P2</v>
      </c>
      <c r="G1166" s="3">
        <v>3026</v>
      </c>
      <c r="H1166" t="str">
        <f>"CURB &amp; GUTTER-FOOD PANTRY/P2"</f>
        <v>CURB &amp; GUTTER-FOOD PANTRY/P2</v>
      </c>
    </row>
    <row r="1167" spans="1:8" x14ac:dyDescent="0.25">
      <c r="E1167" t="str">
        <f>"201807051885"</f>
        <v>201807051885</v>
      </c>
      <c r="F1167" t="str">
        <f>"ROAD BASE-FOOD PANTRY/PCT#2"</f>
        <v>ROAD BASE-FOOD PANTRY/PCT#2</v>
      </c>
      <c r="G1167" s="3">
        <v>1890</v>
      </c>
      <c r="H1167" t="str">
        <f>"ROAD BASE-FOOD PANTRY/PCT#2"</f>
        <v>ROAD BASE-FOOD PANTRY/PCT#2</v>
      </c>
    </row>
    <row r="1168" spans="1:8" x14ac:dyDescent="0.25">
      <c r="A1168" t="s">
        <v>415</v>
      </c>
      <c r="B1168">
        <v>999999</v>
      </c>
      <c r="C1168" s="2">
        <v>1625</v>
      </c>
      <c r="D1168" s="1">
        <v>43305</v>
      </c>
      <c r="E1168" t="str">
        <f>"201807182297"</f>
        <v>201807182297</v>
      </c>
      <c r="F1168" t="str">
        <f>"56170  56171"</f>
        <v>56170  56171</v>
      </c>
      <c r="G1168" s="3">
        <v>375</v>
      </c>
      <c r="H1168" t="str">
        <f>"56170  56171"</f>
        <v>56170  56171</v>
      </c>
    </row>
    <row r="1169" spans="1:8" x14ac:dyDescent="0.25">
      <c r="E1169" t="str">
        <f>"201807182298"</f>
        <v>201807182298</v>
      </c>
      <c r="F1169" t="str">
        <f>"410067-2  56 134"</f>
        <v>410067-2  56 134</v>
      </c>
      <c r="G1169" s="3">
        <v>250</v>
      </c>
      <c r="H1169" t="str">
        <f>"410067-2  56 134"</f>
        <v>410067-2  56 134</v>
      </c>
    </row>
    <row r="1170" spans="1:8" x14ac:dyDescent="0.25">
      <c r="E1170" t="str">
        <f>"201807182317"</f>
        <v>201807182317</v>
      </c>
      <c r="F1170" t="str">
        <f>"55522"</f>
        <v>55522</v>
      </c>
      <c r="G1170" s="3">
        <v>250</v>
      </c>
      <c r="H1170" t="str">
        <f>"55522"</f>
        <v>55522</v>
      </c>
    </row>
    <row r="1171" spans="1:8" x14ac:dyDescent="0.25">
      <c r="E1171" t="str">
        <f>"201807182318"</f>
        <v>201807182318</v>
      </c>
      <c r="F1171" t="str">
        <f>"56257  02-0727-2-17  55964"</f>
        <v>56257  02-0727-2-17  55964</v>
      </c>
      <c r="G1171" s="3">
        <v>500</v>
      </c>
      <c r="H1171" t="str">
        <f>"56257  02-0727-2-17  55964"</f>
        <v>56257  02-0727-2-17  55964</v>
      </c>
    </row>
    <row r="1172" spans="1:8" x14ac:dyDescent="0.25">
      <c r="E1172" t="str">
        <f>"201807182327"</f>
        <v>201807182327</v>
      </c>
      <c r="F1172" t="str">
        <f>"AC20170901WD  55 963"</f>
        <v>AC20170901WD  55 963</v>
      </c>
      <c r="G1172" s="3">
        <v>250</v>
      </c>
      <c r="H1172" t="str">
        <f>"AC20170901WD"</f>
        <v>AC20170901WD</v>
      </c>
    </row>
    <row r="1173" spans="1:8" x14ac:dyDescent="0.25">
      <c r="A1173" t="s">
        <v>416</v>
      </c>
      <c r="B1173">
        <v>77778</v>
      </c>
      <c r="C1173" s="2">
        <v>90</v>
      </c>
      <c r="D1173" s="1">
        <v>43304</v>
      </c>
      <c r="E1173" t="str">
        <f>"PER DIEM-TRAINING"</f>
        <v>PER DIEM-TRAINING</v>
      </c>
      <c r="F1173" t="str">
        <f>"PER DIEM"</f>
        <v>PER DIEM</v>
      </c>
      <c r="G1173" s="3">
        <v>90</v>
      </c>
      <c r="H1173" t="str">
        <f>"PER DIEM"</f>
        <v>PER DIEM</v>
      </c>
    </row>
    <row r="1174" spans="1:8" x14ac:dyDescent="0.25">
      <c r="A1174" t="s">
        <v>417</v>
      </c>
      <c r="B1174">
        <v>77529</v>
      </c>
      <c r="C1174" s="2">
        <v>1200</v>
      </c>
      <c r="D1174" s="1">
        <v>43290</v>
      </c>
      <c r="E1174" t="str">
        <f>"201806281744"</f>
        <v>201806281744</v>
      </c>
      <c r="F1174" t="str">
        <f>"16271"</f>
        <v>16271</v>
      </c>
      <c r="G1174" s="3">
        <v>1200</v>
      </c>
      <c r="H1174" t="str">
        <f>"16271"</f>
        <v>16271</v>
      </c>
    </row>
    <row r="1175" spans="1:8" x14ac:dyDescent="0.25">
      <c r="A1175" t="s">
        <v>417</v>
      </c>
      <c r="B1175">
        <v>77779</v>
      </c>
      <c r="C1175" s="2">
        <v>2350</v>
      </c>
      <c r="D1175" s="1">
        <v>43304</v>
      </c>
      <c r="E1175" t="str">
        <f>"201807172258"</f>
        <v>201807172258</v>
      </c>
      <c r="F1175" t="str">
        <f>"16 446"</f>
        <v>16 446</v>
      </c>
      <c r="G1175" s="3">
        <v>1150</v>
      </c>
      <c r="H1175" t="str">
        <f>"16 446"</f>
        <v>16 446</v>
      </c>
    </row>
    <row r="1176" spans="1:8" x14ac:dyDescent="0.25">
      <c r="E1176" t="str">
        <f>"201807172259"</f>
        <v>201807172259</v>
      </c>
      <c r="F1176" t="str">
        <f>"16 350"</f>
        <v>16 350</v>
      </c>
      <c r="G1176" s="3">
        <v>1200</v>
      </c>
      <c r="H1176" t="str">
        <f>"16 350"</f>
        <v>16 350</v>
      </c>
    </row>
    <row r="1177" spans="1:8" x14ac:dyDescent="0.25">
      <c r="A1177" t="s">
        <v>418</v>
      </c>
      <c r="B1177">
        <v>77530</v>
      </c>
      <c r="C1177" s="2">
        <v>1502.26</v>
      </c>
      <c r="D1177" s="1">
        <v>43290</v>
      </c>
      <c r="E1177" t="str">
        <f>"201806281729"</f>
        <v>201806281729</v>
      </c>
      <c r="F1177" t="str">
        <f>"REIMBURSEMENT-FOOD/HOTEL/AIR"</f>
        <v>REIMBURSEMENT-FOOD/HOTEL/AIR</v>
      </c>
      <c r="G1177" s="3">
        <v>1502.26</v>
      </c>
      <c r="H1177" t="str">
        <f>"REIMBURSEMENT-FOOD/HOTEL/AIR"</f>
        <v>REIMBURSEMENT-FOOD/HOTEL/AIR</v>
      </c>
    </row>
    <row r="1178" spans="1:8" x14ac:dyDescent="0.25">
      <c r="A1178" t="s">
        <v>419</v>
      </c>
      <c r="B1178">
        <v>999999</v>
      </c>
      <c r="C1178" s="2">
        <v>1241.3599999999999</v>
      </c>
      <c r="D1178" s="1">
        <v>43305</v>
      </c>
      <c r="E1178" t="str">
        <f>"1076772141"</f>
        <v>1076772141</v>
      </c>
      <c r="F1178" t="str">
        <f>"CUST#12847097/ORD#68559950"</f>
        <v>CUST#12847097/ORD#68559950</v>
      </c>
      <c r="G1178" s="3">
        <v>33.159999999999997</v>
      </c>
      <c r="H1178" t="str">
        <f>"CUST#12847097/ORD#68559950"</f>
        <v>CUST#12847097/ORD#68559950</v>
      </c>
    </row>
    <row r="1179" spans="1:8" x14ac:dyDescent="0.25">
      <c r="E1179" t="str">
        <f>"5053713077"</f>
        <v>5053713077</v>
      </c>
      <c r="F1179" t="str">
        <f>"CONTRACT#4457471"</f>
        <v>CONTRACT#4457471</v>
      </c>
      <c r="G1179" s="3">
        <v>1117.27</v>
      </c>
      <c r="H1179" t="str">
        <f t="shared" ref="H1179:H1195" si="9">"CONTRACT#4457471"</f>
        <v>CONTRACT#4457471</v>
      </c>
    </row>
    <row r="1180" spans="1:8" x14ac:dyDescent="0.25">
      <c r="E1180" t="str">
        <f>""</f>
        <v/>
      </c>
      <c r="F1180" t="str">
        <f>""</f>
        <v/>
      </c>
      <c r="H1180" t="str">
        <f t="shared" si="9"/>
        <v>CONTRACT#4457471</v>
      </c>
    </row>
    <row r="1181" spans="1:8" x14ac:dyDescent="0.25">
      <c r="E1181" t="str">
        <f>""</f>
        <v/>
      </c>
      <c r="F1181" t="str">
        <f>""</f>
        <v/>
      </c>
      <c r="H1181" t="str">
        <f t="shared" si="9"/>
        <v>CONTRACT#4457471</v>
      </c>
    </row>
    <row r="1182" spans="1:8" x14ac:dyDescent="0.25">
      <c r="E1182" t="str">
        <f>""</f>
        <v/>
      </c>
      <c r="F1182" t="str">
        <f>""</f>
        <v/>
      </c>
      <c r="H1182" t="str">
        <f t="shared" si="9"/>
        <v>CONTRACT#4457471</v>
      </c>
    </row>
    <row r="1183" spans="1:8" x14ac:dyDescent="0.25">
      <c r="E1183" t="str">
        <f>""</f>
        <v/>
      </c>
      <c r="F1183" t="str">
        <f>""</f>
        <v/>
      </c>
      <c r="H1183" t="str">
        <f t="shared" si="9"/>
        <v>CONTRACT#4457471</v>
      </c>
    </row>
    <row r="1184" spans="1:8" x14ac:dyDescent="0.25">
      <c r="E1184" t="str">
        <f>""</f>
        <v/>
      </c>
      <c r="F1184" t="str">
        <f>""</f>
        <v/>
      </c>
      <c r="H1184" t="str">
        <f t="shared" si="9"/>
        <v>CONTRACT#4457471</v>
      </c>
    </row>
    <row r="1185" spans="1:8" x14ac:dyDescent="0.25">
      <c r="E1185" t="str">
        <f>""</f>
        <v/>
      </c>
      <c r="F1185" t="str">
        <f>""</f>
        <v/>
      </c>
      <c r="H1185" t="str">
        <f t="shared" si="9"/>
        <v>CONTRACT#4457471</v>
      </c>
    </row>
    <row r="1186" spans="1:8" x14ac:dyDescent="0.25">
      <c r="E1186" t="str">
        <f>""</f>
        <v/>
      </c>
      <c r="F1186" t="str">
        <f>""</f>
        <v/>
      </c>
      <c r="H1186" t="str">
        <f t="shared" si="9"/>
        <v>CONTRACT#4457471</v>
      </c>
    </row>
    <row r="1187" spans="1:8" x14ac:dyDescent="0.25">
      <c r="E1187" t="str">
        <f>""</f>
        <v/>
      </c>
      <c r="F1187" t="str">
        <f>""</f>
        <v/>
      </c>
      <c r="H1187" t="str">
        <f t="shared" si="9"/>
        <v>CONTRACT#4457471</v>
      </c>
    </row>
    <row r="1188" spans="1:8" x14ac:dyDescent="0.25">
      <c r="E1188" t="str">
        <f>""</f>
        <v/>
      </c>
      <c r="F1188" t="str">
        <f>""</f>
        <v/>
      </c>
      <c r="H1188" t="str">
        <f t="shared" si="9"/>
        <v>CONTRACT#4457471</v>
      </c>
    </row>
    <row r="1189" spans="1:8" x14ac:dyDescent="0.25">
      <c r="E1189" t="str">
        <f>""</f>
        <v/>
      </c>
      <c r="F1189" t="str">
        <f>""</f>
        <v/>
      </c>
      <c r="H1189" t="str">
        <f t="shared" si="9"/>
        <v>CONTRACT#4457471</v>
      </c>
    </row>
    <row r="1190" spans="1:8" x14ac:dyDescent="0.25">
      <c r="E1190" t="str">
        <f>""</f>
        <v/>
      </c>
      <c r="F1190" t="str">
        <f>""</f>
        <v/>
      </c>
      <c r="H1190" t="str">
        <f t="shared" si="9"/>
        <v>CONTRACT#4457471</v>
      </c>
    </row>
    <row r="1191" spans="1:8" x14ac:dyDescent="0.25">
      <c r="E1191" t="str">
        <f>""</f>
        <v/>
      </c>
      <c r="F1191" t="str">
        <f>""</f>
        <v/>
      </c>
      <c r="H1191" t="str">
        <f t="shared" si="9"/>
        <v>CONTRACT#4457471</v>
      </c>
    </row>
    <row r="1192" spans="1:8" x14ac:dyDescent="0.25">
      <c r="E1192" t="str">
        <f>""</f>
        <v/>
      </c>
      <c r="F1192" t="str">
        <f>""</f>
        <v/>
      </c>
      <c r="H1192" t="str">
        <f t="shared" si="9"/>
        <v>CONTRACT#4457471</v>
      </c>
    </row>
    <row r="1193" spans="1:8" x14ac:dyDescent="0.25">
      <c r="E1193" t="str">
        <f>""</f>
        <v/>
      </c>
      <c r="F1193" t="str">
        <f>""</f>
        <v/>
      </c>
      <c r="H1193" t="str">
        <f t="shared" si="9"/>
        <v>CONTRACT#4457471</v>
      </c>
    </row>
    <row r="1194" spans="1:8" x14ac:dyDescent="0.25">
      <c r="E1194" t="str">
        <f>""</f>
        <v/>
      </c>
      <c r="F1194" t="str">
        <f>""</f>
        <v/>
      </c>
      <c r="H1194" t="str">
        <f t="shared" si="9"/>
        <v>CONTRACT#4457471</v>
      </c>
    </row>
    <row r="1195" spans="1:8" x14ac:dyDescent="0.25">
      <c r="E1195" t="str">
        <f>""</f>
        <v/>
      </c>
      <c r="F1195" t="str">
        <f>""</f>
        <v/>
      </c>
      <c r="H1195" t="str">
        <f t="shared" si="9"/>
        <v>CONTRACT#4457471</v>
      </c>
    </row>
    <row r="1196" spans="1:8" x14ac:dyDescent="0.25">
      <c r="E1196" t="str">
        <f>"5053713077  P2"</f>
        <v>5053713077  P2</v>
      </c>
      <c r="F1196" t="str">
        <f>"CONT#4457471/PCT#2"</f>
        <v>CONT#4457471/PCT#2</v>
      </c>
      <c r="G1196" s="3">
        <v>90.93</v>
      </c>
      <c r="H1196" t="str">
        <f>"CONT#4457471/PCT#2"</f>
        <v>CONT#4457471/PCT#2</v>
      </c>
    </row>
    <row r="1197" spans="1:8" x14ac:dyDescent="0.25">
      <c r="A1197" t="s">
        <v>420</v>
      </c>
      <c r="B1197">
        <v>77780</v>
      </c>
      <c r="C1197" s="2">
        <v>7517.62</v>
      </c>
      <c r="D1197" s="1">
        <v>43304</v>
      </c>
      <c r="E1197" t="str">
        <f>"32094776"</f>
        <v>32094776</v>
      </c>
      <c r="F1197" t="str">
        <f>"CUST#2000172616"</f>
        <v>CUST#2000172616</v>
      </c>
      <c r="G1197" s="3">
        <v>7305.88</v>
      </c>
      <c r="H1197" t="str">
        <f t="shared" ref="H1197:H1221" si="10">"CUST#2000172616"</f>
        <v>CUST#2000172616</v>
      </c>
    </row>
    <row r="1198" spans="1:8" x14ac:dyDescent="0.25">
      <c r="E1198" t="str">
        <f>""</f>
        <v/>
      </c>
      <c r="F1198" t="str">
        <f>""</f>
        <v/>
      </c>
      <c r="H1198" t="str">
        <f t="shared" si="10"/>
        <v>CUST#2000172616</v>
      </c>
    </row>
    <row r="1199" spans="1:8" x14ac:dyDescent="0.25">
      <c r="E1199" t="str">
        <f>""</f>
        <v/>
      </c>
      <c r="F1199" t="str">
        <f>""</f>
        <v/>
      </c>
      <c r="H1199" t="str">
        <f t="shared" si="10"/>
        <v>CUST#2000172616</v>
      </c>
    </row>
    <row r="1200" spans="1:8" x14ac:dyDescent="0.25">
      <c r="E1200" t="str">
        <f>""</f>
        <v/>
      </c>
      <c r="F1200" t="str">
        <f>""</f>
        <v/>
      </c>
      <c r="H1200" t="str">
        <f t="shared" si="10"/>
        <v>CUST#2000172616</v>
      </c>
    </row>
    <row r="1201" spans="5:8" x14ac:dyDescent="0.25">
      <c r="E1201" t="str">
        <f>""</f>
        <v/>
      </c>
      <c r="F1201" t="str">
        <f>""</f>
        <v/>
      </c>
      <c r="H1201" t="str">
        <f t="shared" si="10"/>
        <v>CUST#2000172616</v>
      </c>
    </row>
    <row r="1202" spans="5:8" x14ac:dyDescent="0.25">
      <c r="E1202" t="str">
        <f>""</f>
        <v/>
      </c>
      <c r="F1202" t="str">
        <f>""</f>
        <v/>
      </c>
      <c r="H1202" t="str">
        <f t="shared" si="10"/>
        <v>CUST#2000172616</v>
      </c>
    </row>
    <row r="1203" spans="5:8" x14ac:dyDescent="0.25">
      <c r="E1203" t="str">
        <f>""</f>
        <v/>
      </c>
      <c r="F1203" t="str">
        <f>""</f>
        <v/>
      </c>
      <c r="H1203" t="str">
        <f t="shared" si="10"/>
        <v>CUST#2000172616</v>
      </c>
    </row>
    <row r="1204" spans="5:8" x14ac:dyDescent="0.25">
      <c r="E1204" t="str">
        <f>""</f>
        <v/>
      </c>
      <c r="F1204" t="str">
        <f>""</f>
        <v/>
      </c>
      <c r="H1204" t="str">
        <f t="shared" si="10"/>
        <v>CUST#2000172616</v>
      </c>
    </row>
    <row r="1205" spans="5:8" x14ac:dyDescent="0.25">
      <c r="E1205" t="str">
        <f>""</f>
        <v/>
      </c>
      <c r="F1205" t="str">
        <f>""</f>
        <v/>
      </c>
      <c r="H1205" t="str">
        <f t="shared" si="10"/>
        <v>CUST#2000172616</v>
      </c>
    </row>
    <row r="1206" spans="5:8" x14ac:dyDescent="0.25">
      <c r="E1206" t="str">
        <f>""</f>
        <v/>
      </c>
      <c r="F1206" t="str">
        <f>""</f>
        <v/>
      </c>
      <c r="H1206" t="str">
        <f t="shared" si="10"/>
        <v>CUST#2000172616</v>
      </c>
    </row>
    <row r="1207" spans="5:8" x14ac:dyDescent="0.25">
      <c r="E1207" t="str">
        <f>""</f>
        <v/>
      </c>
      <c r="F1207" t="str">
        <f>""</f>
        <v/>
      </c>
      <c r="H1207" t="str">
        <f t="shared" si="10"/>
        <v>CUST#2000172616</v>
      </c>
    </row>
    <row r="1208" spans="5:8" x14ac:dyDescent="0.25">
      <c r="E1208" t="str">
        <f>""</f>
        <v/>
      </c>
      <c r="F1208" t="str">
        <f>""</f>
        <v/>
      </c>
      <c r="H1208" t="str">
        <f t="shared" si="10"/>
        <v>CUST#2000172616</v>
      </c>
    </row>
    <row r="1209" spans="5:8" x14ac:dyDescent="0.25">
      <c r="E1209" t="str">
        <f>""</f>
        <v/>
      </c>
      <c r="F1209" t="str">
        <f>""</f>
        <v/>
      </c>
      <c r="H1209" t="str">
        <f t="shared" si="10"/>
        <v>CUST#2000172616</v>
      </c>
    </row>
    <row r="1210" spans="5:8" x14ac:dyDescent="0.25">
      <c r="E1210" t="str">
        <f>""</f>
        <v/>
      </c>
      <c r="F1210" t="str">
        <f>""</f>
        <v/>
      </c>
      <c r="H1210" t="str">
        <f t="shared" si="10"/>
        <v>CUST#2000172616</v>
      </c>
    </row>
    <row r="1211" spans="5:8" x14ac:dyDescent="0.25">
      <c r="E1211" t="str">
        <f>""</f>
        <v/>
      </c>
      <c r="F1211" t="str">
        <f>""</f>
        <v/>
      </c>
      <c r="H1211" t="str">
        <f t="shared" si="10"/>
        <v>CUST#2000172616</v>
      </c>
    </row>
    <row r="1212" spans="5:8" x14ac:dyDescent="0.25">
      <c r="E1212" t="str">
        <f>""</f>
        <v/>
      </c>
      <c r="F1212" t="str">
        <f>""</f>
        <v/>
      </c>
      <c r="H1212" t="str">
        <f t="shared" si="10"/>
        <v>CUST#2000172616</v>
      </c>
    </row>
    <row r="1213" spans="5:8" x14ac:dyDescent="0.25">
      <c r="E1213" t="str">
        <f>""</f>
        <v/>
      </c>
      <c r="F1213" t="str">
        <f>""</f>
        <v/>
      </c>
      <c r="H1213" t="str">
        <f t="shared" si="10"/>
        <v>CUST#2000172616</v>
      </c>
    </row>
    <row r="1214" spans="5:8" x14ac:dyDescent="0.25">
      <c r="E1214" t="str">
        <f>""</f>
        <v/>
      </c>
      <c r="F1214" t="str">
        <f>""</f>
        <v/>
      </c>
      <c r="H1214" t="str">
        <f t="shared" si="10"/>
        <v>CUST#2000172616</v>
      </c>
    </row>
    <row r="1215" spans="5:8" x14ac:dyDescent="0.25">
      <c r="E1215" t="str">
        <f>""</f>
        <v/>
      </c>
      <c r="F1215" t="str">
        <f>""</f>
        <v/>
      </c>
      <c r="H1215" t="str">
        <f t="shared" si="10"/>
        <v>CUST#2000172616</v>
      </c>
    </row>
    <row r="1216" spans="5:8" x14ac:dyDescent="0.25">
      <c r="E1216" t="str">
        <f>""</f>
        <v/>
      </c>
      <c r="F1216" t="str">
        <f>""</f>
        <v/>
      </c>
      <c r="H1216" t="str">
        <f t="shared" si="10"/>
        <v>CUST#2000172616</v>
      </c>
    </row>
    <row r="1217" spans="1:8" x14ac:dyDescent="0.25">
      <c r="E1217" t="str">
        <f>""</f>
        <v/>
      </c>
      <c r="F1217" t="str">
        <f>""</f>
        <v/>
      </c>
      <c r="H1217" t="str">
        <f t="shared" si="10"/>
        <v>CUST#2000172616</v>
      </c>
    </row>
    <row r="1218" spans="1:8" x14ac:dyDescent="0.25">
      <c r="E1218" t="str">
        <f>""</f>
        <v/>
      </c>
      <c r="F1218" t="str">
        <f>""</f>
        <v/>
      </c>
      <c r="H1218" t="str">
        <f t="shared" si="10"/>
        <v>CUST#2000172616</v>
      </c>
    </row>
    <row r="1219" spans="1:8" x14ac:dyDescent="0.25">
      <c r="E1219" t="str">
        <f>""</f>
        <v/>
      </c>
      <c r="F1219" t="str">
        <f>""</f>
        <v/>
      </c>
      <c r="H1219" t="str">
        <f t="shared" si="10"/>
        <v>CUST#2000172616</v>
      </c>
    </row>
    <row r="1220" spans="1:8" x14ac:dyDescent="0.25">
      <c r="E1220" t="str">
        <f>""</f>
        <v/>
      </c>
      <c r="F1220" t="str">
        <f>""</f>
        <v/>
      </c>
      <c r="H1220" t="str">
        <f t="shared" si="10"/>
        <v>CUST#2000172616</v>
      </c>
    </row>
    <row r="1221" spans="1:8" x14ac:dyDescent="0.25">
      <c r="E1221" t="str">
        <f>""</f>
        <v/>
      </c>
      <c r="F1221" t="str">
        <f>""</f>
        <v/>
      </c>
      <c r="H1221" t="str">
        <f t="shared" si="10"/>
        <v>CUST#2000172616</v>
      </c>
    </row>
    <row r="1222" spans="1:8" x14ac:dyDescent="0.25">
      <c r="E1222" t="str">
        <f>"32094776  P2"</f>
        <v>32094776  P2</v>
      </c>
      <c r="F1222" t="str">
        <f>"CUST#2000172616/PCT#2"</f>
        <v>CUST#2000172616/PCT#2</v>
      </c>
      <c r="G1222" s="3">
        <v>70.58</v>
      </c>
      <c r="H1222" t="str">
        <f>"CUST#2000172616/PCT#2"</f>
        <v>CUST#2000172616/PCT#2</v>
      </c>
    </row>
    <row r="1223" spans="1:8" x14ac:dyDescent="0.25">
      <c r="E1223" t="str">
        <f>"32094776  P3"</f>
        <v>32094776  P3</v>
      </c>
      <c r="F1223" t="str">
        <f>"CUST#2000172616/PCT#3"</f>
        <v>CUST#2000172616/PCT#3</v>
      </c>
      <c r="G1223" s="3">
        <v>70.58</v>
      </c>
      <c r="H1223" t="str">
        <f>"CUST#2000172616/PCT#3"</f>
        <v>CUST#2000172616/PCT#3</v>
      </c>
    </row>
    <row r="1224" spans="1:8" x14ac:dyDescent="0.25">
      <c r="E1224" t="str">
        <f>"32094776  P4"</f>
        <v>32094776  P4</v>
      </c>
      <c r="F1224" t="str">
        <f>"CUST#2000172616/PCT#4"</f>
        <v>CUST#2000172616/PCT#4</v>
      </c>
      <c r="G1224" s="3">
        <v>70.58</v>
      </c>
      <c r="H1224" t="str">
        <f>"CUST#2000172616/PCT#4"</f>
        <v>CUST#2000172616/PCT#4</v>
      </c>
    </row>
    <row r="1225" spans="1:8" x14ac:dyDescent="0.25">
      <c r="A1225" t="s">
        <v>421</v>
      </c>
      <c r="B1225">
        <v>77781</v>
      </c>
      <c r="C1225" s="2">
        <v>885</v>
      </c>
      <c r="D1225" s="1">
        <v>43304</v>
      </c>
      <c r="E1225" t="str">
        <f>"2018 TX ROBBERY CO"</f>
        <v>2018 TX ROBBERY CO</v>
      </c>
      <c r="F1225" t="str">
        <f>"TRAINING"</f>
        <v>TRAINING</v>
      </c>
      <c r="G1225" s="3">
        <v>885</v>
      </c>
      <c r="H1225" t="str">
        <f>"ROBERT CARVIN"</f>
        <v>ROBERT CARVIN</v>
      </c>
    </row>
    <row r="1226" spans="1:8" x14ac:dyDescent="0.25">
      <c r="E1226" t="str">
        <f>""</f>
        <v/>
      </c>
      <c r="F1226" t="str">
        <f>""</f>
        <v/>
      </c>
      <c r="H1226" t="str">
        <f>"JASON LEMOND"</f>
        <v>JASON LEMOND</v>
      </c>
    </row>
    <row r="1227" spans="1:8" x14ac:dyDescent="0.25">
      <c r="E1227" t="str">
        <f>""</f>
        <v/>
      </c>
      <c r="F1227" t="str">
        <f>""</f>
        <v/>
      </c>
      <c r="H1227" t="str">
        <f>"MARK GARCIA"</f>
        <v>MARK GARCIA</v>
      </c>
    </row>
    <row r="1228" spans="1:8" x14ac:dyDescent="0.25">
      <c r="A1228" t="s">
        <v>422</v>
      </c>
      <c r="B1228">
        <v>77782</v>
      </c>
      <c r="C1228" s="2">
        <v>176</v>
      </c>
      <c r="D1228" s="1">
        <v>43304</v>
      </c>
      <c r="E1228" t="str">
        <f>"883433"</f>
        <v>883433</v>
      </c>
      <c r="F1228" t="str">
        <f>"TICKET#0940/1146/1331/PCT#2"</f>
        <v>TICKET#0940/1146/1331/PCT#2</v>
      </c>
      <c r="G1228" s="3">
        <v>176</v>
      </c>
      <c r="H1228" t="str">
        <f>"TICKET#0940/1146/1331/PCT#2"</f>
        <v>TICKET#0940/1146/1331/PCT#2</v>
      </c>
    </row>
    <row r="1229" spans="1:8" x14ac:dyDescent="0.25">
      <c r="A1229" t="s">
        <v>423</v>
      </c>
      <c r="B1229">
        <v>999999</v>
      </c>
      <c r="C1229" s="2">
        <v>40</v>
      </c>
      <c r="D1229" s="1">
        <v>43291</v>
      </c>
      <c r="E1229" t="str">
        <f>"I012135"</f>
        <v>I012135</v>
      </c>
      <c r="F1229" t="str">
        <f>"INV I012135 / UNIT 1079"</f>
        <v>INV I012135 / UNIT 1079</v>
      </c>
      <c r="G1229" s="3">
        <v>40</v>
      </c>
      <c r="H1229" t="str">
        <f>"INV I012135 / UNIT 1079"</f>
        <v>INV I012135 / UNIT 1079</v>
      </c>
    </row>
    <row r="1230" spans="1:8" x14ac:dyDescent="0.25">
      <c r="A1230" t="s">
        <v>423</v>
      </c>
      <c r="B1230">
        <v>999999</v>
      </c>
      <c r="C1230" s="2">
        <v>100</v>
      </c>
      <c r="D1230" s="1">
        <v>43305</v>
      </c>
      <c r="E1230" t="str">
        <f>"GLASS REPAIR-H.COX"</f>
        <v>GLASS REPAIR-H.COX</v>
      </c>
      <c r="F1230" t="str">
        <f>"RUNKLE ENTERPRISES"</f>
        <v>RUNKLE ENTERPRISES</v>
      </c>
      <c r="G1230" s="3">
        <v>60</v>
      </c>
      <c r="H1230" t="str">
        <f>""</f>
        <v/>
      </c>
    </row>
    <row r="1231" spans="1:8" x14ac:dyDescent="0.25">
      <c r="E1231" t="str">
        <f>"I012190"</f>
        <v>I012190</v>
      </c>
      <c r="F1231" t="str">
        <f>"INV I012190 / UNIT 6492"</f>
        <v>INV I012190 / UNIT 6492</v>
      </c>
      <c r="G1231" s="3">
        <v>40</v>
      </c>
      <c r="H1231" t="str">
        <f>"INV I012190 / UNIT 6492"</f>
        <v>INV I012190 / UNIT 6492</v>
      </c>
    </row>
    <row r="1232" spans="1:8" x14ac:dyDescent="0.25">
      <c r="A1232" t="s">
        <v>424</v>
      </c>
      <c r="B1232">
        <v>999999</v>
      </c>
      <c r="C1232" s="2">
        <v>1850</v>
      </c>
      <c r="D1232" s="1">
        <v>43305</v>
      </c>
      <c r="E1232" t="str">
        <f>"BCSOJUNE18"</f>
        <v>BCSOJUNE18</v>
      </c>
      <c r="F1232" t="str">
        <f>"INV BCSOJUNE18"</f>
        <v>INV BCSOJUNE18</v>
      </c>
      <c r="G1232" s="3">
        <v>1850</v>
      </c>
      <c r="H1232" t="str">
        <f>"INV BCSOJUNE18"</f>
        <v>INV BCSOJUNE18</v>
      </c>
    </row>
    <row r="1233" spans="1:8" x14ac:dyDescent="0.25">
      <c r="A1233" t="s">
        <v>425</v>
      </c>
      <c r="B1233">
        <v>77783</v>
      </c>
      <c r="C1233" s="2">
        <v>55</v>
      </c>
      <c r="D1233" s="1">
        <v>43304</v>
      </c>
      <c r="E1233" t="str">
        <f>"PER DIEM-R.CARVIN"</f>
        <v>PER DIEM-R.CARVIN</v>
      </c>
      <c r="F1233" t="str">
        <f>"PER DIEM"</f>
        <v>PER DIEM</v>
      </c>
      <c r="G1233" s="3">
        <v>55</v>
      </c>
      <c r="H1233" t="str">
        <f>"PER DIEM"</f>
        <v>PER DIEM</v>
      </c>
    </row>
    <row r="1234" spans="1:8" x14ac:dyDescent="0.25">
      <c r="A1234" t="s">
        <v>426</v>
      </c>
      <c r="B1234">
        <v>77531</v>
      </c>
      <c r="C1234" s="2">
        <v>1000</v>
      </c>
      <c r="D1234" s="1">
        <v>43290</v>
      </c>
      <c r="E1234" t="str">
        <f>"201806281747"</f>
        <v>201806281747</v>
      </c>
      <c r="F1234" t="str">
        <f>"423-5776"</f>
        <v>423-5776</v>
      </c>
      <c r="G1234" s="3">
        <v>1000</v>
      </c>
      <c r="H1234" t="str">
        <f>"423-5776"</f>
        <v>423-5776</v>
      </c>
    </row>
    <row r="1235" spans="1:8" x14ac:dyDescent="0.25">
      <c r="A1235" t="s">
        <v>427</v>
      </c>
      <c r="B1235">
        <v>77532</v>
      </c>
      <c r="C1235" s="2">
        <v>1852.02</v>
      </c>
      <c r="D1235" s="1">
        <v>43290</v>
      </c>
      <c r="E1235" t="str">
        <f>"4301649"</f>
        <v>4301649</v>
      </c>
      <c r="F1235" t="str">
        <f>"CUST#90564/ORD#2290515"</f>
        <v>CUST#90564/ORD#2290515</v>
      </c>
      <c r="G1235" s="3">
        <v>224.02</v>
      </c>
      <c r="H1235" t="str">
        <f>"CUST#90564/ORD#2290515"</f>
        <v>CUST#90564/ORD#2290515</v>
      </c>
    </row>
    <row r="1236" spans="1:8" x14ac:dyDescent="0.25">
      <c r="E1236" t="str">
        <f>"4302490"</f>
        <v>4302490</v>
      </c>
      <c r="F1236" t="str">
        <f>"CUST#90564/ORD#2290514"</f>
        <v>CUST#90564/ORD#2290514</v>
      </c>
      <c r="G1236" s="3">
        <v>534</v>
      </c>
      <c r="H1236" t="str">
        <f>"CUST#90564/ORD#2290514"</f>
        <v>CUST#90564/ORD#2290514</v>
      </c>
    </row>
    <row r="1237" spans="1:8" x14ac:dyDescent="0.25">
      <c r="E1237" t="str">
        <f>"4302775"</f>
        <v>4302775</v>
      </c>
      <c r="F1237" t="str">
        <f>"CUST#90564/ORD#2290504"</f>
        <v>CUST#90564/ORD#2290504</v>
      </c>
      <c r="G1237" s="3">
        <v>1094</v>
      </c>
      <c r="H1237" t="str">
        <f>"CUST#90564/ORD#2290504"</f>
        <v>CUST#90564/ORD#2290504</v>
      </c>
    </row>
    <row r="1238" spans="1:8" x14ac:dyDescent="0.25">
      <c r="A1238" t="s">
        <v>428</v>
      </c>
      <c r="B1238">
        <v>999999</v>
      </c>
      <c r="C1238" s="2">
        <v>4125</v>
      </c>
      <c r="D1238" s="1">
        <v>43291</v>
      </c>
      <c r="E1238" t="str">
        <f>"1201825"</f>
        <v>1201825</v>
      </c>
      <c r="F1238" t="str">
        <f>"IT SERVICES JUNE 20-JUNE24"</f>
        <v>IT SERVICES JUNE 20-JUNE24</v>
      </c>
      <c r="G1238" s="3">
        <v>1875</v>
      </c>
      <c r="H1238" t="str">
        <f>"IT SERVICES JUNE 20-JUNE24"</f>
        <v>IT SERVICES JUNE 20-JUNE24</v>
      </c>
    </row>
    <row r="1239" spans="1:8" x14ac:dyDescent="0.25">
      <c r="E1239" t="str">
        <f>"1201826"</f>
        <v>1201826</v>
      </c>
      <c r="F1239" t="str">
        <f>"IT SERVICES/JUNE 25-JULY 1"</f>
        <v>IT SERVICES/JUNE 25-JULY 1</v>
      </c>
      <c r="G1239" s="3">
        <v>2250</v>
      </c>
      <c r="H1239" t="str">
        <f>"IT SERVICES/JUNE 25-JULY 1"</f>
        <v>IT SERVICES/JUNE 25-JULY 1</v>
      </c>
    </row>
    <row r="1240" spans="1:8" x14ac:dyDescent="0.25">
      <c r="A1240" t="s">
        <v>429</v>
      </c>
      <c r="B1240">
        <v>77533</v>
      </c>
      <c r="C1240" s="2">
        <v>66</v>
      </c>
      <c r="D1240" s="1">
        <v>43290</v>
      </c>
      <c r="E1240" t="str">
        <f>"201807021776"</f>
        <v>201807021776</v>
      </c>
      <c r="F1240" t="str">
        <f>"LPHCP RECORDING FEES"</f>
        <v>LPHCP RECORDING FEES</v>
      </c>
      <c r="G1240" s="3">
        <v>66</v>
      </c>
      <c r="H1240" t="str">
        <f>"LPHCP RECORDING FEES"</f>
        <v>LPHCP RECORDING FEES</v>
      </c>
    </row>
    <row r="1241" spans="1:8" x14ac:dyDescent="0.25">
      <c r="A1241" t="s">
        <v>429</v>
      </c>
      <c r="B1241">
        <v>77784</v>
      </c>
      <c r="C1241" s="2">
        <v>122</v>
      </c>
      <c r="D1241" s="1">
        <v>43304</v>
      </c>
      <c r="E1241" t="str">
        <f>"201807182271"</f>
        <v>201807182271</v>
      </c>
      <c r="F1241" t="str">
        <f>"DEVELOPMENT SVCS RECORDING FEE"</f>
        <v>DEVELOPMENT SVCS RECORDING FEE</v>
      </c>
      <c r="G1241" s="3">
        <v>122</v>
      </c>
      <c r="H1241" t="str">
        <f>"DEVELOPMENT SVCS RECORDING FEE"</f>
        <v>DEVELOPMENT SVCS RECORDING FEE</v>
      </c>
    </row>
    <row r="1242" spans="1:8" x14ac:dyDescent="0.25">
      <c r="A1242" t="s">
        <v>430</v>
      </c>
      <c r="B1242">
        <v>77534</v>
      </c>
      <c r="C1242" s="2">
        <v>1435.38</v>
      </c>
      <c r="D1242" s="1">
        <v>43290</v>
      </c>
      <c r="E1242" t="str">
        <f>"RUBBER TILE/RAMP"</f>
        <v>RUBBER TILE/RAMP</v>
      </c>
      <c r="F1242" t="str">
        <f>"INCSTORES LLC"</f>
        <v>INCSTORES LLC</v>
      </c>
      <c r="G1242" s="3">
        <v>1435.38</v>
      </c>
      <c r="H1242" t="str">
        <f>"Rubber Shock Tile"</f>
        <v>Rubber Shock Tile</v>
      </c>
    </row>
    <row r="1243" spans="1:8" x14ac:dyDescent="0.25">
      <c r="E1243" t="str">
        <f>""</f>
        <v/>
      </c>
      <c r="F1243" t="str">
        <f>""</f>
        <v/>
      </c>
      <c r="H1243" t="str">
        <f>"Ramp"</f>
        <v>Ramp</v>
      </c>
    </row>
    <row r="1244" spans="1:8" x14ac:dyDescent="0.25">
      <c r="E1244" t="str">
        <f>""</f>
        <v/>
      </c>
      <c r="F1244" t="str">
        <f>""</f>
        <v/>
      </c>
      <c r="H1244" t="str">
        <f>"Shipping"</f>
        <v>Shipping</v>
      </c>
    </row>
    <row r="1245" spans="1:8" x14ac:dyDescent="0.25">
      <c r="A1245" t="s">
        <v>431</v>
      </c>
      <c r="B1245">
        <v>77785</v>
      </c>
      <c r="C1245" s="2">
        <v>1321.56</v>
      </c>
      <c r="D1245" s="1">
        <v>43304</v>
      </c>
      <c r="E1245" t="str">
        <f>"27409/10/11/27384"</f>
        <v>27409/10/11/27384</v>
      </c>
      <c r="F1245" t="str">
        <f>"27409  27410 27411 27384"</f>
        <v>27409  27410 27411 27384</v>
      </c>
      <c r="G1245" s="3">
        <v>1321.56</v>
      </c>
      <c r="H1245" t="str">
        <f>"Inv# 04559-027409"</f>
        <v>Inv# 04559-027409</v>
      </c>
    </row>
    <row r="1246" spans="1:8" x14ac:dyDescent="0.25">
      <c r="E1246" t="str">
        <f>""</f>
        <v/>
      </c>
      <c r="F1246" t="str">
        <f>""</f>
        <v/>
      </c>
      <c r="H1246" t="str">
        <f>"Inv# 04559-027410"</f>
        <v>Inv# 04559-027410</v>
      </c>
    </row>
    <row r="1247" spans="1:8" x14ac:dyDescent="0.25">
      <c r="E1247" t="str">
        <f>""</f>
        <v/>
      </c>
      <c r="F1247" t="str">
        <f>""</f>
        <v/>
      </c>
      <c r="H1247" t="str">
        <f>"Inv# 04559-027411"</f>
        <v>Inv# 04559-027411</v>
      </c>
    </row>
    <row r="1248" spans="1:8" x14ac:dyDescent="0.25">
      <c r="E1248" t="str">
        <f>""</f>
        <v/>
      </c>
      <c r="F1248" t="str">
        <f>""</f>
        <v/>
      </c>
      <c r="H1248" t="str">
        <f>"inv# 04559-027384"</f>
        <v>inv# 04559-027384</v>
      </c>
    </row>
    <row r="1249" spans="1:8" x14ac:dyDescent="0.25">
      <c r="A1249" t="s">
        <v>432</v>
      </c>
      <c r="B1249">
        <v>999999</v>
      </c>
      <c r="C1249" s="2">
        <v>391.38</v>
      </c>
      <c r="D1249" s="1">
        <v>43291</v>
      </c>
      <c r="E1249" t="str">
        <f>"201807051904"</f>
        <v>201807051904</v>
      </c>
      <c r="F1249" t="str">
        <f>"INDIGENT HEALTH"</f>
        <v>INDIGENT HEALTH</v>
      </c>
      <c r="G1249" s="3">
        <v>391.38</v>
      </c>
      <c r="H1249" t="str">
        <f>"INDIGENT HEALTH"</f>
        <v>INDIGENT HEALTH</v>
      </c>
    </row>
    <row r="1250" spans="1:8" x14ac:dyDescent="0.25">
      <c r="E1250" t="str">
        <f>""</f>
        <v/>
      </c>
      <c r="F1250" t="str">
        <f>""</f>
        <v/>
      </c>
      <c r="H1250" t="str">
        <f>"INDIGENT HEALTH"</f>
        <v>INDIGENT HEALTH</v>
      </c>
    </row>
    <row r="1251" spans="1:8" x14ac:dyDescent="0.25">
      <c r="A1251" t="s">
        <v>432</v>
      </c>
      <c r="B1251">
        <v>999999</v>
      </c>
      <c r="C1251" s="2">
        <v>166.27</v>
      </c>
      <c r="D1251" s="1">
        <v>43305</v>
      </c>
      <c r="E1251" t="str">
        <f>"201807182369"</f>
        <v>201807182369</v>
      </c>
      <c r="F1251" t="str">
        <f>"INDIGENT HEALTH"</f>
        <v>INDIGENT HEALTH</v>
      </c>
      <c r="G1251" s="3">
        <v>166.27</v>
      </c>
      <c r="H1251" t="str">
        <f>"INDIGENT HEALTH"</f>
        <v>INDIGENT HEALTH</v>
      </c>
    </row>
    <row r="1252" spans="1:8" x14ac:dyDescent="0.25">
      <c r="A1252" t="s">
        <v>433</v>
      </c>
      <c r="B1252">
        <v>77535</v>
      </c>
      <c r="C1252" s="2">
        <v>784.6</v>
      </c>
      <c r="D1252" s="1">
        <v>43290</v>
      </c>
      <c r="E1252" t="str">
        <f>"201807031875"</f>
        <v>201807031875</v>
      </c>
      <c r="F1252" t="str">
        <f>"REIMBURSE-LODGING/MEAL"</f>
        <v>REIMBURSE-LODGING/MEAL</v>
      </c>
      <c r="G1252" s="3">
        <v>784.6</v>
      </c>
      <c r="H1252" t="str">
        <f>"REIMBURSE-LODGING/MEAL"</f>
        <v>REIMBURSE-LODGING/MEAL</v>
      </c>
    </row>
    <row r="1253" spans="1:8" x14ac:dyDescent="0.25">
      <c r="A1253" t="s">
        <v>434</v>
      </c>
      <c r="B1253">
        <v>999999</v>
      </c>
      <c r="C1253" s="2">
        <v>12797</v>
      </c>
      <c r="D1253" s="1">
        <v>43291</v>
      </c>
      <c r="E1253" t="str">
        <f>"PPDINV0010486"</f>
        <v>PPDINV0010486</v>
      </c>
      <c r="F1253" t="str">
        <f>"INV PPDINV0010486"</f>
        <v>INV PPDINV0010486</v>
      </c>
      <c r="G1253" s="3">
        <v>12797</v>
      </c>
      <c r="H1253" t="str">
        <f>"INV PPDINV0010486"</f>
        <v>INV PPDINV0010486</v>
      </c>
    </row>
    <row r="1254" spans="1:8" x14ac:dyDescent="0.25">
      <c r="A1254" t="s">
        <v>435</v>
      </c>
      <c r="B1254">
        <v>77536</v>
      </c>
      <c r="C1254" s="2">
        <v>3333</v>
      </c>
      <c r="D1254" s="1">
        <v>43290</v>
      </c>
      <c r="E1254" t="str">
        <f>"520181"</f>
        <v>520181</v>
      </c>
      <c r="F1254" t="str">
        <f>"SETON RX-ASSISTANCE 05/312018"</f>
        <v>SETON RX-ASSISTANCE 05/312018</v>
      </c>
      <c r="G1254" s="3">
        <v>3333</v>
      </c>
      <c r="H1254" t="str">
        <f>"SETON RX-ASSISTANCE 05/312018"</f>
        <v>SETON RX-ASSISTANCE 05/312018</v>
      </c>
    </row>
    <row r="1255" spans="1:8" x14ac:dyDescent="0.25">
      <c r="A1255" t="s">
        <v>435</v>
      </c>
      <c r="B1255">
        <v>77786</v>
      </c>
      <c r="C1255" s="2">
        <v>3333</v>
      </c>
      <c r="D1255" s="1">
        <v>43304</v>
      </c>
      <c r="E1255" t="str">
        <f>"620181"</f>
        <v>620181</v>
      </c>
      <c r="F1255" t="str">
        <f>"PRESCRIPTION ASSISTANCE PROGRA"</f>
        <v>PRESCRIPTION ASSISTANCE PROGRA</v>
      </c>
      <c r="G1255" s="3">
        <v>3333</v>
      </c>
      <c r="H1255" t="str">
        <f>"PRESCRIPTION ASSISTANCE PROGRA"</f>
        <v>PRESCRIPTION ASSISTANCE PROGRA</v>
      </c>
    </row>
    <row r="1256" spans="1:8" x14ac:dyDescent="0.25">
      <c r="A1256" t="s">
        <v>436</v>
      </c>
      <c r="B1256">
        <v>77787</v>
      </c>
      <c r="C1256" s="2">
        <v>124.75</v>
      </c>
      <c r="D1256" s="1">
        <v>43304</v>
      </c>
      <c r="E1256" t="str">
        <f>"201807182371"</f>
        <v>201807182371</v>
      </c>
      <c r="F1256" t="str">
        <f>"INDIGENT HEALTH"</f>
        <v>INDIGENT HEALTH</v>
      </c>
      <c r="G1256" s="3">
        <v>124.75</v>
      </c>
      <c r="H1256" t="str">
        <f>"INDIGENT HEALTH"</f>
        <v>INDIGENT HEALTH</v>
      </c>
    </row>
    <row r="1257" spans="1:8" x14ac:dyDescent="0.25">
      <c r="A1257" t="s">
        <v>437</v>
      </c>
      <c r="B1257">
        <v>77537</v>
      </c>
      <c r="C1257" s="2">
        <v>4915.9799999999996</v>
      </c>
      <c r="D1257" s="1">
        <v>43290</v>
      </c>
      <c r="E1257" t="str">
        <f>"201807051905"</f>
        <v>201807051905</v>
      </c>
      <c r="F1257" t="str">
        <f>"INDIGENT HEALTH"</f>
        <v>INDIGENT HEALTH</v>
      </c>
      <c r="G1257" s="3">
        <v>4915.9799999999996</v>
      </c>
      <c r="H1257" t="str">
        <f>"INDIGENT HEALTH"</f>
        <v>INDIGENT HEALTH</v>
      </c>
    </row>
    <row r="1258" spans="1:8" x14ac:dyDescent="0.25">
      <c r="A1258" t="s">
        <v>437</v>
      </c>
      <c r="B1258">
        <v>77788</v>
      </c>
      <c r="C1258" s="2">
        <v>1374.16</v>
      </c>
      <c r="D1258" s="1">
        <v>43304</v>
      </c>
      <c r="E1258" t="str">
        <f>"201807182372"</f>
        <v>201807182372</v>
      </c>
      <c r="F1258" t="str">
        <f>"INDIGENT HEALTH"</f>
        <v>INDIGENT HEALTH</v>
      </c>
      <c r="G1258" s="3">
        <v>1374.16</v>
      </c>
      <c r="H1258" t="str">
        <f>"INDIGENT HEALTH"</f>
        <v>INDIGENT HEALTH</v>
      </c>
    </row>
    <row r="1259" spans="1:8" x14ac:dyDescent="0.25">
      <c r="A1259" t="s">
        <v>438</v>
      </c>
      <c r="B1259">
        <v>77538</v>
      </c>
      <c r="C1259" s="2">
        <v>90</v>
      </c>
      <c r="D1259" s="1">
        <v>43290</v>
      </c>
      <c r="E1259" t="str">
        <f>"252887"</f>
        <v>252887</v>
      </c>
      <c r="F1259" t="str">
        <f>"ACCT#20150/PCT#1"</f>
        <v>ACCT#20150/PCT#1</v>
      </c>
      <c r="G1259" s="3">
        <v>90</v>
      </c>
    </row>
    <row r="1260" spans="1:8" x14ac:dyDescent="0.25">
      <c r="A1260" t="s">
        <v>438</v>
      </c>
      <c r="B1260">
        <v>77538</v>
      </c>
      <c r="C1260" s="2">
        <v>90</v>
      </c>
      <c r="D1260" s="1">
        <v>43312</v>
      </c>
      <c r="E1260" t="str">
        <f>"CHECK"</f>
        <v>CHECK</v>
      </c>
      <c r="F1260" t="str">
        <f>""</f>
        <v/>
      </c>
      <c r="G1260" s="3">
        <v>90</v>
      </c>
    </row>
    <row r="1261" spans="1:8" x14ac:dyDescent="0.25">
      <c r="A1261" t="s">
        <v>438</v>
      </c>
      <c r="B1261">
        <v>77889</v>
      </c>
      <c r="C1261" s="2">
        <v>90</v>
      </c>
      <c r="D1261" s="1">
        <v>43312</v>
      </c>
      <c r="E1261" t="str">
        <f>"252887-Reissue"</f>
        <v>252887-Reissue</v>
      </c>
      <c r="F1261" t="str">
        <f>"ACCT #20150 / PCT #1"</f>
        <v>ACCT #20150 / PCT #1</v>
      </c>
      <c r="G1261" s="3">
        <v>90</v>
      </c>
      <c r="H1261" t="str">
        <f>"ACCT #20150 / PCT #1"</f>
        <v>ACCT #20150 / PCT #1</v>
      </c>
    </row>
    <row r="1262" spans="1:8" x14ac:dyDescent="0.25">
      <c r="A1262" t="s">
        <v>439</v>
      </c>
      <c r="B1262">
        <v>77539</v>
      </c>
      <c r="C1262" s="2">
        <v>96523.55</v>
      </c>
      <c r="D1262" s="1">
        <v>43290</v>
      </c>
      <c r="E1262" t="str">
        <f>"GB00285292/286844"</f>
        <v>GB00285292/286844</v>
      </c>
      <c r="F1262" t="str">
        <f>"UPS"</f>
        <v>UPS</v>
      </c>
      <c r="G1262" s="3">
        <v>635.88</v>
      </c>
      <c r="H1262" t="str">
        <f>"Part#: SRDVRLB "</f>
        <v>Part#: SRDVRLB </v>
      </c>
    </row>
    <row r="1263" spans="1:8" x14ac:dyDescent="0.25">
      <c r="E1263" t="str">
        <f>""</f>
        <v/>
      </c>
      <c r="F1263" t="str">
        <f>""</f>
        <v/>
      </c>
      <c r="H1263" t="str">
        <f>"Part#: SMART500RT1U "</f>
        <v>Part#: SMART500RT1U </v>
      </c>
    </row>
    <row r="1264" spans="1:8" x14ac:dyDescent="0.25">
      <c r="E1264" t="str">
        <f>"GB00288150"</f>
        <v>GB00288150</v>
      </c>
      <c r="F1264" t="str">
        <f>"Microsoft True Up"</f>
        <v>Microsoft True Up</v>
      </c>
      <c r="G1264" s="3">
        <v>95887.67</v>
      </c>
      <c r="H1264" t="str">
        <f>"Part#: 269-12445"</f>
        <v>Part#: 269-12445</v>
      </c>
    </row>
    <row r="1265" spans="1:8" x14ac:dyDescent="0.25">
      <c r="E1265" t="str">
        <f>""</f>
        <v/>
      </c>
      <c r="F1265" t="str">
        <f>""</f>
        <v/>
      </c>
      <c r="H1265" t="str">
        <f>"Part#: KV3-00356"</f>
        <v>Part#: KV3-00356</v>
      </c>
    </row>
    <row r="1266" spans="1:8" x14ac:dyDescent="0.25">
      <c r="E1266" t="str">
        <f>""</f>
        <v/>
      </c>
      <c r="F1266" t="str">
        <f>""</f>
        <v/>
      </c>
      <c r="H1266" t="str">
        <f>"Part#: W06-01066"</f>
        <v>Part#: W06-01066</v>
      </c>
    </row>
    <row r="1267" spans="1:8" x14ac:dyDescent="0.25">
      <c r="A1267" t="s">
        <v>439</v>
      </c>
      <c r="B1267">
        <v>77789</v>
      </c>
      <c r="C1267" s="2">
        <v>75098.740000000005</v>
      </c>
      <c r="D1267" s="1">
        <v>43304</v>
      </c>
      <c r="E1267" t="str">
        <f>"GB00288989"</f>
        <v>GB00288989</v>
      </c>
      <c r="F1267" t="str">
        <f>"Adobe Standard 2017 Lic"</f>
        <v>Adobe Standard 2017 Lic</v>
      </c>
      <c r="G1267" s="3">
        <v>657</v>
      </c>
      <c r="H1267" t="str">
        <f>"Adobe Standard 2017 Lic"</f>
        <v>Adobe Standard 2017 Lic</v>
      </c>
    </row>
    <row r="1268" spans="1:8" x14ac:dyDescent="0.25">
      <c r="E1268" t="str">
        <f>"GB00289739"</f>
        <v>GB00289739</v>
      </c>
      <c r="F1268" t="str">
        <f>"VMWARE RENEWAL"</f>
        <v>VMWARE RENEWAL</v>
      </c>
      <c r="G1268" s="3">
        <v>74441.740000000005</v>
      </c>
      <c r="H1268" t="str">
        <f>"Part#: VS6-OEPL-P-SS"</f>
        <v>Part#: VS6-OEPL-P-SS</v>
      </c>
    </row>
    <row r="1269" spans="1:8" x14ac:dyDescent="0.25">
      <c r="E1269" t="str">
        <f>""</f>
        <v/>
      </c>
      <c r="F1269" t="str">
        <f>""</f>
        <v/>
      </c>
      <c r="H1269" t="str">
        <f>"Part#: VCS6-STD-P-SS"</f>
        <v>Part#: VCS6-STD-P-SS</v>
      </c>
    </row>
    <row r="1270" spans="1:8" x14ac:dyDescent="0.25">
      <c r="E1270" t="str">
        <f>""</f>
        <v/>
      </c>
      <c r="F1270" t="str">
        <f>""</f>
        <v/>
      </c>
      <c r="H1270" t="str">
        <f>"Part#: VS6-OEPL-P-SS"</f>
        <v>Part#: VS6-OEPL-P-SS</v>
      </c>
    </row>
    <row r="1271" spans="1:8" x14ac:dyDescent="0.25">
      <c r="E1271" t="str">
        <f>""</f>
        <v/>
      </c>
      <c r="F1271" t="str">
        <f>""</f>
        <v/>
      </c>
      <c r="H1271" t="str">
        <f>"Part#: VM-Reinstatem"</f>
        <v>Part#: VM-Reinstatem</v>
      </c>
    </row>
    <row r="1272" spans="1:8" x14ac:dyDescent="0.25">
      <c r="A1272" t="s">
        <v>440</v>
      </c>
      <c r="B1272">
        <v>77790</v>
      </c>
      <c r="C1272" s="2">
        <v>780.15</v>
      </c>
      <c r="D1272" s="1">
        <v>43304</v>
      </c>
      <c r="E1272" t="str">
        <f>"855348"</f>
        <v>855348</v>
      </c>
      <c r="F1272" t="str">
        <f>"ACCT#550615/PCT#3"</f>
        <v>ACCT#550615/PCT#3</v>
      </c>
      <c r="G1272" s="3">
        <v>780.15</v>
      </c>
      <c r="H1272" t="str">
        <f>"ACCT#550615/PCT#3"</f>
        <v>ACCT#550615/PCT#3</v>
      </c>
    </row>
    <row r="1273" spans="1:8" x14ac:dyDescent="0.25">
      <c r="A1273" t="s">
        <v>441</v>
      </c>
      <c r="B1273">
        <v>77540</v>
      </c>
      <c r="C1273" s="2">
        <v>1833.58</v>
      </c>
      <c r="D1273" s="1">
        <v>43290</v>
      </c>
      <c r="E1273" t="str">
        <f>"8124500284"</f>
        <v>8124500284</v>
      </c>
      <c r="F1273" t="str">
        <f>"CUST#16154438/SHREDDING SVC"</f>
        <v>CUST#16154438/SHREDDING SVC</v>
      </c>
      <c r="G1273" s="3">
        <v>1075.2</v>
      </c>
      <c r="H1273" t="str">
        <f>"CUST#16154438/SHREDDING SVC"</f>
        <v>CUST#16154438/SHREDDING SVC</v>
      </c>
    </row>
    <row r="1274" spans="1:8" x14ac:dyDescent="0.25">
      <c r="E1274" t="str">
        <f>"8124976243"</f>
        <v>8124976243</v>
      </c>
      <c r="F1274" t="str">
        <f>"CUST#15186299/A/C/SHREDDING SV"</f>
        <v>CUST#15186299/A/C/SHREDDING SV</v>
      </c>
      <c r="G1274" s="3">
        <v>511.88</v>
      </c>
      <c r="H1274" t="str">
        <f>"CUST#15186299/A/C/SHREDDING SV"</f>
        <v>CUST#15186299/A/C/SHREDDING SV</v>
      </c>
    </row>
    <row r="1275" spans="1:8" x14ac:dyDescent="0.25">
      <c r="E1275" t="str">
        <f>"8125118902"</f>
        <v>8125118902</v>
      </c>
      <c r="F1275" t="str">
        <f>"INV 8125118902"</f>
        <v>INV 8125118902</v>
      </c>
      <c r="G1275" s="3">
        <v>122</v>
      </c>
      <c r="H1275" t="str">
        <f>"INV 8125118902 - LE"</f>
        <v>INV 8125118902 - LE</v>
      </c>
    </row>
    <row r="1276" spans="1:8" x14ac:dyDescent="0.25">
      <c r="E1276" t="str">
        <f>""</f>
        <v/>
      </c>
      <c r="F1276" t="str">
        <f>""</f>
        <v/>
      </c>
      <c r="H1276" t="str">
        <f>"INV 8125118902 - JAI"</f>
        <v>INV 8125118902 - JAI</v>
      </c>
    </row>
    <row r="1277" spans="1:8" x14ac:dyDescent="0.25">
      <c r="E1277" t="str">
        <f>"8125119550"</f>
        <v>8125119550</v>
      </c>
      <c r="F1277" t="str">
        <f>"CUST#16155373/SHREDDING SVCS"</f>
        <v>CUST#16155373/SHREDDING SVCS</v>
      </c>
      <c r="G1277" s="3">
        <v>73</v>
      </c>
      <c r="H1277" t="str">
        <f t="shared" ref="H1277:H1282" si="11">"CUST#16155373/SHREDDING SVCS"</f>
        <v>CUST#16155373/SHREDDING SVCS</v>
      </c>
    </row>
    <row r="1278" spans="1:8" x14ac:dyDescent="0.25">
      <c r="E1278" t="str">
        <f>""</f>
        <v/>
      </c>
      <c r="F1278" t="str">
        <f>""</f>
        <v/>
      </c>
      <c r="H1278" t="str">
        <f t="shared" si="11"/>
        <v>CUST#16155373/SHREDDING SVCS</v>
      </c>
    </row>
    <row r="1279" spans="1:8" x14ac:dyDescent="0.25">
      <c r="E1279" t="str">
        <f>""</f>
        <v/>
      </c>
      <c r="F1279" t="str">
        <f>""</f>
        <v/>
      </c>
      <c r="H1279" t="str">
        <f t="shared" si="11"/>
        <v>CUST#16155373/SHREDDING SVCS</v>
      </c>
    </row>
    <row r="1280" spans="1:8" x14ac:dyDescent="0.25">
      <c r="E1280" t="str">
        <f>""</f>
        <v/>
      </c>
      <c r="F1280" t="str">
        <f>""</f>
        <v/>
      </c>
      <c r="H1280" t="str">
        <f t="shared" si="11"/>
        <v>CUST#16155373/SHREDDING SVCS</v>
      </c>
    </row>
    <row r="1281" spans="1:8" x14ac:dyDescent="0.25">
      <c r="E1281" t="str">
        <f>""</f>
        <v/>
      </c>
      <c r="F1281" t="str">
        <f>""</f>
        <v/>
      </c>
      <c r="H1281" t="str">
        <f t="shared" si="11"/>
        <v>CUST#16155373/SHREDDING SVCS</v>
      </c>
    </row>
    <row r="1282" spans="1:8" x14ac:dyDescent="0.25">
      <c r="E1282" t="str">
        <f>""</f>
        <v/>
      </c>
      <c r="F1282" t="str">
        <f>""</f>
        <v/>
      </c>
      <c r="H1282" t="str">
        <f t="shared" si="11"/>
        <v>CUST#16155373/SHREDDING SVCS</v>
      </c>
    </row>
    <row r="1283" spans="1:8" x14ac:dyDescent="0.25">
      <c r="E1283" t="str">
        <f>"8125119601"</f>
        <v>8125119601</v>
      </c>
      <c r="F1283" t="str">
        <f>"CUST#16156071/TAX OFFICE"</f>
        <v>CUST#16156071/TAX OFFICE</v>
      </c>
      <c r="G1283" s="3">
        <v>51.5</v>
      </c>
      <c r="H1283" t="str">
        <f>"CUST#16156071/TAX OFFICE"</f>
        <v>CUST#16156071/TAX OFFICE</v>
      </c>
    </row>
    <row r="1284" spans="1:8" x14ac:dyDescent="0.25">
      <c r="A1284" t="s">
        <v>441</v>
      </c>
      <c r="B1284">
        <v>77791</v>
      </c>
      <c r="C1284" s="2">
        <v>213</v>
      </c>
      <c r="D1284" s="1">
        <v>43304</v>
      </c>
      <c r="E1284" t="str">
        <f>"8125119690"</f>
        <v>8125119690</v>
      </c>
      <c r="F1284" t="str">
        <f>"CUST#16158670/JP#4"</f>
        <v>CUST#16158670/JP#4</v>
      </c>
      <c r="G1284" s="3">
        <v>103</v>
      </c>
      <c r="H1284" t="str">
        <f>"CUST#16158670/JP#4"</f>
        <v>CUST#16158670/JP#4</v>
      </c>
    </row>
    <row r="1285" spans="1:8" x14ac:dyDescent="0.25">
      <c r="E1285" t="str">
        <f>"8125119847"</f>
        <v>8125119847</v>
      </c>
      <c r="F1285" t="str">
        <f>"ACCT#16160327/SHREDDING SVCS"</f>
        <v>ACCT#16160327/SHREDDING SVCS</v>
      </c>
      <c r="G1285" s="3">
        <v>110</v>
      </c>
      <c r="H1285" t="str">
        <f>"ACCT#16160327/SHREDDING SVCS"</f>
        <v>ACCT#16160327/SHREDDING SVCS</v>
      </c>
    </row>
    <row r="1286" spans="1:8" x14ac:dyDescent="0.25">
      <c r="E1286" t="str">
        <f>""</f>
        <v/>
      </c>
      <c r="F1286" t="str">
        <f>""</f>
        <v/>
      </c>
      <c r="H1286" t="str">
        <f>"ACCT#16160327/SHREDDING SVCS"</f>
        <v>ACCT#16160327/SHREDDING SVCS</v>
      </c>
    </row>
    <row r="1287" spans="1:8" x14ac:dyDescent="0.25">
      <c r="E1287" t="str">
        <f>""</f>
        <v/>
      </c>
      <c r="F1287" t="str">
        <f>""</f>
        <v/>
      </c>
      <c r="H1287" t="str">
        <f>"ACCT#16160327/SHREDDING SVCS"</f>
        <v>ACCT#16160327/SHREDDING SVCS</v>
      </c>
    </row>
    <row r="1288" spans="1:8" x14ac:dyDescent="0.25">
      <c r="A1288" t="s">
        <v>442</v>
      </c>
      <c r="B1288">
        <v>77792</v>
      </c>
      <c r="C1288" s="2">
        <v>551.98</v>
      </c>
      <c r="D1288" s="1">
        <v>43304</v>
      </c>
      <c r="E1288" t="str">
        <f>"201807182373"</f>
        <v>201807182373</v>
      </c>
      <c r="F1288" t="str">
        <f>"INDIGENT HEALTH"</f>
        <v>INDIGENT HEALTH</v>
      </c>
      <c r="G1288" s="3">
        <v>551.98</v>
      </c>
      <c r="H1288" t="str">
        <f>"INDIGENT HEALTH"</f>
        <v>INDIGENT HEALTH</v>
      </c>
    </row>
    <row r="1289" spans="1:8" x14ac:dyDescent="0.25">
      <c r="A1289" t="s">
        <v>443</v>
      </c>
      <c r="B1289">
        <v>77793</v>
      </c>
      <c r="C1289" s="2">
        <v>47031.199999999997</v>
      </c>
      <c r="D1289" s="1">
        <v>43304</v>
      </c>
      <c r="E1289" t="str">
        <f>"2017 F-350 PCT#2"</f>
        <v>2017 F-350 PCT#2</v>
      </c>
      <c r="F1289" t="str">
        <f>"SILSBEE FORD"</f>
        <v>SILSBEE FORD</v>
      </c>
      <c r="G1289" s="3">
        <v>47031.199999999997</v>
      </c>
      <c r="H1289" t="str">
        <f>"2017 F 350 Diesel"</f>
        <v>2017 F 350 Diesel</v>
      </c>
    </row>
    <row r="1290" spans="1:8" x14ac:dyDescent="0.25">
      <c r="E1290" t="str">
        <f>""</f>
        <v/>
      </c>
      <c r="F1290" t="str">
        <f>""</f>
        <v/>
      </c>
      <c r="H1290" t="str">
        <f>"BUY BOARD FEE"</f>
        <v>BUY BOARD FEE</v>
      </c>
    </row>
    <row r="1291" spans="1:8" x14ac:dyDescent="0.25">
      <c r="A1291" t="s">
        <v>444</v>
      </c>
      <c r="B1291">
        <v>77794</v>
      </c>
      <c r="C1291" s="2">
        <v>131.80000000000001</v>
      </c>
      <c r="D1291" s="1">
        <v>43304</v>
      </c>
      <c r="E1291" t="str">
        <f>"201807132217"</f>
        <v>201807132217</v>
      </c>
      <c r="F1291" t="str">
        <f>"STATEMENT#27780/PCT#2"</f>
        <v>STATEMENT#27780/PCT#2</v>
      </c>
      <c r="G1291" s="3">
        <v>128.55000000000001</v>
      </c>
      <c r="H1291" t="str">
        <f>"STATEMENT#27780/PCT#2"</f>
        <v>STATEMENT#27780/PCT#2</v>
      </c>
    </row>
    <row r="1292" spans="1:8" x14ac:dyDescent="0.25">
      <c r="E1292" t="str">
        <f>"387434"</f>
        <v>387434</v>
      </c>
      <c r="F1292" t="str">
        <f>"STATEMENT#27781/PCT#3"</f>
        <v>STATEMENT#27781/PCT#3</v>
      </c>
      <c r="G1292" s="3">
        <v>3.25</v>
      </c>
      <c r="H1292" t="str">
        <f>"STATEMENT#27781/PCT#3"</f>
        <v>STATEMENT#27781/PCT#3</v>
      </c>
    </row>
    <row r="1293" spans="1:8" x14ac:dyDescent="0.25">
      <c r="A1293" t="s">
        <v>445</v>
      </c>
      <c r="B1293">
        <v>77795</v>
      </c>
      <c r="C1293" s="2">
        <v>1828.82</v>
      </c>
      <c r="D1293" s="1">
        <v>43304</v>
      </c>
      <c r="E1293" t="str">
        <f>"201807122188"</f>
        <v>201807122188</v>
      </c>
      <c r="F1293" t="str">
        <f>"ACCT#260/PCT#2"</f>
        <v>ACCT#260/PCT#2</v>
      </c>
      <c r="G1293" s="3">
        <v>1828.82</v>
      </c>
      <c r="H1293" t="str">
        <f>"ACCT#260/PCT#2"</f>
        <v>ACCT#260/PCT#2</v>
      </c>
    </row>
    <row r="1294" spans="1:8" x14ac:dyDescent="0.25">
      <c r="A1294" t="s">
        <v>446</v>
      </c>
      <c r="B1294">
        <v>77796</v>
      </c>
      <c r="C1294" s="2">
        <v>8.91</v>
      </c>
      <c r="D1294" s="1">
        <v>43304</v>
      </c>
      <c r="E1294" t="str">
        <f>"201807162231"</f>
        <v>201807162231</v>
      </c>
      <c r="F1294" t="str">
        <f>"ARREST FEES 4/1/2018-6/30/2018"</f>
        <v>ARREST FEES 4/1/2018-6/30/2018</v>
      </c>
      <c r="G1294" s="3">
        <v>8.91</v>
      </c>
      <c r="H1294" t="str">
        <f>"ARREST FEES 4/1/2018-6/30/2018"</f>
        <v>ARREST FEES 4/1/2018-6/30/2018</v>
      </c>
    </row>
    <row r="1295" spans="1:8" x14ac:dyDescent="0.25">
      <c r="A1295" t="s">
        <v>447</v>
      </c>
      <c r="B1295">
        <v>77541</v>
      </c>
      <c r="C1295" s="2">
        <v>300</v>
      </c>
      <c r="D1295" s="1">
        <v>43290</v>
      </c>
      <c r="E1295" t="str">
        <f>"201806281733"</f>
        <v>201806281733</v>
      </c>
      <c r="F1295" t="str">
        <f>"2018 MEMBERSHIP DUES"</f>
        <v>2018 MEMBERSHIP DUES</v>
      </c>
      <c r="G1295" s="3">
        <v>300</v>
      </c>
      <c r="H1295" t="str">
        <f>"2018 MEMBERSHIP DUES"</f>
        <v>2018 MEMBERSHIP DUES</v>
      </c>
    </row>
    <row r="1296" spans="1:8" x14ac:dyDescent="0.25">
      <c r="A1296" t="s">
        <v>448</v>
      </c>
      <c r="B1296">
        <v>77542</v>
      </c>
      <c r="C1296" s="2">
        <v>3643.5</v>
      </c>
      <c r="D1296" s="1">
        <v>43290</v>
      </c>
      <c r="E1296" t="str">
        <f>"63249842"</f>
        <v>63249842</v>
      </c>
      <c r="F1296" t="str">
        <f>"CUST#52157/PCT#4"</f>
        <v>CUST#52157/PCT#4</v>
      </c>
      <c r="G1296" s="3">
        <v>350</v>
      </c>
      <c r="H1296" t="str">
        <f>"CUST#52157/PCT#4"</f>
        <v>CUST#52157/PCT#4</v>
      </c>
    </row>
    <row r="1297" spans="1:8" x14ac:dyDescent="0.25">
      <c r="E1297" t="str">
        <f>"63251640"</f>
        <v>63251640</v>
      </c>
      <c r="F1297" t="str">
        <f>"CUST#52157/PCT#3"</f>
        <v>CUST#52157/PCT#3</v>
      </c>
      <c r="G1297" s="3">
        <v>335.5</v>
      </c>
      <c r="H1297" t="str">
        <f>"CUST#52157/PCT#3"</f>
        <v>CUST#52157/PCT#3</v>
      </c>
    </row>
    <row r="1298" spans="1:8" x14ac:dyDescent="0.25">
      <c r="E1298" t="str">
        <f>"63252802"</f>
        <v>63252802</v>
      </c>
      <c r="F1298" t="str">
        <f>"CUST#52157/PCT#3"</f>
        <v>CUST#52157/PCT#3</v>
      </c>
      <c r="G1298" s="3">
        <v>712.4</v>
      </c>
      <c r="H1298" t="str">
        <f>"CUST#52157/PCT#3"</f>
        <v>CUST#52157/PCT#3</v>
      </c>
    </row>
    <row r="1299" spans="1:8" x14ac:dyDescent="0.25">
      <c r="E1299" t="str">
        <f>"63253030"</f>
        <v>63253030</v>
      </c>
      <c r="F1299" t="str">
        <f>"CUST#52157/PCT#4"</f>
        <v>CUST#52157/PCT#4</v>
      </c>
      <c r="G1299" s="3">
        <v>723.6</v>
      </c>
      <c r="H1299" t="str">
        <f>"CUST#52157/PCT#4"</f>
        <v>CUST#52157/PCT#4</v>
      </c>
    </row>
    <row r="1300" spans="1:8" x14ac:dyDescent="0.25">
      <c r="E1300" t="str">
        <f>"63253180"</f>
        <v>63253180</v>
      </c>
      <c r="F1300" t="str">
        <f>"CUST#52157/PCT#3"</f>
        <v>CUST#52157/PCT#3</v>
      </c>
      <c r="G1300" s="3">
        <v>145.5</v>
      </c>
      <c r="H1300" t="str">
        <f>"CUST#52157/PCT#3"</f>
        <v>CUST#52157/PCT#3</v>
      </c>
    </row>
    <row r="1301" spans="1:8" x14ac:dyDescent="0.25">
      <c r="E1301" t="str">
        <f>"63253784"</f>
        <v>63253784</v>
      </c>
      <c r="F1301" t="str">
        <f>"CUST#52157/PCT#4"</f>
        <v>CUST#52157/PCT#4</v>
      </c>
      <c r="G1301" s="3">
        <v>1376.5</v>
      </c>
      <c r="H1301" t="str">
        <f>"CUST#52157/PCT#4"</f>
        <v>CUST#52157/PCT#4</v>
      </c>
    </row>
    <row r="1302" spans="1:8" x14ac:dyDescent="0.25">
      <c r="A1302" t="s">
        <v>448</v>
      </c>
      <c r="B1302">
        <v>77797</v>
      </c>
      <c r="C1302" s="2">
        <v>311.02999999999997</v>
      </c>
      <c r="D1302" s="1">
        <v>43304</v>
      </c>
      <c r="E1302" t="str">
        <f>"63250410"</f>
        <v>63250410</v>
      </c>
      <c r="F1302" t="str">
        <f>"CUST#52157/PCT#4"</f>
        <v>CUST#52157/PCT#4</v>
      </c>
      <c r="G1302" s="3">
        <v>121.58</v>
      </c>
      <c r="H1302" t="str">
        <f>"CUST#52157/PCT#4"</f>
        <v>CUST#52157/PCT#4</v>
      </c>
    </row>
    <row r="1303" spans="1:8" x14ac:dyDescent="0.25">
      <c r="E1303" t="str">
        <f>"63254340"</f>
        <v>63254340</v>
      </c>
      <c r="F1303" t="str">
        <f>"CUST#52157/PCT#3"</f>
        <v>CUST#52157/PCT#3</v>
      </c>
      <c r="G1303" s="3">
        <v>189.45</v>
      </c>
      <c r="H1303" t="str">
        <f>"CUST#52157/PCT#3"</f>
        <v>CUST#52157/PCT#3</v>
      </c>
    </row>
    <row r="1304" spans="1:8" x14ac:dyDescent="0.25">
      <c r="A1304" t="s">
        <v>449</v>
      </c>
      <c r="B1304">
        <v>77543</v>
      </c>
      <c r="C1304" s="2">
        <v>54</v>
      </c>
      <c r="D1304" s="1">
        <v>43290</v>
      </c>
      <c r="E1304" t="str">
        <f>"9604456 062118"</f>
        <v>9604456 062118</v>
      </c>
      <c r="F1304" t="str">
        <f>"ACCT#46668439604456/JP#2"</f>
        <v>ACCT#46668439604456/JP#2</v>
      </c>
      <c r="G1304" s="3">
        <v>54</v>
      </c>
      <c r="H1304" t="str">
        <f>"ACCT#46668439604456/JP#2"</f>
        <v>ACCT#46668439604456/JP#2</v>
      </c>
    </row>
    <row r="1305" spans="1:8" x14ac:dyDescent="0.25">
      <c r="A1305" t="s">
        <v>449</v>
      </c>
      <c r="B1305">
        <v>77798</v>
      </c>
      <c r="C1305" s="2">
        <v>117.62</v>
      </c>
      <c r="D1305" s="1">
        <v>43304</v>
      </c>
      <c r="E1305" t="str">
        <f>"11969495 070618"</f>
        <v>11969495 070618</v>
      </c>
      <c r="F1305" t="str">
        <f>"ACCT#556850411969495/DA'S OFF"</f>
        <v>ACCT#556850411969495/DA'S OFF</v>
      </c>
      <c r="G1305" s="3">
        <v>117.62</v>
      </c>
      <c r="H1305" t="str">
        <f>"ACCT#556850411969495/DA'S OFF"</f>
        <v>ACCT#556850411969495/DA'S OFF</v>
      </c>
    </row>
    <row r="1306" spans="1:8" x14ac:dyDescent="0.25">
      <c r="A1306" t="s">
        <v>450</v>
      </c>
      <c r="B1306">
        <v>999999</v>
      </c>
      <c r="C1306" s="2">
        <v>2610</v>
      </c>
      <c r="D1306" s="1">
        <v>43305</v>
      </c>
      <c r="E1306" t="str">
        <f>"17294"</f>
        <v>17294</v>
      </c>
      <c r="F1306" t="str">
        <f>"AUTO REPAIRS/PCT#2"</f>
        <v>AUTO REPAIRS/PCT#2</v>
      </c>
      <c r="G1306" s="3">
        <v>2610</v>
      </c>
      <c r="H1306" t="str">
        <f>"AUTO REPAIRS/PCT#2"</f>
        <v>AUTO REPAIRS/PCT#2</v>
      </c>
    </row>
    <row r="1307" spans="1:8" x14ac:dyDescent="0.25">
      <c r="A1307" t="s">
        <v>451</v>
      </c>
      <c r="B1307">
        <v>77544</v>
      </c>
      <c r="C1307" s="2">
        <v>12475.01</v>
      </c>
      <c r="D1307" s="1">
        <v>43290</v>
      </c>
      <c r="E1307" t="str">
        <f>"201807051906"</f>
        <v>201807051906</v>
      </c>
      <c r="F1307" t="str">
        <f>"INDIGENT HEALTH"</f>
        <v>INDIGENT HEALTH</v>
      </c>
      <c r="G1307" s="3">
        <v>1004.88</v>
      </c>
      <c r="H1307" t="str">
        <f t="shared" ref="H1307:H1313" si="12">"INDIGENT HEALTH"</f>
        <v>INDIGENT HEALTH</v>
      </c>
    </row>
    <row r="1308" spans="1:8" x14ac:dyDescent="0.25">
      <c r="E1308" t="str">
        <f>"201807051907"</f>
        <v>201807051907</v>
      </c>
      <c r="F1308" t="str">
        <f>"INDIGENT HEALTH"</f>
        <v>INDIGENT HEALTH</v>
      </c>
      <c r="G1308" s="3">
        <v>11470.13</v>
      </c>
      <c r="H1308" t="str">
        <f t="shared" si="12"/>
        <v>INDIGENT HEALTH</v>
      </c>
    </row>
    <row r="1309" spans="1:8" x14ac:dyDescent="0.25">
      <c r="E1309" t="str">
        <f>""</f>
        <v/>
      </c>
      <c r="F1309" t="str">
        <f>""</f>
        <v/>
      </c>
      <c r="H1309" t="str">
        <f t="shared" si="12"/>
        <v>INDIGENT HEALTH</v>
      </c>
    </row>
    <row r="1310" spans="1:8" x14ac:dyDescent="0.25">
      <c r="A1310" t="s">
        <v>451</v>
      </c>
      <c r="B1310">
        <v>77799</v>
      </c>
      <c r="C1310" s="2">
        <v>23429.11</v>
      </c>
      <c r="D1310" s="1">
        <v>43304</v>
      </c>
      <c r="E1310" t="str">
        <f>"201807182374"</f>
        <v>201807182374</v>
      </c>
      <c r="F1310" t="str">
        <f>"INDIGENT HEALTH"</f>
        <v>INDIGENT HEALTH</v>
      </c>
      <c r="G1310" s="3">
        <v>20902.72</v>
      </c>
      <c r="H1310" t="str">
        <f t="shared" si="12"/>
        <v>INDIGENT HEALTH</v>
      </c>
    </row>
    <row r="1311" spans="1:8" x14ac:dyDescent="0.25">
      <c r="E1311" t="str">
        <f>""</f>
        <v/>
      </c>
      <c r="F1311" t="str">
        <f>""</f>
        <v/>
      </c>
      <c r="H1311" t="str">
        <f t="shared" si="12"/>
        <v>INDIGENT HEALTH</v>
      </c>
    </row>
    <row r="1312" spans="1:8" x14ac:dyDescent="0.25">
      <c r="E1312" t="str">
        <f>"201807182376"</f>
        <v>201807182376</v>
      </c>
      <c r="F1312" t="str">
        <f>"INDIGENT HEALTH"</f>
        <v>INDIGENT HEALTH</v>
      </c>
      <c r="G1312" s="3">
        <v>2526.39</v>
      </c>
      <c r="H1312" t="str">
        <f t="shared" si="12"/>
        <v>INDIGENT HEALTH</v>
      </c>
    </row>
    <row r="1313" spans="1:8" x14ac:dyDescent="0.25">
      <c r="A1313" t="s">
        <v>452</v>
      </c>
      <c r="B1313">
        <v>77800</v>
      </c>
      <c r="C1313" s="2">
        <v>1253.7</v>
      </c>
      <c r="D1313" s="1">
        <v>43304</v>
      </c>
      <c r="E1313" t="str">
        <f>"201807182375"</f>
        <v>201807182375</v>
      </c>
      <c r="F1313" t="str">
        <f>"INDIGENT HEALTH"</f>
        <v>INDIGENT HEALTH</v>
      </c>
      <c r="G1313" s="3">
        <v>1253.7</v>
      </c>
      <c r="H1313" t="str">
        <f t="shared" si="12"/>
        <v>INDIGENT HEALTH</v>
      </c>
    </row>
    <row r="1314" spans="1:8" x14ac:dyDescent="0.25">
      <c r="A1314" t="s">
        <v>453</v>
      </c>
      <c r="B1314">
        <v>77545</v>
      </c>
      <c r="C1314" s="2">
        <v>1303.55</v>
      </c>
      <c r="D1314" s="1">
        <v>43290</v>
      </c>
      <c r="E1314" t="str">
        <f>"8050274270"</f>
        <v>8050274270</v>
      </c>
      <c r="F1314" t="str">
        <f>"Sum inv# 8050274270"</f>
        <v>Sum inv# 8050274270</v>
      </c>
      <c r="G1314" s="3">
        <v>1303.55</v>
      </c>
      <c r="H1314" t="str">
        <f>"Inv# 3381094501"</f>
        <v>Inv# 3381094501</v>
      </c>
    </row>
    <row r="1315" spans="1:8" x14ac:dyDescent="0.25">
      <c r="E1315" t="str">
        <f>""</f>
        <v/>
      </c>
      <c r="F1315" t="str">
        <f>""</f>
        <v/>
      </c>
      <c r="H1315" t="str">
        <f>"Inv# 3381094499"</f>
        <v>Inv# 3381094499</v>
      </c>
    </row>
    <row r="1316" spans="1:8" x14ac:dyDescent="0.25">
      <c r="E1316" t="str">
        <f>""</f>
        <v/>
      </c>
      <c r="F1316" t="str">
        <f>""</f>
        <v/>
      </c>
      <c r="H1316" t="str">
        <f>"Inv# 3381094500"</f>
        <v>Inv# 3381094500</v>
      </c>
    </row>
    <row r="1317" spans="1:8" x14ac:dyDescent="0.25">
      <c r="E1317" t="str">
        <f>""</f>
        <v/>
      </c>
      <c r="F1317" t="str">
        <f>""</f>
        <v/>
      </c>
      <c r="H1317" t="str">
        <f>"Inv# 3381094494"</f>
        <v>Inv# 3381094494</v>
      </c>
    </row>
    <row r="1318" spans="1:8" x14ac:dyDescent="0.25">
      <c r="E1318" t="str">
        <f>""</f>
        <v/>
      </c>
      <c r="F1318" t="str">
        <f>""</f>
        <v/>
      </c>
      <c r="H1318" t="str">
        <f>"Inv# 3381094496"</f>
        <v>Inv# 3381094496</v>
      </c>
    </row>
    <row r="1319" spans="1:8" x14ac:dyDescent="0.25">
      <c r="E1319" t="str">
        <f>""</f>
        <v/>
      </c>
      <c r="F1319" t="str">
        <f>""</f>
        <v/>
      </c>
      <c r="H1319" t="str">
        <f>"Inv# 3381094502"</f>
        <v>Inv# 3381094502</v>
      </c>
    </row>
    <row r="1320" spans="1:8" x14ac:dyDescent="0.25">
      <c r="E1320" t="str">
        <f>""</f>
        <v/>
      </c>
      <c r="F1320" t="str">
        <f>""</f>
        <v/>
      </c>
      <c r="H1320" t="str">
        <f>"Inv# 3381094503"</f>
        <v>Inv# 3381094503</v>
      </c>
    </row>
    <row r="1321" spans="1:8" x14ac:dyDescent="0.25">
      <c r="E1321" t="str">
        <f>""</f>
        <v/>
      </c>
      <c r="F1321" t="str">
        <f>""</f>
        <v/>
      </c>
      <c r="H1321" t="str">
        <f>"Inv# 3381094504"</f>
        <v>Inv# 3381094504</v>
      </c>
    </row>
    <row r="1322" spans="1:8" x14ac:dyDescent="0.25">
      <c r="E1322" t="str">
        <f>""</f>
        <v/>
      </c>
      <c r="F1322" t="str">
        <f>""</f>
        <v/>
      </c>
      <c r="H1322" t="str">
        <f>"Inv# 3381094497"</f>
        <v>Inv# 3381094497</v>
      </c>
    </row>
    <row r="1323" spans="1:8" x14ac:dyDescent="0.25">
      <c r="E1323" t="str">
        <f>""</f>
        <v/>
      </c>
      <c r="F1323" t="str">
        <f>""</f>
        <v/>
      </c>
      <c r="H1323" t="str">
        <f>"Inv# 3381094498"</f>
        <v>Inv# 3381094498</v>
      </c>
    </row>
    <row r="1324" spans="1:8" x14ac:dyDescent="0.25">
      <c r="E1324" t="str">
        <f>""</f>
        <v/>
      </c>
      <c r="F1324" t="str">
        <f>""</f>
        <v/>
      </c>
      <c r="H1324" t="str">
        <f>"Inv# 3381094493"</f>
        <v>Inv# 3381094493</v>
      </c>
    </row>
    <row r="1325" spans="1:8" x14ac:dyDescent="0.25">
      <c r="E1325" t="str">
        <f>""</f>
        <v/>
      </c>
      <c r="F1325" t="str">
        <f>""</f>
        <v/>
      </c>
      <c r="H1325" t="str">
        <f>"Inv# 3381094500"</f>
        <v>Inv# 3381094500</v>
      </c>
    </row>
    <row r="1326" spans="1:8" x14ac:dyDescent="0.25">
      <c r="E1326" t="str">
        <f>""</f>
        <v/>
      </c>
      <c r="F1326" t="str">
        <f>""</f>
        <v/>
      </c>
      <c r="H1326" t="str">
        <f>"Inv# 3381094495"</f>
        <v>Inv# 3381094495</v>
      </c>
    </row>
    <row r="1327" spans="1:8" x14ac:dyDescent="0.25">
      <c r="A1327" t="s">
        <v>453</v>
      </c>
      <c r="B1327">
        <v>77801</v>
      </c>
      <c r="C1327" s="2">
        <v>1638.66</v>
      </c>
      <c r="D1327" s="1">
        <v>43304</v>
      </c>
      <c r="E1327" t="str">
        <f>"8050499978"</f>
        <v>8050499978</v>
      </c>
      <c r="F1327" t="str">
        <f>"Sum Inv# 8050499978"</f>
        <v>Sum Inv# 8050499978</v>
      </c>
      <c r="G1327" s="3">
        <v>1638.66</v>
      </c>
      <c r="H1327" t="str">
        <f>"Inv# 3382819028"</f>
        <v>Inv# 3382819028</v>
      </c>
    </row>
    <row r="1328" spans="1:8" x14ac:dyDescent="0.25">
      <c r="E1328" t="str">
        <f>""</f>
        <v/>
      </c>
      <c r="F1328" t="str">
        <f>""</f>
        <v/>
      </c>
      <c r="H1328" t="str">
        <f>"Inv# 3382819029"</f>
        <v>Inv# 3382819029</v>
      </c>
    </row>
    <row r="1329" spans="5:8" x14ac:dyDescent="0.25">
      <c r="E1329" t="str">
        <f>""</f>
        <v/>
      </c>
      <c r="F1329" t="str">
        <f>""</f>
        <v/>
      </c>
      <c r="H1329" t="str">
        <f>"3382819018"</f>
        <v>3382819018</v>
      </c>
    </row>
    <row r="1330" spans="5:8" x14ac:dyDescent="0.25">
      <c r="E1330" t="str">
        <f>""</f>
        <v/>
      </c>
      <c r="F1330" t="str">
        <f>""</f>
        <v/>
      </c>
      <c r="H1330" t="str">
        <f>"Inv# 3382819033"</f>
        <v>Inv# 3382819033</v>
      </c>
    </row>
    <row r="1331" spans="5:8" x14ac:dyDescent="0.25">
      <c r="E1331" t="str">
        <f>""</f>
        <v/>
      </c>
      <c r="F1331" t="str">
        <f>""</f>
        <v/>
      </c>
      <c r="H1331" t="str">
        <f>"Inv# 3382819034"</f>
        <v>Inv# 3382819034</v>
      </c>
    </row>
    <row r="1332" spans="5:8" x14ac:dyDescent="0.25">
      <c r="E1332" t="str">
        <f>""</f>
        <v/>
      </c>
      <c r="F1332" t="str">
        <f>""</f>
        <v/>
      </c>
      <c r="H1332" t="str">
        <f>"Inv# 3382819032"</f>
        <v>Inv# 3382819032</v>
      </c>
    </row>
    <row r="1333" spans="5:8" x14ac:dyDescent="0.25">
      <c r="E1333" t="str">
        <f>""</f>
        <v/>
      </c>
      <c r="F1333" t="str">
        <f>""</f>
        <v/>
      </c>
      <c r="H1333" t="str">
        <f>"Inv# 3382819030"</f>
        <v>Inv# 3382819030</v>
      </c>
    </row>
    <row r="1334" spans="5:8" x14ac:dyDescent="0.25">
      <c r="E1334" t="str">
        <f>""</f>
        <v/>
      </c>
      <c r="F1334" t="str">
        <f>""</f>
        <v/>
      </c>
      <c r="H1334" t="str">
        <f>"Inv# 3382819031"</f>
        <v>Inv# 3382819031</v>
      </c>
    </row>
    <row r="1335" spans="5:8" x14ac:dyDescent="0.25">
      <c r="E1335" t="str">
        <f>""</f>
        <v/>
      </c>
      <c r="F1335" t="str">
        <f>""</f>
        <v/>
      </c>
      <c r="H1335" t="str">
        <f>"Inv# 3382819025"</f>
        <v>Inv# 3382819025</v>
      </c>
    </row>
    <row r="1336" spans="5:8" x14ac:dyDescent="0.25">
      <c r="E1336" t="str">
        <f>""</f>
        <v/>
      </c>
      <c r="F1336" t="str">
        <f>""</f>
        <v/>
      </c>
      <c r="H1336" t="str">
        <f>"Inv# 3382819026"</f>
        <v>Inv# 3382819026</v>
      </c>
    </row>
    <row r="1337" spans="5:8" x14ac:dyDescent="0.25">
      <c r="E1337" t="str">
        <f>""</f>
        <v/>
      </c>
      <c r="F1337" t="str">
        <f>""</f>
        <v/>
      </c>
      <c r="H1337" t="str">
        <f>"Inv# 3382819027"</f>
        <v>Inv# 3382819027</v>
      </c>
    </row>
    <row r="1338" spans="5:8" x14ac:dyDescent="0.25">
      <c r="E1338" t="str">
        <f>""</f>
        <v/>
      </c>
      <c r="F1338" t="str">
        <f>""</f>
        <v/>
      </c>
      <c r="H1338" t="str">
        <f>"Inv# 3382819020"</f>
        <v>Inv# 3382819020</v>
      </c>
    </row>
    <row r="1339" spans="5:8" x14ac:dyDescent="0.25">
      <c r="E1339" t="str">
        <f>""</f>
        <v/>
      </c>
      <c r="F1339" t="str">
        <f>""</f>
        <v/>
      </c>
      <c r="H1339" t="str">
        <f>"Inv# 3382819021"</f>
        <v>Inv# 3382819021</v>
      </c>
    </row>
    <row r="1340" spans="5:8" x14ac:dyDescent="0.25">
      <c r="E1340" t="str">
        <f>""</f>
        <v/>
      </c>
      <c r="F1340" t="str">
        <f>""</f>
        <v/>
      </c>
      <c r="H1340" t="str">
        <f>"Inv# 3382819023"</f>
        <v>Inv# 3382819023</v>
      </c>
    </row>
    <row r="1341" spans="5:8" x14ac:dyDescent="0.25">
      <c r="E1341" t="str">
        <f>""</f>
        <v/>
      </c>
      <c r="F1341" t="str">
        <f>""</f>
        <v/>
      </c>
      <c r="H1341" t="str">
        <f>"Inv# 3382819024"</f>
        <v>Inv# 3382819024</v>
      </c>
    </row>
    <row r="1342" spans="5:8" x14ac:dyDescent="0.25">
      <c r="E1342" t="str">
        <f>""</f>
        <v/>
      </c>
      <c r="F1342" t="str">
        <f>""</f>
        <v/>
      </c>
      <c r="H1342" t="str">
        <f>"Inv# 3382819015"</f>
        <v>Inv# 3382819015</v>
      </c>
    </row>
    <row r="1343" spans="5:8" x14ac:dyDescent="0.25">
      <c r="E1343" t="str">
        <f>""</f>
        <v/>
      </c>
      <c r="F1343" t="str">
        <f>""</f>
        <v/>
      </c>
      <c r="H1343" t="str">
        <f>"Inv# 3382819016"</f>
        <v>Inv# 3382819016</v>
      </c>
    </row>
    <row r="1344" spans="5:8" x14ac:dyDescent="0.25">
      <c r="E1344" t="str">
        <f>""</f>
        <v/>
      </c>
      <c r="F1344" t="str">
        <f>""</f>
        <v/>
      </c>
      <c r="H1344" t="str">
        <f>"Inv# 3382819017"</f>
        <v>Inv# 3382819017</v>
      </c>
    </row>
    <row r="1345" spans="1:8" x14ac:dyDescent="0.25">
      <c r="A1345" t="s">
        <v>454</v>
      </c>
      <c r="B1345">
        <v>77802</v>
      </c>
      <c r="C1345" s="2">
        <v>300</v>
      </c>
      <c r="D1345" s="1">
        <v>43304</v>
      </c>
      <c r="E1345" t="str">
        <f>"784138"</f>
        <v>784138</v>
      </c>
      <c r="F1345" t="str">
        <f>"STATE BAR DUES-BRYAN GOERTZ"</f>
        <v>STATE BAR DUES-BRYAN GOERTZ</v>
      </c>
      <c r="G1345" s="3">
        <v>300</v>
      </c>
      <c r="H1345" t="str">
        <f>"STATE BAR DUES-BRYAN GOERTZ"</f>
        <v>STATE BAR DUES-BRYAN GOERTZ</v>
      </c>
    </row>
    <row r="1346" spans="1:8" x14ac:dyDescent="0.25">
      <c r="A1346" t="s">
        <v>455</v>
      </c>
      <c r="B1346">
        <v>77546</v>
      </c>
      <c r="C1346" s="2">
        <v>607.49</v>
      </c>
      <c r="D1346" s="1">
        <v>43290</v>
      </c>
      <c r="E1346" t="str">
        <f>"201807031866"</f>
        <v>201807031866</v>
      </c>
      <c r="F1346" t="str">
        <f>"MONTHLY STATEMENT:JUNE 2018"</f>
        <v>MONTHLY STATEMENT:JUNE 2018</v>
      </c>
      <c r="G1346" s="3">
        <v>607.49</v>
      </c>
      <c r="H1346" t="str">
        <f>"MONTHLY STATEMENT:JUNE 2018"</f>
        <v>MONTHLY STATEMENT:JUNE 2018</v>
      </c>
    </row>
    <row r="1347" spans="1:8" x14ac:dyDescent="0.25">
      <c r="A1347" t="s">
        <v>456</v>
      </c>
      <c r="B1347">
        <v>77547</v>
      </c>
      <c r="C1347" s="2">
        <v>364</v>
      </c>
      <c r="D1347" s="1">
        <v>43290</v>
      </c>
      <c r="E1347" t="str">
        <f>"201807021782"</f>
        <v>201807021782</v>
      </c>
      <c r="F1347" t="str">
        <f>"TRASH REMOVAL 06/25-06/29/PCT4"</f>
        <v>TRASH REMOVAL 06/25-06/29/PCT4</v>
      </c>
      <c r="G1347" s="3">
        <v>221</v>
      </c>
      <c r="H1347" t="str">
        <f>"TRASH REMOVAL 06/25-06/29/PCT4"</f>
        <v>TRASH REMOVAL 06/25-06/29/PCT4</v>
      </c>
    </row>
    <row r="1348" spans="1:8" x14ac:dyDescent="0.25">
      <c r="E1348" t="str">
        <f>"201807021783"</f>
        <v>201807021783</v>
      </c>
      <c r="F1348" t="str">
        <f>"TRASH REMOVAL 07/02-07/06/PCT4"</f>
        <v>TRASH REMOVAL 07/02-07/06/PCT4</v>
      </c>
      <c r="G1348" s="3">
        <v>143</v>
      </c>
      <c r="H1348" t="str">
        <f>"TRASH REMOVAL 07/02-07/06/PCT4"</f>
        <v>TRASH REMOVAL 07/02-07/06/PCT4</v>
      </c>
    </row>
    <row r="1349" spans="1:8" x14ac:dyDescent="0.25">
      <c r="A1349" t="s">
        <v>456</v>
      </c>
      <c r="B1349">
        <v>77803</v>
      </c>
      <c r="C1349" s="2">
        <v>357.5</v>
      </c>
      <c r="D1349" s="1">
        <v>43304</v>
      </c>
      <c r="E1349" t="str">
        <f>"201807172249"</f>
        <v>201807172249</v>
      </c>
      <c r="F1349" t="str">
        <f>"TRASH REMOVAL 7/9-7/20/PCT#4"</f>
        <v>TRASH REMOVAL 7/9-7/20/PCT#4</v>
      </c>
      <c r="G1349" s="3">
        <v>357.5</v>
      </c>
      <c r="H1349" t="str">
        <f>"TRASH REMOVAL 7/9-7/20/PCT#4"</f>
        <v>TRASH REMOVAL 7/9-7/20/PCT#4</v>
      </c>
    </row>
    <row r="1350" spans="1:8" x14ac:dyDescent="0.25">
      <c r="A1350" t="s">
        <v>457</v>
      </c>
      <c r="B1350">
        <v>77548</v>
      </c>
      <c r="C1350" s="2">
        <v>350</v>
      </c>
      <c r="D1350" s="1">
        <v>43290</v>
      </c>
      <c r="E1350" t="str">
        <f>"PSYCH EVAL 6/22/18"</f>
        <v>PSYCH EVAL 6/22/18</v>
      </c>
      <c r="F1350" t="str">
        <f>"JUNE 22  2018 BILL / PSYC"</f>
        <v>JUNE 22  2018 BILL / PSYC</v>
      </c>
      <c r="G1350" s="3">
        <v>350</v>
      </c>
      <c r="H1350" t="str">
        <f>"JUNE 22  2018 BILL"</f>
        <v>JUNE 22  2018 BILL</v>
      </c>
    </row>
    <row r="1351" spans="1:8" x14ac:dyDescent="0.25">
      <c r="A1351" t="s">
        <v>458</v>
      </c>
      <c r="B1351">
        <v>999999</v>
      </c>
      <c r="C1351" s="2">
        <v>8960</v>
      </c>
      <c r="D1351" s="1">
        <v>43291</v>
      </c>
      <c r="E1351" t="str">
        <f>"208"</f>
        <v>208</v>
      </c>
      <c r="F1351" t="str">
        <f>"SHREDDING MOWING/PCT#2"</f>
        <v>SHREDDING MOWING/PCT#2</v>
      </c>
      <c r="G1351" s="3">
        <v>8960</v>
      </c>
      <c r="H1351" t="str">
        <f>"SHREDDING MOWING/PCT#2"</f>
        <v>SHREDDING MOWING/PCT#2</v>
      </c>
    </row>
    <row r="1352" spans="1:8" x14ac:dyDescent="0.25">
      <c r="A1352" t="s">
        <v>458</v>
      </c>
      <c r="B1352">
        <v>999999</v>
      </c>
      <c r="C1352" s="2">
        <v>10240</v>
      </c>
      <c r="D1352" s="1">
        <v>43305</v>
      </c>
      <c r="E1352" t="str">
        <f>"213"</f>
        <v>213</v>
      </c>
      <c r="F1352" t="str">
        <f>"SHREDDING/MOWING/WEEDING/PCT#2"</f>
        <v>SHREDDING/MOWING/WEEDING/PCT#2</v>
      </c>
      <c r="G1352" s="3">
        <v>10240</v>
      </c>
      <c r="H1352" t="str">
        <f>"SHREDDING/MOWING/WEEDING/PCT#2"</f>
        <v>SHREDDING/MOWING/WEEDING/PCT#2</v>
      </c>
    </row>
    <row r="1353" spans="1:8" x14ac:dyDescent="0.25">
      <c r="A1353" t="s">
        <v>459</v>
      </c>
      <c r="B1353">
        <v>999999</v>
      </c>
      <c r="C1353" s="2">
        <v>146.80000000000001</v>
      </c>
      <c r="D1353" s="1">
        <v>43291</v>
      </c>
      <c r="E1353" t="str">
        <f>"18070209"</f>
        <v>18070209</v>
      </c>
      <c r="F1353" t="str">
        <f>"SVC CONTRACT/COUNTY CLERK"</f>
        <v>SVC CONTRACT/COUNTY CLERK</v>
      </c>
      <c r="G1353" s="3">
        <v>146.80000000000001</v>
      </c>
      <c r="H1353" t="str">
        <f>"SVC CONTRACT/COUNTY CLERK"</f>
        <v>SVC CONTRACT/COUNTY CLERK</v>
      </c>
    </row>
    <row r="1354" spans="1:8" x14ac:dyDescent="0.25">
      <c r="A1354" t="s">
        <v>460</v>
      </c>
      <c r="B1354">
        <v>77804</v>
      </c>
      <c r="C1354" s="2">
        <v>450</v>
      </c>
      <c r="D1354" s="1">
        <v>43304</v>
      </c>
      <c r="E1354" t="str">
        <f>"TRAINING"</f>
        <v>TRAINING</v>
      </c>
      <c r="F1354" t="str">
        <f>"TRAINING"</f>
        <v>TRAINING</v>
      </c>
      <c r="G1354" s="3">
        <v>450</v>
      </c>
      <c r="H1354" t="str">
        <f>"TRAINING"</f>
        <v>TRAINING</v>
      </c>
    </row>
    <row r="1355" spans="1:8" x14ac:dyDescent="0.25">
      <c r="A1355" t="s">
        <v>461</v>
      </c>
      <c r="B1355">
        <v>77549</v>
      </c>
      <c r="C1355" s="2">
        <v>1115.3599999999999</v>
      </c>
      <c r="D1355" s="1">
        <v>43290</v>
      </c>
      <c r="E1355" t="str">
        <f>"76085"</f>
        <v>76085</v>
      </c>
      <c r="F1355" t="str">
        <f>"ACCT#60-03-0903F/ANNUAL MONITO"</f>
        <v>ACCT#60-03-0903F/ANNUAL MONITO</v>
      </c>
      <c r="G1355" s="3">
        <v>1115.3599999999999</v>
      </c>
      <c r="H1355" t="str">
        <f>"ACCT#60-03-0903F/ANNUAL MONITO"</f>
        <v>ACCT#60-03-0903F/ANNUAL MONITO</v>
      </c>
    </row>
    <row r="1356" spans="1:8" x14ac:dyDescent="0.25">
      <c r="A1356" t="s">
        <v>462</v>
      </c>
      <c r="B1356">
        <v>77805</v>
      </c>
      <c r="C1356" s="2">
        <v>36550</v>
      </c>
      <c r="D1356" s="1">
        <v>43304</v>
      </c>
      <c r="E1356" t="str">
        <f>"1266"</f>
        <v>1266</v>
      </c>
      <c r="F1356" t="str">
        <f>"50% COMPLETE"</f>
        <v>50% COMPLETE</v>
      </c>
      <c r="G1356" s="3">
        <v>36550</v>
      </c>
      <c r="H1356" t="str">
        <f>"50% COMPLETE"</f>
        <v>50% COMPLETE</v>
      </c>
    </row>
    <row r="1357" spans="1:8" x14ac:dyDescent="0.25">
      <c r="A1357" t="s">
        <v>463</v>
      </c>
      <c r="B1357">
        <v>999999</v>
      </c>
      <c r="C1357" s="2">
        <v>201</v>
      </c>
      <c r="D1357" s="1">
        <v>43305</v>
      </c>
      <c r="E1357" t="str">
        <f>"1808060"</f>
        <v>1808060</v>
      </c>
      <c r="F1357" t="str">
        <f>"MONTHLY CONTRACT BILLING"</f>
        <v>MONTHLY CONTRACT BILLING</v>
      </c>
      <c r="G1357" s="3">
        <v>201</v>
      </c>
      <c r="H1357" t="str">
        <f>"MONTHLY CONTRACT BILLING"</f>
        <v>MONTHLY CONTRACT BILLING</v>
      </c>
    </row>
    <row r="1358" spans="1:8" x14ac:dyDescent="0.25">
      <c r="A1358" t="s">
        <v>464</v>
      </c>
      <c r="B1358">
        <v>999999</v>
      </c>
      <c r="C1358" s="2">
        <v>46.69</v>
      </c>
      <c r="D1358" s="1">
        <v>43291</v>
      </c>
      <c r="E1358" t="str">
        <f>"77061"</f>
        <v>77061</v>
      </c>
      <c r="F1358" t="str">
        <f>"ACCT#63275/CUST ID:BASCO1/P2"</f>
        <v>ACCT#63275/CUST ID:BASCO1/P2</v>
      </c>
      <c r="G1358" s="3">
        <v>46.69</v>
      </c>
      <c r="H1358" t="str">
        <f>"ACCT#63275/CUST ID:BASCO1/P2"</f>
        <v>ACCT#63275/CUST ID:BASCO1/P2</v>
      </c>
    </row>
    <row r="1359" spans="1:8" x14ac:dyDescent="0.25">
      <c r="A1359" t="s">
        <v>465</v>
      </c>
      <c r="B1359">
        <v>77550</v>
      </c>
      <c r="C1359" s="2">
        <v>4578.8100000000004</v>
      </c>
      <c r="D1359" s="1">
        <v>43290</v>
      </c>
      <c r="E1359" t="str">
        <f>"0761191-IN"</f>
        <v>0761191-IN</v>
      </c>
      <c r="F1359" t="str">
        <f>"ACCT#01-0112917/BOL#276009/P3"</f>
        <v>ACCT#01-0112917/BOL#276009/P3</v>
      </c>
      <c r="G1359" s="3">
        <v>4578.8100000000004</v>
      </c>
      <c r="H1359" t="str">
        <f>"ACCT#01-0112917/BOL#276009/P3"</f>
        <v>ACCT#01-0112917/BOL#276009/P3</v>
      </c>
    </row>
    <row r="1360" spans="1:8" x14ac:dyDescent="0.25">
      <c r="A1360" t="s">
        <v>465</v>
      </c>
      <c r="B1360">
        <v>77806</v>
      </c>
      <c r="C1360" s="2">
        <v>417.42</v>
      </c>
      <c r="D1360" s="1">
        <v>43304</v>
      </c>
      <c r="E1360" t="str">
        <f>"071214-IN"</f>
        <v>071214-IN</v>
      </c>
      <c r="F1360" t="str">
        <f>"INV 071214-IN"</f>
        <v>INV 071214-IN</v>
      </c>
      <c r="G1360" s="3">
        <v>417.42</v>
      </c>
      <c r="H1360" t="str">
        <f>"INV 071214-IN"</f>
        <v>INV 071214-IN</v>
      </c>
    </row>
    <row r="1361" spans="1:8" x14ac:dyDescent="0.25">
      <c r="A1361" t="s">
        <v>466</v>
      </c>
      <c r="B1361">
        <v>77551</v>
      </c>
      <c r="C1361" s="2">
        <v>114.67</v>
      </c>
      <c r="D1361" s="1">
        <v>43290</v>
      </c>
      <c r="E1361" t="str">
        <f>"201807051908"</f>
        <v>201807051908</v>
      </c>
      <c r="F1361" t="str">
        <f>"INDIGENT HEALTH"</f>
        <v>INDIGENT HEALTH</v>
      </c>
      <c r="G1361" s="3">
        <v>114.67</v>
      </c>
      <c r="H1361" t="str">
        <f>"INDIGENT HEALTH"</f>
        <v>INDIGENT HEALTH</v>
      </c>
    </row>
    <row r="1362" spans="1:8" x14ac:dyDescent="0.25">
      <c r="A1362" t="s">
        <v>467</v>
      </c>
      <c r="B1362">
        <v>999999</v>
      </c>
      <c r="C1362" s="2">
        <v>514.85</v>
      </c>
      <c r="D1362" s="1">
        <v>43305</v>
      </c>
      <c r="E1362" t="str">
        <f>"95535"</f>
        <v>95535</v>
      </c>
      <c r="F1362" t="str">
        <f>"TICKET#1086708/PCT#4"</f>
        <v>TICKET#1086708/PCT#4</v>
      </c>
      <c r="G1362" s="3">
        <v>514.85</v>
      </c>
      <c r="H1362" t="str">
        <f>"TICKET#1086708/PCT#4"</f>
        <v>TICKET#1086708/PCT#4</v>
      </c>
    </row>
    <row r="1363" spans="1:8" x14ac:dyDescent="0.25">
      <c r="A1363" t="s">
        <v>468</v>
      </c>
      <c r="B1363">
        <v>77807</v>
      </c>
      <c r="C1363" s="2">
        <v>35</v>
      </c>
      <c r="D1363" s="1">
        <v>43304</v>
      </c>
      <c r="E1363" t="str">
        <f>"201807182267"</f>
        <v>201807182267</v>
      </c>
      <c r="F1363" t="str">
        <f>"TACCLJ DUES-BENTON ESKEW"</f>
        <v>TACCLJ DUES-BENTON ESKEW</v>
      </c>
      <c r="G1363" s="3">
        <v>35</v>
      </c>
      <c r="H1363" t="str">
        <f>"TACCLJ DUES-BENTON ESKEW"</f>
        <v>TACCLJ DUES-BENTON ESKEW</v>
      </c>
    </row>
    <row r="1364" spans="1:8" x14ac:dyDescent="0.25">
      <c r="A1364" t="s">
        <v>469</v>
      </c>
      <c r="B1364">
        <v>77552</v>
      </c>
      <c r="C1364" s="2">
        <v>350</v>
      </c>
      <c r="D1364" s="1">
        <v>43290</v>
      </c>
      <c r="E1364" t="str">
        <f>"1520"</f>
        <v>1520</v>
      </c>
      <c r="F1364" t="str">
        <f>"INV 1520"</f>
        <v>INV 1520</v>
      </c>
      <c r="G1364" s="3">
        <v>50</v>
      </c>
      <c r="H1364" t="str">
        <f>"INV 1520"</f>
        <v>INV 1520</v>
      </c>
    </row>
    <row r="1365" spans="1:8" x14ac:dyDescent="0.25">
      <c r="E1365" t="str">
        <f>"JUNE BOND RENEWALS"</f>
        <v>JUNE BOND RENEWALS</v>
      </c>
      <c r="F1365" t="str">
        <f>"JUNE BOND RENEWALS"</f>
        <v>JUNE BOND RENEWALS</v>
      </c>
      <c r="G1365" s="3">
        <v>300</v>
      </c>
      <c r="H1365" t="str">
        <f>"JUNE BOND RENEWALS"</f>
        <v>JUNE BOND RENEWALS</v>
      </c>
    </row>
    <row r="1366" spans="1:8" x14ac:dyDescent="0.25">
      <c r="A1366" t="s">
        <v>28</v>
      </c>
      <c r="B1366">
        <v>77553</v>
      </c>
      <c r="C1366" s="2">
        <v>5795.06</v>
      </c>
      <c r="D1366" s="1">
        <v>43290</v>
      </c>
      <c r="E1366" t="str">
        <f>"D-2018-3-0110"</f>
        <v>D-2018-3-0110</v>
      </c>
      <c r="F1366" t="str">
        <f>"UNEMPLOYMENT QTR END 6/30/18"</f>
        <v>UNEMPLOYMENT QTR END 6/30/18</v>
      </c>
      <c r="G1366" s="3">
        <v>3847.02</v>
      </c>
      <c r="H1366" t="str">
        <f t="shared" ref="H1366:H1405" si="13">"UNEMPLOYMENT QTR END 6/30/18"</f>
        <v>UNEMPLOYMENT QTR END 6/30/18</v>
      </c>
    </row>
    <row r="1367" spans="1:8" x14ac:dyDescent="0.25">
      <c r="E1367" t="str">
        <f>""</f>
        <v/>
      </c>
      <c r="F1367" t="str">
        <f>""</f>
        <v/>
      </c>
      <c r="H1367" t="str">
        <f t="shared" si="13"/>
        <v>UNEMPLOYMENT QTR END 6/30/18</v>
      </c>
    </row>
    <row r="1368" spans="1:8" x14ac:dyDescent="0.25">
      <c r="E1368" t="str">
        <f>""</f>
        <v/>
      </c>
      <c r="F1368" t="str">
        <f>""</f>
        <v/>
      </c>
      <c r="H1368" t="str">
        <f t="shared" si="13"/>
        <v>UNEMPLOYMENT QTR END 6/30/18</v>
      </c>
    </row>
    <row r="1369" spans="1:8" x14ac:dyDescent="0.25">
      <c r="E1369" t="str">
        <f>""</f>
        <v/>
      </c>
      <c r="F1369" t="str">
        <f>""</f>
        <v/>
      </c>
      <c r="H1369" t="str">
        <f t="shared" si="13"/>
        <v>UNEMPLOYMENT QTR END 6/30/18</v>
      </c>
    </row>
    <row r="1370" spans="1:8" x14ac:dyDescent="0.25">
      <c r="E1370" t="str">
        <f>""</f>
        <v/>
      </c>
      <c r="F1370" t="str">
        <f>""</f>
        <v/>
      </c>
      <c r="H1370" t="str">
        <f t="shared" si="13"/>
        <v>UNEMPLOYMENT QTR END 6/30/18</v>
      </c>
    </row>
    <row r="1371" spans="1:8" x14ac:dyDescent="0.25">
      <c r="E1371" t="str">
        <f>""</f>
        <v/>
      </c>
      <c r="F1371" t="str">
        <f>""</f>
        <v/>
      </c>
      <c r="H1371" t="str">
        <f t="shared" si="13"/>
        <v>UNEMPLOYMENT QTR END 6/30/18</v>
      </c>
    </row>
    <row r="1372" spans="1:8" x14ac:dyDescent="0.25">
      <c r="E1372" t="str">
        <f>""</f>
        <v/>
      </c>
      <c r="F1372" t="str">
        <f>""</f>
        <v/>
      </c>
      <c r="H1372" t="str">
        <f t="shared" si="13"/>
        <v>UNEMPLOYMENT QTR END 6/30/18</v>
      </c>
    </row>
    <row r="1373" spans="1:8" x14ac:dyDescent="0.25">
      <c r="E1373" t="str">
        <f>""</f>
        <v/>
      </c>
      <c r="F1373" t="str">
        <f>""</f>
        <v/>
      </c>
      <c r="H1373" t="str">
        <f t="shared" si="13"/>
        <v>UNEMPLOYMENT QTR END 6/30/18</v>
      </c>
    </row>
    <row r="1374" spans="1:8" x14ac:dyDescent="0.25">
      <c r="E1374" t="str">
        <f>""</f>
        <v/>
      </c>
      <c r="F1374" t="str">
        <f>""</f>
        <v/>
      </c>
      <c r="H1374" t="str">
        <f t="shared" si="13"/>
        <v>UNEMPLOYMENT QTR END 6/30/18</v>
      </c>
    </row>
    <row r="1375" spans="1:8" x14ac:dyDescent="0.25">
      <c r="E1375" t="str">
        <f>""</f>
        <v/>
      </c>
      <c r="F1375" t="str">
        <f>""</f>
        <v/>
      </c>
      <c r="H1375" t="str">
        <f t="shared" si="13"/>
        <v>UNEMPLOYMENT QTR END 6/30/18</v>
      </c>
    </row>
    <row r="1376" spans="1:8" x14ac:dyDescent="0.25">
      <c r="E1376" t="str">
        <f>""</f>
        <v/>
      </c>
      <c r="F1376" t="str">
        <f>""</f>
        <v/>
      </c>
      <c r="H1376" t="str">
        <f t="shared" si="13"/>
        <v>UNEMPLOYMENT QTR END 6/30/18</v>
      </c>
    </row>
    <row r="1377" spans="5:8" x14ac:dyDescent="0.25">
      <c r="E1377" t="str">
        <f>""</f>
        <v/>
      </c>
      <c r="F1377" t="str">
        <f>""</f>
        <v/>
      </c>
      <c r="H1377" t="str">
        <f t="shared" si="13"/>
        <v>UNEMPLOYMENT QTR END 6/30/18</v>
      </c>
    </row>
    <row r="1378" spans="5:8" x14ac:dyDescent="0.25">
      <c r="E1378" t="str">
        <f>""</f>
        <v/>
      </c>
      <c r="F1378" t="str">
        <f>""</f>
        <v/>
      </c>
      <c r="H1378" t="str">
        <f t="shared" si="13"/>
        <v>UNEMPLOYMENT QTR END 6/30/18</v>
      </c>
    </row>
    <row r="1379" spans="5:8" x14ac:dyDescent="0.25">
      <c r="E1379" t="str">
        <f>""</f>
        <v/>
      </c>
      <c r="F1379" t="str">
        <f>""</f>
        <v/>
      </c>
      <c r="H1379" t="str">
        <f t="shared" si="13"/>
        <v>UNEMPLOYMENT QTR END 6/30/18</v>
      </c>
    </row>
    <row r="1380" spans="5:8" x14ac:dyDescent="0.25">
      <c r="E1380" t="str">
        <f>""</f>
        <v/>
      </c>
      <c r="F1380" t="str">
        <f>""</f>
        <v/>
      </c>
      <c r="H1380" t="str">
        <f t="shared" si="13"/>
        <v>UNEMPLOYMENT QTR END 6/30/18</v>
      </c>
    </row>
    <row r="1381" spans="5:8" x14ac:dyDescent="0.25">
      <c r="E1381" t="str">
        <f>""</f>
        <v/>
      </c>
      <c r="F1381" t="str">
        <f>""</f>
        <v/>
      </c>
      <c r="H1381" t="str">
        <f t="shared" si="13"/>
        <v>UNEMPLOYMENT QTR END 6/30/18</v>
      </c>
    </row>
    <row r="1382" spans="5:8" x14ac:dyDescent="0.25">
      <c r="E1382" t="str">
        <f>""</f>
        <v/>
      </c>
      <c r="F1382" t="str">
        <f>""</f>
        <v/>
      </c>
      <c r="H1382" t="str">
        <f t="shared" si="13"/>
        <v>UNEMPLOYMENT QTR END 6/30/18</v>
      </c>
    </row>
    <row r="1383" spans="5:8" x14ac:dyDescent="0.25">
      <c r="E1383" t="str">
        <f>""</f>
        <v/>
      </c>
      <c r="F1383" t="str">
        <f>""</f>
        <v/>
      </c>
      <c r="H1383" t="str">
        <f t="shared" si="13"/>
        <v>UNEMPLOYMENT QTR END 6/30/18</v>
      </c>
    </row>
    <row r="1384" spans="5:8" x14ac:dyDescent="0.25">
      <c r="E1384" t="str">
        <f>""</f>
        <v/>
      </c>
      <c r="F1384" t="str">
        <f>""</f>
        <v/>
      </c>
      <c r="H1384" t="str">
        <f t="shared" si="13"/>
        <v>UNEMPLOYMENT QTR END 6/30/18</v>
      </c>
    </row>
    <row r="1385" spans="5:8" x14ac:dyDescent="0.25">
      <c r="E1385" t="str">
        <f>""</f>
        <v/>
      </c>
      <c r="F1385" t="str">
        <f>""</f>
        <v/>
      </c>
      <c r="H1385" t="str">
        <f t="shared" si="13"/>
        <v>UNEMPLOYMENT QTR END 6/30/18</v>
      </c>
    </row>
    <row r="1386" spans="5:8" x14ac:dyDescent="0.25">
      <c r="E1386" t="str">
        <f>""</f>
        <v/>
      </c>
      <c r="F1386" t="str">
        <f>""</f>
        <v/>
      </c>
      <c r="H1386" t="str">
        <f t="shared" si="13"/>
        <v>UNEMPLOYMENT QTR END 6/30/18</v>
      </c>
    </row>
    <row r="1387" spans="5:8" x14ac:dyDescent="0.25">
      <c r="E1387" t="str">
        <f>""</f>
        <v/>
      </c>
      <c r="F1387" t="str">
        <f>""</f>
        <v/>
      </c>
      <c r="H1387" t="str">
        <f t="shared" si="13"/>
        <v>UNEMPLOYMENT QTR END 6/30/18</v>
      </c>
    </row>
    <row r="1388" spans="5:8" x14ac:dyDescent="0.25">
      <c r="E1388" t="str">
        <f>""</f>
        <v/>
      </c>
      <c r="F1388" t="str">
        <f>""</f>
        <v/>
      </c>
      <c r="H1388" t="str">
        <f t="shared" si="13"/>
        <v>UNEMPLOYMENT QTR END 6/30/18</v>
      </c>
    </row>
    <row r="1389" spans="5:8" x14ac:dyDescent="0.25">
      <c r="E1389" t="str">
        <f>""</f>
        <v/>
      </c>
      <c r="F1389" t="str">
        <f>""</f>
        <v/>
      </c>
      <c r="H1389" t="str">
        <f t="shared" si="13"/>
        <v>UNEMPLOYMENT QTR END 6/30/18</v>
      </c>
    </row>
    <row r="1390" spans="5:8" x14ac:dyDescent="0.25">
      <c r="E1390" t="str">
        <f>""</f>
        <v/>
      </c>
      <c r="F1390" t="str">
        <f>""</f>
        <v/>
      </c>
      <c r="H1390" t="str">
        <f t="shared" si="13"/>
        <v>UNEMPLOYMENT QTR END 6/30/18</v>
      </c>
    </row>
    <row r="1391" spans="5:8" x14ac:dyDescent="0.25">
      <c r="E1391" t="str">
        <f>""</f>
        <v/>
      </c>
      <c r="F1391" t="str">
        <f>""</f>
        <v/>
      </c>
      <c r="H1391" t="str">
        <f t="shared" si="13"/>
        <v>UNEMPLOYMENT QTR END 6/30/18</v>
      </c>
    </row>
    <row r="1392" spans="5:8" x14ac:dyDescent="0.25">
      <c r="E1392" t="str">
        <f>""</f>
        <v/>
      </c>
      <c r="F1392" t="str">
        <f>""</f>
        <v/>
      </c>
      <c r="H1392" t="str">
        <f t="shared" si="13"/>
        <v>UNEMPLOYMENT QTR END 6/30/18</v>
      </c>
    </row>
    <row r="1393" spans="5:8" x14ac:dyDescent="0.25">
      <c r="E1393" t="str">
        <f>""</f>
        <v/>
      </c>
      <c r="F1393" t="str">
        <f>""</f>
        <v/>
      </c>
      <c r="H1393" t="str">
        <f t="shared" si="13"/>
        <v>UNEMPLOYMENT QTR END 6/30/18</v>
      </c>
    </row>
    <row r="1394" spans="5:8" x14ac:dyDescent="0.25">
      <c r="E1394" t="str">
        <f>""</f>
        <v/>
      </c>
      <c r="F1394" t="str">
        <f>""</f>
        <v/>
      </c>
      <c r="H1394" t="str">
        <f t="shared" si="13"/>
        <v>UNEMPLOYMENT QTR END 6/30/18</v>
      </c>
    </row>
    <row r="1395" spans="5:8" x14ac:dyDescent="0.25">
      <c r="E1395" t="str">
        <f>""</f>
        <v/>
      </c>
      <c r="F1395" t="str">
        <f>""</f>
        <v/>
      </c>
      <c r="H1395" t="str">
        <f t="shared" si="13"/>
        <v>UNEMPLOYMENT QTR END 6/30/18</v>
      </c>
    </row>
    <row r="1396" spans="5:8" x14ac:dyDescent="0.25">
      <c r="E1396" t="str">
        <f>""</f>
        <v/>
      </c>
      <c r="F1396" t="str">
        <f>""</f>
        <v/>
      </c>
      <c r="H1396" t="str">
        <f t="shared" si="13"/>
        <v>UNEMPLOYMENT QTR END 6/30/18</v>
      </c>
    </row>
    <row r="1397" spans="5:8" x14ac:dyDescent="0.25">
      <c r="E1397" t="str">
        <f>""</f>
        <v/>
      </c>
      <c r="F1397" t="str">
        <f>""</f>
        <v/>
      </c>
      <c r="H1397" t="str">
        <f t="shared" si="13"/>
        <v>UNEMPLOYMENT QTR END 6/30/18</v>
      </c>
    </row>
    <row r="1398" spans="5:8" x14ac:dyDescent="0.25">
      <c r="E1398" t="str">
        <f>""</f>
        <v/>
      </c>
      <c r="F1398" t="str">
        <f>""</f>
        <v/>
      </c>
      <c r="H1398" t="str">
        <f t="shared" si="13"/>
        <v>UNEMPLOYMENT QTR END 6/30/18</v>
      </c>
    </row>
    <row r="1399" spans="5:8" x14ac:dyDescent="0.25">
      <c r="E1399" t="str">
        <f>""</f>
        <v/>
      </c>
      <c r="F1399" t="str">
        <f>""</f>
        <v/>
      </c>
      <c r="H1399" t="str">
        <f t="shared" si="13"/>
        <v>UNEMPLOYMENT QTR END 6/30/18</v>
      </c>
    </row>
    <row r="1400" spans="5:8" x14ac:dyDescent="0.25">
      <c r="E1400" t="str">
        <f>""</f>
        <v/>
      </c>
      <c r="F1400" t="str">
        <f>""</f>
        <v/>
      </c>
      <c r="H1400" t="str">
        <f t="shared" si="13"/>
        <v>UNEMPLOYMENT QTR END 6/30/18</v>
      </c>
    </row>
    <row r="1401" spans="5:8" x14ac:dyDescent="0.25">
      <c r="E1401" t="str">
        <f>""</f>
        <v/>
      </c>
      <c r="F1401" t="str">
        <f>""</f>
        <v/>
      </c>
      <c r="H1401" t="str">
        <f t="shared" si="13"/>
        <v>UNEMPLOYMENT QTR END 6/30/18</v>
      </c>
    </row>
    <row r="1402" spans="5:8" x14ac:dyDescent="0.25">
      <c r="E1402" t="str">
        <f>"D-2018-3-0110 - P1"</f>
        <v>D-2018-3-0110 - P1</v>
      </c>
      <c r="F1402" t="str">
        <f>"UNEMPLOYMENT QTR END 6/30/18"</f>
        <v>UNEMPLOYMENT QTR END 6/30/18</v>
      </c>
      <c r="G1402" s="3">
        <v>93.17</v>
      </c>
      <c r="H1402" t="str">
        <f t="shared" si="13"/>
        <v>UNEMPLOYMENT QTR END 6/30/18</v>
      </c>
    </row>
    <row r="1403" spans="5:8" x14ac:dyDescent="0.25">
      <c r="E1403" t="str">
        <f>"D-2018-3-0110 - P2"</f>
        <v>D-2018-3-0110 - P2</v>
      </c>
      <c r="F1403" t="str">
        <f>"UNEMPLOYMENT QTR END 6/30/18"</f>
        <v>UNEMPLOYMENT QTR END 6/30/18</v>
      </c>
      <c r="G1403" s="3">
        <v>146.91999999999999</v>
      </c>
      <c r="H1403" t="str">
        <f t="shared" si="13"/>
        <v>UNEMPLOYMENT QTR END 6/30/18</v>
      </c>
    </row>
    <row r="1404" spans="5:8" x14ac:dyDescent="0.25">
      <c r="E1404" t="str">
        <f>"D-2018-3-0110 - P3"</f>
        <v>D-2018-3-0110 - P3</v>
      </c>
      <c r="F1404" t="str">
        <f>"UNEMPLOYMENT QTR END 6/30/18"</f>
        <v>UNEMPLOYMENT QTR END 6/30/18</v>
      </c>
      <c r="G1404" s="3">
        <v>112.4</v>
      </c>
      <c r="H1404" t="str">
        <f t="shared" si="13"/>
        <v>UNEMPLOYMENT QTR END 6/30/18</v>
      </c>
    </row>
    <row r="1405" spans="5:8" x14ac:dyDescent="0.25">
      <c r="E1405" t="str">
        <f>"D-2018-3-0110 - P4"</f>
        <v>D-2018-3-0110 - P4</v>
      </c>
      <c r="F1405" t="str">
        <f>"UNEMPLOYMENT QTR END 6/30/18"</f>
        <v>UNEMPLOYMENT QTR END 6/30/18</v>
      </c>
      <c r="G1405" s="3">
        <v>135.84</v>
      </c>
      <c r="H1405" t="str">
        <f t="shared" si="13"/>
        <v>UNEMPLOYMENT QTR END 6/30/18</v>
      </c>
    </row>
    <row r="1406" spans="5:8" x14ac:dyDescent="0.25">
      <c r="E1406" t="str">
        <f>"DP-2018-1-0110"</f>
        <v>DP-2018-1-0110</v>
      </c>
      <c r="F1406" t="str">
        <f>"UNEMPLOYMENT FUND DEFICIT"</f>
        <v>UNEMPLOYMENT FUND DEFICIT</v>
      </c>
      <c r="G1406" s="3">
        <v>1292.68</v>
      </c>
      <c r="H1406" t="str">
        <f t="shared" ref="H1406:H1444" si="14">"UNEMPLOYMENT FUND DEFICIT"</f>
        <v>UNEMPLOYMENT FUND DEFICIT</v>
      </c>
    </row>
    <row r="1407" spans="5:8" x14ac:dyDescent="0.25">
      <c r="E1407" t="str">
        <f>""</f>
        <v/>
      </c>
      <c r="F1407" t="str">
        <f>""</f>
        <v/>
      </c>
      <c r="H1407" t="str">
        <f t="shared" si="14"/>
        <v>UNEMPLOYMENT FUND DEFICIT</v>
      </c>
    </row>
    <row r="1408" spans="5:8" x14ac:dyDescent="0.25">
      <c r="E1408" t="str">
        <f>""</f>
        <v/>
      </c>
      <c r="F1408" t="str">
        <f>""</f>
        <v/>
      </c>
      <c r="H1408" t="str">
        <f t="shared" si="14"/>
        <v>UNEMPLOYMENT FUND DEFICIT</v>
      </c>
    </row>
    <row r="1409" spans="5:8" x14ac:dyDescent="0.25">
      <c r="E1409" t="str">
        <f>""</f>
        <v/>
      </c>
      <c r="F1409" t="str">
        <f>""</f>
        <v/>
      </c>
      <c r="H1409" t="str">
        <f t="shared" si="14"/>
        <v>UNEMPLOYMENT FUND DEFICIT</v>
      </c>
    </row>
    <row r="1410" spans="5:8" x14ac:dyDescent="0.25">
      <c r="E1410" t="str">
        <f>""</f>
        <v/>
      </c>
      <c r="F1410" t="str">
        <f>""</f>
        <v/>
      </c>
      <c r="H1410" t="str">
        <f t="shared" si="14"/>
        <v>UNEMPLOYMENT FUND DEFICIT</v>
      </c>
    </row>
    <row r="1411" spans="5:8" x14ac:dyDescent="0.25">
      <c r="E1411" t="str">
        <f>""</f>
        <v/>
      </c>
      <c r="F1411" t="str">
        <f>""</f>
        <v/>
      </c>
      <c r="H1411" t="str">
        <f t="shared" si="14"/>
        <v>UNEMPLOYMENT FUND DEFICIT</v>
      </c>
    </row>
    <row r="1412" spans="5:8" x14ac:dyDescent="0.25">
      <c r="E1412" t="str">
        <f>""</f>
        <v/>
      </c>
      <c r="F1412" t="str">
        <f>""</f>
        <v/>
      </c>
      <c r="H1412" t="str">
        <f t="shared" si="14"/>
        <v>UNEMPLOYMENT FUND DEFICIT</v>
      </c>
    </row>
    <row r="1413" spans="5:8" x14ac:dyDescent="0.25">
      <c r="E1413" t="str">
        <f>""</f>
        <v/>
      </c>
      <c r="F1413" t="str">
        <f>""</f>
        <v/>
      </c>
      <c r="H1413" t="str">
        <f t="shared" si="14"/>
        <v>UNEMPLOYMENT FUND DEFICIT</v>
      </c>
    </row>
    <row r="1414" spans="5:8" x14ac:dyDescent="0.25">
      <c r="E1414" t="str">
        <f>""</f>
        <v/>
      </c>
      <c r="F1414" t="str">
        <f>""</f>
        <v/>
      </c>
      <c r="H1414" t="str">
        <f t="shared" si="14"/>
        <v>UNEMPLOYMENT FUND DEFICIT</v>
      </c>
    </row>
    <row r="1415" spans="5:8" x14ac:dyDescent="0.25">
      <c r="E1415" t="str">
        <f>""</f>
        <v/>
      </c>
      <c r="F1415" t="str">
        <f>""</f>
        <v/>
      </c>
      <c r="H1415" t="str">
        <f t="shared" si="14"/>
        <v>UNEMPLOYMENT FUND DEFICIT</v>
      </c>
    </row>
    <row r="1416" spans="5:8" x14ac:dyDescent="0.25">
      <c r="E1416" t="str">
        <f>""</f>
        <v/>
      </c>
      <c r="F1416" t="str">
        <f>""</f>
        <v/>
      </c>
      <c r="H1416" t="str">
        <f t="shared" si="14"/>
        <v>UNEMPLOYMENT FUND DEFICIT</v>
      </c>
    </row>
    <row r="1417" spans="5:8" x14ac:dyDescent="0.25">
      <c r="E1417" t="str">
        <f>""</f>
        <v/>
      </c>
      <c r="F1417" t="str">
        <f>""</f>
        <v/>
      </c>
      <c r="H1417" t="str">
        <f t="shared" si="14"/>
        <v>UNEMPLOYMENT FUND DEFICIT</v>
      </c>
    </row>
    <row r="1418" spans="5:8" x14ac:dyDescent="0.25">
      <c r="E1418" t="str">
        <f>""</f>
        <v/>
      </c>
      <c r="F1418" t="str">
        <f>""</f>
        <v/>
      </c>
      <c r="H1418" t="str">
        <f t="shared" si="14"/>
        <v>UNEMPLOYMENT FUND DEFICIT</v>
      </c>
    </row>
    <row r="1419" spans="5:8" x14ac:dyDescent="0.25">
      <c r="E1419" t="str">
        <f>""</f>
        <v/>
      </c>
      <c r="F1419" t="str">
        <f>""</f>
        <v/>
      </c>
      <c r="H1419" t="str">
        <f t="shared" si="14"/>
        <v>UNEMPLOYMENT FUND DEFICIT</v>
      </c>
    </row>
    <row r="1420" spans="5:8" x14ac:dyDescent="0.25">
      <c r="E1420" t="str">
        <f>""</f>
        <v/>
      </c>
      <c r="F1420" t="str">
        <f>""</f>
        <v/>
      </c>
      <c r="H1420" t="str">
        <f t="shared" si="14"/>
        <v>UNEMPLOYMENT FUND DEFICIT</v>
      </c>
    </row>
    <row r="1421" spans="5:8" x14ac:dyDescent="0.25">
      <c r="E1421" t="str">
        <f>""</f>
        <v/>
      </c>
      <c r="F1421" t="str">
        <f>""</f>
        <v/>
      </c>
      <c r="H1421" t="str">
        <f t="shared" si="14"/>
        <v>UNEMPLOYMENT FUND DEFICIT</v>
      </c>
    </row>
    <row r="1422" spans="5:8" x14ac:dyDescent="0.25">
      <c r="E1422" t="str">
        <f>""</f>
        <v/>
      </c>
      <c r="F1422" t="str">
        <f>""</f>
        <v/>
      </c>
      <c r="H1422" t="str">
        <f t="shared" si="14"/>
        <v>UNEMPLOYMENT FUND DEFICIT</v>
      </c>
    </row>
    <row r="1423" spans="5:8" x14ac:dyDescent="0.25">
      <c r="E1423" t="str">
        <f>""</f>
        <v/>
      </c>
      <c r="F1423" t="str">
        <f>""</f>
        <v/>
      </c>
      <c r="H1423" t="str">
        <f t="shared" si="14"/>
        <v>UNEMPLOYMENT FUND DEFICIT</v>
      </c>
    </row>
    <row r="1424" spans="5:8" x14ac:dyDescent="0.25">
      <c r="E1424" t="str">
        <f>""</f>
        <v/>
      </c>
      <c r="F1424" t="str">
        <f>""</f>
        <v/>
      </c>
      <c r="H1424" t="str">
        <f t="shared" si="14"/>
        <v>UNEMPLOYMENT FUND DEFICIT</v>
      </c>
    </row>
    <row r="1425" spans="5:8" x14ac:dyDescent="0.25">
      <c r="E1425" t="str">
        <f>""</f>
        <v/>
      </c>
      <c r="F1425" t="str">
        <f>""</f>
        <v/>
      </c>
      <c r="H1425" t="str">
        <f t="shared" si="14"/>
        <v>UNEMPLOYMENT FUND DEFICIT</v>
      </c>
    </row>
    <row r="1426" spans="5:8" x14ac:dyDescent="0.25">
      <c r="E1426" t="str">
        <f>""</f>
        <v/>
      </c>
      <c r="F1426" t="str">
        <f>""</f>
        <v/>
      </c>
      <c r="H1426" t="str">
        <f t="shared" si="14"/>
        <v>UNEMPLOYMENT FUND DEFICIT</v>
      </c>
    </row>
    <row r="1427" spans="5:8" x14ac:dyDescent="0.25">
      <c r="E1427" t="str">
        <f>""</f>
        <v/>
      </c>
      <c r="F1427" t="str">
        <f>""</f>
        <v/>
      </c>
      <c r="H1427" t="str">
        <f t="shared" si="14"/>
        <v>UNEMPLOYMENT FUND DEFICIT</v>
      </c>
    </row>
    <row r="1428" spans="5:8" x14ac:dyDescent="0.25">
      <c r="E1428" t="str">
        <f>""</f>
        <v/>
      </c>
      <c r="F1428" t="str">
        <f>""</f>
        <v/>
      </c>
      <c r="H1428" t="str">
        <f t="shared" si="14"/>
        <v>UNEMPLOYMENT FUND DEFICIT</v>
      </c>
    </row>
    <row r="1429" spans="5:8" x14ac:dyDescent="0.25">
      <c r="E1429" t="str">
        <f>""</f>
        <v/>
      </c>
      <c r="F1429" t="str">
        <f>""</f>
        <v/>
      </c>
      <c r="H1429" t="str">
        <f t="shared" si="14"/>
        <v>UNEMPLOYMENT FUND DEFICIT</v>
      </c>
    </row>
    <row r="1430" spans="5:8" x14ac:dyDescent="0.25">
      <c r="E1430" t="str">
        <f>""</f>
        <v/>
      </c>
      <c r="F1430" t="str">
        <f>""</f>
        <v/>
      </c>
      <c r="H1430" t="str">
        <f t="shared" si="14"/>
        <v>UNEMPLOYMENT FUND DEFICIT</v>
      </c>
    </row>
    <row r="1431" spans="5:8" x14ac:dyDescent="0.25">
      <c r="E1431" t="str">
        <f>""</f>
        <v/>
      </c>
      <c r="F1431" t="str">
        <f>""</f>
        <v/>
      </c>
      <c r="H1431" t="str">
        <f t="shared" si="14"/>
        <v>UNEMPLOYMENT FUND DEFICIT</v>
      </c>
    </row>
    <row r="1432" spans="5:8" x14ac:dyDescent="0.25">
      <c r="E1432" t="str">
        <f>""</f>
        <v/>
      </c>
      <c r="F1432" t="str">
        <f>""</f>
        <v/>
      </c>
      <c r="H1432" t="str">
        <f t="shared" si="14"/>
        <v>UNEMPLOYMENT FUND DEFICIT</v>
      </c>
    </row>
    <row r="1433" spans="5:8" x14ac:dyDescent="0.25">
      <c r="E1433" t="str">
        <f>""</f>
        <v/>
      </c>
      <c r="F1433" t="str">
        <f>""</f>
        <v/>
      </c>
      <c r="H1433" t="str">
        <f t="shared" si="14"/>
        <v>UNEMPLOYMENT FUND DEFICIT</v>
      </c>
    </row>
    <row r="1434" spans="5:8" x14ac:dyDescent="0.25">
      <c r="E1434" t="str">
        <f>""</f>
        <v/>
      </c>
      <c r="F1434" t="str">
        <f>""</f>
        <v/>
      </c>
      <c r="H1434" t="str">
        <f t="shared" si="14"/>
        <v>UNEMPLOYMENT FUND DEFICIT</v>
      </c>
    </row>
    <row r="1435" spans="5:8" x14ac:dyDescent="0.25">
      <c r="E1435" t="str">
        <f>""</f>
        <v/>
      </c>
      <c r="F1435" t="str">
        <f>""</f>
        <v/>
      </c>
      <c r="H1435" t="str">
        <f t="shared" si="14"/>
        <v>UNEMPLOYMENT FUND DEFICIT</v>
      </c>
    </row>
    <row r="1436" spans="5:8" x14ac:dyDescent="0.25">
      <c r="E1436" t="str">
        <f>""</f>
        <v/>
      </c>
      <c r="F1436" t="str">
        <f>""</f>
        <v/>
      </c>
      <c r="H1436" t="str">
        <f t="shared" si="14"/>
        <v>UNEMPLOYMENT FUND DEFICIT</v>
      </c>
    </row>
    <row r="1437" spans="5:8" x14ac:dyDescent="0.25">
      <c r="E1437" t="str">
        <f>""</f>
        <v/>
      </c>
      <c r="F1437" t="str">
        <f>""</f>
        <v/>
      </c>
      <c r="H1437" t="str">
        <f t="shared" si="14"/>
        <v>UNEMPLOYMENT FUND DEFICIT</v>
      </c>
    </row>
    <row r="1438" spans="5:8" x14ac:dyDescent="0.25">
      <c r="E1438" t="str">
        <f>""</f>
        <v/>
      </c>
      <c r="F1438" t="str">
        <f>""</f>
        <v/>
      </c>
      <c r="H1438" t="str">
        <f t="shared" si="14"/>
        <v>UNEMPLOYMENT FUND DEFICIT</v>
      </c>
    </row>
    <row r="1439" spans="5:8" x14ac:dyDescent="0.25">
      <c r="E1439" t="str">
        <f>""</f>
        <v/>
      </c>
      <c r="F1439" t="str">
        <f>""</f>
        <v/>
      </c>
      <c r="H1439" t="str">
        <f t="shared" si="14"/>
        <v>UNEMPLOYMENT FUND DEFICIT</v>
      </c>
    </row>
    <row r="1440" spans="5:8" x14ac:dyDescent="0.25">
      <c r="E1440" t="str">
        <f>""</f>
        <v/>
      </c>
      <c r="F1440" t="str">
        <f>""</f>
        <v/>
      </c>
      <c r="H1440" t="str">
        <f t="shared" si="14"/>
        <v>UNEMPLOYMENT FUND DEFICIT</v>
      </c>
    </row>
    <row r="1441" spans="1:8" x14ac:dyDescent="0.25">
      <c r="E1441" t="str">
        <f>"DP-2018-1-0110 -P1"</f>
        <v>DP-2018-1-0110 -P1</v>
      </c>
      <c r="F1441" t="str">
        <f>"UNEMPLOYMENT FUND DEFICIT"</f>
        <v>UNEMPLOYMENT FUND DEFICIT</v>
      </c>
      <c r="G1441" s="3">
        <v>32.340000000000003</v>
      </c>
      <c r="H1441" t="str">
        <f t="shared" si="14"/>
        <v>UNEMPLOYMENT FUND DEFICIT</v>
      </c>
    </row>
    <row r="1442" spans="1:8" x14ac:dyDescent="0.25">
      <c r="E1442" t="str">
        <f>"DP-2018-1-0110 -P2"</f>
        <v>DP-2018-1-0110 -P2</v>
      </c>
      <c r="F1442" t="str">
        <f>"UNEMPLOYMENT FUND DEFICIT"</f>
        <v>UNEMPLOYMENT FUND DEFICIT</v>
      </c>
      <c r="G1442" s="3">
        <v>49.39</v>
      </c>
      <c r="H1442" t="str">
        <f t="shared" si="14"/>
        <v>UNEMPLOYMENT FUND DEFICIT</v>
      </c>
    </row>
    <row r="1443" spans="1:8" x14ac:dyDescent="0.25">
      <c r="E1443" t="str">
        <f>"DP-2018-1-0110 -P3"</f>
        <v>DP-2018-1-0110 -P3</v>
      </c>
      <c r="F1443" t="str">
        <f>"UNEMPLOYMENT FUND DEFICIT"</f>
        <v>UNEMPLOYMENT FUND DEFICIT</v>
      </c>
      <c r="G1443" s="3">
        <v>38.99</v>
      </c>
      <c r="H1443" t="str">
        <f t="shared" si="14"/>
        <v>UNEMPLOYMENT FUND DEFICIT</v>
      </c>
    </row>
    <row r="1444" spans="1:8" x14ac:dyDescent="0.25">
      <c r="E1444" t="str">
        <f>"DP-2018-1-0110 -P4"</f>
        <v>DP-2018-1-0110 -P4</v>
      </c>
      <c r="F1444" t="str">
        <f>"UNEMPLOYMENT FUND DEFICIT"</f>
        <v>UNEMPLOYMENT FUND DEFICIT</v>
      </c>
      <c r="G1444" s="3">
        <v>46.31</v>
      </c>
      <c r="H1444" t="str">
        <f t="shared" si="14"/>
        <v>UNEMPLOYMENT FUND DEFICIT</v>
      </c>
    </row>
    <row r="1445" spans="1:8" x14ac:dyDescent="0.25">
      <c r="A1445" t="s">
        <v>28</v>
      </c>
      <c r="B1445">
        <v>77808</v>
      </c>
      <c r="C1445" s="2">
        <v>125</v>
      </c>
      <c r="D1445" s="1">
        <v>43304</v>
      </c>
      <c r="E1445" t="str">
        <f>"203162"</f>
        <v>203162</v>
      </c>
      <c r="F1445" t="str">
        <f>"CDCAT ANNUAL MEMBERSHIP DUES"</f>
        <v>CDCAT ANNUAL MEMBERSHIP DUES</v>
      </c>
      <c r="G1445" s="3">
        <v>125</v>
      </c>
      <c r="H1445" t="str">
        <f>"CDCAT ANNUAL MEMBERSHIP DUES"</f>
        <v>CDCAT ANNUAL MEMBERSHIP DUES</v>
      </c>
    </row>
    <row r="1446" spans="1:8" x14ac:dyDescent="0.25">
      <c r="A1446" t="s">
        <v>28</v>
      </c>
      <c r="B1446">
        <v>77809</v>
      </c>
      <c r="C1446" s="2">
        <v>225</v>
      </c>
      <c r="D1446" s="1">
        <v>43304</v>
      </c>
      <c r="E1446" t="str">
        <f>"277029"</f>
        <v>277029</v>
      </c>
      <c r="F1446" t="str">
        <f>"MEMBER ID:236244-GARY SNOWDEN"</f>
        <v>MEMBER ID:236244-GARY SNOWDEN</v>
      </c>
      <c r="G1446" s="3">
        <v>225</v>
      </c>
      <c r="H1446" t="str">
        <f>"MEMBER ID:236244-GARY SNOWDEN"</f>
        <v>MEMBER ID:236244-GARY SNOWDEN</v>
      </c>
    </row>
    <row r="1447" spans="1:8" x14ac:dyDescent="0.25">
      <c r="A1447" t="s">
        <v>470</v>
      </c>
      <c r="B1447">
        <v>999999</v>
      </c>
      <c r="C1447" s="2">
        <v>1117.82</v>
      </c>
      <c r="D1447" s="1">
        <v>43305</v>
      </c>
      <c r="E1447" t="str">
        <f>"201807132225"</f>
        <v>201807132225</v>
      </c>
      <c r="F1447" t="str">
        <f>"ACCT#0005/PCT#4"</f>
        <v>ACCT#0005/PCT#4</v>
      </c>
      <c r="G1447" s="3">
        <v>1117.82</v>
      </c>
      <c r="H1447" t="str">
        <f>"ACCT#0005/PCT#4"</f>
        <v>ACCT#0005/PCT#4</v>
      </c>
    </row>
    <row r="1448" spans="1:8" x14ac:dyDescent="0.25">
      <c r="A1448" t="s">
        <v>471</v>
      </c>
      <c r="B1448">
        <v>77810</v>
      </c>
      <c r="C1448" s="2">
        <v>25</v>
      </c>
      <c r="D1448" s="1">
        <v>43304</v>
      </c>
      <c r="E1448" t="str">
        <f>"201807172238"</f>
        <v>201807172238</v>
      </c>
      <c r="F1448" t="str">
        <f>"REFUND DRIVEWAY PERMIT"</f>
        <v>REFUND DRIVEWAY PERMIT</v>
      </c>
      <c r="G1448" s="3">
        <v>25</v>
      </c>
      <c r="H1448" t="str">
        <f>"REFUND DRIVEWAY PERMIT"</f>
        <v>REFUND DRIVEWAY PERMIT</v>
      </c>
    </row>
    <row r="1449" spans="1:8" x14ac:dyDescent="0.25">
      <c r="A1449" t="s">
        <v>472</v>
      </c>
      <c r="B1449">
        <v>77811</v>
      </c>
      <c r="C1449" s="2">
        <v>187.5</v>
      </c>
      <c r="D1449" s="1">
        <v>43304</v>
      </c>
      <c r="E1449" t="str">
        <f>"UI 433780"</f>
        <v>UI 433780</v>
      </c>
      <c r="F1449" t="str">
        <f>"Wooden Seal for Desk"</f>
        <v>Wooden Seal for Desk</v>
      </c>
      <c r="G1449" s="3">
        <v>187.5</v>
      </c>
      <c r="H1449" t="str">
        <f>"Wooden Seal for Desk"</f>
        <v>Wooden Seal for Desk</v>
      </c>
    </row>
    <row r="1450" spans="1:8" x14ac:dyDescent="0.25">
      <c r="A1450" t="s">
        <v>473</v>
      </c>
      <c r="B1450">
        <v>77554</v>
      </c>
      <c r="C1450" s="2">
        <v>50</v>
      </c>
      <c r="D1450" s="1">
        <v>43290</v>
      </c>
      <c r="E1450" t="str">
        <f>"10074482"</f>
        <v>10074482</v>
      </c>
      <c r="F1450" t="str">
        <f>"INV 10074482"</f>
        <v>INV 10074482</v>
      </c>
      <c r="G1450" s="3">
        <v>50</v>
      </c>
      <c r="H1450" t="str">
        <f>"INV 10074482"</f>
        <v>INV 10074482</v>
      </c>
    </row>
    <row r="1451" spans="1:8" x14ac:dyDescent="0.25">
      <c r="A1451" t="s">
        <v>474</v>
      </c>
      <c r="B1451">
        <v>77555</v>
      </c>
      <c r="C1451" s="2">
        <v>8</v>
      </c>
      <c r="D1451" s="1">
        <v>43290</v>
      </c>
      <c r="E1451" t="str">
        <f>"CRS-201805-146269"</f>
        <v>CRS-201805-146269</v>
      </c>
      <c r="F1451" t="str">
        <f>"SECURE SITE CCH NAME SEARCH"</f>
        <v>SECURE SITE CCH NAME SEARCH</v>
      </c>
      <c r="G1451" s="3">
        <v>8</v>
      </c>
      <c r="H1451" t="str">
        <f>"SECURE SITE CCH NAME SEARCH"</f>
        <v>SECURE SITE CCH NAME SEARCH</v>
      </c>
    </row>
    <row r="1452" spans="1:8" x14ac:dyDescent="0.25">
      <c r="A1452" t="s">
        <v>475</v>
      </c>
      <c r="B1452">
        <v>77812</v>
      </c>
      <c r="C1452" s="2">
        <v>415</v>
      </c>
      <c r="D1452" s="1">
        <v>43304</v>
      </c>
      <c r="E1452" t="str">
        <f>"11511"</f>
        <v>11511</v>
      </c>
      <c r="F1452" t="str">
        <f>"GOVERNMENT 50K-100K POPULATION"</f>
        <v>GOVERNMENT 50K-100K POPULATION</v>
      </c>
      <c r="G1452" s="3">
        <v>415</v>
      </c>
      <c r="H1452" t="str">
        <f>"GOVERNMENT 50K-100K POPULATION"</f>
        <v>GOVERNMENT 50K-100K POPULATION</v>
      </c>
    </row>
    <row r="1453" spans="1:8" x14ac:dyDescent="0.25">
      <c r="A1453" t="s">
        <v>476</v>
      </c>
      <c r="B1453">
        <v>77556</v>
      </c>
      <c r="C1453" s="2">
        <v>150</v>
      </c>
      <c r="D1453" s="1">
        <v>43290</v>
      </c>
      <c r="E1453" t="str">
        <f>"201807051883"</f>
        <v>201807051883</v>
      </c>
      <c r="F1453" t="str">
        <f>"FY18 NEW CT PER-N.GONZALES"</f>
        <v>FY18 NEW CT PER-N.GONZALES</v>
      </c>
      <c r="G1453" s="3">
        <v>150</v>
      </c>
      <c r="H1453" t="str">
        <f>"FY18 NEW CT PER-N.GONZALES"</f>
        <v>FY18 NEW CT PER-N.GONZALES</v>
      </c>
    </row>
    <row r="1454" spans="1:8" x14ac:dyDescent="0.25">
      <c r="A1454" t="s">
        <v>477</v>
      </c>
      <c r="B1454">
        <v>77519</v>
      </c>
      <c r="C1454" s="2">
        <v>9880.75</v>
      </c>
      <c r="D1454" s="1">
        <v>43290</v>
      </c>
      <c r="E1454" t="str">
        <f>"200679302"</f>
        <v>200679302</v>
      </c>
      <c r="F1454" t="str">
        <f>"CUST#255120/COLD MIX/PCT#2"</f>
        <v>CUST#255120/COLD MIX/PCT#2</v>
      </c>
      <c r="G1454" s="3">
        <v>5595.15</v>
      </c>
      <c r="H1454" t="str">
        <f>"CUST#255120/COLD MIX/PCT#2"</f>
        <v>CUST#255120/COLD MIX/PCT#2</v>
      </c>
    </row>
    <row r="1455" spans="1:8" x14ac:dyDescent="0.25">
      <c r="E1455" t="str">
        <f>"200680125"</f>
        <v>200680125</v>
      </c>
      <c r="F1455" t="str">
        <f>"CUST#255120/COLD MIX/PCT#2"</f>
        <v>CUST#255120/COLD MIX/PCT#2</v>
      </c>
      <c r="G1455" s="3">
        <v>4285.6000000000004</v>
      </c>
      <c r="H1455" t="str">
        <f>"CUST#255120/COLD MIX/PCT#2"</f>
        <v>CUST#255120/COLD MIX/PCT#2</v>
      </c>
    </row>
    <row r="1456" spans="1:8" x14ac:dyDescent="0.25">
      <c r="A1456" t="s">
        <v>478</v>
      </c>
      <c r="B1456">
        <v>77557</v>
      </c>
      <c r="C1456" s="2">
        <v>975</v>
      </c>
      <c r="D1456" s="1">
        <v>43290</v>
      </c>
      <c r="E1456" t="str">
        <f>"TRAINING-NARCOTICS"</f>
        <v>TRAINING-NARCOTICS</v>
      </c>
      <c r="F1456" t="str">
        <f>"TRAINING"</f>
        <v>TRAINING</v>
      </c>
      <c r="G1456" s="3">
        <v>975</v>
      </c>
      <c r="H1456" t="str">
        <f>"TRAINING"</f>
        <v>TRAINING</v>
      </c>
    </row>
    <row r="1457" spans="1:8" x14ac:dyDescent="0.25">
      <c r="A1457" t="s">
        <v>479</v>
      </c>
      <c r="B1457">
        <v>77813</v>
      </c>
      <c r="C1457" s="2">
        <v>420</v>
      </c>
      <c r="D1457" s="1">
        <v>43304</v>
      </c>
      <c r="E1457" t="str">
        <f>"20103"</f>
        <v>20103</v>
      </c>
      <c r="F1457" t="str">
        <f>"RENTAL/CEDAR CREEK PARK"</f>
        <v>RENTAL/CEDAR CREEK PARK</v>
      </c>
      <c r="G1457" s="3">
        <v>240</v>
      </c>
      <c r="H1457" t="str">
        <f>"RENTAL/CEDAR CREEK PARK"</f>
        <v>RENTAL/CEDAR CREEK PARK</v>
      </c>
    </row>
    <row r="1458" spans="1:8" x14ac:dyDescent="0.25">
      <c r="E1458" t="str">
        <f>"20171"</f>
        <v>20171</v>
      </c>
      <c r="F1458" t="str">
        <f>"CONSTRUCTION UNIT RENTAL/P4"</f>
        <v>CONSTRUCTION UNIT RENTAL/P4</v>
      </c>
      <c r="G1458" s="3">
        <v>180</v>
      </c>
      <c r="H1458" t="str">
        <f>"CONSTRUCTION UNIT RENTAL/P4"</f>
        <v>CONSTRUCTION UNIT RENTAL/P4</v>
      </c>
    </row>
    <row r="1459" spans="1:8" x14ac:dyDescent="0.25">
      <c r="A1459" t="s">
        <v>480</v>
      </c>
      <c r="B1459">
        <v>77558</v>
      </c>
      <c r="C1459" s="2">
        <v>58295</v>
      </c>
      <c r="D1459" s="1">
        <v>43290</v>
      </c>
      <c r="E1459" t="str">
        <f>"PB5095"</f>
        <v>PB5095</v>
      </c>
      <c r="F1459" t="str">
        <f>"Maurice Cook"</f>
        <v>Maurice Cook</v>
      </c>
      <c r="G1459" s="3">
        <v>58295</v>
      </c>
      <c r="H1459" t="str">
        <f>"Maurice Cook"</f>
        <v>Maurice Cook</v>
      </c>
    </row>
    <row r="1460" spans="1:8" x14ac:dyDescent="0.25">
      <c r="A1460" t="s">
        <v>481</v>
      </c>
      <c r="B1460">
        <v>77559</v>
      </c>
      <c r="C1460" s="2">
        <v>1273.5</v>
      </c>
      <c r="D1460" s="1">
        <v>43290</v>
      </c>
      <c r="E1460" t="str">
        <f>"63314"</f>
        <v>63314</v>
      </c>
      <c r="F1460" t="str">
        <f>"ACCT#188757/SIGN SHOP"</f>
        <v>ACCT#188757/SIGN SHOP</v>
      </c>
      <c r="G1460" s="3">
        <v>95</v>
      </c>
      <c r="H1460" t="str">
        <f>"ACCT#188757/SIGN SHOP"</f>
        <v>ACCT#188757/SIGN SHOP</v>
      </c>
    </row>
    <row r="1461" spans="1:8" x14ac:dyDescent="0.25">
      <c r="E1461" t="str">
        <f>"63904"</f>
        <v>63904</v>
      </c>
      <c r="F1461" t="str">
        <f>"ACCT#188757/MIKE FISHER BLDG"</f>
        <v>ACCT#188757/MIKE FISHER BLDG</v>
      </c>
      <c r="G1461" s="3">
        <v>112</v>
      </c>
      <c r="H1461" t="str">
        <f>"ACCT#188757/MIKE FISHER BLDG"</f>
        <v>ACCT#188757/MIKE FISHER BLDG</v>
      </c>
    </row>
    <row r="1462" spans="1:8" x14ac:dyDescent="0.25">
      <c r="E1462" t="str">
        <f>"64006"</f>
        <v>64006</v>
      </c>
      <c r="F1462" t="str">
        <f>"ACCT#188757/JUVENILE PROBATION"</f>
        <v>ACCT#188757/JUVENILE PROBATION</v>
      </c>
      <c r="G1462" s="3">
        <v>132</v>
      </c>
      <c r="H1462" t="str">
        <f>"ACCT#188757/JUVENILE PROBATION"</f>
        <v>ACCT#188757/JUVENILE PROBATION</v>
      </c>
    </row>
    <row r="1463" spans="1:8" x14ac:dyDescent="0.25">
      <c r="E1463" t="str">
        <f>"64013"</f>
        <v>64013</v>
      </c>
      <c r="F1463" t="str">
        <f>"ACCT#188757/DPS/TDL"</f>
        <v>ACCT#188757/DPS/TDL</v>
      </c>
      <c r="G1463" s="3">
        <v>76</v>
      </c>
      <c r="H1463" t="str">
        <f>"ACCT#188757/DPS/TDL"</f>
        <v>ACCT#188757/DPS/TDL</v>
      </c>
    </row>
    <row r="1464" spans="1:8" x14ac:dyDescent="0.25">
      <c r="E1464" t="str">
        <f>"64027"</f>
        <v>64027</v>
      </c>
      <c r="F1464" t="str">
        <f>"ACCT#188757/HISTORIC JAIL"</f>
        <v>ACCT#188757/HISTORIC JAIL</v>
      </c>
      <c r="G1464" s="3">
        <v>76</v>
      </c>
      <c r="H1464" t="str">
        <f>"ACCT#188757/HISTORIC JAIL"</f>
        <v>ACCT#188757/HISTORIC JAIL</v>
      </c>
    </row>
    <row r="1465" spans="1:8" x14ac:dyDescent="0.25">
      <c r="E1465" t="str">
        <f>"64028"</f>
        <v>64028</v>
      </c>
      <c r="F1465" t="str">
        <f>"ACCT#188757/CT HO MAIN &amp; ANNEX"</f>
        <v>ACCT#188757/CT HO MAIN &amp; ANNEX</v>
      </c>
      <c r="G1465" s="3">
        <v>137</v>
      </c>
      <c r="H1465" t="str">
        <f>"ACCT#188757/CT HO MAIN &amp; ANNEX"</f>
        <v>ACCT#188757/CT HO MAIN &amp; ANNEX</v>
      </c>
    </row>
    <row r="1466" spans="1:8" x14ac:dyDescent="0.25">
      <c r="E1466" t="str">
        <f>"64296"</f>
        <v>64296</v>
      </c>
      <c r="F1466" t="str">
        <f>"ACCT#188757/P4 RD &amp; BRG BARN"</f>
        <v>ACCT#188757/P4 RD &amp; BRG BARN</v>
      </c>
      <c r="G1466" s="3">
        <v>95.5</v>
      </c>
      <c r="H1466" t="str">
        <f>"ACCT#188757/P4 RD &amp; BRG BARN"</f>
        <v>ACCT#188757/P4 RD &amp; BRG BARN</v>
      </c>
    </row>
    <row r="1467" spans="1:8" x14ac:dyDescent="0.25">
      <c r="E1467" t="str">
        <f>"64303"</f>
        <v>64303</v>
      </c>
      <c r="F1467" t="str">
        <f>"ACCT#188757/LBJ BLD/HEALTH DPT"</f>
        <v>ACCT#188757/LBJ BLD/HEALTH DPT</v>
      </c>
      <c r="G1467" s="3">
        <v>69</v>
      </c>
      <c r="H1467" t="str">
        <f>"ACCT#188757/LBJ BLD/HEALTH DPT"</f>
        <v>ACCT#188757/LBJ BLD/HEALTH DPT</v>
      </c>
    </row>
    <row r="1468" spans="1:8" x14ac:dyDescent="0.25">
      <c r="E1468" t="str">
        <f>"64446"</f>
        <v>64446</v>
      </c>
      <c r="F1468" t="str">
        <f>"ACCT#188757/ANIMAL SHELTER"</f>
        <v>ACCT#188757/ANIMAL SHELTER</v>
      </c>
      <c r="G1468" s="3">
        <v>290</v>
      </c>
      <c r="H1468" t="str">
        <f>"ACCT#188757/ANIMAL SHELTER"</f>
        <v>ACCT#188757/ANIMAL SHELTER</v>
      </c>
    </row>
    <row r="1469" spans="1:8" x14ac:dyDescent="0.25">
      <c r="E1469" t="str">
        <f>"64447"</f>
        <v>64447</v>
      </c>
      <c r="F1469" t="str">
        <f>"ACCT#188757/TAX OFFICE"</f>
        <v>ACCT#188757/TAX OFFICE</v>
      </c>
      <c r="G1469" s="3">
        <v>102</v>
      </c>
      <c r="H1469" t="str">
        <f>"ACCT#188757/TAX OFFICE"</f>
        <v>ACCT#188757/TAX OFFICE</v>
      </c>
    </row>
    <row r="1470" spans="1:8" x14ac:dyDescent="0.25">
      <c r="E1470" t="str">
        <f>"65073"</f>
        <v>65073</v>
      </c>
      <c r="F1470" t="str">
        <f>"ACCT#188757/EXTENSION OFFICE"</f>
        <v>ACCT#188757/EXTENSION OFFICE</v>
      </c>
      <c r="G1470" s="3">
        <v>89</v>
      </c>
      <c r="H1470" t="str">
        <f>"ACCT#188757/EXTENSION OFFICE"</f>
        <v>ACCT#188757/EXTENSION OFFICE</v>
      </c>
    </row>
    <row r="1471" spans="1:8" x14ac:dyDescent="0.25">
      <c r="A1471" t="s">
        <v>482</v>
      </c>
      <c r="B1471">
        <v>77560</v>
      </c>
      <c r="C1471" s="2">
        <v>625</v>
      </c>
      <c r="D1471" s="1">
        <v>43290</v>
      </c>
      <c r="E1471" t="str">
        <f>"201807031856"</f>
        <v>201807031856</v>
      </c>
      <c r="F1471" t="str">
        <f>"54 783"</f>
        <v>54 783</v>
      </c>
      <c r="G1471" s="3">
        <v>250</v>
      </c>
      <c r="H1471" t="str">
        <f>"54 783"</f>
        <v>54 783</v>
      </c>
    </row>
    <row r="1472" spans="1:8" x14ac:dyDescent="0.25">
      <c r="E1472" t="str">
        <f>"201807031857"</f>
        <v>201807031857</v>
      </c>
      <c r="F1472" t="str">
        <f>"55 864"</f>
        <v>55 864</v>
      </c>
      <c r="G1472" s="3">
        <v>250</v>
      </c>
      <c r="H1472" t="str">
        <f>"55 864"</f>
        <v>55 864</v>
      </c>
    </row>
    <row r="1473" spans="1:8" x14ac:dyDescent="0.25">
      <c r="E1473" t="str">
        <f>"201807031858"</f>
        <v>201807031858</v>
      </c>
      <c r="F1473" t="str">
        <f>"311212017A"</f>
        <v>311212017A</v>
      </c>
      <c r="G1473" s="3">
        <v>125</v>
      </c>
      <c r="H1473" t="str">
        <f>"311212017A"</f>
        <v>311212017A</v>
      </c>
    </row>
    <row r="1474" spans="1:8" x14ac:dyDescent="0.25">
      <c r="A1474" t="s">
        <v>482</v>
      </c>
      <c r="B1474">
        <v>77814</v>
      </c>
      <c r="C1474" s="2">
        <v>250</v>
      </c>
      <c r="D1474" s="1">
        <v>43304</v>
      </c>
      <c r="E1474" t="str">
        <f>"201807182311"</f>
        <v>201807182311</v>
      </c>
      <c r="F1474" t="str">
        <f>"56 119"</f>
        <v>56 119</v>
      </c>
      <c r="G1474" s="3">
        <v>250</v>
      </c>
      <c r="H1474" t="str">
        <f>"56 119"</f>
        <v>56 119</v>
      </c>
    </row>
    <row r="1475" spans="1:8" x14ac:dyDescent="0.25">
      <c r="A1475" t="s">
        <v>483</v>
      </c>
      <c r="B1475">
        <v>999999</v>
      </c>
      <c r="C1475" s="2">
        <v>2175</v>
      </c>
      <c r="D1475" s="1">
        <v>43291</v>
      </c>
      <c r="E1475" t="str">
        <f>"201806281746"</f>
        <v>201806281746</v>
      </c>
      <c r="F1475" t="str">
        <f>"301082016-C 301082016-D"</f>
        <v>301082016-C 301082016-D</v>
      </c>
      <c r="G1475" s="3">
        <v>600</v>
      </c>
      <c r="H1475" t="str">
        <f>"301082016-C 301082016-D"</f>
        <v>301082016-C 301082016-D</v>
      </c>
    </row>
    <row r="1476" spans="1:8" x14ac:dyDescent="0.25">
      <c r="E1476" t="str">
        <f>"201806291763"</f>
        <v>201806291763</v>
      </c>
      <c r="F1476" t="str">
        <f>"18-19013"</f>
        <v>18-19013</v>
      </c>
      <c r="G1476" s="3">
        <v>325</v>
      </c>
      <c r="H1476" t="str">
        <f>"18-19013"</f>
        <v>18-19013</v>
      </c>
    </row>
    <row r="1477" spans="1:8" x14ac:dyDescent="0.25">
      <c r="E1477" t="str">
        <f>"201807031860"</f>
        <v>201807031860</v>
      </c>
      <c r="F1477" t="str">
        <f>"55 952"</f>
        <v>55 952</v>
      </c>
      <c r="G1477" s="3">
        <v>250</v>
      </c>
      <c r="H1477" t="str">
        <f>"55 952"</f>
        <v>55 952</v>
      </c>
    </row>
    <row r="1478" spans="1:8" x14ac:dyDescent="0.25">
      <c r="E1478" t="str">
        <f>"201807031861"</f>
        <v>201807031861</v>
      </c>
      <c r="F1478" t="str">
        <f>"54 851"</f>
        <v>54 851</v>
      </c>
      <c r="G1478" s="3">
        <v>250</v>
      </c>
      <c r="H1478" t="str">
        <f>"54 851"</f>
        <v>54 851</v>
      </c>
    </row>
    <row r="1479" spans="1:8" x14ac:dyDescent="0.25">
      <c r="E1479" t="str">
        <f>"201807031862"</f>
        <v>201807031862</v>
      </c>
      <c r="F1479" t="str">
        <f>"55608  55609"</f>
        <v>55608  55609</v>
      </c>
      <c r="G1479" s="3">
        <v>375</v>
      </c>
      <c r="H1479" t="str">
        <f>"55608  55609"</f>
        <v>55608  55609</v>
      </c>
    </row>
    <row r="1480" spans="1:8" x14ac:dyDescent="0.25">
      <c r="E1480" t="str">
        <f>"201807031863"</f>
        <v>201807031863</v>
      </c>
      <c r="F1480" t="str">
        <f>"55 646  JP408127-1"</f>
        <v>55 646  JP408127-1</v>
      </c>
      <c r="G1480" s="3">
        <v>375</v>
      </c>
      <c r="H1480" t="str">
        <f>"55 646  JP408127-1"</f>
        <v>55 646  JP408127-1</v>
      </c>
    </row>
    <row r="1481" spans="1:8" x14ac:dyDescent="0.25">
      <c r="A1481" t="s">
        <v>483</v>
      </c>
      <c r="B1481">
        <v>999999</v>
      </c>
      <c r="C1481" s="2">
        <v>2975</v>
      </c>
      <c r="D1481" s="1">
        <v>43305</v>
      </c>
      <c r="E1481" t="str">
        <f>"201807112177"</f>
        <v>201807112177</v>
      </c>
      <c r="F1481" t="str">
        <f>"16 414"</f>
        <v>16 414</v>
      </c>
      <c r="G1481" s="3">
        <v>400</v>
      </c>
      <c r="H1481" t="str">
        <f>"16 414"</f>
        <v>16 414</v>
      </c>
    </row>
    <row r="1482" spans="1:8" x14ac:dyDescent="0.25">
      <c r="E1482" t="str">
        <f>"201807112178"</f>
        <v>201807112178</v>
      </c>
      <c r="F1482" t="str">
        <f>"16 314"</f>
        <v>16 314</v>
      </c>
      <c r="G1482" s="3">
        <v>400</v>
      </c>
      <c r="H1482" t="str">
        <f>"16 314"</f>
        <v>16 314</v>
      </c>
    </row>
    <row r="1483" spans="1:8" x14ac:dyDescent="0.25">
      <c r="E1483" t="str">
        <f>"201807112179"</f>
        <v>201807112179</v>
      </c>
      <c r="F1483" t="str">
        <f>"310012017-A"</f>
        <v>310012017-A</v>
      </c>
      <c r="G1483" s="3">
        <v>400</v>
      </c>
      <c r="H1483" t="str">
        <f>"310012017-A"</f>
        <v>310012017-A</v>
      </c>
    </row>
    <row r="1484" spans="1:8" x14ac:dyDescent="0.25">
      <c r="E1484" t="str">
        <f>"201807112180"</f>
        <v>201807112180</v>
      </c>
      <c r="F1484" t="str">
        <f>"CC2018047-B"</f>
        <v>CC2018047-B</v>
      </c>
      <c r="G1484" s="3">
        <v>400</v>
      </c>
      <c r="H1484" t="str">
        <f>"CC2018047-B"</f>
        <v>CC2018047-B</v>
      </c>
    </row>
    <row r="1485" spans="1:8" x14ac:dyDescent="0.25">
      <c r="E1485" t="str">
        <f>"201807182313"</f>
        <v>201807182313</v>
      </c>
      <c r="F1485" t="str">
        <f>"56 258  56 259"</f>
        <v>56 258  56 259</v>
      </c>
      <c r="G1485" s="3">
        <v>375</v>
      </c>
      <c r="H1485" t="str">
        <f>"56 258  56 259"</f>
        <v>56 258  56 259</v>
      </c>
    </row>
    <row r="1486" spans="1:8" x14ac:dyDescent="0.25">
      <c r="E1486" t="str">
        <f>"201807182314"</f>
        <v>201807182314</v>
      </c>
      <c r="F1486" t="str">
        <f>"56 173  56 174"</f>
        <v>56 173  56 174</v>
      </c>
      <c r="G1486" s="3">
        <v>375</v>
      </c>
      <c r="H1486" t="str">
        <f>"56 173  56 174"</f>
        <v>56 173  56 174</v>
      </c>
    </row>
    <row r="1487" spans="1:8" x14ac:dyDescent="0.25">
      <c r="E1487" t="str">
        <f>"201807182315"</f>
        <v>201807182315</v>
      </c>
      <c r="F1487" t="str">
        <f>"55 929"</f>
        <v>55 929</v>
      </c>
      <c r="G1487" s="3">
        <v>250</v>
      </c>
      <c r="H1487" t="str">
        <f>"55 929"</f>
        <v>55 929</v>
      </c>
    </row>
    <row r="1488" spans="1:8" x14ac:dyDescent="0.25">
      <c r="E1488" t="str">
        <f>"201807182316"</f>
        <v>201807182316</v>
      </c>
      <c r="F1488" t="str">
        <f>"56 739  1JP2118-B"</f>
        <v>56 739  1JP2118-B</v>
      </c>
      <c r="G1488" s="3">
        <v>375</v>
      </c>
      <c r="H1488" t="str">
        <f>"56 739  1JP2118-B"</f>
        <v>56 739  1JP2118-B</v>
      </c>
    </row>
    <row r="1489" spans="1:8" x14ac:dyDescent="0.25">
      <c r="A1489" t="s">
        <v>484</v>
      </c>
      <c r="B1489">
        <v>999999</v>
      </c>
      <c r="C1489" s="2">
        <v>190</v>
      </c>
      <c r="D1489" s="1">
        <v>43291</v>
      </c>
      <c r="E1489" t="str">
        <f>"229607"</f>
        <v>229607</v>
      </c>
      <c r="F1489" t="str">
        <f>"BASTRCOU/ADD 2015 JOHN DEERE"</f>
        <v>BASTRCOU/ADD 2015 JOHN DEERE</v>
      </c>
      <c r="G1489" s="3">
        <v>190</v>
      </c>
      <c r="H1489" t="str">
        <f>"BASTRCOU/ADD 2015 JOHN DEERE"</f>
        <v>BASTRCOU/ADD 2015 JOHN DEERE</v>
      </c>
    </row>
    <row r="1490" spans="1:8" x14ac:dyDescent="0.25">
      <c r="A1490" t="s">
        <v>485</v>
      </c>
      <c r="B1490">
        <v>77816</v>
      </c>
      <c r="C1490" s="2">
        <v>117.6</v>
      </c>
      <c r="D1490" s="1">
        <v>43304</v>
      </c>
      <c r="E1490" t="str">
        <f>"000541195"</f>
        <v>000541195</v>
      </c>
      <c r="F1490" t="str">
        <f>"POL#15R29980-ZAS/ACT#4812W1083"</f>
        <v>POL#15R29980-ZAS/ACT#4812W1083</v>
      </c>
      <c r="G1490" s="3">
        <v>117.6</v>
      </c>
      <c r="H1490" t="str">
        <f>"POL#15R29980-ZAS/ACT#4812W1083"</f>
        <v>POL#15R29980-ZAS/ACT#4812W1083</v>
      </c>
    </row>
    <row r="1491" spans="1:8" x14ac:dyDescent="0.25">
      <c r="A1491" t="s">
        <v>486</v>
      </c>
      <c r="B1491">
        <v>77817</v>
      </c>
      <c r="C1491" s="2">
        <v>1370</v>
      </c>
      <c r="D1491" s="1">
        <v>43304</v>
      </c>
      <c r="E1491" t="str">
        <f>"838452644"</f>
        <v>838452644</v>
      </c>
      <c r="F1491" t="str">
        <f>"ACCT#1000648597/WEST INFO CHGS"</f>
        <v>ACCT#1000648597/WEST INFO CHGS</v>
      </c>
      <c r="G1491" s="3">
        <v>520</v>
      </c>
      <c r="H1491" t="str">
        <f>"ACCT#1000648597/WEST INFO CHGS"</f>
        <v>ACCT#1000648597/WEST INFO CHGS</v>
      </c>
    </row>
    <row r="1492" spans="1:8" x14ac:dyDescent="0.25">
      <c r="E1492" t="str">
        <f>"838467449"</f>
        <v>838467449</v>
      </c>
      <c r="F1492" t="str">
        <f>"ACCT#838467449/WEST INFO CHGS"</f>
        <v>ACCT#838467449/WEST INFO CHGS</v>
      </c>
      <c r="G1492" s="3">
        <v>850</v>
      </c>
      <c r="H1492" t="str">
        <f>"ACCT#838467449/WEST INFO CHGS"</f>
        <v>ACCT#838467449/WEST INFO CHGS</v>
      </c>
    </row>
    <row r="1493" spans="1:8" x14ac:dyDescent="0.25">
      <c r="A1493" t="s">
        <v>487</v>
      </c>
      <c r="B1493">
        <v>77818</v>
      </c>
      <c r="C1493" s="2">
        <v>11763.98</v>
      </c>
      <c r="D1493" s="1">
        <v>43304</v>
      </c>
      <c r="E1493" t="str">
        <f>"201807112184"</f>
        <v>201807112184</v>
      </c>
      <c r="F1493" t="str">
        <f>"ACCT#8260163000003669"</f>
        <v>ACCT#8260163000003669</v>
      </c>
      <c r="G1493" s="3">
        <v>11763.98</v>
      </c>
      <c r="H1493" t="str">
        <f>"ACCT#8260163000003669"</f>
        <v>ACCT#8260163000003669</v>
      </c>
    </row>
    <row r="1494" spans="1:8" x14ac:dyDescent="0.25">
      <c r="E1494" t="str">
        <f>""</f>
        <v/>
      </c>
      <c r="F1494" t="str">
        <f>""</f>
        <v/>
      </c>
      <c r="H1494" t="str">
        <f>"ACCT#8260163000003669"</f>
        <v>ACCT#8260163000003669</v>
      </c>
    </row>
    <row r="1495" spans="1:8" x14ac:dyDescent="0.25">
      <c r="E1495" t="str">
        <f>""</f>
        <v/>
      </c>
      <c r="F1495" t="str">
        <f>""</f>
        <v/>
      </c>
      <c r="H1495" t="str">
        <f>"ACCT#8260163000003669"</f>
        <v>ACCT#8260163000003669</v>
      </c>
    </row>
    <row r="1496" spans="1:8" x14ac:dyDescent="0.25">
      <c r="A1496" t="s">
        <v>488</v>
      </c>
      <c r="B1496">
        <v>77564</v>
      </c>
      <c r="C1496" s="2">
        <v>1346.37</v>
      </c>
      <c r="D1496" s="1">
        <v>43290</v>
      </c>
      <c r="E1496" t="str">
        <f>"ACCOUNT#XXXX160982"</f>
        <v>ACCOUNT#XXXX160982</v>
      </c>
      <c r="F1496" t="str">
        <f>"Acct#6035301200160982"</f>
        <v>Acct#6035301200160982</v>
      </c>
      <c r="G1496" s="3">
        <v>1346.37</v>
      </c>
      <c r="H1496" t="str">
        <f>"Inv# 200498783"</f>
        <v>Inv# 200498783</v>
      </c>
    </row>
    <row r="1497" spans="1:8" x14ac:dyDescent="0.25">
      <c r="E1497" t="str">
        <f>""</f>
        <v/>
      </c>
      <c r="F1497" t="str">
        <f>""</f>
        <v/>
      </c>
      <c r="H1497" t="str">
        <f>"Inv# 200500774"</f>
        <v>Inv# 200500774</v>
      </c>
    </row>
    <row r="1498" spans="1:8" x14ac:dyDescent="0.25">
      <c r="E1498" t="str">
        <f>""</f>
        <v/>
      </c>
      <c r="F1498" t="str">
        <f>""</f>
        <v/>
      </c>
      <c r="H1498" t="str">
        <f>"Inv# 300463630"</f>
        <v>Inv# 300463630</v>
      </c>
    </row>
    <row r="1499" spans="1:8" x14ac:dyDescent="0.25">
      <c r="E1499" t="str">
        <f>""</f>
        <v/>
      </c>
      <c r="F1499" t="str">
        <f>""</f>
        <v/>
      </c>
      <c r="H1499" t="str">
        <f>"Inv# 300470236"</f>
        <v>Inv# 300470236</v>
      </c>
    </row>
    <row r="1500" spans="1:8" x14ac:dyDescent="0.25">
      <c r="E1500" t="str">
        <f>""</f>
        <v/>
      </c>
      <c r="F1500" t="str">
        <f>""</f>
        <v/>
      </c>
      <c r="H1500" t="str">
        <f>"Inv# 200497328"</f>
        <v>Inv# 200497328</v>
      </c>
    </row>
    <row r="1501" spans="1:8" x14ac:dyDescent="0.25">
      <c r="E1501" t="str">
        <f>""</f>
        <v/>
      </c>
      <c r="F1501" t="str">
        <f>""</f>
        <v/>
      </c>
      <c r="H1501" t="str">
        <f>"Inv# 200498625"</f>
        <v>Inv# 200498625</v>
      </c>
    </row>
    <row r="1502" spans="1:8" x14ac:dyDescent="0.25">
      <c r="E1502" t="str">
        <f>""</f>
        <v/>
      </c>
      <c r="F1502" t="str">
        <f>""</f>
        <v/>
      </c>
      <c r="H1502" t="str">
        <f>"Inv# 200497031"</f>
        <v>Inv# 200497031</v>
      </c>
    </row>
    <row r="1503" spans="1:8" x14ac:dyDescent="0.25">
      <c r="E1503" t="str">
        <f>""</f>
        <v/>
      </c>
      <c r="F1503" t="str">
        <f>""</f>
        <v/>
      </c>
      <c r="H1503" t="str">
        <f>"Inv# 300463988"</f>
        <v>Inv# 300463988</v>
      </c>
    </row>
    <row r="1504" spans="1:8" x14ac:dyDescent="0.25">
      <c r="E1504" t="str">
        <f>""</f>
        <v/>
      </c>
      <c r="F1504" t="str">
        <f>""</f>
        <v/>
      </c>
      <c r="H1504" t="str">
        <f>"Inv# 200288850"</f>
        <v>Inv# 200288850</v>
      </c>
    </row>
    <row r="1505" spans="1:9" x14ac:dyDescent="0.25">
      <c r="E1505" t="str">
        <f>""</f>
        <v/>
      </c>
      <c r="F1505" t="str">
        <f>""</f>
        <v/>
      </c>
      <c r="H1505" t="str">
        <f>"Inv# 100037123"</f>
        <v>Inv# 100037123</v>
      </c>
    </row>
    <row r="1506" spans="1:9" x14ac:dyDescent="0.25">
      <c r="A1506" t="s">
        <v>489</v>
      </c>
      <c r="B1506">
        <v>77561</v>
      </c>
      <c r="C1506" s="2">
        <v>150</v>
      </c>
      <c r="D1506" s="1">
        <v>43290</v>
      </c>
      <c r="E1506" t="str">
        <f>"12565"</f>
        <v>12565</v>
      </c>
      <c r="F1506" t="str">
        <f>"SERVICE  03/20/18"</f>
        <v>SERVICE  03/20/18</v>
      </c>
      <c r="G1506" s="3">
        <v>75</v>
      </c>
      <c r="H1506" t="str">
        <f>"SERVICE  03/20/18"</f>
        <v>SERVICE  03/20/18</v>
      </c>
    </row>
    <row r="1507" spans="1:9" x14ac:dyDescent="0.25">
      <c r="E1507" t="str">
        <f>"12714"</f>
        <v>12714</v>
      </c>
      <c r="F1507" t="str">
        <f>"SERVICE  03/20/18"</f>
        <v>SERVICE  03/20/18</v>
      </c>
      <c r="G1507" s="3">
        <v>75</v>
      </c>
      <c r="H1507" t="str">
        <f>"SERVICE  03/20/18"</f>
        <v>SERVICE  03/20/18</v>
      </c>
    </row>
    <row r="1508" spans="1:9" x14ac:dyDescent="0.25">
      <c r="A1508" t="s">
        <v>490</v>
      </c>
      <c r="B1508">
        <v>77562</v>
      </c>
      <c r="C1508" s="2">
        <v>454</v>
      </c>
      <c r="D1508" s="1">
        <v>43290</v>
      </c>
      <c r="E1508" t="str">
        <f>"18-001127"</f>
        <v>18-001127</v>
      </c>
      <c r="F1508" t="str">
        <f>"CAUSE#C-1-MH-18-001127"</f>
        <v>CAUSE#C-1-MH-18-001127</v>
      </c>
      <c r="G1508" s="3">
        <v>454</v>
      </c>
      <c r="H1508" t="str">
        <f>"CAUSE#C-1-MH-18-001127"</f>
        <v>CAUSE#C-1-MH-18-001127</v>
      </c>
    </row>
    <row r="1509" spans="1:9" x14ac:dyDescent="0.25">
      <c r="A1509" t="s">
        <v>489</v>
      </c>
      <c r="B1509">
        <v>77819</v>
      </c>
      <c r="C1509" s="2">
        <v>255</v>
      </c>
      <c r="D1509" s="1">
        <v>43304</v>
      </c>
      <c r="E1509" t="s">
        <v>120</v>
      </c>
      <c r="F1509" t="s">
        <v>121</v>
      </c>
      <c r="G1509" s="3" t="str">
        <f>"SERVICE  05/02/18"</f>
        <v>SERVICE  05/02/18</v>
      </c>
      <c r="H1509" t="str">
        <f>"995-4110"</f>
        <v>995-4110</v>
      </c>
      <c r="I1509" t="str">
        <f>""</f>
        <v/>
      </c>
    </row>
    <row r="1510" spans="1:9" x14ac:dyDescent="0.25">
      <c r="E1510" t="str">
        <f>"7398"</f>
        <v>7398</v>
      </c>
      <c r="F1510" t="str">
        <f>"SERVICE  03/20/18"</f>
        <v>SERVICE  03/20/18</v>
      </c>
      <c r="G1510" s="3">
        <v>180</v>
      </c>
      <c r="H1510" t="str">
        <f>"SERVICE  03/20/18"</f>
        <v>SERVICE  03/20/18</v>
      </c>
    </row>
    <row r="1511" spans="1:9" x14ac:dyDescent="0.25">
      <c r="A1511" t="s">
        <v>491</v>
      </c>
      <c r="B1511">
        <v>77563</v>
      </c>
      <c r="C1511" s="2">
        <v>8700</v>
      </c>
      <c r="D1511" s="1">
        <v>43290</v>
      </c>
      <c r="E1511" t="str">
        <f>"3300001444"</f>
        <v>3300001444</v>
      </c>
      <c r="F1511" t="str">
        <f>"INV#3300001444/CUST#100010"</f>
        <v>INV#3300001444/CUST#100010</v>
      </c>
      <c r="G1511" s="3">
        <v>2900</v>
      </c>
      <c r="H1511" t="str">
        <f>"INV#3300001444/CUST#100010"</f>
        <v>INV#3300001444/CUST#100010</v>
      </c>
    </row>
    <row r="1512" spans="1:9" x14ac:dyDescent="0.25">
      <c r="E1512" t="str">
        <f>"3300001447"</f>
        <v>3300001447</v>
      </c>
      <c r="F1512" t="str">
        <f>"INV#3300001447/CUST#100009"</f>
        <v>INV#3300001447/CUST#100009</v>
      </c>
      <c r="G1512" s="3">
        <v>5800</v>
      </c>
      <c r="H1512" t="str">
        <f>"INV#3300001447/CUST#100009"</f>
        <v>INV#3300001447/CUST#100009</v>
      </c>
    </row>
    <row r="1513" spans="1:9" x14ac:dyDescent="0.25">
      <c r="A1513" t="s">
        <v>492</v>
      </c>
      <c r="B1513">
        <v>999999</v>
      </c>
      <c r="C1513" s="2">
        <v>2073.6</v>
      </c>
      <c r="D1513" s="1">
        <v>43291</v>
      </c>
      <c r="E1513" t="str">
        <f>"715807"</f>
        <v>715807</v>
      </c>
      <c r="F1513" t="str">
        <f>"INV 715807 / BACKUPS"</f>
        <v>INV 715807 / BACKUPS</v>
      </c>
      <c r="G1513" s="3">
        <v>967.68</v>
      </c>
      <c r="H1513" t="str">
        <f>"INV 715807 / BACKUPS"</f>
        <v>INV 715807 / BACKUPS</v>
      </c>
    </row>
    <row r="1514" spans="1:9" x14ac:dyDescent="0.25">
      <c r="E1514" t="str">
        <f>"715808"</f>
        <v>715808</v>
      </c>
      <c r="F1514" t="str">
        <f>"INV 715808 / UNIT 0123"</f>
        <v>INV 715808 / UNIT 0123</v>
      </c>
      <c r="G1514" s="3">
        <v>552.96</v>
      </c>
      <c r="H1514" t="str">
        <f>"INV 715808 / UNIT 0123"</f>
        <v>INV 715808 / UNIT 0123</v>
      </c>
    </row>
    <row r="1515" spans="1:9" x14ac:dyDescent="0.25">
      <c r="E1515" t="str">
        <f>"716278"</f>
        <v>716278</v>
      </c>
      <c r="F1515" t="str">
        <f>"INV 716278 / UNIT 6499"</f>
        <v>INV 716278 / UNIT 6499</v>
      </c>
      <c r="G1515" s="3">
        <v>552.96</v>
      </c>
      <c r="H1515" t="str">
        <f>"INV 716278 / UNIT 6499"</f>
        <v>INV 716278 / UNIT 6499</v>
      </c>
    </row>
    <row r="1516" spans="1:9" x14ac:dyDescent="0.25">
      <c r="A1516" t="s">
        <v>492</v>
      </c>
      <c r="B1516">
        <v>999999</v>
      </c>
      <c r="C1516" s="2">
        <v>2906.6</v>
      </c>
      <c r="D1516" s="1">
        <v>43305</v>
      </c>
      <c r="E1516" t="str">
        <f>"709438"</f>
        <v>709438</v>
      </c>
      <c r="F1516" t="str">
        <f>"INV 709438"</f>
        <v>INV 709438</v>
      </c>
      <c r="G1516" s="3">
        <v>119</v>
      </c>
      <c r="H1516" t="str">
        <f>"INV 709438"</f>
        <v>INV 709438</v>
      </c>
    </row>
    <row r="1517" spans="1:9" x14ac:dyDescent="0.25">
      <c r="E1517" t="str">
        <f>"710977"</f>
        <v>710977</v>
      </c>
      <c r="F1517" t="str">
        <f>"INV 710977"</f>
        <v>INV 710977</v>
      </c>
      <c r="G1517" s="3">
        <v>476</v>
      </c>
      <c r="H1517" t="str">
        <f>"INV 710977"</f>
        <v>INV 710977</v>
      </c>
    </row>
    <row r="1518" spans="1:9" x14ac:dyDescent="0.25">
      <c r="E1518" t="str">
        <f>"714033"</f>
        <v>714033</v>
      </c>
      <c r="F1518" t="str">
        <f>"INV 714033 / UNIT 6554"</f>
        <v>INV 714033 / UNIT 6554</v>
      </c>
      <c r="G1518" s="3">
        <v>552.96</v>
      </c>
      <c r="H1518" t="str">
        <f>"INV 714033 / UNIT 6554"</f>
        <v>INV 714033 / UNIT 6554</v>
      </c>
    </row>
    <row r="1519" spans="1:9" x14ac:dyDescent="0.25">
      <c r="E1519" t="str">
        <f>"716700"</f>
        <v>716700</v>
      </c>
      <c r="F1519" t="str">
        <f>"INV 716700 / UNIT 6557"</f>
        <v>INV 716700 / UNIT 6557</v>
      </c>
      <c r="G1519" s="3">
        <v>414.72</v>
      </c>
      <c r="H1519" t="str">
        <f>"INV 716700 / UNIT 6557"</f>
        <v>INV 716700 / UNIT 6557</v>
      </c>
    </row>
    <row r="1520" spans="1:9" x14ac:dyDescent="0.25">
      <c r="E1520" t="str">
        <f>"717905"</f>
        <v>717905</v>
      </c>
      <c r="F1520" t="str">
        <f>"INV 717905 / UNIT 1665"</f>
        <v>INV 717905 / UNIT 1665</v>
      </c>
      <c r="G1520" s="3">
        <v>414.72</v>
      </c>
      <c r="H1520" t="str">
        <f>"INV 717905 / UNIT 1665"</f>
        <v>INV 717905 / UNIT 1665</v>
      </c>
    </row>
    <row r="1521" spans="1:8" x14ac:dyDescent="0.25">
      <c r="E1521" t="str">
        <f>"717906"</f>
        <v>717906</v>
      </c>
      <c r="F1521" t="str">
        <f>"INV 717906 / UNIT 1663"</f>
        <v>INV 717906 / UNIT 1663</v>
      </c>
      <c r="G1521" s="3">
        <v>138.24</v>
      </c>
      <c r="H1521" t="str">
        <f>"INV 717906 / UNIT 1663"</f>
        <v>INV 717906 / UNIT 1663</v>
      </c>
    </row>
    <row r="1522" spans="1:8" x14ac:dyDescent="0.25">
      <c r="E1522" t="str">
        <f>"717907"</f>
        <v>717907</v>
      </c>
      <c r="F1522" t="str">
        <f>"INV 717907 / UNIT 6486"</f>
        <v>INV 717907 / UNIT 6486</v>
      </c>
      <c r="G1522" s="3">
        <v>276.48</v>
      </c>
      <c r="H1522" t="str">
        <f>"INV 717907 / UNIT 6486"</f>
        <v>INV 717907 / UNIT 6486</v>
      </c>
    </row>
    <row r="1523" spans="1:8" x14ac:dyDescent="0.25">
      <c r="E1523" t="str">
        <f>"717908"</f>
        <v>717908</v>
      </c>
      <c r="F1523" t="str">
        <f>"INV 717908 / UNIT 8944"</f>
        <v>INV 717908 / UNIT 8944</v>
      </c>
      <c r="G1523" s="3">
        <v>238</v>
      </c>
      <c r="H1523" t="str">
        <f>"INV 717908 / UNIT"</f>
        <v>INV 717908 / UNIT</v>
      </c>
    </row>
    <row r="1524" spans="1:8" x14ac:dyDescent="0.25">
      <c r="E1524" t="str">
        <f>"718395"</f>
        <v>718395</v>
      </c>
      <c r="F1524" t="str">
        <f>"INV 718395 / UNIT 0117"</f>
        <v>INV 718395 / UNIT 0117</v>
      </c>
      <c r="G1524" s="3">
        <v>276.48</v>
      </c>
      <c r="H1524" t="str">
        <f>"INV 718395 / UNIT 0117"</f>
        <v>INV 718395 / UNIT 0117</v>
      </c>
    </row>
    <row r="1525" spans="1:8" x14ac:dyDescent="0.25">
      <c r="A1525" t="s">
        <v>493</v>
      </c>
      <c r="B1525">
        <v>77820</v>
      </c>
      <c r="C1525" s="2">
        <v>70.16</v>
      </c>
      <c r="D1525" s="1">
        <v>43304</v>
      </c>
      <c r="E1525" t="str">
        <f>"201807182370"</f>
        <v>201807182370</v>
      </c>
      <c r="F1525" t="str">
        <f>"INDIGENT HEALTH"</f>
        <v>INDIGENT HEALTH</v>
      </c>
      <c r="G1525" s="3">
        <v>70.16</v>
      </c>
      <c r="H1525" t="str">
        <f>"INDIGENT HEALTH"</f>
        <v>INDIGENT HEALTH</v>
      </c>
    </row>
    <row r="1526" spans="1:8" x14ac:dyDescent="0.25">
      <c r="A1526" t="s">
        <v>494</v>
      </c>
      <c r="B1526">
        <v>999999</v>
      </c>
      <c r="C1526" s="2">
        <v>6775.23</v>
      </c>
      <c r="D1526" s="1">
        <v>43291</v>
      </c>
      <c r="E1526" t="str">
        <f>"0016032-IN"</f>
        <v>0016032-IN</v>
      </c>
      <c r="F1526" t="str">
        <f>"CUST#0009087/PCT#4"</f>
        <v>CUST#0009087/PCT#4</v>
      </c>
      <c r="G1526" s="3">
        <v>6775.23</v>
      </c>
      <c r="H1526" t="str">
        <f>"CUST#0009087/PCT#4"</f>
        <v>CUST#0009087/PCT#4</v>
      </c>
    </row>
    <row r="1527" spans="1:8" x14ac:dyDescent="0.25">
      <c r="A1527" t="s">
        <v>495</v>
      </c>
      <c r="B1527">
        <v>999999</v>
      </c>
      <c r="C1527" s="2">
        <v>1100</v>
      </c>
      <c r="D1527" s="1">
        <v>43291</v>
      </c>
      <c r="E1527" t="str">
        <f>"201806291762"</f>
        <v>201806291762</v>
      </c>
      <c r="F1527" t="str">
        <f>"16 389  AC-2017-0506"</f>
        <v>16 389  AC-2017-0506</v>
      </c>
      <c r="G1527" s="3">
        <v>600</v>
      </c>
      <c r="H1527" t="str">
        <f>"16 389  AC-2017-0506"</f>
        <v>16 389  AC-2017-0506</v>
      </c>
    </row>
    <row r="1528" spans="1:8" x14ac:dyDescent="0.25">
      <c r="E1528" t="str">
        <f>"201807031854"</f>
        <v>201807031854</v>
      </c>
      <c r="F1528" t="str">
        <f>"55914"</f>
        <v>55914</v>
      </c>
      <c r="G1528" s="3">
        <v>250</v>
      </c>
      <c r="H1528" t="str">
        <f>"55914"</f>
        <v>55914</v>
      </c>
    </row>
    <row r="1529" spans="1:8" x14ac:dyDescent="0.25">
      <c r="E1529" t="str">
        <f>"201807031855"</f>
        <v>201807031855</v>
      </c>
      <c r="F1529" t="str">
        <f>"55880"</f>
        <v>55880</v>
      </c>
      <c r="G1529" s="3">
        <v>250</v>
      </c>
      <c r="H1529" t="str">
        <f>"55880"</f>
        <v>55880</v>
      </c>
    </row>
    <row r="1530" spans="1:8" x14ac:dyDescent="0.25">
      <c r="A1530" t="s">
        <v>496</v>
      </c>
      <c r="B1530">
        <v>999999</v>
      </c>
      <c r="C1530" s="2">
        <v>7</v>
      </c>
      <c r="D1530" s="1">
        <v>43291</v>
      </c>
      <c r="E1530" t="str">
        <f>"1052"</f>
        <v>1052</v>
      </c>
      <c r="F1530" t="str">
        <f>"DOT COMMERCIAL INSP/PCT#1"</f>
        <v>DOT COMMERCIAL INSP/PCT#1</v>
      </c>
      <c r="G1530" s="3">
        <v>7</v>
      </c>
      <c r="H1530" t="str">
        <f>"DOT COMMERCIAL INSP/PCT#1"</f>
        <v>DOT COMMERCIAL INSP/PCT#1</v>
      </c>
    </row>
    <row r="1531" spans="1:8" x14ac:dyDescent="0.25">
      <c r="A1531" t="s">
        <v>497</v>
      </c>
      <c r="B1531">
        <v>77565</v>
      </c>
      <c r="C1531" s="2">
        <v>3150</v>
      </c>
      <c r="D1531" s="1">
        <v>43290</v>
      </c>
      <c r="E1531" t="str">
        <f>"WTR0050357"</f>
        <v>WTR0050357</v>
      </c>
      <c r="F1531" t="str">
        <f>"ACCT#0620010/ONSITE COUNCIL FE"</f>
        <v>ACCT#0620010/ONSITE COUNCIL FE</v>
      </c>
      <c r="G1531" s="3">
        <v>3150</v>
      </c>
      <c r="H1531" t="str">
        <f>"ACCT#0620010/ONSITE COUNCIL FE"</f>
        <v>ACCT#0620010/ONSITE COUNCIL FE</v>
      </c>
    </row>
    <row r="1532" spans="1:8" x14ac:dyDescent="0.25">
      <c r="A1532" t="s">
        <v>498</v>
      </c>
      <c r="B1532">
        <v>77821</v>
      </c>
      <c r="C1532" s="2">
        <v>14.21</v>
      </c>
      <c r="D1532" s="1">
        <v>43304</v>
      </c>
      <c r="E1532" t="str">
        <f>"201807172244"</f>
        <v>201807172244</v>
      </c>
      <c r="F1532" t="str">
        <f>"ACCT#301364584/PCT#4"</f>
        <v>ACCT#301364584/PCT#4</v>
      </c>
      <c r="G1532" s="3">
        <v>14.21</v>
      </c>
      <c r="H1532" t="str">
        <f>"ACCT#301364584/PCT#4"</f>
        <v>ACCT#301364584/PCT#4</v>
      </c>
    </row>
    <row r="1533" spans="1:8" x14ac:dyDescent="0.25">
      <c r="A1533" t="s">
        <v>499</v>
      </c>
      <c r="B1533">
        <v>77822</v>
      </c>
      <c r="C1533" s="2">
        <v>573.88</v>
      </c>
      <c r="D1533" s="1">
        <v>43304</v>
      </c>
      <c r="E1533" t="str">
        <f>"10072660"</f>
        <v>10072660</v>
      </c>
      <c r="F1533" t="str">
        <f>"ACCT#38049/WHEEL KIT/PCT#4"</f>
        <v>ACCT#38049/WHEEL KIT/PCT#4</v>
      </c>
      <c r="G1533" s="3">
        <v>573.88</v>
      </c>
      <c r="H1533" t="str">
        <f>"ACCT#38049/WHEEL KIT/PCT#4"</f>
        <v>ACCT#38049/WHEEL KIT/PCT#4</v>
      </c>
    </row>
    <row r="1534" spans="1:8" x14ac:dyDescent="0.25">
      <c r="A1534" t="s">
        <v>500</v>
      </c>
      <c r="B1534">
        <v>77566</v>
      </c>
      <c r="C1534" s="2">
        <v>1247.78</v>
      </c>
      <c r="D1534" s="1">
        <v>43290</v>
      </c>
      <c r="E1534" t="str">
        <f>"62839805-00"</f>
        <v>62839805-00</v>
      </c>
      <c r="F1534" t="str">
        <f>"CUST#706810/JUVENILE PROBATION"</f>
        <v>CUST#706810/JUVENILE PROBATION</v>
      </c>
      <c r="G1534" s="3">
        <v>1094.3499999999999</v>
      </c>
      <c r="H1534" t="str">
        <f>"CUST#706810/JUVENILE PROBATION"</f>
        <v>CUST#706810/JUVENILE PROBATION</v>
      </c>
    </row>
    <row r="1535" spans="1:8" x14ac:dyDescent="0.25">
      <c r="E1535" t="str">
        <f>"63147977-00"</f>
        <v>63147977-00</v>
      </c>
      <c r="F1535" t="str">
        <f>"CUST#706810/WRENCH/GEN SVCS"</f>
        <v>CUST#706810/WRENCH/GEN SVCS</v>
      </c>
      <c r="G1535" s="3">
        <v>153.43</v>
      </c>
      <c r="H1535" t="str">
        <f>"CUST#706810/WRENCH/GEN SVCS"</f>
        <v>CUST#706810/WRENCH/GEN SVCS</v>
      </c>
    </row>
    <row r="1536" spans="1:8" x14ac:dyDescent="0.25">
      <c r="A1536" t="s">
        <v>500</v>
      </c>
      <c r="B1536">
        <v>77823</v>
      </c>
      <c r="C1536" s="2">
        <v>374.06</v>
      </c>
      <c r="D1536" s="1">
        <v>43304</v>
      </c>
      <c r="E1536" t="str">
        <f>"63296772-00"</f>
        <v>63296772-00</v>
      </c>
      <c r="F1536" t="str">
        <f>"INV 63296772-00"</f>
        <v>INV 63296772-00</v>
      </c>
      <c r="G1536" s="3">
        <v>374.06</v>
      </c>
      <c r="H1536" t="str">
        <f>"INV 63296772-00"</f>
        <v>INV 63296772-00</v>
      </c>
    </row>
    <row r="1537" spans="1:8" x14ac:dyDescent="0.25">
      <c r="A1537" t="s">
        <v>501</v>
      </c>
      <c r="B1537">
        <v>77824</v>
      </c>
      <c r="C1537" s="2">
        <v>46.23</v>
      </c>
      <c r="D1537" s="1">
        <v>43304</v>
      </c>
      <c r="E1537" t="str">
        <f>"000018VW63268"</f>
        <v>000018VW63268</v>
      </c>
      <c r="F1537" t="str">
        <f>"INV 000018VW63268"</f>
        <v>INV 000018VW63268</v>
      </c>
      <c r="G1537" s="3">
        <v>46.23</v>
      </c>
      <c r="H1537" t="str">
        <f>"INV 000018VW63268"</f>
        <v>INV 000018VW63268</v>
      </c>
    </row>
    <row r="1538" spans="1:8" x14ac:dyDescent="0.25">
      <c r="A1538" t="s">
        <v>502</v>
      </c>
      <c r="B1538">
        <v>77825</v>
      </c>
      <c r="C1538" s="2">
        <v>345.92</v>
      </c>
      <c r="D1538" s="1">
        <v>43304</v>
      </c>
      <c r="E1538" t="str">
        <f>"00033882"</f>
        <v>00033882</v>
      </c>
      <c r="F1538" t="str">
        <f>"TICKET 00033882"</f>
        <v>TICKET 00033882</v>
      </c>
      <c r="G1538" s="3">
        <v>345.92</v>
      </c>
      <c r="H1538" t="str">
        <f>"TICKET 00033882"</f>
        <v>TICKET 00033882</v>
      </c>
    </row>
    <row r="1539" spans="1:8" x14ac:dyDescent="0.25">
      <c r="A1539" t="s">
        <v>503</v>
      </c>
      <c r="B1539">
        <v>77826</v>
      </c>
      <c r="C1539" s="2">
        <v>164.7</v>
      </c>
      <c r="D1539" s="1">
        <v>43304</v>
      </c>
      <c r="E1539" t="str">
        <f>"2005954"</f>
        <v>2005954</v>
      </c>
      <c r="F1539" t="str">
        <f>"REMOTE BIRTH ACCESS-JUN 1-30"</f>
        <v>REMOTE BIRTH ACCESS-JUN 1-30</v>
      </c>
      <c r="G1539" s="3">
        <v>164.7</v>
      </c>
      <c r="H1539" t="str">
        <f>"REMOTE BIRTH ACCESS-JUN 1-30"</f>
        <v>REMOTE BIRTH ACCESS-JUN 1-30</v>
      </c>
    </row>
    <row r="1540" spans="1:8" x14ac:dyDescent="0.25">
      <c r="A1540" t="s">
        <v>504</v>
      </c>
      <c r="B1540">
        <v>77567</v>
      </c>
      <c r="C1540" s="2">
        <v>33.270000000000003</v>
      </c>
      <c r="D1540" s="1">
        <v>43290</v>
      </c>
      <c r="E1540" t="str">
        <f>"201807051902"</f>
        <v>201807051902</v>
      </c>
      <c r="F1540" t="str">
        <f>"INDIGENT HEALTH"</f>
        <v>INDIGENT HEALTH</v>
      </c>
      <c r="G1540" s="3">
        <v>33.270000000000003</v>
      </c>
      <c r="H1540" t="str">
        <f>"INDIGENT HEALTH"</f>
        <v>INDIGENT HEALTH</v>
      </c>
    </row>
    <row r="1541" spans="1:8" x14ac:dyDescent="0.25">
      <c r="A1541" t="s">
        <v>505</v>
      </c>
      <c r="B1541">
        <v>77568</v>
      </c>
      <c r="C1541" s="2">
        <v>23.58</v>
      </c>
      <c r="D1541" s="1">
        <v>43290</v>
      </c>
      <c r="E1541" t="str">
        <f>"869395921826"</f>
        <v>869395921826</v>
      </c>
      <c r="F1541" t="str">
        <f>"Acct#869395921"</f>
        <v>Acct#869395921</v>
      </c>
      <c r="G1541" s="3">
        <v>23.58</v>
      </c>
      <c r="H1541" t="str">
        <f>"INv# 869395921826"</f>
        <v>INv# 869395921826</v>
      </c>
    </row>
    <row r="1542" spans="1:8" x14ac:dyDescent="0.25">
      <c r="A1542" t="s">
        <v>506</v>
      </c>
      <c r="B1542">
        <v>77569</v>
      </c>
      <c r="C1542" s="2">
        <v>3459</v>
      </c>
      <c r="D1542" s="1">
        <v>43290</v>
      </c>
      <c r="E1542" t="str">
        <f>"61755601"</f>
        <v>61755601</v>
      </c>
      <c r="F1542" t="str">
        <f>"CUST#90285-209209/ORD#7671/P1"</f>
        <v>CUST#90285-209209/ORD#7671/P1</v>
      </c>
      <c r="G1542" s="3">
        <v>3459</v>
      </c>
      <c r="H1542" t="str">
        <f>"CUST#90285-209209/ORD#7671/P1"</f>
        <v>CUST#90285-209209/ORD#7671/P1</v>
      </c>
    </row>
    <row r="1543" spans="1:8" x14ac:dyDescent="0.25">
      <c r="A1543" t="s">
        <v>507</v>
      </c>
      <c r="B1543">
        <v>77827</v>
      </c>
      <c r="C1543" s="2">
        <v>247.45</v>
      </c>
      <c r="D1543" s="1">
        <v>43304</v>
      </c>
      <c r="E1543" t="str">
        <f>"0318-DR14926"</f>
        <v>0318-DR14926</v>
      </c>
      <c r="F1543" t="str">
        <f>"CLIENT ID:CXD 14926-3/1-3/31"</f>
        <v>CLIENT ID:CXD 14926-3/1-3/31</v>
      </c>
      <c r="G1543" s="3">
        <v>99.7</v>
      </c>
      <c r="H1543" t="str">
        <f>"CLIENT ID:CXD 14926-3/1-3/31"</f>
        <v>CLIENT ID:CXD 14926-3/1-3/31</v>
      </c>
    </row>
    <row r="1544" spans="1:8" x14ac:dyDescent="0.25">
      <c r="E1544" t="str">
        <f>"0618-DR14926"</f>
        <v>0618-DR14926</v>
      </c>
      <c r="F1544" t="str">
        <f>"CLIENT ID:CXD 14926"</f>
        <v>CLIENT ID:CXD 14926</v>
      </c>
      <c r="G1544" s="3">
        <v>147.75</v>
      </c>
      <c r="H1544" t="str">
        <f>"CLIENT ID:CXD 14926"</f>
        <v>CLIENT ID:CXD 14926</v>
      </c>
    </row>
    <row r="1545" spans="1:8" x14ac:dyDescent="0.25">
      <c r="A1545" t="s">
        <v>508</v>
      </c>
      <c r="B1545">
        <v>999999</v>
      </c>
      <c r="C1545" s="2">
        <v>2578.9</v>
      </c>
      <c r="D1545" s="1">
        <v>43291</v>
      </c>
      <c r="E1545" t="str">
        <f>"14201"</f>
        <v>14201</v>
      </c>
      <c r="F1545" t="str">
        <f>"COLD MIX/PCT#4"</f>
        <v>COLD MIX/PCT#4</v>
      </c>
      <c r="G1545" s="3">
        <v>2578.9</v>
      </c>
      <c r="H1545" t="str">
        <f>"COLD MIX/PCT#4"</f>
        <v>COLD MIX/PCT#4</v>
      </c>
    </row>
    <row r="1546" spans="1:8" x14ac:dyDescent="0.25">
      <c r="A1546" t="s">
        <v>509</v>
      </c>
      <c r="B1546">
        <v>77570</v>
      </c>
      <c r="C1546" s="2">
        <v>291.54000000000002</v>
      </c>
      <c r="D1546" s="1">
        <v>43290</v>
      </c>
      <c r="E1546" t="str">
        <f>"ACCT#XXXX312476"</f>
        <v>ACCT#XXXX312476</v>
      </c>
      <c r="F1546" t="str">
        <f>"Acct# 6032202005312476"</f>
        <v>Acct# 6032202005312476</v>
      </c>
      <c r="G1546" s="3">
        <v>291.54000000000002</v>
      </c>
      <c r="H1546" t="str">
        <f>"Inv# 008057"</f>
        <v>Inv# 008057</v>
      </c>
    </row>
    <row r="1547" spans="1:8" x14ac:dyDescent="0.25">
      <c r="E1547" t="str">
        <f>""</f>
        <v/>
      </c>
      <c r="F1547" t="str">
        <f>""</f>
        <v/>
      </c>
      <c r="H1547" t="str">
        <f>"Inv# 000436"</f>
        <v>Inv# 000436</v>
      </c>
    </row>
    <row r="1548" spans="1:8" x14ac:dyDescent="0.25">
      <c r="E1548" t="str">
        <f>""</f>
        <v/>
      </c>
      <c r="F1548" t="str">
        <f>""</f>
        <v/>
      </c>
      <c r="H1548" t="str">
        <f>"Inv# 000436"</f>
        <v>Inv# 000436</v>
      </c>
    </row>
    <row r="1549" spans="1:8" x14ac:dyDescent="0.25">
      <c r="E1549" t="str">
        <f>""</f>
        <v/>
      </c>
      <c r="F1549" t="str">
        <f>""</f>
        <v/>
      </c>
      <c r="H1549" t="str">
        <f>"Inv# 008768"</f>
        <v>Inv# 008768</v>
      </c>
    </row>
    <row r="1550" spans="1:8" x14ac:dyDescent="0.25">
      <c r="E1550" t="str">
        <f>""</f>
        <v/>
      </c>
      <c r="F1550" t="str">
        <f>""</f>
        <v/>
      </c>
      <c r="H1550" t="str">
        <f>"Inv# 003404"</f>
        <v>Inv# 003404</v>
      </c>
    </row>
    <row r="1551" spans="1:8" x14ac:dyDescent="0.25">
      <c r="E1551" t="str">
        <f>""</f>
        <v/>
      </c>
      <c r="F1551" t="str">
        <f>""</f>
        <v/>
      </c>
      <c r="H1551" t="str">
        <f>"Inv# 009923"</f>
        <v>Inv# 009923</v>
      </c>
    </row>
    <row r="1552" spans="1:8" x14ac:dyDescent="0.25">
      <c r="E1552" t="str">
        <f>""</f>
        <v/>
      </c>
      <c r="F1552" t="str">
        <f>""</f>
        <v/>
      </c>
      <c r="H1552" t="str">
        <f>"Inv# 009956"</f>
        <v>Inv# 009956</v>
      </c>
    </row>
    <row r="1553" spans="1:8" x14ac:dyDescent="0.25">
      <c r="E1553" t="str">
        <f>""</f>
        <v/>
      </c>
      <c r="F1553" t="str">
        <f>""</f>
        <v/>
      </c>
      <c r="H1553" t="str">
        <f>"Inv# 004408"</f>
        <v>Inv# 004408</v>
      </c>
    </row>
    <row r="1554" spans="1:8" x14ac:dyDescent="0.25">
      <c r="E1554" t="str">
        <f>""</f>
        <v/>
      </c>
      <c r="F1554" t="str">
        <f>""</f>
        <v/>
      </c>
      <c r="H1554" t="str">
        <f>"Inv# 005619"</f>
        <v>Inv# 005619</v>
      </c>
    </row>
    <row r="1555" spans="1:8" x14ac:dyDescent="0.25">
      <c r="A1555" t="s">
        <v>510</v>
      </c>
      <c r="B1555">
        <v>77828</v>
      </c>
      <c r="C1555" s="2">
        <v>202.5</v>
      </c>
      <c r="D1555" s="1">
        <v>43304</v>
      </c>
      <c r="E1555" t="str">
        <f>"201807132205"</f>
        <v>201807132205</v>
      </c>
      <c r="F1555" t="str">
        <f>"ADVENTURE 290 RACK CARDS"</f>
        <v>ADVENTURE 290 RACK CARDS</v>
      </c>
      <c r="G1555" s="3">
        <v>202.5</v>
      </c>
      <c r="H1555" t="str">
        <f>"ADVENTURE 290 RACK CARDS"</f>
        <v>ADVENTURE 290 RACK CARDS</v>
      </c>
    </row>
    <row r="1556" spans="1:8" x14ac:dyDescent="0.25">
      <c r="A1556" t="s">
        <v>511</v>
      </c>
      <c r="B1556">
        <v>77829</v>
      </c>
      <c r="C1556" s="2">
        <v>108.66</v>
      </c>
      <c r="D1556" s="1">
        <v>43304</v>
      </c>
      <c r="E1556" t="str">
        <f>"0036652-2162-2"</f>
        <v>0036652-2162-2</v>
      </c>
      <c r="F1556" t="str">
        <f>"CUST ID:16-27603-83003/ANIMAL"</f>
        <v>CUST ID:16-27603-83003/ANIMAL</v>
      </c>
      <c r="G1556" s="3">
        <v>108.66</v>
      </c>
      <c r="H1556" t="str">
        <f>"CUST ID:16-27603-83003/ANIMAL"</f>
        <v>CUST ID:16-27603-83003/ANIMAL</v>
      </c>
    </row>
    <row r="1557" spans="1:8" x14ac:dyDescent="0.25">
      <c r="A1557" t="s">
        <v>512</v>
      </c>
      <c r="B1557">
        <v>77830</v>
      </c>
      <c r="C1557" s="2">
        <v>1148.99</v>
      </c>
      <c r="D1557" s="1">
        <v>43304</v>
      </c>
      <c r="E1557" t="str">
        <f>"2691096597"</f>
        <v>2691096597</v>
      </c>
      <c r="F1557" t="str">
        <f>"Leather Executive Chair"</f>
        <v>Leather Executive Chair</v>
      </c>
      <c r="G1557" s="3">
        <v>1148.99</v>
      </c>
      <c r="H1557" t="str">
        <f>"SKU: HKR10836"</f>
        <v>SKU: HKR10836</v>
      </c>
    </row>
    <row r="1558" spans="1:8" x14ac:dyDescent="0.25">
      <c r="E1558" t="str">
        <f>""</f>
        <v/>
      </c>
      <c r="F1558" t="str">
        <f>""</f>
        <v/>
      </c>
      <c r="H1558" t="str">
        <f>"Shipping"</f>
        <v>Shipping</v>
      </c>
    </row>
    <row r="1559" spans="1:8" x14ac:dyDescent="0.25">
      <c r="A1559" t="s">
        <v>513</v>
      </c>
      <c r="B1559">
        <v>77643</v>
      </c>
      <c r="C1559" s="2">
        <v>17637.060000000001</v>
      </c>
      <c r="D1559" s="1">
        <v>43300</v>
      </c>
      <c r="E1559" t="str">
        <f>"1701980671"</f>
        <v>1701980671</v>
      </c>
      <c r="F1559" t="str">
        <f>"ACCT#5151-005117630/063018"</f>
        <v>ACCT#5151-005117630/063018</v>
      </c>
      <c r="G1559" s="3">
        <v>238.37</v>
      </c>
      <c r="H1559" t="str">
        <f>"ACCT#5151-005117630/063018"</f>
        <v>ACCT#5151-005117630/063018</v>
      </c>
    </row>
    <row r="1560" spans="1:8" x14ac:dyDescent="0.25">
      <c r="E1560" t="str">
        <f>"1701980672"</f>
        <v>1701980672</v>
      </c>
      <c r="F1560" t="str">
        <f>"ACCT#5151-005117766/0630218"</f>
        <v>ACCT#5151-005117766/0630218</v>
      </c>
      <c r="G1560" s="3">
        <v>104.64</v>
      </c>
      <c r="H1560" t="str">
        <f>"ACCT#5151-005117766/0630218"</f>
        <v>ACCT#5151-005117766/0630218</v>
      </c>
    </row>
    <row r="1561" spans="1:8" x14ac:dyDescent="0.25">
      <c r="E1561" t="str">
        <f>"1701980673"</f>
        <v>1701980673</v>
      </c>
      <c r="F1561" t="str">
        <f>"ACCT#5151-005117838/063018"</f>
        <v>ACCT#5151-005117838/063018</v>
      </c>
      <c r="G1561" s="3">
        <v>96.85</v>
      </c>
      <c r="H1561" t="str">
        <f>"ACCT#5151-005117838/063018"</f>
        <v>ACCT#5151-005117838/063018</v>
      </c>
    </row>
    <row r="1562" spans="1:8" x14ac:dyDescent="0.25">
      <c r="E1562" t="str">
        <f>"1701980675"</f>
        <v>1701980675</v>
      </c>
      <c r="F1562" t="str">
        <f>"ACCT#5151-005117882/063018"</f>
        <v>ACCT#5151-005117882/063018</v>
      </c>
      <c r="G1562" s="3">
        <v>130.78</v>
      </c>
      <c r="H1562" t="str">
        <f>"ACCT#5151-005117882/063018"</f>
        <v>ACCT#5151-005117882/063018</v>
      </c>
    </row>
    <row r="1563" spans="1:8" x14ac:dyDescent="0.25">
      <c r="E1563" t="str">
        <f>"1701980677"</f>
        <v>1701980677</v>
      </c>
      <c r="F1563" t="str">
        <f>"ACCT#5151-005118183/063018"</f>
        <v>ACCT#5151-005118183/063018</v>
      </c>
      <c r="G1563" s="3">
        <v>561.41999999999996</v>
      </c>
      <c r="H1563" t="str">
        <f>"ACCT#5151-005118183/063018"</f>
        <v>ACCT#5151-005118183/063018</v>
      </c>
    </row>
    <row r="1564" spans="1:8" x14ac:dyDescent="0.25">
      <c r="E1564" t="str">
        <f>"1701980689"</f>
        <v>1701980689</v>
      </c>
      <c r="F1564" t="str">
        <f>"ACCT#5150-005129483/063018"</f>
        <v>ACCT#5150-005129483/063018</v>
      </c>
      <c r="G1564" s="3">
        <v>16505</v>
      </c>
      <c r="H1564" t="str">
        <f>"ACCT#5150-005129483/063018"</f>
        <v>ACCT#5150-005129483/063018</v>
      </c>
    </row>
    <row r="1565" spans="1:8" x14ac:dyDescent="0.25">
      <c r="A1565" t="s">
        <v>514</v>
      </c>
      <c r="B1565">
        <v>999999</v>
      </c>
      <c r="C1565" s="2">
        <v>144</v>
      </c>
      <c r="D1565" s="1">
        <v>43305</v>
      </c>
      <c r="E1565" t="str">
        <f>"2712"</f>
        <v>2712</v>
      </c>
      <c r="F1565" t="str">
        <f>"EMBROIDERY SVC/ELECTIONS"</f>
        <v>EMBROIDERY SVC/ELECTIONS</v>
      </c>
      <c r="G1565" s="3">
        <v>144</v>
      </c>
      <c r="H1565" t="str">
        <f>"EMBROIDERY SVC/ELECTIONS"</f>
        <v>EMBROIDERY SVC/ELECTIONS</v>
      </c>
    </row>
    <row r="1566" spans="1:8" x14ac:dyDescent="0.25">
      <c r="A1566" t="s">
        <v>515</v>
      </c>
      <c r="B1566">
        <v>77831</v>
      </c>
      <c r="C1566" s="2">
        <v>2092.31</v>
      </c>
      <c r="D1566" s="1">
        <v>43304</v>
      </c>
      <c r="E1566" t="str">
        <f>"274966"</f>
        <v>274966</v>
      </c>
      <c r="F1566" t="str">
        <f>"SKID STEER/ANIMAL SHELTER"</f>
        <v>SKID STEER/ANIMAL SHELTER</v>
      </c>
      <c r="G1566" s="3">
        <v>1506.1</v>
      </c>
      <c r="H1566" t="str">
        <f>"SKID STEER/ANIMAL SHELTER"</f>
        <v>SKID STEER/ANIMAL SHELTER</v>
      </c>
    </row>
    <row r="1567" spans="1:8" x14ac:dyDescent="0.25">
      <c r="E1567" t="str">
        <f>"275201"</f>
        <v>275201</v>
      </c>
      <c r="F1567" t="str">
        <f>"COMPACTOR/PCT#2"</f>
        <v>COMPACTOR/PCT#2</v>
      </c>
      <c r="G1567" s="3">
        <v>586.21</v>
      </c>
      <c r="H1567" t="str">
        <f>"COMPACTOR/PCT#2"</f>
        <v>COMPACTOR/PCT#2</v>
      </c>
    </row>
    <row r="1568" spans="1:8" x14ac:dyDescent="0.25">
      <c r="A1568" t="s">
        <v>515</v>
      </c>
      <c r="B1568">
        <v>999999</v>
      </c>
      <c r="C1568" s="2">
        <v>206.1</v>
      </c>
      <c r="D1568" s="1">
        <v>43291</v>
      </c>
      <c r="E1568" t="str">
        <f>"271167"</f>
        <v>271167</v>
      </c>
      <c r="F1568" t="str">
        <f>"TRENCHER/GEN SVCS"</f>
        <v>TRENCHER/GEN SVCS</v>
      </c>
      <c r="G1568" s="3">
        <v>206.1</v>
      </c>
      <c r="H1568" t="str">
        <f>"TRENCHER/GEN SVCS"</f>
        <v>TRENCHER/GEN SVCS</v>
      </c>
    </row>
    <row r="1569" spans="1:8" x14ac:dyDescent="0.25">
      <c r="A1569" t="s">
        <v>516</v>
      </c>
      <c r="B1569">
        <v>999999</v>
      </c>
      <c r="C1569" s="2">
        <v>12500</v>
      </c>
      <c r="D1569" s="1">
        <v>43305</v>
      </c>
      <c r="E1569" t="str">
        <f>"201807132206"</f>
        <v>201807132206</v>
      </c>
      <c r="F1569" t="str">
        <f>"MEDICAL CONTRACT"</f>
        <v>MEDICAL CONTRACT</v>
      </c>
      <c r="G1569" s="3">
        <v>12500</v>
      </c>
      <c r="H1569" t="str">
        <f>"MEDICAL CONTRACT"</f>
        <v>MEDICAL CONTRACT</v>
      </c>
    </row>
    <row r="1570" spans="1:8" x14ac:dyDescent="0.25">
      <c r="A1570" t="s">
        <v>517</v>
      </c>
      <c r="B1570">
        <v>999999</v>
      </c>
      <c r="C1570" s="2">
        <v>15804.46</v>
      </c>
      <c r="D1570" s="1">
        <v>43305</v>
      </c>
      <c r="E1570" t="str">
        <f>"20583"</f>
        <v>20583</v>
      </c>
      <c r="F1570" t="str">
        <f>"INV 20583"</f>
        <v>INV 20583</v>
      </c>
      <c r="G1570" s="3">
        <v>15804.46</v>
      </c>
      <c r="H1570" t="str">
        <f>"INV 20583"</f>
        <v>INV 20583</v>
      </c>
    </row>
    <row r="1571" spans="1:8" x14ac:dyDescent="0.25">
      <c r="A1571" t="s">
        <v>518</v>
      </c>
      <c r="B1571">
        <v>77571</v>
      </c>
      <c r="C1571" s="2">
        <v>757.05</v>
      </c>
      <c r="D1571" s="1">
        <v>43290</v>
      </c>
      <c r="E1571" t="str">
        <f>"58425751"</f>
        <v>58425751</v>
      </c>
      <c r="F1571" t="str">
        <f>"Chair"</f>
        <v>Chair</v>
      </c>
      <c r="G1571" s="3">
        <v>757.05</v>
      </c>
      <c r="H1571" t="str">
        <f>"Chair"</f>
        <v>Chair</v>
      </c>
    </row>
    <row r="1572" spans="1:8" x14ac:dyDescent="0.25">
      <c r="A1572" t="s">
        <v>519</v>
      </c>
      <c r="B1572">
        <v>77832</v>
      </c>
      <c r="C1572" s="2">
        <v>177.35</v>
      </c>
      <c r="D1572" s="1">
        <v>43304</v>
      </c>
      <c r="E1572" t="str">
        <f>"093735433"</f>
        <v>093735433</v>
      </c>
      <c r="F1572" t="str">
        <f>"CUST#662445931/REF#VTX00000X-0"</f>
        <v>CUST#662445931/REF#VTX00000X-0</v>
      </c>
      <c r="G1572" s="3">
        <v>106.45</v>
      </c>
      <c r="H1572" t="str">
        <f>"CUST#662445931/REF#VTX00000X-0"</f>
        <v>CUST#662445931/REF#VTX00000X-0</v>
      </c>
    </row>
    <row r="1573" spans="1:8" x14ac:dyDescent="0.25">
      <c r="E1573" t="str">
        <f>"093735434"</f>
        <v>093735434</v>
      </c>
      <c r="F1573" t="str">
        <f>"CUST#662445931/REF#VTX00000X-0"</f>
        <v>CUST#662445931/REF#VTX00000X-0</v>
      </c>
      <c r="G1573" s="3">
        <v>35.450000000000003</v>
      </c>
      <c r="H1573" t="str">
        <f>"CUST#662445931/REF#VTX00000X-0"</f>
        <v>CUST#662445931/REF#VTX00000X-0</v>
      </c>
    </row>
    <row r="1574" spans="1:8" x14ac:dyDescent="0.25">
      <c r="E1574" t="str">
        <f>"093735448"</f>
        <v>093735448</v>
      </c>
      <c r="F1574" t="str">
        <f>"CUST#723230843/REF#VTX00000X-0"</f>
        <v>CUST#723230843/REF#VTX00000X-0</v>
      </c>
      <c r="G1574" s="3">
        <v>35.450000000000003</v>
      </c>
      <c r="H1574" t="str">
        <f>"CUST#723230843/REF#VTX00000X-0"</f>
        <v>CUST#723230843/REF#VTX00000X-0</v>
      </c>
    </row>
    <row r="1575" spans="1:8" x14ac:dyDescent="0.25">
      <c r="A1575" t="s">
        <v>520</v>
      </c>
      <c r="B1575">
        <v>77833</v>
      </c>
      <c r="C1575" s="2">
        <v>750</v>
      </c>
      <c r="D1575" s="1">
        <v>43304</v>
      </c>
      <c r="E1575" t="str">
        <f>"0013451"</f>
        <v>0013451</v>
      </c>
      <c r="F1575" t="str">
        <f>"TRANSLATION SVCS"</f>
        <v>TRANSLATION SVCS</v>
      </c>
      <c r="G1575" s="3">
        <v>750</v>
      </c>
      <c r="H1575" t="str">
        <f>"TRANSLATION SVCS"</f>
        <v>TRANSLATION SVCS</v>
      </c>
    </row>
    <row r="1576" spans="1:8" x14ac:dyDescent="0.25">
      <c r="A1576" t="s">
        <v>34</v>
      </c>
      <c r="B1576">
        <v>77572</v>
      </c>
      <c r="C1576" s="2">
        <v>21200</v>
      </c>
      <c r="D1576" s="1">
        <v>43290</v>
      </c>
      <c r="E1576" t="str">
        <f>"07-022018"</f>
        <v>07-022018</v>
      </c>
      <c r="F1576" t="str">
        <f>"MARJESS RD/LOW WATER CROSSING"</f>
        <v>MARJESS RD/LOW WATER CROSSING</v>
      </c>
      <c r="G1576" s="3">
        <v>21200</v>
      </c>
      <c r="H1576" t="str">
        <f>"MARJESS RD/LOW WATER CROSSING"</f>
        <v>MARJESS RD/LOW WATER CROSSING</v>
      </c>
    </row>
    <row r="1577" spans="1:8" x14ac:dyDescent="0.25">
      <c r="A1577" t="s">
        <v>62</v>
      </c>
      <c r="B1577">
        <v>77834</v>
      </c>
      <c r="C1577" s="2">
        <v>63.49</v>
      </c>
      <c r="D1577" s="1">
        <v>43304</v>
      </c>
      <c r="E1577" t="str">
        <f>"201807102010"</f>
        <v>201807102010</v>
      </c>
      <c r="F1577" t="str">
        <f>"ACCT#015397/JUVENILE BOOT CAMP"</f>
        <v>ACCT#015397/JUVENILE BOOT CAMP</v>
      </c>
      <c r="G1577" s="3">
        <v>63.49</v>
      </c>
      <c r="H1577" t="str">
        <f>"ACCT#015397/JUVENILE BOOT CAMP"</f>
        <v>ACCT#015397/JUVENILE BOOT CAMP</v>
      </c>
    </row>
    <row r="1578" spans="1:8" x14ac:dyDescent="0.25">
      <c r="A1578" t="s">
        <v>83</v>
      </c>
      <c r="B1578">
        <v>77573</v>
      </c>
      <c r="C1578" s="2">
        <v>390.52</v>
      </c>
      <c r="D1578" s="1">
        <v>43290</v>
      </c>
      <c r="E1578" t="str">
        <f>"351368 &amp; 351737"</f>
        <v>351368 &amp; 351737</v>
      </c>
      <c r="F1578" t="str">
        <f>"CUST ID:7788/OEM"</f>
        <v>CUST ID:7788/OEM</v>
      </c>
      <c r="G1578" s="3">
        <v>390.52</v>
      </c>
      <c r="H1578" t="str">
        <f>"CUST ID:7788/OEM"</f>
        <v>CUST ID:7788/OEM</v>
      </c>
    </row>
    <row r="1579" spans="1:8" x14ac:dyDescent="0.25">
      <c r="E1579" t="str">
        <f>""</f>
        <v/>
      </c>
      <c r="F1579" t="str">
        <f>""</f>
        <v/>
      </c>
      <c r="H1579" t="str">
        <f>"CUST ID:7788/OEM"</f>
        <v>CUST ID:7788/OEM</v>
      </c>
    </row>
    <row r="1580" spans="1:8" x14ac:dyDescent="0.25">
      <c r="A1580" t="s">
        <v>521</v>
      </c>
      <c r="B1580">
        <v>77835</v>
      </c>
      <c r="C1580" s="2">
        <v>60591.65</v>
      </c>
      <c r="D1580" s="1">
        <v>43304</v>
      </c>
      <c r="E1580" t="str">
        <f>"201807182353"</f>
        <v>201807182353</v>
      </c>
      <c r="F1580" t="str">
        <f>"BOOT CAMP EXPS-3RD QTR 2018"</f>
        <v>BOOT CAMP EXPS-3RD QTR 2018</v>
      </c>
      <c r="G1580" s="3">
        <v>22744.68</v>
      </c>
      <c r="H1580" t="str">
        <f>"BOOT CAMP EXPS-3RD QTR 2018"</f>
        <v>BOOT CAMP EXPS-3RD QTR 2018</v>
      </c>
    </row>
    <row r="1581" spans="1:8" x14ac:dyDescent="0.25">
      <c r="E1581" t="str">
        <f>"201807182354"</f>
        <v>201807182354</v>
      </c>
      <c r="F1581" t="str">
        <f>"BOOT CAMP EXPS-2ND QTR 2018"</f>
        <v>BOOT CAMP EXPS-2ND QTR 2018</v>
      </c>
      <c r="G1581" s="3">
        <v>24043.41</v>
      </c>
      <c r="H1581" t="str">
        <f>"BOOT CAMP EXPS-2ND QTR 2018"</f>
        <v>BOOT CAMP EXPS-2ND QTR 2018</v>
      </c>
    </row>
    <row r="1582" spans="1:8" x14ac:dyDescent="0.25">
      <c r="E1582" t="str">
        <f>"201807182355"</f>
        <v>201807182355</v>
      </c>
      <c r="F1582" t="str">
        <f>"BOOT CAMP EXPS-1ST QTR 2018"</f>
        <v>BOOT CAMP EXPS-1ST QTR 2018</v>
      </c>
      <c r="G1582" s="3">
        <v>13803.56</v>
      </c>
      <c r="H1582" t="str">
        <f>"BOOT CAMP EXPS-1ST QTR 2018"</f>
        <v>BOOT CAMP EXPS-1ST QTR 2018</v>
      </c>
    </row>
    <row r="1583" spans="1:8" x14ac:dyDescent="0.25">
      <c r="A1583" t="s">
        <v>522</v>
      </c>
      <c r="B1583">
        <v>77836</v>
      </c>
      <c r="C1583" s="2">
        <v>6662.06</v>
      </c>
      <c r="D1583" s="1">
        <v>43304</v>
      </c>
      <c r="E1583" t="str">
        <f>"201807182356"</f>
        <v>201807182356</v>
      </c>
      <c r="F1583" t="str">
        <f>"REIMBURSEMENT-HIDDEN PINES FIR"</f>
        <v>REIMBURSEMENT-HIDDEN PINES FIR</v>
      </c>
      <c r="G1583" s="3">
        <v>6662.06</v>
      </c>
      <c r="H1583" t="str">
        <f>"REIMBURSEMENT-HIDDEN PINES FIR"</f>
        <v>REIMBURSEMENT-HIDDEN PINES FIR</v>
      </c>
    </row>
    <row r="1584" spans="1:8" x14ac:dyDescent="0.25">
      <c r="A1584" t="s">
        <v>92</v>
      </c>
      <c r="B1584">
        <v>77837</v>
      </c>
      <c r="C1584" s="2">
        <v>4966.3500000000004</v>
      </c>
      <c r="D1584" s="1">
        <v>43304</v>
      </c>
      <c r="E1584" t="str">
        <f>"191 &amp; 194"</f>
        <v>191 &amp; 194</v>
      </c>
      <c r="F1584" t="str">
        <f>"Inv# 191  194"</f>
        <v>Inv# 191  194</v>
      </c>
      <c r="G1584" s="3">
        <v>4966.3500000000004</v>
      </c>
      <c r="H1584" t="str">
        <f>"Inv# 191 split"</f>
        <v>Inv# 191 split</v>
      </c>
    </row>
    <row r="1585" spans="1:8" x14ac:dyDescent="0.25">
      <c r="E1585" t="str">
        <f>""</f>
        <v/>
      </c>
      <c r="F1585" t="str">
        <f>""</f>
        <v/>
      </c>
      <c r="H1585" t="str">
        <f>"Inv# 194  Split"</f>
        <v>Inv# 194  Split</v>
      </c>
    </row>
    <row r="1586" spans="1:8" x14ac:dyDescent="0.25">
      <c r="E1586" t="str">
        <f>""</f>
        <v/>
      </c>
      <c r="F1586" t="str">
        <f>""</f>
        <v/>
      </c>
      <c r="H1586" t="str">
        <f>"Inv# 191  split"</f>
        <v>Inv# 191  split</v>
      </c>
    </row>
    <row r="1587" spans="1:8" x14ac:dyDescent="0.25">
      <c r="E1587" t="str">
        <f>""</f>
        <v/>
      </c>
      <c r="F1587" t="str">
        <f>""</f>
        <v/>
      </c>
      <c r="H1587" t="str">
        <f>"Inv# 194  split"</f>
        <v>Inv# 194  split</v>
      </c>
    </row>
    <row r="1588" spans="1:8" x14ac:dyDescent="0.25">
      <c r="A1588" t="s">
        <v>110</v>
      </c>
      <c r="B1588">
        <v>77642</v>
      </c>
      <c r="C1588" s="2">
        <v>485.49</v>
      </c>
      <c r="D1588" s="1">
        <v>43294</v>
      </c>
      <c r="E1588" t="str">
        <f>"201807132191"</f>
        <v>201807132191</v>
      </c>
      <c r="F1588" t="str">
        <f>"ACCT# 5000057374 / 07/04/2018"</f>
        <v>ACCT# 5000057374 / 07/04/2018</v>
      </c>
      <c r="G1588" s="3">
        <v>485.49</v>
      </c>
      <c r="H1588" t="str">
        <f>"ACCT# 5000057374 / 07/04/2018"</f>
        <v>ACCT# 5000057374 / 07/04/2018</v>
      </c>
    </row>
    <row r="1589" spans="1:8" x14ac:dyDescent="0.25">
      <c r="A1589" t="s">
        <v>140</v>
      </c>
      <c r="B1589">
        <v>77890</v>
      </c>
      <c r="C1589" s="2">
        <v>6740.74</v>
      </c>
      <c r="D1589" s="1">
        <v>43312</v>
      </c>
      <c r="E1589" t="str">
        <f>"201807312466"</f>
        <v>201807312466</v>
      </c>
      <c r="F1589" t="str">
        <f>"BUILDING PERMIT/FISHER BLDG"</f>
        <v>BUILDING PERMIT/FISHER BLDG</v>
      </c>
      <c r="G1589" s="3">
        <v>6740.74</v>
      </c>
      <c r="H1589" t="str">
        <f>"BUILDING PERMIT/FISHER BLDG"</f>
        <v>BUILDING PERMIT/FISHER BLDG</v>
      </c>
    </row>
    <row r="1590" spans="1:8" x14ac:dyDescent="0.25">
      <c r="A1590" t="s">
        <v>141</v>
      </c>
      <c r="B1590">
        <v>77838</v>
      </c>
      <c r="C1590" s="2">
        <v>6075</v>
      </c>
      <c r="D1590" s="1">
        <v>43304</v>
      </c>
      <c r="E1590" t="str">
        <f>"201807182358"</f>
        <v>201807182358</v>
      </c>
      <c r="F1590" t="str">
        <f>"REIMBURSEMENT-HIDDEN PINES FIR"</f>
        <v>REIMBURSEMENT-HIDDEN PINES FIR</v>
      </c>
      <c r="G1590" s="3">
        <v>6075</v>
      </c>
      <c r="H1590" t="str">
        <f>"REIMBURSEMENT-HIDDEN PINES FIR"</f>
        <v>REIMBURSEMENT-HIDDEN PINES FIR</v>
      </c>
    </row>
    <row r="1591" spans="1:8" x14ac:dyDescent="0.25">
      <c r="A1591" t="s">
        <v>171</v>
      </c>
      <c r="B1591">
        <v>77839</v>
      </c>
      <c r="C1591" s="2">
        <v>253.44</v>
      </c>
      <c r="D1591" s="1">
        <v>43304</v>
      </c>
      <c r="E1591" t="str">
        <f>"15-1195-APTF"</f>
        <v>15-1195-APTF</v>
      </c>
      <c r="F1591" t="str">
        <f>"12 YARD ROAD BASE/PCT#3"</f>
        <v>12 YARD ROAD BASE/PCT#3</v>
      </c>
      <c r="G1591" s="3">
        <v>253.44</v>
      </c>
      <c r="H1591" t="str">
        <f>"12 YARD ROAD BASE/PCT#3"</f>
        <v>12 YARD ROAD BASE/PCT#3</v>
      </c>
    </row>
    <row r="1592" spans="1:8" x14ac:dyDescent="0.25">
      <c r="A1592" t="s">
        <v>181</v>
      </c>
      <c r="B1592">
        <v>77574</v>
      </c>
      <c r="C1592" s="2">
        <v>14557.46</v>
      </c>
      <c r="D1592" s="1">
        <v>43290</v>
      </c>
      <c r="E1592" t="str">
        <f>"9401864101"</f>
        <v>9401864101</v>
      </c>
      <c r="F1592" t="str">
        <f>"ACCT#912897/BOL#22746/PCT#3"</f>
        <v>ACCT#912897/BOL#22746/PCT#3</v>
      </c>
      <c r="G1592" s="3">
        <v>14557.46</v>
      </c>
      <c r="H1592" t="str">
        <f>"ACCT#912897/BOL#22746/PCT#3"</f>
        <v>ACCT#912897/BOL#22746/PCT#3</v>
      </c>
    </row>
    <row r="1593" spans="1:8" x14ac:dyDescent="0.25">
      <c r="A1593" t="s">
        <v>523</v>
      </c>
      <c r="B1593">
        <v>0</v>
      </c>
      <c r="C1593" s="2">
        <v>343462.5</v>
      </c>
      <c r="D1593" s="1">
        <v>43290</v>
      </c>
      <c r="E1593" t="str">
        <f>"201806291765"</f>
        <v>201806291765</v>
      </c>
      <c r="F1593" t="str">
        <f>"DEBT SERVICE PMT - SERIES 2015"</f>
        <v>DEBT SERVICE PMT - SERIES 2015</v>
      </c>
      <c r="G1593" s="3">
        <v>343462.5</v>
      </c>
      <c r="H1593" t="str">
        <f>"DEBT SERVICE PMT - SERIES 2015"</f>
        <v>DEBT SERVICE PMT - SERIES 2015</v>
      </c>
    </row>
    <row r="1594" spans="1:8" x14ac:dyDescent="0.25">
      <c r="E1594" t="str">
        <f>""</f>
        <v/>
      </c>
      <c r="F1594" t="str">
        <f>""</f>
        <v/>
      </c>
      <c r="H1594" t="str">
        <f>"DEBT SERVICE PMT - SERIES 2015"</f>
        <v>DEBT SERVICE PMT - SERIES 2015</v>
      </c>
    </row>
    <row r="1595" spans="1:8" x14ac:dyDescent="0.25">
      <c r="A1595" t="s">
        <v>523</v>
      </c>
      <c r="B1595">
        <v>0</v>
      </c>
      <c r="C1595" s="2">
        <v>1117337.5</v>
      </c>
      <c r="D1595" s="1">
        <v>43304</v>
      </c>
      <c r="E1595" t="str">
        <f>"1119712"</f>
        <v>1119712</v>
      </c>
      <c r="F1595" t="str">
        <f>"DEBT SERVICE PMT - SERIES 2017"</f>
        <v>DEBT SERVICE PMT - SERIES 2017</v>
      </c>
      <c r="G1595" s="3">
        <v>139350</v>
      </c>
      <c r="H1595" t="str">
        <f>"DEBT SERVICE PMT - SERIES 2017"</f>
        <v>DEBT SERVICE PMT - SERIES 2017</v>
      </c>
    </row>
    <row r="1596" spans="1:8" x14ac:dyDescent="0.25">
      <c r="E1596" t="str">
        <f>"1119713"</f>
        <v>1119713</v>
      </c>
      <c r="F1596" t="str">
        <f>"DEBT SERVICE PMT - SERIES 2014"</f>
        <v>DEBT SERVICE PMT - SERIES 2014</v>
      </c>
      <c r="G1596" s="3">
        <v>346093.75</v>
      </c>
      <c r="H1596" t="str">
        <f>"DEBT SERVICE PMT - SERIES 2014"</f>
        <v>DEBT SERVICE PMT - SERIES 2014</v>
      </c>
    </row>
    <row r="1597" spans="1:8" x14ac:dyDescent="0.25">
      <c r="E1597" t="str">
        <f>""</f>
        <v/>
      </c>
      <c r="F1597" t="str">
        <f>""</f>
        <v/>
      </c>
      <c r="H1597" t="str">
        <f>"DEBT SERVICE PMT - SERIES 2014"</f>
        <v>DEBT SERVICE PMT - SERIES 2014</v>
      </c>
    </row>
    <row r="1598" spans="1:8" x14ac:dyDescent="0.25">
      <c r="E1598" t="str">
        <f>"5035718"</f>
        <v>5035718</v>
      </c>
      <c r="F1598" t="str">
        <f>"DEBT SERVICE PMT - SERIES 2017"</f>
        <v>DEBT SERVICE PMT - SERIES 2017</v>
      </c>
      <c r="G1598" s="3">
        <v>450</v>
      </c>
      <c r="H1598" t="str">
        <f>"DEBT SERVICE PMT - SERIES 2017"</f>
        <v>DEBT SERVICE PMT - SERIES 2017</v>
      </c>
    </row>
    <row r="1599" spans="1:8" x14ac:dyDescent="0.25">
      <c r="E1599" t="str">
        <f>"BASTROPTXR 10"</f>
        <v>BASTROPTXR 10</v>
      </c>
      <c r="F1599" t="str">
        <f>"DEBT SERVICE PMT - SERIES 2010"</f>
        <v>DEBT SERVICE PMT - SERIES 2010</v>
      </c>
      <c r="G1599" s="3">
        <v>631443.75</v>
      </c>
      <c r="H1599" t="str">
        <f>"DEBT SERVICE PMT - SERIES 2010"</f>
        <v>DEBT SERVICE PMT - SERIES 2010</v>
      </c>
    </row>
    <row r="1600" spans="1:8" x14ac:dyDescent="0.25">
      <c r="E1600" t="str">
        <f>""</f>
        <v/>
      </c>
      <c r="F1600" t="str">
        <f>""</f>
        <v/>
      </c>
      <c r="H1600" t="str">
        <f>"DEBT SERVICE PMT - SERIES 2010"</f>
        <v>DEBT SERVICE PMT - SERIES 2010</v>
      </c>
    </row>
    <row r="1601" spans="1:8" x14ac:dyDescent="0.25">
      <c r="E1601" t="str">
        <f>""</f>
        <v/>
      </c>
      <c r="F1601" t="str">
        <f>""</f>
        <v/>
      </c>
      <c r="H1601" t="str">
        <f>"DEBT SERVICE PMT - SERIES 2010"</f>
        <v>DEBT SERVICE PMT - SERIES 2010</v>
      </c>
    </row>
    <row r="1602" spans="1:8" x14ac:dyDescent="0.25">
      <c r="A1602" t="s">
        <v>231</v>
      </c>
      <c r="B1602">
        <v>77840</v>
      </c>
      <c r="C1602" s="2">
        <v>51677.55</v>
      </c>
      <c r="D1602" s="1">
        <v>43304</v>
      </c>
      <c r="E1602" t="str">
        <f>"05648459-APTF"</f>
        <v>05648459-APTF</v>
      </c>
      <c r="F1602" t="str">
        <f>"Inv# 05648459"</f>
        <v>Inv# 05648459</v>
      </c>
      <c r="G1602" s="3">
        <v>51677.55</v>
      </c>
      <c r="H1602" t="str">
        <f>"Inv Split"</f>
        <v>Inv Split</v>
      </c>
    </row>
    <row r="1603" spans="1:8" x14ac:dyDescent="0.25">
      <c r="A1603" t="s">
        <v>241</v>
      </c>
      <c r="B1603">
        <v>77841</v>
      </c>
      <c r="C1603" s="2">
        <v>67.2</v>
      </c>
      <c r="D1603" s="1">
        <v>43304</v>
      </c>
      <c r="E1603" t="str">
        <f>"201807132228"</f>
        <v>201807132228</v>
      </c>
      <c r="F1603" t="str">
        <f>"ACCT#1595/BOOT CAMP"</f>
        <v>ACCT#1595/BOOT CAMP</v>
      </c>
      <c r="G1603" s="3">
        <v>67.2</v>
      </c>
      <c r="H1603" t="str">
        <f>"ACCT#1595/BOOT CAMP"</f>
        <v>ACCT#1595/BOOT CAMP</v>
      </c>
    </row>
    <row r="1604" spans="1:8" x14ac:dyDescent="0.25">
      <c r="A1604" t="s">
        <v>249</v>
      </c>
      <c r="B1604">
        <v>77575</v>
      </c>
      <c r="C1604" s="2">
        <v>90</v>
      </c>
      <c r="D1604" s="1">
        <v>43290</v>
      </c>
      <c r="E1604" t="str">
        <f>"201807031859"</f>
        <v>201807031859</v>
      </c>
      <c r="F1604" t="str">
        <f>"REGISTRATIONS/OEM"</f>
        <v>REGISTRATIONS/OEM</v>
      </c>
      <c r="G1604" s="3">
        <v>90</v>
      </c>
      <c r="H1604" t="str">
        <f>"REGISTRATIONS/OEM"</f>
        <v>REGISTRATIONS/OEM</v>
      </c>
    </row>
    <row r="1605" spans="1:8" x14ac:dyDescent="0.25">
      <c r="A1605" t="s">
        <v>249</v>
      </c>
      <c r="B1605">
        <v>77842</v>
      </c>
      <c r="C1605" s="2">
        <v>14.5</v>
      </c>
      <c r="D1605" s="1">
        <v>43304</v>
      </c>
      <c r="E1605" t="str">
        <f>"201807112167"</f>
        <v>201807112167</v>
      </c>
      <c r="F1605" t="str">
        <f>"VEHICLE REGIST-2015 FORD/OEM"</f>
        <v>VEHICLE REGIST-2015 FORD/OEM</v>
      </c>
      <c r="G1605" s="3">
        <v>14.5</v>
      </c>
      <c r="H1605" t="str">
        <f>"VEHICLE REGIST-2015 FORD/OEM"</f>
        <v>VEHICLE REGIST-2015 FORD/OEM</v>
      </c>
    </row>
    <row r="1606" spans="1:8" x14ac:dyDescent="0.25">
      <c r="A1606" t="s">
        <v>524</v>
      </c>
      <c r="B1606">
        <v>77576</v>
      </c>
      <c r="C1606" s="2">
        <v>35</v>
      </c>
      <c r="D1606" s="1">
        <v>43290</v>
      </c>
      <c r="E1606" t="str">
        <f>"201806291767"</f>
        <v>201806291767</v>
      </c>
      <c r="F1606" t="str">
        <f>"LASER PLAQUE"</f>
        <v>LASER PLAQUE</v>
      </c>
      <c r="G1606" s="3">
        <v>35</v>
      </c>
      <c r="H1606" t="str">
        <f>"LASER PLAQUE"</f>
        <v>LASER PLAQUE</v>
      </c>
    </row>
    <row r="1607" spans="1:8" x14ac:dyDescent="0.25">
      <c r="A1607" t="s">
        <v>392</v>
      </c>
      <c r="B1607">
        <v>77843</v>
      </c>
      <c r="C1607" s="2">
        <v>120</v>
      </c>
      <c r="D1607" s="1">
        <v>43304</v>
      </c>
      <c r="E1607" t="str">
        <f>"284429 - FUND 245"</f>
        <v>284429 - FUND 245</v>
      </c>
      <c r="F1607" t="str">
        <f>"CUST ID:BASCOU/DRUG SCREEN/OEM"</f>
        <v>CUST ID:BASCOU/DRUG SCREEN/OEM</v>
      </c>
      <c r="G1607" s="3">
        <v>120</v>
      </c>
      <c r="H1607" t="str">
        <f>"CUST ID:BASCOU/DRUG SCREEN/OEM"</f>
        <v>CUST ID:BASCOU/DRUG SCREEN/OEM</v>
      </c>
    </row>
    <row r="1608" spans="1:8" x14ac:dyDescent="0.25">
      <c r="A1608" t="s">
        <v>525</v>
      </c>
      <c r="B1608">
        <v>77577</v>
      </c>
      <c r="C1608" s="2">
        <v>6450</v>
      </c>
      <c r="D1608" s="1">
        <v>43290</v>
      </c>
      <c r="E1608" t="str">
        <f>"18-033"</f>
        <v>18-033</v>
      </c>
      <c r="F1608" t="str">
        <f>"CONTRACT TOTAL-PLYWOOD"</f>
        <v>CONTRACT TOTAL-PLYWOOD</v>
      </c>
      <c r="G1608" s="3">
        <v>6450</v>
      </c>
      <c r="H1608" t="str">
        <f>"CONTRACT TOTAL-PLYWOOD"</f>
        <v>CONTRACT TOTAL-PLYWOOD</v>
      </c>
    </row>
    <row r="1609" spans="1:8" x14ac:dyDescent="0.25">
      <c r="A1609" t="s">
        <v>526</v>
      </c>
      <c r="B1609">
        <v>77844</v>
      </c>
      <c r="C1609" s="2">
        <v>3974.16</v>
      </c>
      <c r="D1609" s="1">
        <v>43304</v>
      </c>
      <c r="E1609" t="str">
        <f>"143502 &amp; 143504"</f>
        <v>143502 &amp; 143504</v>
      </c>
      <c r="F1609" t="str">
        <f>"Order#143504 &amp; 143502"</f>
        <v>Order#143504 &amp; 143502</v>
      </c>
      <c r="G1609" s="3">
        <v>3974.16</v>
      </c>
      <c r="H1609" t="str">
        <f>"Order#143504"</f>
        <v>Order#143504</v>
      </c>
    </row>
    <row r="1610" spans="1:8" x14ac:dyDescent="0.25">
      <c r="E1610" t="str">
        <f>""</f>
        <v/>
      </c>
      <c r="F1610" t="str">
        <f>""</f>
        <v/>
      </c>
      <c r="H1610" t="str">
        <f>"Order#143502"</f>
        <v>Order#143502</v>
      </c>
    </row>
    <row r="1611" spans="1:8" x14ac:dyDescent="0.25">
      <c r="E1611" t="str">
        <f>""</f>
        <v/>
      </c>
      <c r="F1611" t="str">
        <f>""</f>
        <v/>
      </c>
      <c r="H1611" t="str">
        <f>"Order#143504"</f>
        <v>Order#143504</v>
      </c>
    </row>
    <row r="1612" spans="1:8" x14ac:dyDescent="0.25">
      <c r="E1612" t="str">
        <f>""</f>
        <v/>
      </c>
      <c r="F1612" t="str">
        <f>""</f>
        <v/>
      </c>
      <c r="H1612" t="str">
        <f>"Order#143502"</f>
        <v>Order#143502</v>
      </c>
    </row>
    <row r="1613" spans="1:8" x14ac:dyDescent="0.25">
      <c r="A1613" t="s">
        <v>444</v>
      </c>
      <c r="B1613">
        <v>77845</v>
      </c>
      <c r="C1613" s="2">
        <v>44.7</v>
      </c>
      <c r="D1613" s="1">
        <v>43304</v>
      </c>
      <c r="E1613" t="str">
        <f>"388023"</f>
        <v>388023</v>
      </c>
      <c r="F1613" t="str">
        <f>"STATEMENT#28021/GEN SVCS"</f>
        <v>STATEMENT#28021/GEN SVCS</v>
      </c>
      <c r="G1613" s="3">
        <v>44.7</v>
      </c>
      <c r="H1613" t="str">
        <f>"STATEMENT#28021/GEN SVCS"</f>
        <v>STATEMENT#28021/GEN SVCS</v>
      </c>
    </row>
    <row r="1614" spans="1:8" x14ac:dyDescent="0.25">
      <c r="A1614" t="s">
        <v>28</v>
      </c>
      <c r="B1614">
        <v>77578</v>
      </c>
      <c r="C1614" s="2">
        <v>59.38</v>
      </c>
      <c r="D1614" s="1">
        <v>43290</v>
      </c>
      <c r="E1614" t="str">
        <f>"D-2018-3-0110- 245"</f>
        <v>D-2018-3-0110- 245</v>
      </c>
      <c r="F1614" t="str">
        <f>"UNEMPLOYMENT QTR END 6/30/18"</f>
        <v>UNEMPLOYMENT QTR END 6/30/18</v>
      </c>
      <c r="G1614" s="3">
        <v>41.34</v>
      </c>
      <c r="H1614" t="str">
        <f>"UNEMPLOYMENT QTR END 6/30/18"</f>
        <v>UNEMPLOYMENT QTR END 6/30/18</v>
      </c>
    </row>
    <row r="1615" spans="1:8" x14ac:dyDescent="0.25">
      <c r="E1615" t="str">
        <f>"DP-2018-1-0110-245"</f>
        <v>DP-2018-1-0110-245</v>
      </c>
      <c r="F1615" t="str">
        <f>"UNEMPLOYMENT FUND DEFICIT"</f>
        <v>UNEMPLOYMENT FUND DEFICIT</v>
      </c>
      <c r="G1615" s="3">
        <v>18.04</v>
      </c>
      <c r="H1615" t="str">
        <f>"UNEMPLOYMENT FUND DEFICIT"</f>
        <v>UNEMPLOYMENT FUND DEFICIT</v>
      </c>
    </row>
    <row r="1616" spans="1:8" x14ac:dyDescent="0.25">
      <c r="A1616" t="s">
        <v>488</v>
      </c>
      <c r="B1616">
        <v>77579</v>
      </c>
      <c r="C1616" s="2">
        <v>30.92</v>
      </c>
      <c r="D1616" s="1">
        <v>43290</v>
      </c>
      <c r="E1616" t="str">
        <f>"300467468"</f>
        <v>300467468</v>
      </c>
      <c r="F1616" t="str">
        <f>"Acct#6035301200160982"</f>
        <v>Acct#6035301200160982</v>
      </c>
      <c r="G1616" s="3">
        <v>30.92</v>
      </c>
      <c r="H1616" t="str">
        <f>"Inv# 300467468"</f>
        <v>Inv# 300467468</v>
      </c>
    </row>
    <row r="1617" spans="1:8" x14ac:dyDescent="0.25">
      <c r="E1617" t="str">
        <f>""</f>
        <v/>
      </c>
      <c r="F1617" t="str">
        <f>""</f>
        <v/>
      </c>
      <c r="H1617" t="str">
        <f>"inv# 300467468"</f>
        <v>inv# 300467468</v>
      </c>
    </row>
    <row r="1618" spans="1:8" x14ac:dyDescent="0.25">
      <c r="A1618" t="s">
        <v>496</v>
      </c>
      <c r="B1618">
        <v>77580</v>
      </c>
      <c r="C1618" s="2">
        <v>84</v>
      </c>
      <c r="D1618" s="1">
        <v>43290</v>
      </c>
      <c r="E1618" t="str">
        <f>"1053"</f>
        <v>1053</v>
      </c>
      <c r="F1618" t="str">
        <f>"DOT COMMERCIAL INSPECT/OEM"</f>
        <v>DOT COMMERCIAL INSPECT/OEM</v>
      </c>
      <c r="G1618" s="3">
        <v>84</v>
      </c>
      <c r="H1618" t="str">
        <f>"DOT COMMERCIAL INSPECT/OEM"</f>
        <v>DOT COMMERCIAL INSPECT/OEM</v>
      </c>
    </row>
    <row r="1619" spans="1:8" x14ac:dyDescent="0.25">
      <c r="A1619" t="s">
        <v>509</v>
      </c>
      <c r="B1619">
        <v>77581</v>
      </c>
      <c r="C1619" s="2">
        <v>31.15</v>
      </c>
      <c r="D1619" s="1">
        <v>43290</v>
      </c>
      <c r="E1619" t="str">
        <f>"006780  007973"</f>
        <v>006780  007973</v>
      </c>
      <c r="F1619" t="str">
        <f>"Acct# 6032202005312476"</f>
        <v>Acct# 6032202005312476</v>
      </c>
      <c r="G1619" s="3">
        <v>31.15</v>
      </c>
      <c r="H1619" t="str">
        <f>"Inv# 006780"</f>
        <v>Inv# 006780</v>
      </c>
    </row>
    <row r="1620" spans="1:8" x14ac:dyDescent="0.25">
      <c r="E1620" t="str">
        <f>""</f>
        <v/>
      </c>
      <c r="F1620" t="str">
        <f>""</f>
        <v/>
      </c>
      <c r="H1620" t="str">
        <f>"Inv# 007973"</f>
        <v>Inv# 007973</v>
      </c>
    </row>
    <row r="1621" spans="1:8" x14ac:dyDescent="0.25">
      <c r="A1621" t="s">
        <v>515</v>
      </c>
      <c r="B1621">
        <v>77846</v>
      </c>
      <c r="C1621" s="2">
        <v>809.24</v>
      </c>
      <c r="D1621" s="1">
        <v>43304</v>
      </c>
      <c r="E1621" t="str">
        <f>"276389"</f>
        <v>276389</v>
      </c>
      <c r="F1621" t="str">
        <f>"SCISSOR LIFT/GEN SVCS"</f>
        <v>SCISSOR LIFT/GEN SVCS</v>
      </c>
      <c r="G1621" s="3">
        <v>706.19</v>
      </c>
      <c r="H1621" t="str">
        <f>"SCISSOR LIFT/GEN SVCS"</f>
        <v>SCISSOR LIFT/GEN SVCS</v>
      </c>
    </row>
    <row r="1622" spans="1:8" x14ac:dyDescent="0.25">
      <c r="E1622" t="str">
        <f>"276683"</f>
        <v>276683</v>
      </c>
      <c r="F1622" t="str">
        <f>"GENERATOR-CEDAR CREEK PARK"</f>
        <v>GENERATOR-CEDAR CREEK PARK</v>
      </c>
      <c r="G1622" s="3">
        <v>103.05</v>
      </c>
      <c r="H1622" t="str">
        <f>"GENERATOR-CEDAR CREEK PARK"</f>
        <v>GENERATOR-CEDAR CREEK PARK</v>
      </c>
    </row>
    <row r="1623" spans="1:8" x14ac:dyDescent="0.25">
      <c r="A1623" t="s">
        <v>527</v>
      </c>
      <c r="B1623">
        <v>0</v>
      </c>
      <c r="C1623" s="2">
        <v>7014.12</v>
      </c>
      <c r="D1623" s="1">
        <v>43312</v>
      </c>
      <c r="E1623" t="str">
        <f>"201807312424"</f>
        <v>201807312424</v>
      </c>
      <c r="F1623" t="str">
        <f>"ROUNDING JULY'18"</f>
        <v>ROUNDING JULY'18</v>
      </c>
      <c r="G1623" s="3">
        <v>0.04</v>
      </c>
      <c r="H1623" t="str">
        <f>"ROUNDING JULY'18"</f>
        <v>ROUNDING JULY'18</v>
      </c>
    </row>
    <row r="1624" spans="1:8" x14ac:dyDescent="0.25">
      <c r="E1624" t="str">
        <f>"AS 201807112168"</f>
        <v>AS 201807112168</v>
      </c>
      <c r="F1624" t="str">
        <f t="shared" ref="F1624:F1637" si="15">"ALLSTATE"</f>
        <v>ALLSTATE</v>
      </c>
      <c r="G1624" s="3">
        <v>681.45</v>
      </c>
      <c r="H1624" t="str">
        <f t="shared" ref="H1624:H1637" si="16">"ALLSTATE"</f>
        <v>ALLSTATE</v>
      </c>
    </row>
    <row r="1625" spans="1:8" x14ac:dyDescent="0.25">
      <c r="E1625" t="str">
        <f>"AS 201807112169"</f>
        <v>AS 201807112169</v>
      </c>
      <c r="F1625" t="str">
        <f t="shared" si="15"/>
        <v>ALLSTATE</v>
      </c>
      <c r="G1625" s="3">
        <v>36.14</v>
      </c>
      <c r="H1625" t="str">
        <f t="shared" si="16"/>
        <v>ALLSTATE</v>
      </c>
    </row>
    <row r="1626" spans="1:8" x14ac:dyDescent="0.25">
      <c r="E1626" t="str">
        <f>"AS 201807252397"</f>
        <v>AS 201807252397</v>
      </c>
      <c r="F1626" t="str">
        <f t="shared" si="15"/>
        <v>ALLSTATE</v>
      </c>
      <c r="G1626" s="3">
        <v>654.30999999999995</v>
      </c>
      <c r="H1626" t="str">
        <f t="shared" si="16"/>
        <v>ALLSTATE</v>
      </c>
    </row>
    <row r="1627" spans="1:8" x14ac:dyDescent="0.25">
      <c r="E1627" t="str">
        <f>"AS 201807252398"</f>
        <v>AS 201807252398</v>
      </c>
      <c r="F1627" t="str">
        <f t="shared" si="15"/>
        <v>ALLSTATE</v>
      </c>
      <c r="G1627" s="3">
        <v>36.14</v>
      </c>
      <c r="H1627" t="str">
        <f t="shared" si="16"/>
        <v>ALLSTATE</v>
      </c>
    </row>
    <row r="1628" spans="1:8" x14ac:dyDescent="0.25">
      <c r="E1628" t="str">
        <f>"ASD201807112168"</f>
        <v>ASD201807112168</v>
      </c>
      <c r="F1628" t="str">
        <f t="shared" si="15"/>
        <v>ALLSTATE</v>
      </c>
      <c r="G1628" s="3">
        <v>228.95</v>
      </c>
      <c r="H1628" t="str">
        <f t="shared" si="16"/>
        <v>ALLSTATE</v>
      </c>
    </row>
    <row r="1629" spans="1:8" x14ac:dyDescent="0.25">
      <c r="E1629" t="str">
        <f>"ASD201807252397"</f>
        <v>ASD201807252397</v>
      </c>
      <c r="F1629" t="str">
        <f t="shared" si="15"/>
        <v>ALLSTATE</v>
      </c>
      <c r="G1629" s="3">
        <v>228.95</v>
      </c>
      <c r="H1629" t="str">
        <f t="shared" si="16"/>
        <v>ALLSTATE</v>
      </c>
    </row>
    <row r="1630" spans="1:8" x14ac:dyDescent="0.25">
      <c r="E1630" t="str">
        <f>"ASI201807112168"</f>
        <v>ASI201807112168</v>
      </c>
      <c r="F1630" t="str">
        <f t="shared" si="15"/>
        <v>ALLSTATE</v>
      </c>
      <c r="G1630" s="3">
        <v>834.95</v>
      </c>
      <c r="H1630" t="str">
        <f t="shared" si="16"/>
        <v>ALLSTATE</v>
      </c>
    </row>
    <row r="1631" spans="1:8" x14ac:dyDescent="0.25">
      <c r="E1631" t="str">
        <f>"ASI201807112169"</f>
        <v>ASI201807112169</v>
      </c>
      <c r="F1631" t="str">
        <f t="shared" si="15"/>
        <v>ALLSTATE</v>
      </c>
      <c r="G1631" s="3">
        <v>100.63</v>
      </c>
      <c r="H1631" t="str">
        <f t="shared" si="16"/>
        <v>ALLSTATE</v>
      </c>
    </row>
    <row r="1632" spans="1:8" x14ac:dyDescent="0.25">
      <c r="E1632" t="str">
        <f>"ASI201807252397"</f>
        <v>ASI201807252397</v>
      </c>
      <c r="F1632" t="str">
        <f t="shared" si="15"/>
        <v>ALLSTATE</v>
      </c>
      <c r="G1632" s="3">
        <v>834.95</v>
      </c>
      <c r="H1632" t="str">
        <f t="shared" si="16"/>
        <v>ALLSTATE</v>
      </c>
    </row>
    <row r="1633" spans="1:8" x14ac:dyDescent="0.25">
      <c r="E1633" t="str">
        <f>"ASI201807252398"</f>
        <v>ASI201807252398</v>
      </c>
      <c r="F1633" t="str">
        <f t="shared" si="15"/>
        <v>ALLSTATE</v>
      </c>
      <c r="G1633" s="3">
        <v>100.63</v>
      </c>
      <c r="H1633" t="str">
        <f t="shared" si="16"/>
        <v>ALLSTATE</v>
      </c>
    </row>
    <row r="1634" spans="1:8" x14ac:dyDescent="0.25">
      <c r="E1634" t="str">
        <f>"AST201807112168"</f>
        <v>AST201807112168</v>
      </c>
      <c r="F1634" t="str">
        <f t="shared" si="15"/>
        <v>ALLSTATE</v>
      </c>
      <c r="G1634" s="3">
        <v>1595.89</v>
      </c>
      <c r="H1634" t="str">
        <f t="shared" si="16"/>
        <v>ALLSTATE</v>
      </c>
    </row>
    <row r="1635" spans="1:8" x14ac:dyDescent="0.25">
      <c r="E1635" t="str">
        <f>"AST201807112169"</f>
        <v>AST201807112169</v>
      </c>
      <c r="F1635" t="str">
        <f t="shared" si="15"/>
        <v>ALLSTATE</v>
      </c>
      <c r="G1635" s="3">
        <v>53.83</v>
      </c>
      <c r="H1635" t="str">
        <f t="shared" si="16"/>
        <v>ALLSTATE</v>
      </c>
    </row>
    <row r="1636" spans="1:8" x14ac:dyDescent="0.25">
      <c r="E1636" t="str">
        <f>"AST201807252397"</f>
        <v>AST201807252397</v>
      </c>
      <c r="F1636" t="str">
        <f t="shared" si="15"/>
        <v>ALLSTATE</v>
      </c>
      <c r="G1636" s="3">
        <v>1573.43</v>
      </c>
      <c r="H1636" t="str">
        <f t="shared" si="16"/>
        <v>ALLSTATE</v>
      </c>
    </row>
    <row r="1637" spans="1:8" x14ac:dyDescent="0.25">
      <c r="E1637" t="str">
        <f>"AST201807252398"</f>
        <v>AST201807252398</v>
      </c>
      <c r="F1637" t="str">
        <f t="shared" si="15"/>
        <v>ALLSTATE</v>
      </c>
      <c r="G1637" s="3">
        <v>53.83</v>
      </c>
      <c r="H1637" t="str">
        <f t="shared" si="16"/>
        <v>ALLSTATE</v>
      </c>
    </row>
    <row r="1638" spans="1:8" x14ac:dyDescent="0.25">
      <c r="A1638" t="s">
        <v>528</v>
      </c>
      <c r="B1638">
        <v>0</v>
      </c>
      <c r="C1638" s="2">
        <v>3152.6</v>
      </c>
      <c r="D1638" s="1">
        <v>43294</v>
      </c>
      <c r="E1638" t="str">
        <f>"DDP201807112170"</f>
        <v>DDP201807112170</v>
      </c>
      <c r="F1638" t="str">
        <f>"AP - TEXAS DISCOUNT DENTAL"</f>
        <v>AP - TEXAS DISCOUNT DENTAL</v>
      </c>
      <c r="G1638" s="3">
        <v>5.4</v>
      </c>
      <c r="H1638" t="str">
        <f>"AP - TEXAS DISCOUNT DENTAL"</f>
        <v>AP - TEXAS DISCOUNT DENTAL</v>
      </c>
    </row>
    <row r="1639" spans="1:8" x14ac:dyDescent="0.25">
      <c r="E1639" t="str">
        <f>"DHM201807112170"</f>
        <v>DHM201807112170</v>
      </c>
      <c r="F1639" t="str">
        <f>"AP - DENTAL HMO"</f>
        <v>AP - DENTAL HMO</v>
      </c>
      <c r="G1639" s="3">
        <v>30.7</v>
      </c>
      <c r="H1639" t="str">
        <f>"AP - DENTAL HMO"</f>
        <v>AP - DENTAL HMO</v>
      </c>
    </row>
    <row r="1640" spans="1:8" x14ac:dyDescent="0.25">
      <c r="E1640" t="str">
        <f>"DTX201807112170"</f>
        <v>DTX201807112170</v>
      </c>
      <c r="F1640" t="str">
        <f>"AP - TEXAS DENTAL"</f>
        <v>AP - TEXAS DENTAL</v>
      </c>
      <c r="G1640" s="3">
        <v>397.64</v>
      </c>
      <c r="H1640" t="str">
        <f>"AP - TEXAS DENTAL"</f>
        <v>AP - TEXAS DENTAL</v>
      </c>
    </row>
    <row r="1641" spans="1:8" x14ac:dyDescent="0.25">
      <c r="E1641" t="str">
        <f>"FD 201807112170"</f>
        <v>FD 201807112170</v>
      </c>
      <c r="F1641" t="str">
        <f>"AP - FT DEARBORN PRE-TAX"</f>
        <v>AP - FT DEARBORN PRE-TAX</v>
      </c>
      <c r="G1641" s="3">
        <v>219.47</v>
      </c>
      <c r="H1641" t="str">
        <f>"AP - FT DEARBORN PRE-TAX"</f>
        <v>AP - FT DEARBORN PRE-TAX</v>
      </c>
    </row>
    <row r="1642" spans="1:8" x14ac:dyDescent="0.25">
      <c r="E1642" t="str">
        <f>"FDT201807112170"</f>
        <v>FDT201807112170</v>
      </c>
      <c r="F1642" t="str">
        <f>"AP - FT DEARBORN AFTER TAX"</f>
        <v>AP - FT DEARBORN AFTER TAX</v>
      </c>
      <c r="G1642" s="3">
        <v>91.02</v>
      </c>
      <c r="H1642" t="str">
        <f>"AP - FT DEARBORN AFTER TAX"</f>
        <v>AP - FT DEARBORN AFTER TAX</v>
      </c>
    </row>
    <row r="1643" spans="1:8" x14ac:dyDescent="0.25">
      <c r="E1643" t="str">
        <f>"FLX201807112170"</f>
        <v>FLX201807112170</v>
      </c>
      <c r="F1643" t="str">
        <f>"AP - TEX FLEX"</f>
        <v>AP - TEX FLEX</v>
      </c>
      <c r="G1643" s="3">
        <v>312</v>
      </c>
      <c r="H1643" t="str">
        <f>"AP - TEX FLEX"</f>
        <v>AP - TEX FLEX</v>
      </c>
    </row>
    <row r="1644" spans="1:8" x14ac:dyDescent="0.25">
      <c r="E1644" t="str">
        <f>"MHS201807112170"</f>
        <v>MHS201807112170</v>
      </c>
      <c r="F1644" t="str">
        <f>"AP - HEALTH SELECT MEDICAL"</f>
        <v>AP - HEALTH SELECT MEDICAL</v>
      </c>
      <c r="G1644" s="3">
        <v>1787.8</v>
      </c>
      <c r="H1644" t="str">
        <f>"AP - HEALTH SELECT MEDICAL"</f>
        <v>AP - HEALTH SELECT MEDICAL</v>
      </c>
    </row>
    <row r="1645" spans="1:8" x14ac:dyDescent="0.25">
      <c r="E1645" t="str">
        <f>"MSW201807112170"</f>
        <v>MSW201807112170</v>
      </c>
      <c r="F1645" t="str">
        <f>"AP - SCOTT &amp; WHITE MEDICAL"</f>
        <v>AP - SCOTT &amp; WHITE MEDICAL</v>
      </c>
      <c r="G1645" s="3">
        <v>291.82</v>
      </c>
      <c r="H1645" t="str">
        <f>"AP - SCOTT &amp; WHITE MEDICAL"</f>
        <v>AP - SCOTT &amp; WHITE MEDICAL</v>
      </c>
    </row>
    <row r="1646" spans="1:8" x14ac:dyDescent="0.25">
      <c r="E1646" t="str">
        <f>"SPE201807112170"</f>
        <v>SPE201807112170</v>
      </c>
      <c r="F1646" t="str">
        <f>"AP - STATE VISION"</f>
        <v>AP - STATE VISION</v>
      </c>
      <c r="G1646" s="3">
        <v>16.75</v>
      </c>
      <c r="H1646" t="str">
        <f>"AP - STATE VISION"</f>
        <v>AP - STATE VISION</v>
      </c>
    </row>
    <row r="1647" spans="1:8" x14ac:dyDescent="0.25">
      <c r="A1647" t="s">
        <v>528</v>
      </c>
      <c r="B1647">
        <v>0</v>
      </c>
      <c r="C1647" s="2">
        <v>2899.66</v>
      </c>
      <c r="D1647" s="1">
        <v>43308</v>
      </c>
      <c r="E1647" t="str">
        <f>"DHM201807252399"</f>
        <v>DHM201807252399</v>
      </c>
      <c r="F1647" t="str">
        <f>"AP - DENTAL HMO"</f>
        <v>AP - DENTAL HMO</v>
      </c>
      <c r="G1647" s="3">
        <v>30.7</v>
      </c>
      <c r="H1647" t="str">
        <f>"AP - DENTAL HMO"</f>
        <v>AP - DENTAL HMO</v>
      </c>
    </row>
    <row r="1648" spans="1:8" x14ac:dyDescent="0.25">
      <c r="E1648" t="str">
        <f>"DTX201807252399"</f>
        <v>DTX201807252399</v>
      </c>
      <c r="F1648" t="str">
        <f>"AP - TEXAS DENTAL"</f>
        <v>AP - TEXAS DENTAL</v>
      </c>
      <c r="G1648" s="3">
        <v>397.64</v>
      </c>
      <c r="H1648" t="str">
        <f>"AP - TEXAS DENTAL"</f>
        <v>AP - TEXAS DENTAL</v>
      </c>
    </row>
    <row r="1649" spans="1:8" x14ac:dyDescent="0.25">
      <c r="E1649" t="str">
        <f>"FD 201807252399"</f>
        <v>FD 201807252399</v>
      </c>
      <c r="F1649" t="str">
        <f>"AP - FT DEARBORN PRE-TAX"</f>
        <v>AP - FT DEARBORN PRE-TAX</v>
      </c>
      <c r="G1649" s="3">
        <v>219.47</v>
      </c>
      <c r="H1649" t="str">
        <f>"AP - FT DEARBORN PRE-TAX"</f>
        <v>AP - FT DEARBORN PRE-TAX</v>
      </c>
    </row>
    <row r="1650" spans="1:8" x14ac:dyDescent="0.25">
      <c r="E1650" t="str">
        <f>"FDT201807252399"</f>
        <v>FDT201807252399</v>
      </c>
      <c r="F1650" t="str">
        <f>"AP - FT DEARBORN AFTER TAX"</f>
        <v>AP - FT DEARBORN AFTER TAX</v>
      </c>
      <c r="G1650" s="3">
        <v>82.06</v>
      </c>
      <c r="H1650" t="str">
        <f>"AP - FT DEARBORN AFTER TAX"</f>
        <v>AP - FT DEARBORN AFTER TAX</v>
      </c>
    </row>
    <row r="1651" spans="1:8" x14ac:dyDescent="0.25">
      <c r="E1651" t="str">
        <f>"FLX201807252399"</f>
        <v>FLX201807252399</v>
      </c>
      <c r="F1651" t="str">
        <f>"AP - TEX FLEX"</f>
        <v>AP - TEX FLEX</v>
      </c>
      <c r="G1651" s="3">
        <v>312</v>
      </c>
      <c r="H1651" t="str">
        <f>"AP - TEX FLEX"</f>
        <v>AP - TEX FLEX</v>
      </c>
    </row>
    <row r="1652" spans="1:8" x14ac:dyDescent="0.25">
      <c r="E1652" t="str">
        <f>"MHS201807252399"</f>
        <v>MHS201807252399</v>
      </c>
      <c r="F1652" t="str">
        <f>"AP - HEALTH SELECT MEDICAL"</f>
        <v>AP - HEALTH SELECT MEDICAL</v>
      </c>
      <c r="G1652" s="3">
        <v>1549.22</v>
      </c>
      <c r="H1652" t="str">
        <f>"AP - HEALTH SELECT MEDICAL"</f>
        <v>AP - HEALTH SELECT MEDICAL</v>
      </c>
    </row>
    <row r="1653" spans="1:8" x14ac:dyDescent="0.25">
      <c r="E1653" t="str">
        <f>"MSW201807252399"</f>
        <v>MSW201807252399</v>
      </c>
      <c r="F1653" t="str">
        <f>"AP - SCOTT &amp; WHITE MEDICAL"</f>
        <v>AP - SCOTT &amp; WHITE MEDICAL</v>
      </c>
      <c r="G1653" s="3">
        <v>291.82</v>
      </c>
      <c r="H1653" t="str">
        <f>"AP - SCOTT &amp; WHITE MEDICAL"</f>
        <v>AP - SCOTT &amp; WHITE MEDICAL</v>
      </c>
    </row>
    <row r="1654" spans="1:8" x14ac:dyDescent="0.25">
      <c r="E1654" t="str">
        <f>"SPE201807252399"</f>
        <v>SPE201807252399</v>
      </c>
      <c r="F1654" t="str">
        <f>"AP - STATE VISION"</f>
        <v>AP - STATE VISION</v>
      </c>
      <c r="G1654" s="3">
        <v>16.75</v>
      </c>
      <c r="H1654" t="str">
        <f>"AP - STATE VISION"</f>
        <v>AP - STATE VISION</v>
      </c>
    </row>
    <row r="1655" spans="1:8" x14ac:dyDescent="0.25">
      <c r="A1655" t="s">
        <v>529</v>
      </c>
      <c r="B1655">
        <v>0</v>
      </c>
      <c r="C1655" s="2">
        <v>4914.9399999999996</v>
      </c>
      <c r="D1655" s="1">
        <v>43312</v>
      </c>
      <c r="E1655" t="str">
        <f>"201807312426"</f>
        <v>201807312426</v>
      </c>
      <c r="F1655" t="str">
        <f>"ROUNDING JULY 2018"</f>
        <v>ROUNDING JULY 2018</v>
      </c>
      <c r="G1655" s="3">
        <v>-0.12</v>
      </c>
      <c r="H1655" t="str">
        <f>"ROUNDING JULY 2018"</f>
        <v>ROUNDING JULY 2018</v>
      </c>
    </row>
    <row r="1656" spans="1:8" x14ac:dyDescent="0.25">
      <c r="E1656" t="str">
        <f>"CL 201807112168"</f>
        <v>CL 201807112168</v>
      </c>
      <c r="F1656" t="str">
        <f t="shared" ref="F1656:F1677" si="17">"COLONIAL"</f>
        <v>COLONIAL</v>
      </c>
      <c r="G1656" s="3">
        <v>769.59</v>
      </c>
      <c r="H1656" t="str">
        <f t="shared" ref="H1656:H1677" si="18">"COLONIAL"</f>
        <v>COLONIAL</v>
      </c>
    </row>
    <row r="1657" spans="1:8" x14ac:dyDescent="0.25">
      <c r="E1657" t="str">
        <f>"CL 201807112169"</f>
        <v>CL 201807112169</v>
      </c>
      <c r="F1657" t="str">
        <f t="shared" si="17"/>
        <v>COLONIAL</v>
      </c>
      <c r="G1657" s="3">
        <v>14.49</v>
      </c>
      <c r="H1657" t="str">
        <f t="shared" si="18"/>
        <v>COLONIAL</v>
      </c>
    </row>
    <row r="1658" spans="1:8" x14ac:dyDescent="0.25">
      <c r="E1658" t="str">
        <f>"CL 201807252397"</f>
        <v>CL 201807252397</v>
      </c>
      <c r="F1658" t="str">
        <f t="shared" si="17"/>
        <v>COLONIAL</v>
      </c>
      <c r="G1658" s="3">
        <v>769.59</v>
      </c>
      <c r="H1658" t="str">
        <f t="shared" si="18"/>
        <v>COLONIAL</v>
      </c>
    </row>
    <row r="1659" spans="1:8" x14ac:dyDescent="0.25">
      <c r="E1659" t="str">
        <f>"CL 201807252398"</f>
        <v>CL 201807252398</v>
      </c>
      <c r="F1659" t="str">
        <f t="shared" si="17"/>
        <v>COLONIAL</v>
      </c>
      <c r="G1659" s="3">
        <v>14.49</v>
      </c>
      <c r="H1659" t="str">
        <f t="shared" si="18"/>
        <v>COLONIAL</v>
      </c>
    </row>
    <row r="1660" spans="1:8" x14ac:dyDescent="0.25">
      <c r="E1660" t="str">
        <f>"CLC201807112168"</f>
        <v>CLC201807112168</v>
      </c>
      <c r="F1660" t="str">
        <f t="shared" si="17"/>
        <v>COLONIAL</v>
      </c>
      <c r="G1660" s="3">
        <v>33.99</v>
      </c>
      <c r="H1660" t="str">
        <f t="shared" si="18"/>
        <v>COLONIAL</v>
      </c>
    </row>
    <row r="1661" spans="1:8" x14ac:dyDescent="0.25">
      <c r="E1661" t="str">
        <f>"CLC201807252397"</f>
        <v>CLC201807252397</v>
      </c>
      <c r="F1661" t="str">
        <f t="shared" si="17"/>
        <v>COLONIAL</v>
      </c>
      <c r="G1661" s="3">
        <v>33.99</v>
      </c>
      <c r="H1661" t="str">
        <f t="shared" si="18"/>
        <v>COLONIAL</v>
      </c>
    </row>
    <row r="1662" spans="1:8" x14ac:dyDescent="0.25">
      <c r="E1662" t="str">
        <f>"CLI201807112168"</f>
        <v>CLI201807112168</v>
      </c>
      <c r="F1662" t="str">
        <f t="shared" si="17"/>
        <v>COLONIAL</v>
      </c>
      <c r="G1662" s="3">
        <v>623.4</v>
      </c>
      <c r="H1662" t="str">
        <f t="shared" si="18"/>
        <v>COLONIAL</v>
      </c>
    </row>
    <row r="1663" spans="1:8" x14ac:dyDescent="0.25">
      <c r="E1663" t="str">
        <f>"CLI201807112169"</f>
        <v>CLI201807112169</v>
      </c>
      <c r="F1663" t="str">
        <f t="shared" si="17"/>
        <v>COLONIAL</v>
      </c>
      <c r="G1663" s="3">
        <v>17.53</v>
      </c>
      <c r="H1663" t="str">
        <f t="shared" si="18"/>
        <v>COLONIAL</v>
      </c>
    </row>
    <row r="1664" spans="1:8" x14ac:dyDescent="0.25">
      <c r="E1664" t="str">
        <f>"CLI201807252397"</f>
        <v>CLI201807252397</v>
      </c>
      <c r="F1664" t="str">
        <f t="shared" si="17"/>
        <v>COLONIAL</v>
      </c>
      <c r="G1664" s="3">
        <v>623.4</v>
      </c>
      <c r="H1664" t="str">
        <f t="shared" si="18"/>
        <v>COLONIAL</v>
      </c>
    </row>
    <row r="1665" spans="1:8" x14ac:dyDescent="0.25">
      <c r="E1665" t="str">
        <f>"CLI201807252398"</f>
        <v>CLI201807252398</v>
      </c>
      <c r="F1665" t="str">
        <f t="shared" si="17"/>
        <v>COLONIAL</v>
      </c>
      <c r="G1665" s="3">
        <v>17.53</v>
      </c>
      <c r="H1665" t="str">
        <f t="shared" si="18"/>
        <v>COLONIAL</v>
      </c>
    </row>
    <row r="1666" spans="1:8" x14ac:dyDescent="0.25">
      <c r="E1666" t="str">
        <f>"CLK201807112168"</f>
        <v>CLK201807112168</v>
      </c>
      <c r="F1666" t="str">
        <f t="shared" si="17"/>
        <v>COLONIAL</v>
      </c>
      <c r="G1666" s="3">
        <v>27.09</v>
      </c>
      <c r="H1666" t="str">
        <f t="shared" si="18"/>
        <v>COLONIAL</v>
      </c>
    </row>
    <row r="1667" spans="1:8" x14ac:dyDescent="0.25">
      <c r="E1667" t="str">
        <f>"CLK201807252397"</f>
        <v>CLK201807252397</v>
      </c>
      <c r="F1667" t="str">
        <f t="shared" si="17"/>
        <v>COLONIAL</v>
      </c>
      <c r="G1667" s="3">
        <v>27.09</v>
      </c>
      <c r="H1667" t="str">
        <f t="shared" si="18"/>
        <v>COLONIAL</v>
      </c>
    </row>
    <row r="1668" spans="1:8" x14ac:dyDescent="0.25">
      <c r="E1668" t="str">
        <f>"CLS201807112168"</f>
        <v>CLS201807112168</v>
      </c>
      <c r="F1668" t="str">
        <f t="shared" si="17"/>
        <v>COLONIAL</v>
      </c>
      <c r="G1668" s="3">
        <v>419.16</v>
      </c>
      <c r="H1668" t="str">
        <f t="shared" si="18"/>
        <v>COLONIAL</v>
      </c>
    </row>
    <row r="1669" spans="1:8" x14ac:dyDescent="0.25">
      <c r="E1669" t="str">
        <f>"CLS201807112169"</f>
        <v>CLS201807112169</v>
      </c>
      <c r="F1669" t="str">
        <f t="shared" si="17"/>
        <v>COLONIAL</v>
      </c>
      <c r="G1669" s="3">
        <v>12.84</v>
      </c>
      <c r="H1669" t="str">
        <f t="shared" si="18"/>
        <v>COLONIAL</v>
      </c>
    </row>
    <row r="1670" spans="1:8" x14ac:dyDescent="0.25">
      <c r="E1670" t="str">
        <f>"CLS201807252397"</f>
        <v>CLS201807252397</v>
      </c>
      <c r="F1670" t="str">
        <f t="shared" si="17"/>
        <v>COLONIAL</v>
      </c>
      <c r="G1670" s="3">
        <v>419.16</v>
      </c>
      <c r="H1670" t="str">
        <f t="shared" si="18"/>
        <v>COLONIAL</v>
      </c>
    </row>
    <row r="1671" spans="1:8" x14ac:dyDescent="0.25">
      <c r="E1671" t="str">
        <f>"CLS201807252398"</f>
        <v>CLS201807252398</v>
      </c>
      <c r="F1671" t="str">
        <f t="shared" si="17"/>
        <v>COLONIAL</v>
      </c>
      <c r="G1671" s="3">
        <v>12.84</v>
      </c>
      <c r="H1671" t="str">
        <f t="shared" si="18"/>
        <v>COLONIAL</v>
      </c>
    </row>
    <row r="1672" spans="1:8" x14ac:dyDescent="0.25">
      <c r="E1672" t="str">
        <f>"CLT201807112168"</f>
        <v>CLT201807112168</v>
      </c>
      <c r="F1672" t="str">
        <f t="shared" si="17"/>
        <v>COLONIAL</v>
      </c>
      <c r="G1672" s="3">
        <v>332.36</v>
      </c>
      <c r="H1672" t="str">
        <f t="shared" si="18"/>
        <v>COLONIAL</v>
      </c>
    </row>
    <row r="1673" spans="1:8" x14ac:dyDescent="0.25">
      <c r="E1673" t="str">
        <f>"CLT201807252397"</f>
        <v>CLT201807252397</v>
      </c>
      <c r="F1673" t="str">
        <f t="shared" si="17"/>
        <v>COLONIAL</v>
      </c>
      <c r="G1673" s="3">
        <v>332.36</v>
      </c>
      <c r="H1673" t="str">
        <f t="shared" si="18"/>
        <v>COLONIAL</v>
      </c>
    </row>
    <row r="1674" spans="1:8" x14ac:dyDescent="0.25">
      <c r="E1674" t="str">
        <f>"CLU201807112168"</f>
        <v>CLU201807112168</v>
      </c>
      <c r="F1674" t="str">
        <f t="shared" si="17"/>
        <v>COLONIAL</v>
      </c>
      <c r="G1674" s="3">
        <v>149.02000000000001</v>
      </c>
      <c r="H1674" t="str">
        <f t="shared" si="18"/>
        <v>COLONIAL</v>
      </c>
    </row>
    <row r="1675" spans="1:8" x14ac:dyDescent="0.25">
      <c r="E1675" t="str">
        <f>"CLU201807252397"</f>
        <v>CLU201807252397</v>
      </c>
      <c r="F1675" t="str">
        <f t="shared" si="17"/>
        <v>COLONIAL</v>
      </c>
      <c r="G1675" s="3">
        <v>149.02000000000001</v>
      </c>
      <c r="H1675" t="str">
        <f t="shared" si="18"/>
        <v>COLONIAL</v>
      </c>
    </row>
    <row r="1676" spans="1:8" x14ac:dyDescent="0.25">
      <c r="E1676" t="str">
        <f>"CLW201807112168"</f>
        <v>CLW201807112168</v>
      </c>
      <c r="F1676" t="str">
        <f t="shared" si="17"/>
        <v>COLONIAL</v>
      </c>
      <c r="G1676" s="3">
        <v>58.06</v>
      </c>
      <c r="H1676" t="str">
        <f t="shared" si="18"/>
        <v>COLONIAL</v>
      </c>
    </row>
    <row r="1677" spans="1:8" x14ac:dyDescent="0.25">
      <c r="E1677" t="str">
        <f>"CLW201807252397"</f>
        <v>CLW201807252397</v>
      </c>
      <c r="F1677" t="str">
        <f t="shared" si="17"/>
        <v>COLONIAL</v>
      </c>
      <c r="G1677" s="3">
        <v>58.06</v>
      </c>
      <c r="H1677" t="str">
        <f t="shared" si="18"/>
        <v>COLONIAL</v>
      </c>
    </row>
    <row r="1678" spans="1:8" x14ac:dyDescent="0.25">
      <c r="A1678" t="s">
        <v>530</v>
      </c>
      <c r="B1678">
        <v>0</v>
      </c>
      <c r="C1678" s="2">
        <v>7687.75</v>
      </c>
      <c r="D1678" s="1">
        <v>43294</v>
      </c>
      <c r="E1678" t="str">
        <f>"CPI201807112168"</f>
        <v>CPI201807112168</v>
      </c>
      <c r="F1678" t="str">
        <f>"DEFERRED COMP 457B PAYABLE"</f>
        <v>DEFERRED COMP 457B PAYABLE</v>
      </c>
      <c r="G1678" s="3">
        <v>7580.25</v>
      </c>
      <c r="H1678" t="str">
        <f>"DEFERRED COMP 457B PAYABLE"</f>
        <v>DEFERRED COMP 457B PAYABLE</v>
      </c>
    </row>
    <row r="1679" spans="1:8" x14ac:dyDescent="0.25">
      <c r="E1679" t="str">
        <f>"CPI201807112169"</f>
        <v>CPI201807112169</v>
      </c>
      <c r="F1679" t="str">
        <f>"DEFERRED COMP 457B PAYABLE"</f>
        <v>DEFERRED COMP 457B PAYABLE</v>
      </c>
      <c r="G1679" s="3">
        <v>107.5</v>
      </c>
      <c r="H1679" t="str">
        <f>"DEFERRED COMP 457B PAYABLE"</f>
        <v>DEFERRED COMP 457B PAYABLE</v>
      </c>
    </row>
    <row r="1680" spans="1:8" x14ac:dyDescent="0.25">
      <c r="A1680" t="s">
        <v>530</v>
      </c>
      <c r="B1680">
        <v>0</v>
      </c>
      <c r="C1680" s="2">
        <v>7629.41</v>
      </c>
      <c r="D1680" s="1">
        <v>43308</v>
      </c>
      <c r="E1680" t="str">
        <f>"CPI201807252397"</f>
        <v>CPI201807252397</v>
      </c>
      <c r="F1680" t="str">
        <f>"DEFERRED COMP 457B PAYABLE"</f>
        <v>DEFERRED COMP 457B PAYABLE</v>
      </c>
      <c r="G1680" s="3">
        <v>7521.91</v>
      </c>
      <c r="H1680" t="str">
        <f>"DEFERRED COMP 457B PAYABLE"</f>
        <v>DEFERRED COMP 457B PAYABLE</v>
      </c>
    </row>
    <row r="1681" spans="1:8" x14ac:dyDescent="0.25">
      <c r="E1681" t="str">
        <f>"CPI201807252398"</f>
        <v>CPI201807252398</v>
      </c>
      <c r="F1681" t="str">
        <f>"DEFERRED COMP 457B PAYABLE"</f>
        <v>DEFERRED COMP 457B PAYABLE</v>
      </c>
      <c r="G1681" s="3">
        <v>107.5</v>
      </c>
      <c r="H1681" t="str">
        <f>"DEFERRED COMP 457B PAYABLE"</f>
        <v>DEFERRED COMP 457B PAYABLE</v>
      </c>
    </row>
    <row r="1682" spans="1:8" x14ac:dyDescent="0.25">
      <c r="A1682" t="s">
        <v>531</v>
      </c>
      <c r="B1682">
        <v>46485</v>
      </c>
      <c r="C1682" s="2">
        <v>1368.7</v>
      </c>
      <c r="D1682" s="1">
        <v>43294</v>
      </c>
      <c r="E1682" t="str">
        <f>"B13201807112168"</f>
        <v>B13201807112168</v>
      </c>
      <c r="F1682" t="str">
        <f>"Rosa Warren 15-10357-TMD"</f>
        <v>Rosa Warren 15-10357-TMD</v>
      </c>
      <c r="G1682" s="3">
        <v>853.85</v>
      </c>
      <c r="H1682" t="str">
        <f>"Rosa Warren 15-10357-TMD"</f>
        <v>Rosa Warren 15-10357-TMD</v>
      </c>
    </row>
    <row r="1683" spans="1:8" x14ac:dyDescent="0.25">
      <c r="E1683" t="str">
        <f>"BJL201807112168"</f>
        <v>BJL201807112168</v>
      </c>
      <c r="F1683" t="str">
        <f>"Julian Luna 14-10230-TMD"</f>
        <v>Julian Luna 14-10230-TMD</v>
      </c>
      <c r="G1683" s="3">
        <v>514.85</v>
      </c>
      <c r="H1683" t="str">
        <f>"Julian Luna 14-10230-TMD"</f>
        <v>Julian Luna 14-10230-TMD</v>
      </c>
    </row>
    <row r="1684" spans="1:8" x14ac:dyDescent="0.25">
      <c r="A1684" t="s">
        <v>531</v>
      </c>
      <c r="B1684">
        <v>46510</v>
      </c>
      <c r="C1684" s="2">
        <v>1368.7</v>
      </c>
      <c r="D1684" s="1">
        <v>43308</v>
      </c>
      <c r="E1684" t="str">
        <f>"B13201807252397"</f>
        <v>B13201807252397</v>
      </c>
      <c r="F1684" t="str">
        <f>"Rosa Warren 15-10357-TMD"</f>
        <v>Rosa Warren 15-10357-TMD</v>
      </c>
      <c r="G1684" s="3">
        <v>853.85</v>
      </c>
      <c r="H1684" t="str">
        <f>"Rosa Warren 15-10357-TMD"</f>
        <v>Rosa Warren 15-10357-TMD</v>
      </c>
    </row>
    <row r="1685" spans="1:8" x14ac:dyDescent="0.25">
      <c r="E1685" t="str">
        <f>"BJL201807252397"</f>
        <v>BJL201807252397</v>
      </c>
      <c r="F1685" t="str">
        <f>"Julian Luna 14-10230-TMD"</f>
        <v>Julian Luna 14-10230-TMD</v>
      </c>
      <c r="G1685" s="3">
        <v>514.85</v>
      </c>
      <c r="H1685" t="str">
        <f>"Julian Luna 14-10230-TMD"</f>
        <v>Julian Luna 14-10230-TMD</v>
      </c>
    </row>
    <row r="1686" spans="1:8" x14ac:dyDescent="0.25">
      <c r="A1686" t="s">
        <v>532</v>
      </c>
      <c r="B1686">
        <v>0</v>
      </c>
      <c r="C1686" s="2">
        <v>38215.25</v>
      </c>
      <c r="D1686" s="1">
        <v>43312</v>
      </c>
      <c r="E1686" t="str">
        <f>"201807312417"</f>
        <v>201807312417</v>
      </c>
      <c r="F1686" t="str">
        <f>"Dental Rounding July 2018"</f>
        <v>Dental Rounding July 2018</v>
      </c>
      <c r="G1686" s="3">
        <v>-6.06</v>
      </c>
      <c r="H1686" t="str">
        <f>"Dental Rounding July 2018"</f>
        <v>Dental Rounding July 2018</v>
      </c>
    </row>
    <row r="1687" spans="1:8" x14ac:dyDescent="0.25">
      <c r="E1687" t="str">
        <f>"201807312420"</f>
        <v>201807312420</v>
      </c>
      <c r="F1687" t="str">
        <f>"GUARDIAN Rounding Life Ins"</f>
        <v>GUARDIAN Rounding Life Ins</v>
      </c>
      <c r="G1687" s="3">
        <v>-0.38</v>
      </c>
      <c r="H1687" t="str">
        <f>"GUARDIAN Rounding Life Ins"</f>
        <v>GUARDIAN Rounding Life Ins</v>
      </c>
    </row>
    <row r="1688" spans="1:8" x14ac:dyDescent="0.25">
      <c r="E1688" t="str">
        <f>"201807312421"</f>
        <v>201807312421</v>
      </c>
      <c r="F1688" t="str">
        <f>"GUARDIAN Rounding LTD"</f>
        <v>GUARDIAN Rounding LTD</v>
      </c>
      <c r="G1688" s="3">
        <v>-0.08</v>
      </c>
      <c r="H1688" t="str">
        <f>"GUARDIAN Rounding LTD"</f>
        <v>GUARDIAN Rounding LTD</v>
      </c>
    </row>
    <row r="1689" spans="1:8" x14ac:dyDescent="0.25">
      <c r="E1689" t="str">
        <f>"201807312418"</f>
        <v>201807312418</v>
      </c>
      <c r="F1689" t="str">
        <f>"Retiree July 2018"</f>
        <v>Retiree July 2018</v>
      </c>
      <c r="G1689" s="3">
        <v>2968.22</v>
      </c>
      <c r="H1689" t="str">
        <f>"Retiree July 2018"</f>
        <v>Retiree July 2018</v>
      </c>
    </row>
    <row r="1690" spans="1:8" x14ac:dyDescent="0.25">
      <c r="E1690" t="str">
        <f>"201807312419"</f>
        <v>201807312419</v>
      </c>
      <c r="F1690" t="str">
        <f>"Retiree Life Coverage July '18"</f>
        <v>Retiree Life Coverage July '18</v>
      </c>
      <c r="G1690" s="3">
        <v>134.41</v>
      </c>
      <c r="H1690" t="str">
        <f>"Retiree Life Coverage July '18"</f>
        <v>Retiree Life Coverage July '18</v>
      </c>
    </row>
    <row r="1691" spans="1:8" x14ac:dyDescent="0.25">
      <c r="E1691" t="str">
        <f>"ADC201807112168"</f>
        <v>ADC201807112168</v>
      </c>
      <c r="F1691" t="str">
        <f t="shared" ref="F1691:F1703" si="19">"GUARDIAN"</f>
        <v>GUARDIAN</v>
      </c>
      <c r="G1691" s="3">
        <v>4.8600000000000003</v>
      </c>
      <c r="H1691" t="str">
        <f t="shared" ref="H1691:H1754" si="20">"GUARDIAN"</f>
        <v>GUARDIAN</v>
      </c>
    </row>
    <row r="1692" spans="1:8" x14ac:dyDescent="0.25">
      <c r="E1692" t="str">
        <f>"ADC201807112169"</f>
        <v>ADC201807112169</v>
      </c>
      <c r="F1692" t="str">
        <f t="shared" si="19"/>
        <v>GUARDIAN</v>
      </c>
      <c r="G1692" s="3">
        <v>0.16</v>
      </c>
      <c r="H1692" t="str">
        <f t="shared" si="20"/>
        <v>GUARDIAN</v>
      </c>
    </row>
    <row r="1693" spans="1:8" x14ac:dyDescent="0.25">
      <c r="E1693" t="str">
        <f>"ADC201807252397"</f>
        <v>ADC201807252397</v>
      </c>
      <c r="F1693" t="str">
        <f t="shared" si="19"/>
        <v>GUARDIAN</v>
      </c>
      <c r="G1693" s="3">
        <v>4.8600000000000003</v>
      </c>
      <c r="H1693" t="str">
        <f t="shared" si="20"/>
        <v>GUARDIAN</v>
      </c>
    </row>
    <row r="1694" spans="1:8" x14ac:dyDescent="0.25">
      <c r="E1694" t="str">
        <f>"ADC201807252398"</f>
        <v>ADC201807252398</v>
      </c>
      <c r="F1694" t="str">
        <f t="shared" si="19"/>
        <v>GUARDIAN</v>
      </c>
      <c r="G1694" s="3">
        <v>0.16</v>
      </c>
      <c r="H1694" t="str">
        <f t="shared" si="20"/>
        <v>GUARDIAN</v>
      </c>
    </row>
    <row r="1695" spans="1:8" x14ac:dyDescent="0.25">
      <c r="E1695" t="str">
        <f>"ADE201807112168"</f>
        <v>ADE201807112168</v>
      </c>
      <c r="F1695" t="str">
        <f t="shared" si="19"/>
        <v>GUARDIAN</v>
      </c>
      <c r="G1695" s="3">
        <v>208.55</v>
      </c>
      <c r="H1695" t="str">
        <f t="shared" si="20"/>
        <v>GUARDIAN</v>
      </c>
    </row>
    <row r="1696" spans="1:8" x14ac:dyDescent="0.25">
      <c r="E1696" t="str">
        <f>"ADE201807112169"</f>
        <v>ADE201807112169</v>
      </c>
      <c r="F1696" t="str">
        <f t="shared" si="19"/>
        <v>GUARDIAN</v>
      </c>
      <c r="G1696" s="3">
        <v>7.8</v>
      </c>
      <c r="H1696" t="str">
        <f t="shared" si="20"/>
        <v>GUARDIAN</v>
      </c>
    </row>
    <row r="1697" spans="5:8" x14ac:dyDescent="0.25">
      <c r="E1697" t="str">
        <f>"ADE201807252397"</f>
        <v>ADE201807252397</v>
      </c>
      <c r="F1697" t="str">
        <f t="shared" si="19"/>
        <v>GUARDIAN</v>
      </c>
      <c r="G1697" s="3">
        <v>208.05</v>
      </c>
      <c r="H1697" t="str">
        <f t="shared" si="20"/>
        <v>GUARDIAN</v>
      </c>
    </row>
    <row r="1698" spans="5:8" x14ac:dyDescent="0.25">
      <c r="E1698" t="str">
        <f>"ADE201807252398"</f>
        <v>ADE201807252398</v>
      </c>
      <c r="F1698" t="str">
        <f t="shared" si="19"/>
        <v>GUARDIAN</v>
      </c>
      <c r="G1698" s="3">
        <v>7.8</v>
      </c>
      <c r="H1698" t="str">
        <f t="shared" si="20"/>
        <v>GUARDIAN</v>
      </c>
    </row>
    <row r="1699" spans="5:8" x14ac:dyDescent="0.25">
      <c r="E1699" t="str">
        <f>"ADS201807112168"</f>
        <v>ADS201807112168</v>
      </c>
      <c r="F1699" t="str">
        <f t="shared" si="19"/>
        <v>GUARDIAN</v>
      </c>
      <c r="G1699" s="3">
        <v>32.229999999999997</v>
      </c>
      <c r="H1699" t="str">
        <f t="shared" si="20"/>
        <v>GUARDIAN</v>
      </c>
    </row>
    <row r="1700" spans="5:8" x14ac:dyDescent="0.25">
      <c r="E1700" t="str">
        <f>"ADS201807112169"</f>
        <v>ADS201807112169</v>
      </c>
      <c r="F1700" t="str">
        <f t="shared" si="19"/>
        <v>GUARDIAN</v>
      </c>
      <c r="G1700" s="3">
        <v>0.98</v>
      </c>
      <c r="H1700" t="str">
        <f t="shared" si="20"/>
        <v>GUARDIAN</v>
      </c>
    </row>
    <row r="1701" spans="5:8" x14ac:dyDescent="0.25">
      <c r="E1701" t="str">
        <f>"ADS201807252397"</f>
        <v>ADS201807252397</v>
      </c>
      <c r="F1701" t="str">
        <f t="shared" si="19"/>
        <v>GUARDIAN</v>
      </c>
      <c r="G1701" s="3">
        <v>32.229999999999997</v>
      </c>
      <c r="H1701" t="str">
        <f t="shared" si="20"/>
        <v>GUARDIAN</v>
      </c>
    </row>
    <row r="1702" spans="5:8" x14ac:dyDescent="0.25">
      <c r="E1702" t="str">
        <f>"ADS201807252398"</f>
        <v>ADS201807252398</v>
      </c>
      <c r="F1702" t="str">
        <f t="shared" si="19"/>
        <v>GUARDIAN</v>
      </c>
      <c r="G1702" s="3">
        <v>0.98</v>
      </c>
      <c r="H1702" t="str">
        <f t="shared" si="20"/>
        <v>GUARDIAN</v>
      </c>
    </row>
    <row r="1703" spans="5:8" x14ac:dyDescent="0.25">
      <c r="E1703" t="str">
        <f>"GDC201807112168"</f>
        <v>GDC201807112168</v>
      </c>
      <c r="F1703" t="str">
        <f t="shared" si="19"/>
        <v>GUARDIAN</v>
      </c>
      <c r="G1703" s="3">
        <v>2546.6999999999998</v>
      </c>
      <c r="H1703" t="str">
        <f t="shared" si="20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0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0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0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0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0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0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0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0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0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0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0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0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0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0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0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0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0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0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0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0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0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0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0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0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0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0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0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0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0"/>
        <v>GUARDIAN</v>
      </c>
    </row>
    <row r="1733" spans="5:8" x14ac:dyDescent="0.25">
      <c r="E1733" t="str">
        <f>"GDC201807112169"</f>
        <v>GDC201807112169</v>
      </c>
      <c r="F1733" t="str">
        <f>"GUARDIAN"</f>
        <v>GUARDIAN</v>
      </c>
      <c r="G1733" s="3">
        <v>97.95</v>
      </c>
      <c r="H1733" t="str">
        <f t="shared" si="20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0"/>
        <v>GUARDIAN</v>
      </c>
    </row>
    <row r="1735" spans="5:8" x14ac:dyDescent="0.25">
      <c r="E1735" t="str">
        <f>"GDC201807252397"</f>
        <v>GDC201807252397</v>
      </c>
      <c r="F1735" t="str">
        <f>"GUARDIAN"</f>
        <v>GUARDIAN</v>
      </c>
      <c r="G1735" s="3">
        <v>2546.6999999999998</v>
      </c>
      <c r="H1735" t="str">
        <f t="shared" si="20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0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0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0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20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0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0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0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0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0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0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0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0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0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0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0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0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0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0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0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ref="H1755:H1818" si="21">"GUARDIAN"</f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1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1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1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1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1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1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1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1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1"/>
        <v>GUARDIAN</v>
      </c>
    </row>
    <row r="1765" spans="5:8" x14ac:dyDescent="0.25">
      <c r="E1765" t="str">
        <f>"GDC201807252398"</f>
        <v>GDC201807252398</v>
      </c>
      <c r="F1765" t="str">
        <f>"GUARDIAN"</f>
        <v>GUARDIAN</v>
      </c>
      <c r="G1765" s="3">
        <v>97.95</v>
      </c>
      <c r="H1765" t="str">
        <f t="shared" si="21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1"/>
        <v>GUARDIAN</v>
      </c>
    </row>
    <row r="1767" spans="5:8" x14ac:dyDescent="0.25">
      <c r="E1767" t="str">
        <f>"GDE201807112168"</f>
        <v>GDE201807112168</v>
      </c>
      <c r="F1767" t="str">
        <f>"GUARDIAN"</f>
        <v>GUARDIAN</v>
      </c>
      <c r="G1767" s="3">
        <v>4010.8</v>
      </c>
      <c r="H1767" t="str">
        <f t="shared" si="21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1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1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1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1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1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1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1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1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1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1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1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1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1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1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1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1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1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1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1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1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1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1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1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1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1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1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1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1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1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1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1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1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1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1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1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1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1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1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1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1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1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1"/>
        <v>GUARDIAN</v>
      </c>
    </row>
    <row r="1810" spans="5:8" x14ac:dyDescent="0.25">
      <c r="E1810" t="str">
        <f>"GDE201807112169"</f>
        <v>GDE201807112169</v>
      </c>
      <c r="F1810" t="str">
        <f>"GUARDIAN"</f>
        <v>GUARDIAN</v>
      </c>
      <c r="G1810" s="3">
        <v>148</v>
      </c>
      <c r="H1810" t="str">
        <f t="shared" si="21"/>
        <v>GUARDIAN</v>
      </c>
    </row>
    <row r="1811" spans="5:8" x14ac:dyDescent="0.25">
      <c r="E1811" t="str">
        <f>"GDE201807252397"</f>
        <v>GDE201807252397</v>
      </c>
      <c r="F1811" t="str">
        <f>"GUARDIAN"</f>
        <v>GUARDIAN</v>
      </c>
      <c r="G1811" s="3">
        <v>3922</v>
      </c>
      <c r="H1811" t="str">
        <f t="shared" si="21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1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1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1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1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1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1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1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ref="H1819:H1882" si="22">"GUARDIAN"</f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2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2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2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2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2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2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2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2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2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2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2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2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2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2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2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2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2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2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2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2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2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2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2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2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2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2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2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2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2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2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2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2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2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2"/>
        <v>GUARDIAN</v>
      </c>
    </row>
    <row r="1854" spans="5:8" x14ac:dyDescent="0.25">
      <c r="E1854" t="str">
        <f>"GDE201807252398"</f>
        <v>GDE201807252398</v>
      </c>
      <c r="F1854" t="str">
        <f>"GUARDIAN"</f>
        <v>GUARDIAN</v>
      </c>
      <c r="G1854" s="3">
        <v>148</v>
      </c>
      <c r="H1854" t="str">
        <f t="shared" si="22"/>
        <v>GUARDIAN</v>
      </c>
    </row>
    <row r="1855" spans="5:8" x14ac:dyDescent="0.25">
      <c r="E1855" t="str">
        <f>"GDF201807112168"</f>
        <v>GDF201807112168</v>
      </c>
      <c r="F1855" t="str">
        <f>"GUARDIAN"</f>
        <v>GUARDIAN</v>
      </c>
      <c r="G1855" s="3">
        <v>2220.88</v>
      </c>
      <c r="H1855" t="str">
        <f t="shared" si="22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2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2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2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2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2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2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2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2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2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2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2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2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2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2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2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22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2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2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2"/>
        <v>GUARDIAN</v>
      </c>
    </row>
    <row r="1875" spans="5:8" x14ac:dyDescent="0.25">
      <c r="E1875" t="str">
        <f>"GDF201807112169"</f>
        <v>GDF201807112169</v>
      </c>
      <c r="F1875" t="str">
        <f>"GUARDIAN"</f>
        <v>GUARDIAN</v>
      </c>
      <c r="G1875" s="3">
        <v>144.84</v>
      </c>
      <c r="H1875" t="str">
        <f t="shared" si="22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2"/>
        <v>GUARDIAN</v>
      </c>
    </row>
    <row r="1877" spans="5:8" x14ac:dyDescent="0.25">
      <c r="E1877" t="str">
        <f>"GDF201807252397"</f>
        <v>GDF201807252397</v>
      </c>
      <c r="F1877" t="str">
        <f>"GUARDIAN"</f>
        <v>GUARDIAN</v>
      </c>
      <c r="G1877" s="3">
        <v>2220.88</v>
      </c>
      <c r="H1877" t="str">
        <f t="shared" si="22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2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2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2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2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2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ref="H1883:H1946" si="23">"GUARDIAN"</f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3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3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3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3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23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3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23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3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3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3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3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3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3"/>
        <v>GUARDIAN</v>
      </c>
    </row>
    <row r="1897" spans="5:8" x14ac:dyDescent="0.25">
      <c r="E1897" t="str">
        <f>"GDF201807252398"</f>
        <v>GDF201807252398</v>
      </c>
      <c r="F1897" t="str">
        <f>"GUARDIAN"</f>
        <v>GUARDIAN</v>
      </c>
      <c r="G1897" s="3">
        <v>144.84</v>
      </c>
      <c r="H1897" t="str">
        <f t="shared" si="23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3"/>
        <v>GUARDIAN</v>
      </c>
    </row>
    <row r="1899" spans="5:8" x14ac:dyDescent="0.25">
      <c r="E1899" t="str">
        <f>"GDS201807112168"</f>
        <v>GDS201807112168</v>
      </c>
      <c r="F1899" t="str">
        <f>"GUARDIAN"</f>
        <v>GUARDIAN</v>
      </c>
      <c r="G1899" s="3">
        <v>1789.2</v>
      </c>
      <c r="H1899" t="str">
        <f t="shared" si="23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3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3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3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3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3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23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23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23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23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23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23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23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23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23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23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23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23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23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23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23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23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23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23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23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23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23"/>
        <v>GUARDIAN</v>
      </c>
    </row>
    <row r="1926" spans="5:8" x14ac:dyDescent="0.25">
      <c r="E1926" t="str">
        <f>"GDS201807252397"</f>
        <v>GDS201807252397</v>
      </c>
      <c r="F1926" t="str">
        <f>"GUARDIAN"</f>
        <v>GUARDIAN</v>
      </c>
      <c r="G1926" s="3">
        <v>1789.2</v>
      </c>
      <c r="H1926" t="str">
        <f t="shared" si="23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23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23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23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23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23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23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23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23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23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23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23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23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23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23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23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23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23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23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23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23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ref="H1947:H1952" si="24">"GUARDIAN"</f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24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24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24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si="24"/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24"/>
        <v>GUARDIAN</v>
      </c>
    </row>
    <row r="1953" spans="5:8" x14ac:dyDescent="0.25">
      <c r="E1953" t="str">
        <f>"GV1201807112168"</f>
        <v>GV1201807112168</v>
      </c>
      <c r="F1953" t="str">
        <f>"GUARDIAN VISION"</f>
        <v>GUARDIAN VISION</v>
      </c>
      <c r="G1953" s="3">
        <v>375.2</v>
      </c>
      <c r="H1953" t="str">
        <f>"GUARDIAN VISION"</f>
        <v>GUARDIAN VISION</v>
      </c>
    </row>
    <row r="1954" spans="5:8" x14ac:dyDescent="0.25">
      <c r="E1954" t="str">
        <f>"GV1201807252397"</f>
        <v>GV1201807252397</v>
      </c>
      <c r="F1954" t="str">
        <f>"GUARDIAN VISION"</f>
        <v>GUARDIAN VISION</v>
      </c>
      <c r="G1954" s="3">
        <v>375.2</v>
      </c>
      <c r="H1954" t="str">
        <f>"GUARDIAN VISION"</f>
        <v>GUARDIAN VISION</v>
      </c>
    </row>
    <row r="1955" spans="5:8" x14ac:dyDescent="0.25">
      <c r="E1955" t="str">
        <f>"GVE201807112168"</f>
        <v>GVE201807112168</v>
      </c>
      <c r="F1955" t="str">
        <f>"GUARDIAN VISION VENDOR"</f>
        <v>GUARDIAN VISION VENDOR</v>
      </c>
      <c r="G1955" s="3">
        <v>568.26</v>
      </c>
      <c r="H1955" t="str">
        <f>"GUARDIAN VISION VENDOR"</f>
        <v>GUARDIAN VISION VENDOR</v>
      </c>
    </row>
    <row r="1956" spans="5:8" x14ac:dyDescent="0.25">
      <c r="E1956" t="str">
        <f>"GVE201807112169"</f>
        <v>GVE201807112169</v>
      </c>
      <c r="F1956" t="str">
        <f>"GUARDIAN VISION VENDOR"</f>
        <v>GUARDIAN VISION VENDOR</v>
      </c>
      <c r="G1956" s="3">
        <v>25.83</v>
      </c>
      <c r="H1956" t="str">
        <f>"GUARDIAN VISION VENDOR"</f>
        <v>GUARDIAN VISION VENDOR</v>
      </c>
    </row>
    <row r="1957" spans="5:8" x14ac:dyDescent="0.25">
      <c r="E1957" t="str">
        <f>"GVE201807252397"</f>
        <v>GVE201807252397</v>
      </c>
      <c r="F1957" t="str">
        <f>"GUARDIAN VISION VENDOR"</f>
        <v>GUARDIAN VISION VENDOR</v>
      </c>
      <c r="G1957" s="3">
        <v>560.88</v>
      </c>
      <c r="H1957" t="str">
        <f>"GUARDIAN VISION VENDOR"</f>
        <v>GUARDIAN VISION VENDOR</v>
      </c>
    </row>
    <row r="1958" spans="5:8" x14ac:dyDescent="0.25">
      <c r="E1958" t="str">
        <f>"GVE201807252398"</f>
        <v>GVE201807252398</v>
      </c>
      <c r="F1958" t="str">
        <f>"GUARDIAN VISION VENDOR"</f>
        <v>GUARDIAN VISION VENDOR</v>
      </c>
      <c r="G1958" s="3">
        <v>25.83</v>
      </c>
      <c r="H1958" t="str">
        <f>"GUARDIAN VISION VENDOR"</f>
        <v>GUARDIAN VISION VENDOR</v>
      </c>
    </row>
    <row r="1959" spans="5:8" x14ac:dyDescent="0.25">
      <c r="E1959" t="str">
        <f>"GVF201807112168"</f>
        <v>GVF201807112168</v>
      </c>
      <c r="F1959" t="str">
        <f>"GUARDIAN VISION"</f>
        <v>GUARDIAN VISION</v>
      </c>
      <c r="G1959" s="3">
        <v>482.65</v>
      </c>
      <c r="H1959" t="str">
        <f>"GUARDIAN VISION"</f>
        <v>GUARDIAN VISION</v>
      </c>
    </row>
    <row r="1960" spans="5:8" x14ac:dyDescent="0.25">
      <c r="E1960" t="str">
        <f>"GVF201807112169"</f>
        <v>GVF201807112169</v>
      </c>
      <c r="F1960" t="str">
        <f>"GUARDIAN VISION VENDOR"</f>
        <v>GUARDIAN VISION VENDOR</v>
      </c>
      <c r="G1960" s="3">
        <v>29.55</v>
      </c>
      <c r="H1960" t="str">
        <f>"GUARDIAN VISION VENDOR"</f>
        <v>GUARDIAN VISION VENDOR</v>
      </c>
    </row>
    <row r="1961" spans="5:8" x14ac:dyDescent="0.25">
      <c r="E1961" t="str">
        <f>"GVF201807252397"</f>
        <v>GVF201807252397</v>
      </c>
      <c r="F1961" t="str">
        <f>"GUARDIAN VISION"</f>
        <v>GUARDIAN VISION</v>
      </c>
      <c r="G1961" s="3">
        <v>482.65</v>
      </c>
      <c r="H1961" t="str">
        <f>"GUARDIAN VISION"</f>
        <v>GUARDIAN VISION</v>
      </c>
    </row>
    <row r="1962" spans="5:8" x14ac:dyDescent="0.25">
      <c r="E1962" t="str">
        <f>"GVF201807252398"</f>
        <v>GVF201807252398</v>
      </c>
      <c r="F1962" t="str">
        <f>"GUARDIAN VISION VENDOR"</f>
        <v>GUARDIAN VISION VENDOR</v>
      </c>
      <c r="G1962" s="3">
        <v>29.55</v>
      </c>
      <c r="H1962" t="str">
        <f>"GUARDIAN VISION VENDOR"</f>
        <v>GUARDIAN VISION VENDOR</v>
      </c>
    </row>
    <row r="1963" spans="5:8" x14ac:dyDescent="0.25">
      <c r="E1963" t="str">
        <f>"LIA201807112168"</f>
        <v>LIA201807112168</v>
      </c>
      <c r="F1963" t="str">
        <f>"GUARDIAN"</f>
        <v>GUARDIAN</v>
      </c>
      <c r="G1963" s="3">
        <v>166.38</v>
      </c>
      <c r="H1963" t="str">
        <f t="shared" ref="H1963:H1994" si="25">"GUARDIAN"</f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25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25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25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25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25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25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25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25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25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25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25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25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25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25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25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25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25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25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25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25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25"/>
        <v>GUARDIAN</v>
      </c>
    </row>
    <row r="1985" spans="5:8" x14ac:dyDescent="0.25">
      <c r="E1985" t="str">
        <f>"LIA201807112169"</f>
        <v>LIA201807112169</v>
      </c>
      <c r="F1985" t="str">
        <f>"GUARDIAN"</f>
        <v>GUARDIAN</v>
      </c>
      <c r="G1985" s="3">
        <v>25.78</v>
      </c>
      <c r="H1985" t="str">
        <f t="shared" si="25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25"/>
        <v>GUARDIAN</v>
      </c>
    </row>
    <row r="1987" spans="5:8" x14ac:dyDescent="0.25">
      <c r="E1987" t="str">
        <f>"LIA201807252397"</f>
        <v>LIA201807252397</v>
      </c>
      <c r="F1987" t="str">
        <f>"GUARDIAN"</f>
        <v>GUARDIAN</v>
      </c>
      <c r="G1987" s="3">
        <v>167.29</v>
      </c>
      <c r="H1987" t="str">
        <f t="shared" si="25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25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25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25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25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25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25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25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ref="H1995:H2026" si="26">"GUARDIAN"</f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26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26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26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26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26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26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26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26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26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26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26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26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26"/>
        <v>GUARDIAN</v>
      </c>
    </row>
    <row r="2009" spans="5:8" x14ac:dyDescent="0.25">
      <c r="E2009" t="str">
        <f>"LIA201807252398"</f>
        <v>LIA201807252398</v>
      </c>
      <c r="F2009" t="str">
        <f>"GUARDIAN"</f>
        <v>GUARDIAN</v>
      </c>
      <c r="G2009" s="3">
        <v>25.78</v>
      </c>
      <c r="H2009" t="str">
        <f t="shared" si="26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26"/>
        <v>GUARDIAN</v>
      </c>
    </row>
    <row r="2011" spans="5:8" x14ac:dyDescent="0.25">
      <c r="E2011" t="str">
        <f>"LIC201807112168"</f>
        <v>LIC201807112168</v>
      </c>
      <c r="F2011" t="str">
        <f>"GUARDIAN"</f>
        <v>GUARDIAN</v>
      </c>
      <c r="G2011" s="3">
        <v>33.270000000000003</v>
      </c>
      <c r="H2011" t="str">
        <f t="shared" si="26"/>
        <v>GUARDIAN</v>
      </c>
    </row>
    <row r="2012" spans="5:8" x14ac:dyDescent="0.25">
      <c r="E2012" t="str">
        <f>"LIC201807112169"</f>
        <v>LIC201807112169</v>
      </c>
      <c r="F2012" t="str">
        <f>"GUARDIAN"</f>
        <v>GUARDIAN</v>
      </c>
      <c r="G2012" s="3">
        <v>1.05</v>
      </c>
      <c r="H2012" t="str">
        <f t="shared" si="26"/>
        <v>GUARDIAN</v>
      </c>
    </row>
    <row r="2013" spans="5:8" x14ac:dyDescent="0.25">
      <c r="E2013" t="str">
        <f>"LIC201807252397"</f>
        <v>LIC201807252397</v>
      </c>
      <c r="F2013" t="str">
        <f>"GUARDIAN"</f>
        <v>GUARDIAN</v>
      </c>
      <c r="G2013" s="3">
        <v>33.270000000000003</v>
      </c>
      <c r="H2013" t="str">
        <f t="shared" si="26"/>
        <v>GUARDIAN</v>
      </c>
    </row>
    <row r="2014" spans="5:8" x14ac:dyDescent="0.25">
      <c r="E2014" t="str">
        <f>"LIC201807252398"</f>
        <v>LIC201807252398</v>
      </c>
      <c r="F2014" t="str">
        <f>"GUARDIAN"</f>
        <v>GUARDIAN</v>
      </c>
      <c r="G2014" s="3">
        <v>1.05</v>
      </c>
      <c r="H2014" t="str">
        <f t="shared" si="26"/>
        <v>GUARDIAN</v>
      </c>
    </row>
    <row r="2015" spans="5:8" x14ac:dyDescent="0.25">
      <c r="E2015" t="str">
        <f>"LIE201807112168"</f>
        <v>LIE201807112168</v>
      </c>
      <c r="F2015" t="str">
        <f>"GUARDIAN"</f>
        <v>GUARDIAN</v>
      </c>
      <c r="G2015" s="3">
        <v>3316.65</v>
      </c>
      <c r="H2015" t="str">
        <f t="shared" si="26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26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26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26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26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26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26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26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26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26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26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26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ref="H2027:H2058" si="27">"GUARDIAN"</f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27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27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27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27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27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27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27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27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27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27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27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27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27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27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27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27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27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27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27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27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27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27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27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27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27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27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27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27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27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27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27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ref="H2059:H2090" si="28">"GUARDIAN"</f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28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28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28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28"/>
        <v>GUARDIAN</v>
      </c>
    </row>
    <row r="2064" spans="5:8" x14ac:dyDescent="0.25">
      <c r="E2064" t="str">
        <f>"LIE201807112169"</f>
        <v>LIE201807112169</v>
      </c>
      <c r="F2064" t="str">
        <f>"GUARDIAN"</f>
        <v>GUARDIAN</v>
      </c>
      <c r="G2064" s="3">
        <v>95.5</v>
      </c>
      <c r="H2064" t="str">
        <f t="shared" si="28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28"/>
        <v>GUARDIAN</v>
      </c>
    </row>
    <row r="2066" spans="5:8" x14ac:dyDescent="0.25">
      <c r="E2066" t="str">
        <f>"LIE201807252397"</f>
        <v>LIE201807252397</v>
      </c>
      <c r="F2066" t="str">
        <f>"GUARDIAN"</f>
        <v>GUARDIAN</v>
      </c>
      <c r="G2066" s="3">
        <v>3297.04</v>
      </c>
      <c r="H2066" t="str">
        <f t="shared" si="28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28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28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28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28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28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28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28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28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28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28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28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28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28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28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28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28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28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28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28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28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28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28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28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28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ref="H2091:H2126" si="29">"GUARDIAN"</f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29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29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29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29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29"/>
        <v>GUARDIAN</v>
      </c>
    </row>
    <row r="2097" spans="5:8" x14ac:dyDescent="0.25">
      <c r="E2097" t="str">
        <f>""</f>
        <v/>
      </c>
      <c r="F2097" t="str">
        <f>""</f>
        <v/>
      </c>
      <c r="H2097" t="str">
        <f t="shared" si="29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29"/>
        <v>GUARDIAN</v>
      </c>
    </row>
    <row r="2099" spans="5:8" x14ac:dyDescent="0.25">
      <c r="E2099" t="str">
        <f>""</f>
        <v/>
      </c>
      <c r="F2099" t="str">
        <f>""</f>
        <v/>
      </c>
      <c r="H2099" t="str">
        <f t="shared" si="29"/>
        <v>GUARDIAN</v>
      </c>
    </row>
    <row r="2100" spans="5:8" x14ac:dyDescent="0.25">
      <c r="E2100" t="str">
        <f>""</f>
        <v/>
      </c>
      <c r="F2100" t="str">
        <f>""</f>
        <v/>
      </c>
      <c r="H2100" t="str">
        <f t="shared" si="29"/>
        <v>GUARDIAN</v>
      </c>
    </row>
    <row r="2101" spans="5:8" x14ac:dyDescent="0.25">
      <c r="E2101" t="str">
        <f>""</f>
        <v/>
      </c>
      <c r="F2101" t="str">
        <f>""</f>
        <v/>
      </c>
      <c r="H2101" t="str">
        <f t="shared" si="29"/>
        <v>GUARDIAN</v>
      </c>
    </row>
    <row r="2102" spans="5:8" x14ac:dyDescent="0.25">
      <c r="E2102" t="str">
        <f>""</f>
        <v/>
      </c>
      <c r="F2102" t="str">
        <f>""</f>
        <v/>
      </c>
      <c r="H2102" t="str">
        <f t="shared" si="29"/>
        <v>GUARDIAN</v>
      </c>
    </row>
    <row r="2103" spans="5:8" x14ac:dyDescent="0.25">
      <c r="E2103" t="str">
        <f>""</f>
        <v/>
      </c>
      <c r="F2103" t="str">
        <f>""</f>
        <v/>
      </c>
      <c r="H2103" t="str">
        <f t="shared" si="29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29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29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29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29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29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29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29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si="29"/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29"/>
        <v>GUARDIAN</v>
      </c>
    </row>
    <row r="2113" spans="1:8" x14ac:dyDescent="0.25">
      <c r="E2113" t="str">
        <f>""</f>
        <v/>
      </c>
      <c r="F2113" t="str">
        <f>""</f>
        <v/>
      </c>
      <c r="H2113" t="str">
        <f t="shared" si="29"/>
        <v>GUARDIAN</v>
      </c>
    </row>
    <row r="2114" spans="1:8" x14ac:dyDescent="0.25">
      <c r="E2114" t="str">
        <f>""</f>
        <v/>
      </c>
      <c r="F2114" t="str">
        <f>""</f>
        <v/>
      </c>
      <c r="H2114" t="str">
        <f t="shared" si="29"/>
        <v>GUARDIAN</v>
      </c>
    </row>
    <row r="2115" spans="1:8" x14ac:dyDescent="0.25">
      <c r="E2115" t="str">
        <f>"LIE201807252398"</f>
        <v>LIE201807252398</v>
      </c>
      <c r="F2115" t="str">
        <f>"GUARDIAN"</f>
        <v>GUARDIAN</v>
      </c>
      <c r="G2115" s="3">
        <v>95.5</v>
      </c>
      <c r="H2115" t="str">
        <f t="shared" si="29"/>
        <v>GUARDIAN</v>
      </c>
    </row>
    <row r="2116" spans="1:8" x14ac:dyDescent="0.25">
      <c r="E2116" t="str">
        <f>""</f>
        <v/>
      </c>
      <c r="F2116" t="str">
        <f>""</f>
        <v/>
      </c>
      <c r="H2116" t="str">
        <f t="shared" si="29"/>
        <v>GUARDIAN</v>
      </c>
    </row>
    <row r="2117" spans="1:8" x14ac:dyDescent="0.25">
      <c r="E2117" t="str">
        <f>"LIS201807112168"</f>
        <v>LIS201807112168</v>
      </c>
      <c r="F2117" t="str">
        <f t="shared" ref="F2117:F2126" si="30">"GUARDIAN"</f>
        <v>GUARDIAN</v>
      </c>
      <c r="G2117" s="3">
        <v>396.97</v>
      </c>
      <c r="H2117" t="str">
        <f t="shared" si="29"/>
        <v>GUARDIAN</v>
      </c>
    </row>
    <row r="2118" spans="1:8" x14ac:dyDescent="0.25">
      <c r="E2118" t="str">
        <f>"LIS201807112169"</f>
        <v>LIS201807112169</v>
      </c>
      <c r="F2118" t="str">
        <f t="shared" si="30"/>
        <v>GUARDIAN</v>
      </c>
      <c r="G2118" s="3">
        <v>31.03</v>
      </c>
      <c r="H2118" t="str">
        <f t="shared" si="29"/>
        <v>GUARDIAN</v>
      </c>
    </row>
    <row r="2119" spans="1:8" x14ac:dyDescent="0.25">
      <c r="E2119" t="str">
        <f>"LIS201807252397"</f>
        <v>LIS201807252397</v>
      </c>
      <c r="F2119" t="str">
        <f t="shared" si="30"/>
        <v>GUARDIAN</v>
      </c>
      <c r="G2119" s="3">
        <v>396.97</v>
      </c>
      <c r="H2119" t="str">
        <f t="shared" si="29"/>
        <v>GUARDIAN</v>
      </c>
    </row>
    <row r="2120" spans="1:8" x14ac:dyDescent="0.25">
      <c r="E2120" t="str">
        <f>"LIS201807252398"</f>
        <v>LIS201807252398</v>
      </c>
      <c r="F2120" t="str">
        <f t="shared" si="30"/>
        <v>GUARDIAN</v>
      </c>
      <c r="G2120" s="3">
        <v>31.03</v>
      </c>
      <c r="H2120" t="str">
        <f t="shared" si="29"/>
        <v>GUARDIAN</v>
      </c>
    </row>
    <row r="2121" spans="1:8" x14ac:dyDescent="0.25">
      <c r="E2121" t="str">
        <f>"LTD201807112168"</f>
        <v>LTD201807112168</v>
      </c>
      <c r="F2121" t="str">
        <f t="shared" si="30"/>
        <v>GUARDIAN</v>
      </c>
      <c r="G2121" s="3">
        <v>856.08</v>
      </c>
      <c r="H2121" t="str">
        <f t="shared" si="29"/>
        <v>GUARDIAN</v>
      </c>
    </row>
    <row r="2122" spans="1:8" x14ac:dyDescent="0.25">
      <c r="E2122" t="str">
        <f>"LTD201807252397"</f>
        <v>LTD201807252397</v>
      </c>
      <c r="F2122" t="str">
        <f t="shared" si="30"/>
        <v>GUARDIAN</v>
      </c>
      <c r="G2122" s="3">
        <v>856.3</v>
      </c>
      <c r="H2122" t="str">
        <f t="shared" si="29"/>
        <v>GUARDIAN</v>
      </c>
    </row>
    <row r="2123" spans="1:8" x14ac:dyDescent="0.25">
      <c r="A2123" t="s">
        <v>532</v>
      </c>
      <c r="B2123">
        <v>0</v>
      </c>
      <c r="C2123" s="2">
        <v>112.44</v>
      </c>
      <c r="D2123" s="1">
        <v>43312</v>
      </c>
      <c r="E2123" t="str">
        <f>"AEG201807112168"</f>
        <v>AEG201807112168</v>
      </c>
      <c r="F2123" t="str">
        <f t="shared" si="30"/>
        <v>GUARDIAN</v>
      </c>
      <c r="G2123" s="3">
        <v>6.66</v>
      </c>
      <c r="H2123" t="str">
        <f t="shared" si="29"/>
        <v>GUARDIAN</v>
      </c>
    </row>
    <row r="2124" spans="1:8" x14ac:dyDescent="0.25">
      <c r="E2124" t="str">
        <f>"AEG201807252397"</f>
        <v>AEG201807252397</v>
      </c>
      <c r="F2124" t="str">
        <f t="shared" si="30"/>
        <v>GUARDIAN</v>
      </c>
      <c r="G2124" s="3">
        <v>6.66</v>
      </c>
      <c r="H2124" t="str">
        <f t="shared" si="29"/>
        <v>GUARDIAN</v>
      </c>
    </row>
    <row r="2125" spans="1:8" x14ac:dyDescent="0.25">
      <c r="E2125" t="str">
        <f>"AFG201807112168"</f>
        <v>AFG201807112168</v>
      </c>
      <c r="F2125" t="str">
        <f t="shared" si="30"/>
        <v>GUARDIAN</v>
      </c>
      <c r="G2125" s="3">
        <v>49.56</v>
      </c>
      <c r="H2125" t="str">
        <f t="shared" si="29"/>
        <v>GUARDIAN</v>
      </c>
    </row>
    <row r="2126" spans="1:8" x14ac:dyDescent="0.25">
      <c r="E2126" t="str">
        <f>"AFG201807252397"</f>
        <v>AFG201807252397</v>
      </c>
      <c r="F2126" t="str">
        <f t="shared" si="30"/>
        <v>GUARDIAN</v>
      </c>
      <c r="G2126" s="3">
        <v>49.56</v>
      </c>
      <c r="H2126" t="str">
        <f t="shared" si="29"/>
        <v>GUARDIAN</v>
      </c>
    </row>
    <row r="2127" spans="1:8" x14ac:dyDescent="0.25">
      <c r="A2127" t="s">
        <v>533</v>
      </c>
      <c r="B2127">
        <v>46484</v>
      </c>
      <c r="C2127" s="2">
        <v>238.43</v>
      </c>
      <c r="D2127" s="1">
        <v>43294</v>
      </c>
      <c r="E2127" t="str">
        <f>"IJ2201807112168"</f>
        <v>IJ2201807112168</v>
      </c>
      <c r="F2127" t="str">
        <f>"LISA JACKSON 2 IRS LEVY"</f>
        <v>LISA JACKSON 2 IRS LEVY</v>
      </c>
      <c r="G2127" s="3">
        <v>238.43</v>
      </c>
      <c r="H2127" t="str">
        <f>"LISA JACKSON 2 IRS LEVY"</f>
        <v>LISA JACKSON 2 IRS LEVY</v>
      </c>
    </row>
    <row r="2128" spans="1:8" x14ac:dyDescent="0.25">
      <c r="A2128" t="s">
        <v>533</v>
      </c>
      <c r="B2128">
        <v>46509</v>
      </c>
      <c r="C2128" s="2">
        <v>238.43</v>
      </c>
      <c r="D2128" s="1">
        <v>43308</v>
      </c>
      <c r="E2128" t="str">
        <f>"IJ2201807252397"</f>
        <v>IJ2201807252397</v>
      </c>
      <c r="F2128" t="str">
        <f>"LISA JACKSON 2 IRS LEVY"</f>
        <v>LISA JACKSON 2 IRS LEVY</v>
      </c>
      <c r="G2128" s="3">
        <v>238.43</v>
      </c>
      <c r="H2128" t="str">
        <f>"LISA JACKSON 2 IRS LEVY"</f>
        <v>LISA JACKSON 2 IRS LEVY</v>
      </c>
    </row>
    <row r="2129" spans="1:8" x14ac:dyDescent="0.25">
      <c r="A2129" t="s">
        <v>534</v>
      </c>
      <c r="B2129">
        <v>0</v>
      </c>
      <c r="C2129" s="2">
        <v>100.88</v>
      </c>
      <c r="D2129" s="1">
        <v>43283</v>
      </c>
      <c r="E2129" t="str">
        <f>"T3 201807021770"</f>
        <v>T3 201807021770</v>
      </c>
      <c r="F2129" t="str">
        <f>"SOCIAL SECURITY TAXES"</f>
        <v>SOCIAL SECURITY TAXES</v>
      </c>
      <c r="G2129" s="3">
        <v>44.26</v>
      </c>
      <c r="H2129" t="str">
        <f>"SOCIAL SECURITY TAXES"</f>
        <v>SOCIAL SECURITY TAXES</v>
      </c>
    </row>
    <row r="2130" spans="1:8" x14ac:dyDescent="0.25">
      <c r="E2130" t="str">
        <f>""</f>
        <v/>
      </c>
      <c r="F2130" t="str">
        <f>""</f>
        <v/>
      </c>
      <c r="H2130" t="str">
        <f>"SOCIAL SECURITY TAXES"</f>
        <v>SOCIAL SECURITY TAXES</v>
      </c>
    </row>
    <row r="2131" spans="1:8" x14ac:dyDescent="0.25">
      <c r="E2131" t="str">
        <f>"T3 201807021771"</f>
        <v>T3 201807021771</v>
      </c>
      <c r="F2131" t="str">
        <f>"SOCIAL SECURITY TAXES"</f>
        <v>SOCIAL SECURITY TAXES</v>
      </c>
      <c r="G2131" s="3">
        <v>37.5</v>
      </c>
      <c r="H2131" t="str">
        <f>"SOCIAL SECURITY TAXES"</f>
        <v>SOCIAL SECURITY TAXES</v>
      </c>
    </row>
    <row r="2132" spans="1:8" x14ac:dyDescent="0.25">
      <c r="E2132" t="str">
        <f>""</f>
        <v/>
      </c>
      <c r="F2132" t="str">
        <f>""</f>
        <v/>
      </c>
      <c r="H2132" t="str">
        <f>"SOCIAL SECURITY TAXES"</f>
        <v>SOCIAL SECURITY TAXES</v>
      </c>
    </row>
    <row r="2133" spans="1:8" x14ac:dyDescent="0.25">
      <c r="E2133" t="str">
        <f>"T4 201807021770"</f>
        <v>T4 201807021770</v>
      </c>
      <c r="F2133" t="str">
        <f>"MEDICARE TAXES"</f>
        <v>MEDICARE TAXES</v>
      </c>
      <c r="G2133" s="3">
        <v>10.36</v>
      </c>
      <c r="H2133" t="str">
        <f>"MEDICARE TAXES"</f>
        <v>MEDICARE TAXES</v>
      </c>
    </row>
    <row r="2134" spans="1:8" x14ac:dyDescent="0.25">
      <c r="E2134" t="str">
        <f>""</f>
        <v/>
      </c>
      <c r="F2134" t="str">
        <f>""</f>
        <v/>
      </c>
      <c r="H2134" t="str">
        <f>"MEDICARE TAXES"</f>
        <v>MEDICARE TAXES</v>
      </c>
    </row>
    <row r="2135" spans="1:8" x14ac:dyDescent="0.25">
      <c r="E2135" t="str">
        <f>"T4 201807021771"</f>
        <v>T4 201807021771</v>
      </c>
      <c r="F2135" t="str">
        <f>"MEDICARE TAXES"</f>
        <v>MEDICARE TAXES</v>
      </c>
      <c r="G2135" s="3">
        <v>8.76</v>
      </c>
      <c r="H2135" t="str">
        <f>"MEDICARE TAXES"</f>
        <v>MEDICARE TAXES</v>
      </c>
    </row>
    <row r="2136" spans="1:8" x14ac:dyDescent="0.25">
      <c r="E2136" t="str">
        <f>""</f>
        <v/>
      </c>
      <c r="F2136" t="str">
        <f>""</f>
        <v/>
      </c>
      <c r="H2136" t="str">
        <f>"MEDICARE TAXES"</f>
        <v>MEDICARE TAXES</v>
      </c>
    </row>
    <row r="2137" spans="1:8" x14ac:dyDescent="0.25">
      <c r="A2137" t="s">
        <v>534</v>
      </c>
      <c r="B2137">
        <v>0</v>
      </c>
      <c r="C2137" s="2">
        <v>210434.9</v>
      </c>
      <c r="D2137" s="1">
        <v>43294</v>
      </c>
      <c r="E2137" t="str">
        <f>"T1 201807112168"</f>
        <v>T1 201807112168</v>
      </c>
      <c r="F2137" t="str">
        <f>"FEDERAL WITHHOLDING"</f>
        <v>FEDERAL WITHHOLDING</v>
      </c>
      <c r="G2137" s="3">
        <v>67423.789999999994</v>
      </c>
      <c r="H2137" t="str">
        <f>"FEDERAL WITHHOLDING"</f>
        <v>FEDERAL WITHHOLDING</v>
      </c>
    </row>
    <row r="2138" spans="1:8" x14ac:dyDescent="0.25">
      <c r="E2138" t="str">
        <f>"T1 201807112169"</f>
        <v>T1 201807112169</v>
      </c>
      <c r="F2138" t="str">
        <f>"FEDERAL WITHHOLDING"</f>
        <v>FEDERAL WITHHOLDING</v>
      </c>
      <c r="G2138" s="3">
        <v>2804.92</v>
      </c>
      <c r="H2138" t="str">
        <f>"FEDERAL WITHHOLDING"</f>
        <v>FEDERAL WITHHOLDING</v>
      </c>
    </row>
    <row r="2139" spans="1:8" x14ac:dyDescent="0.25">
      <c r="E2139" t="str">
        <f>"T1 201807112170"</f>
        <v>T1 201807112170</v>
      </c>
      <c r="F2139" t="str">
        <f>"FEDERAL WITHHOLDING"</f>
        <v>FEDERAL WITHHOLDING</v>
      </c>
      <c r="G2139" s="3">
        <v>3893.39</v>
      </c>
      <c r="H2139" t="str">
        <f>"FEDERAL WITHHOLDING"</f>
        <v>FEDERAL WITHHOLDING</v>
      </c>
    </row>
    <row r="2140" spans="1:8" x14ac:dyDescent="0.25">
      <c r="E2140" t="str">
        <f>"T3 201807112168"</f>
        <v>T3 201807112168</v>
      </c>
      <c r="F2140" t="str">
        <f>"SOCIAL SECURITY TAXES"</f>
        <v>SOCIAL SECURITY TAXES</v>
      </c>
      <c r="G2140" s="3">
        <v>100650.92</v>
      </c>
      <c r="H2140" t="str">
        <f t="shared" ref="H2140:H2171" si="31">"SOCIAL SECURITY TAXES"</f>
        <v>SOCIAL SECURITY TAXES</v>
      </c>
    </row>
    <row r="2141" spans="1:8" x14ac:dyDescent="0.25">
      <c r="E2141" t="str">
        <f>""</f>
        <v/>
      </c>
      <c r="F2141" t="str">
        <f>""</f>
        <v/>
      </c>
      <c r="H2141" t="str">
        <f t="shared" si="31"/>
        <v>SOCIAL SECURITY TAXES</v>
      </c>
    </row>
    <row r="2142" spans="1:8" x14ac:dyDescent="0.25">
      <c r="E2142" t="str">
        <f>""</f>
        <v/>
      </c>
      <c r="F2142" t="str">
        <f>""</f>
        <v/>
      </c>
      <c r="H2142" t="str">
        <f t="shared" si="31"/>
        <v>SOCIAL SECURITY TAXES</v>
      </c>
    </row>
    <row r="2143" spans="1:8" x14ac:dyDescent="0.25">
      <c r="E2143" t="str">
        <f>""</f>
        <v/>
      </c>
      <c r="F2143" t="str">
        <f>""</f>
        <v/>
      </c>
      <c r="H2143" t="str">
        <f t="shared" si="31"/>
        <v>SOCIAL SECURITY TAXES</v>
      </c>
    </row>
    <row r="2144" spans="1:8" x14ac:dyDescent="0.25">
      <c r="E2144" t="str">
        <f>""</f>
        <v/>
      </c>
      <c r="F2144" t="str">
        <f>""</f>
        <v/>
      </c>
      <c r="H2144" t="str">
        <f t="shared" si="31"/>
        <v>SOCIAL SECURITY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31"/>
        <v>SOCIAL SECURITY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31"/>
        <v>SOCIAL SECURITY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31"/>
        <v>SOCIAL SECURITY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31"/>
        <v>SOCIAL SECURITY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31"/>
        <v>SOCIAL SECURITY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31"/>
        <v>SOCIAL SECURITY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31"/>
        <v>SOCIAL SECURITY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31"/>
        <v>SOCIAL SECURITY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31"/>
        <v>SOCIAL SECURITY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31"/>
        <v>SOCIAL SECURITY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31"/>
        <v>SOCIAL SECURITY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31"/>
        <v>SOCIAL SECURITY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31"/>
        <v>SOCIAL SECURITY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31"/>
        <v>SOCIAL SECURITY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31"/>
        <v>SOCIAL SECURITY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31"/>
        <v>SOCIAL SECURITY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31"/>
        <v>SOCIAL SECURITY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31"/>
        <v>SOCIAL SECURITY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31"/>
        <v>SOCIAL SECURITY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31"/>
        <v>SOCIAL SECURITY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31"/>
        <v>SOCIAL SECURITY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31"/>
        <v>SOCIAL SECURITY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31"/>
        <v>SOCIAL SECURITY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31"/>
        <v>SOCIAL SECURITY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31"/>
        <v>SOCIAL SECURITY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31"/>
        <v>SOCIAL SECURITY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31"/>
        <v>SOCIAL SECURITY TAXES</v>
      </c>
    </row>
    <row r="2172" spans="5:8" x14ac:dyDescent="0.25">
      <c r="E2172" t="str">
        <f>""</f>
        <v/>
      </c>
      <c r="F2172" t="str">
        <f>""</f>
        <v/>
      </c>
      <c r="H2172" t="str">
        <f t="shared" ref="H2172:H2198" si="32">"SOCIAL SECURITY TAXES"</f>
        <v>SOCIAL SECURITY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32"/>
        <v>SOCIAL SECURITY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32"/>
        <v>SOCIAL SECURITY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32"/>
        <v>SOCIAL SECURITY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32"/>
        <v>SOCIAL SECURITY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32"/>
        <v>SOCIAL SECURITY TAXES</v>
      </c>
    </row>
    <row r="2178" spans="5:8" x14ac:dyDescent="0.25">
      <c r="E2178" t="str">
        <f>""</f>
        <v/>
      </c>
      <c r="F2178" t="str">
        <f>""</f>
        <v/>
      </c>
      <c r="H2178" t="str">
        <f t="shared" si="32"/>
        <v>SOCIAL SECURITY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32"/>
        <v>SOCIAL SECURITY TAXES</v>
      </c>
    </row>
    <row r="2180" spans="5:8" x14ac:dyDescent="0.25">
      <c r="E2180" t="str">
        <f>""</f>
        <v/>
      </c>
      <c r="F2180" t="str">
        <f>""</f>
        <v/>
      </c>
      <c r="H2180" t="str">
        <f t="shared" si="32"/>
        <v>SOCIAL SECURITY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32"/>
        <v>SOCIAL SECURITY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32"/>
        <v>SOCIAL SECURITY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32"/>
        <v>SOCIAL SECURITY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32"/>
        <v>SOCIAL SECURITY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32"/>
        <v>SOCIAL SECURITY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32"/>
        <v>SOCIAL SECURITY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32"/>
        <v>SOCIAL SECURITY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32"/>
        <v>SOCIAL SECURITY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32"/>
        <v>SOCIAL SECURITY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32"/>
        <v>SOCIAL SECURITY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32"/>
        <v>SOCIAL SECURITY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32"/>
        <v>SOCIAL SECURITY TAXES</v>
      </c>
    </row>
    <row r="2193" spans="5:8" x14ac:dyDescent="0.25">
      <c r="E2193" t="str">
        <f>"T3 201807112169"</f>
        <v>T3 201807112169</v>
      </c>
      <c r="F2193" t="str">
        <f>"SOCIAL SECURITY TAXES"</f>
        <v>SOCIAL SECURITY TAXES</v>
      </c>
      <c r="G2193" s="3">
        <v>3852.34</v>
      </c>
      <c r="H2193" t="str">
        <f t="shared" si="32"/>
        <v>SOCIAL SECURITY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32"/>
        <v>SOCIAL SECURITY TAXES</v>
      </c>
    </row>
    <row r="2195" spans="5:8" x14ac:dyDescent="0.25">
      <c r="E2195" t="str">
        <f>"T3 201807112170"</f>
        <v>T3 201807112170</v>
      </c>
      <c r="F2195" t="str">
        <f>"SOCIAL SECURITY TAXES"</f>
        <v>SOCIAL SECURITY TAXES</v>
      </c>
      <c r="G2195" s="3">
        <v>5638</v>
      </c>
      <c r="H2195" t="str">
        <f t="shared" si="32"/>
        <v>SOCIAL SECURITY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32"/>
        <v>SOCIAL SECURITY TAXES</v>
      </c>
    </row>
    <row r="2197" spans="5:8" x14ac:dyDescent="0.25">
      <c r="E2197" t="str">
        <f>"T3 201807122187"</f>
        <v>T3 201807122187</v>
      </c>
      <c r="F2197" t="str">
        <f>"SOCIAL SECURITY TAXES"</f>
        <v>SOCIAL SECURITY TAXES</v>
      </c>
      <c r="G2197" s="3">
        <v>334.5</v>
      </c>
      <c r="H2197" t="str">
        <f t="shared" si="32"/>
        <v>SOCIAL SECURITY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32"/>
        <v>SOCIAL SECURITY TAXES</v>
      </c>
    </row>
    <row r="2199" spans="5:8" x14ac:dyDescent="0.25">
      <c r="E2199" t="str">
        <f>"T4 201807112168"</f>
        <v>T4 201807112168</v>
      </c>
      <c r="F2199" t="str">
        <f>"MEDICARE TAXES"</f>
        <v>MEDICARE TAXES</v>
      </c>
      <c r="G2199" s="3">
        <v>23539.24</v>
      </c>
      <c r="H2199" t="str">
        <f t="shared" ref="H2199:H2230" si="33">"MEDICARE TAXES"</f>
        <v>MEDICARE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33"/>
        <v>MEDICARE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33"/>
        <v>MEDICARE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33"/>
        <v>MEDICARE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33"/>
        <v>MEDICARE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33"/>
        <v>MEDICARE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33"/>
        <v>MEDICARE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33"/>
        <v>MEDICARE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33"/>
        <v>MEDICARE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33"/>
        <v>MEDICARE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33"/>
        <v>MEDICARE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33"/>
        <v>MEDICARE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33"/>
        <v>MEDICARE TAXES</v>
      </c>
    </row>
    <row r="2212" spans="5:8" x14ac:dyDescent="0.25">
      <c r="E2212" t="str">
        <f>""</f>
        <v/>
      </c>
      <c r="F2212" t="str">
        <f>""</f>
        <v/>
      </c>
      <c r="H2212" t="str">
        <f t="shared" si="33"/>
        <v>MEDICARE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33"/>
        <v>MEDICARE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33"/>
        <v>MEDICARE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33"/>
        <v>MEDICARE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33"/>
        <v>MEDICARE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33"/>
        <v>MEDICARE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33"/>
        <v>MEDICARE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33"/>
        <v>MEDICARE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33"/>
        <v>MEDICARE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33"/>
        <v>MEDICARE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33"/>
        <v>MEDICARE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33"/>
        <v>MEDICARE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33"/>
        <v>MEDICARE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33"/>
        <v>MEDICARE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33"/>
        <v>MEDICARE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33"/>
        <v>MEDICARE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33"/>
        <v>MEDICARE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33"/>
        <v>MEDICARE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33"/>
        <v>MEDICARE TAXES</v>
      </c>
    </row>
    <row r="2231" spans="5:8" x14ac:dyDescent="0.25">
      <c r="E2231" t="str">
        <f>""</f>
        <v/>
      </c>
      <c r="F2231" t="str">
        <f>""</f>
        <v/>
      </c>
      <c r="H2231" t="str">
        <f t="shared" ref="H2231:H2257" si="34">"MEDICARE TAXES"</f>
        <v>MEDICARE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34"/>
        <v>MEDICARE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34"/>
        <v>MEDICARE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34"/>
        <v>MEDICARE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34"/>
        <v>MEDICARE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34"/>
        <v>MEDICARE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34"/>
        <v>MEDICARE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34"/>
        <v>MEDICARE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34"/>
        <v>MEDICARE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34"/>
        <v>MEDICARE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34"/>
        <v>MEDICARE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34"/>
        <v>MEDICARE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34"/>
        <v>MEDICARE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34"/>
        <v>MEDICARE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34"/>
        <v>MEDICARE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34"/>
        <v>MEDICARE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34"/>
        <v>MEDICARE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34"/>
        <v>MEDICARE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34"/>
        <v>MEDICARE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34"/>
        <v>MEDICARE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34"/>
        <v>MEDICARE TAXES</v>
      </c>
    </row>
    <row r="2252" spans="5:8" x14ac:dyDescent="0.25">
      <c r="E2252" t="str">
        <f>"T4 201807112169"</f>
        <v>T4 201807112169</v>
      </c>
      <c r="F2252" t="str">
        <f>"MEDICARE TAXES"</f>
        <v>MEDICARE TAXES</v>
      </c>
      <c r="G2252" s="3">
        <v>900.96</v>
      </c>
      <c r="H2252" t="str">
        <f t="shared" si="34"/>
        <v>MEDICARE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34"/>
        <v>MEDICARE TAXES</v>
      </c>
    </row>
    <row r="2254" spans="5:8" x14ac:dyDescent="0.25">
      <c r="E2254" t="str">
        <f>"T4 201807112170"</f>
        <v>T4 201807112170</v>
      </c>
      <c r="F2254" t="str">
        <f>"MEDICARE TAXES"</f>
        <v>MEDICARE TAXES</v>
      </c>
      <c r="G2254" s="3">
        <v>1318.6</v>
      </c>
      <c r="H2254" t="str">
        <f t="shared" si="34"/>
        <v>MEDICARE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34"/>
        <v>MEDICARE TAXES</v>
      </c>
    </row>
    <row r="2256" spans="5:8" x14ac:dyDescent="0.25">
      <c r="E2256" t="str">
        <f>"T4 201807122187"</f>
        <v>T4 201807122187</v>
      </c>
      <c r="F2256" t="str">
        <f>"MEDICARE TAXES"</f>
        <v>MEDICARE TAXES</v>
      </c>
      <c r="G2256" s="3">
        <v>78.239999999999995</v>
      </c>
      <c r="H2256" t="str">
        <f t="shared" si="34"/>
        <v>MEDICARE TAXES</v>
      </c>
    </row>
    <row r="2257" spans="1:8" x14ac:dyDescent="0.25">
      <c r="E2257" t="str">
        <f>""</f>
        <v/>
      </c>
      <c r="F2257" t="str">
        <f>""</f>
        <v/>
      </c>
      <c r="H2257" t="str">
        <f t="shared" si="34"/>
        <v>MEDICARE TAXES</v>
      </c>
    </row>
    <row r="2258" spans="1:8" x14ac:dyDescent="0.25">
      <c r="A2258" t="s">
        <v>534</v>
      </c>
      <c r="B2258">
        <v>0</v>
      </c>
      <c r="C2258" s="2">
        <v>208271.04</v>
      </c>
      <c r="D2258" s="1">
        <v>43308</v>
      </c>
      <c r="E2258" t="str">
        <f>"T1 201807252397"</f>
        <v>T1 201807252397</v>
      </c>
      <c r="F2258" t="str">
        <f>"FEDERAL WITHHOLDING"</f>
        <v>FEDERAL WITHHOLDING</v>
      </c>
      <c r="G2258" s="3">
        <v>67132.27</v>
      </c>
      <c r="H2258" t="str">
        <f>"FEDERAL WITHHOLDING"</f>
        <v>FEDERAL WITHHOLDING</v>
      </c>
    </row>
    <row r="2259" spans="1:8" x14ac:dyDescent="0.25">
      <c r="E2259" t="str">
        <f>"T1 201807252398"</f>
        <v>T1 201807252398</v>
      </c>
      <c r="F2259" t="str">
        <f>"FEDERAL WITHHOLDING"</f>
        <v>FEDERAL WITHHOLDING</v>
      </c>
      <c r="G2259" s="3">
        <v>2776.61</v>
      </c>
      <c r="H2259" t="str">
        <f>"FEDERAL WITHHOLDING"</f>
        <v>FEDERAL WITHHOLDING</v>
      </c>
    </row>
    <row r="2260" spans="1:8" x14ac:dyDescent="0.25">
      <c r="E2260" t="str">
        <f>"T1 201807252399"</f>
        <v>T1 201807252399</v>
      </c>
      <c r="F2260" t="str">
        <f>"FEDERAL WITHHOLDING"</f>
        <v>FEDERAL WITHHOLDING</v>
      </c>
      <c r="G2260" s="3">
        <v>3355.66</v>
      </c>
      <c r="H2260" t="str">
        <f>"FEDERAL WITHHOLDING"</f>
        <v>FEDERAL WITHHOLDING</v>
      </c>
    </row>
    <row r="2261" spans="1:8" x14ac:dyDescent="0.25">
      <c r="E2261" t="str">
        <f>"T3 201807252397"</f>
        <v>T3 201807252397</v>
      </c>
      <c r="F2261" t="str">
        <f>"SOCIAL SECURITY TAXES"</f>
        <v>SOCIAL SECURITY TAXES</v>
      </c>
      <c r="G2261" s="3">
        <v>100434.86</v>
      </c>
      <c r="H2261" t="str">
        <f t="shared" ref="H2261:H2292" si="35">"SOCIAL SECURITY TAXES"</f>
        <v>SOCIAL SECURITY TAXES</v>
      </c>
    </row>
    <row r="2262" spans="1:8" x14ac:dyDescent="0.25">
      <c r="E2262" t="str">
        <f>""</f>
        <v/>
      </c>
      <c r="F2262" t="str">
        <f>""</f>
        <v/>
      </c>
      <c r="H2262" t="str">
        <f t="shared" si="35"/>
        <v>SOCIAL SECURITY TAXES</v>
      </c>
    </row>
    <row r="2263" spans="1:8" x14ac:dyDescent="0.25">
      <c r="E2263" t="str">
        <f>""</f>
        <v/>
      </c>
      <c r="F2263" t="str">
        <f>""</f>
        <v/>
      </c>
      <c r="H2263" t="str">
        <f t="shared" si="35"/>
        <v>SOCIAL SECURITY TAXES</v>
      </c>
    </row>
    <row r="2264" spans="1:8" x14ac:dyDescent="0.25">
      <c r="E2264" t="str">
        <f>""</f>
        <v/>
      </c>
      <c r="F2264" t="str">
        <f>""</f>
        <v/>
      </c>
      <c r="H2264" t="str">
        <f t="shared" si="35"/>
        <v>SOCIAL SECURITY TAXES</v>
      </c>
    </row>
    <row r="2265" spans="1:8" x14ac:dyDescent="0.25">
      <c r="E2265" t="str">
        <f>""</f>
        <v/>
      </c>
      <c r="F2265" t="str">
        <f>""</f>
        <v/>
      </c>
      <c r="H2265" t="str">
        <f t="shared" si="35"/>
        <v>SOCIAL SECURITY TAXES</v>
      </c>
    </row>
    <row r="2266" spans="1:8" x14ac:dyDescent="0.25">
      <c r="E2266" t="str">
        <f>""</f>
        <v/>
      </c>
      <c r="F2266" t="str">
        <f>""</f>
        <v/>
      </c>
      <c r="H2266" t="str">
        <f t="shared" si="35"/>
        <v>SOCIAL SECURITY TAXES</v>
      </c>
    </row>
    <row r="2267" spans="1:8" x14ac:dyDescent="0.25">
      <c r="E2267" t="str">
        <f>""</f>
        <v/>
      </c>
      <c r="F2267" t="str">
        <f>""</f>
        <v/>
      </c>
      <c r="H2267" t="str">
        <f t="shared" si="35"/>
        <v>SOCIAL SECURITY TAXES</v>
      </c>
    </row>
    <row r="2268" spans="1:8" x14ac:dyDescent="0.25">
      <c r="E2268" t="str">
        <f>""</f>
        <v/>
      </c>
      <c r="F2268" t="str">
        <f>""</f>
        <v/>
      </c>
      <c r="H2268" t="str">
        <f t="shared" si="35"/>
        <v>SOCIAL SECURITY TAXES</v>
      </c>
    </row>
    <row r="2269" spans="1:8" x14ac:dyDescent="0.25">
      <c r="E2269" t="str">
        <f>""</f>
        <v/>
      </c>
      <c r="F2269" t="str">
        <f>""</f>
        <v/>
      </c>
      <c r="H2269" t="str">
        <f t="shared" si="35"/>
        <v>SOCIAL SECURITY TAXES</v>
      </c>
    </row>
    <row r="2270" spans="1:8" x14ac:dyDescent="0.25">
      <c r="E2270" t="str">
        <f>""</f>
        <v/>
      </c>
      <c r="F2270" t="str">
        <f>""</f>
        <v/>
      </c>
      <c r="H2270" t="str">
        <f t="shared" si="35"/>
        <v>SOCIAL SECURITY TAXES</v>
      </c>
    </row>
    <row r="2271" spans="1:8" x14ac:dyDescent="0.25">
      <c r="E2271" t="str">
        <f>""</f>
        <v/>
      </c>
      <c r="F2271" t="str">
        <f>""</f>
        <v/>
      </c>
      <c r="H2271" t="str">
        <f t="shared" si="35"/>
        <v>SOCIAL SECURITY TAXES</v>
      </c>
    </row>
    <row r="2272" spans="1:8" x14ac:dyDescent="0.25">
      <c r="E2272" t="str">
        <f>""</f>
        <v/>
      </c>
      <c r="F2272" t="str">
        <f>""</f>
        <v/>
      </c>
      <c r="H2272" t="str">
        <f t="shared" si="35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35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35"/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35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35"/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35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35"/>
        <v>SOCIAL SECURITY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35"/>
        <v>SOCIAL SECURITY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35"/>
        <v>SOCIAL SECURITY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35"/>
        <v>SOCIAL SECURITY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35"/>
        <v>SOCIAL SECURITY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35"/>
        <v>SOCIAL SECURITY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35"/>
        <v>SOCIAL SECURITY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35"/>
        <v>SOCIAL SECURITY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35"/>
        <v>SOCIAL SECURITY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35"/>
        <v>SOCIAL SECURITY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35"/>
        <v>SOCIAL SECURITY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35"/>
        <v>SOCIAL SECURITY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35"/>
        <v>SOCIAL SECURITY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35"/>
        <v>SOCIAL SECURITY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35"/>
        <v>SOCIAL SECURITY TAXES</v>
      </c>
    </row>
    <row r="2293" spans="5:8" x14ac:dyDescent="0.25">
      <c r="E2293" t="str">
        <f>""</f>
        <v/>
      </c>
      <c r="F2293" t="str">
        <f>""</f>
        <v/>
      </c>
      <c r="H2293" t="str">
        <f t="shared" ref="H2293:H2317" si="36">"SOCIAL SECURITY TAXES"</f>
        <v>SOCIAL SECURITY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36"/>
        <v>SOCIAL SECURITY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36"/>
        <v>SOCIAL SECURITY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36"/>
        <v>SOCIAL SECURITY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36"/>
        <v>SOCIAL SECURITY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36"/>
        <v>SOCIAL SECURITY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36"/>
        <v>SOCIAL SECURITY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36"/>
        <v>SOCIAL SECURITY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36"/>
        <v>SOCIAL SECURITY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36"/>
        <v>SOCIAL SECURITY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36"/>
        <v>SOCIAL SECURITY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36"/>
        <v>SOCIAL SECURITY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36"/>
        <v>SOCIAL SECURITY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36"/>
        <v>SOCIAL SECURITY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36"/>
        <v>SOCIAL SECURITY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36"/>
        <v>SOCIAL SECURITY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36"/>
        <v>SOCIAL SECURITY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36"/>
        <v>SOCIAL SECURITY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36"/>
        <v>SOCIAL SECURITY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36"/>
        <v>SOCIAL SECURITY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36"/>
        <v>SOCIAL SECURITY TAXES</v>
      </c>
    </row>
    <row r="2314" spans="5:8" x14ac:dyDescent="0.25">
      <c r="E2314" t="str">
        <f>"T3 201807252398"</f>
        <v>T3 201807252398</v>
      </c>
      <c r="F2314" t="str">
        <f>"SOCIAL SECURITY TAXES"</f>
        <v>SOCIAL SECURITY TAXES</v>
      </c>
      <c r="G2314" s="3">
        <v>3873.54</v>
      </c>
      <c r="H2314" t="str">
        <f t="shared" si="36"/>
        <v>SOCIAL SECURITY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36"/>
        <v>SOCIAL SECURITY TAXES</v>
      </c>
    </row>
    <row r="2316" spans="5:8" x14ac:dyDescent="0.25">
      <c r="E2316" t="str">
        <f>"T3 201807252399"</f>
        <v>T3 201807252399</v>
      </c>
      <c r="F2316" t="str">
        <f>"SOCIAL SECURITY TAXES"</f>
        <v>SOCIAL SECURITY TAXES</v>
      </c>
      <c r="G2316" s="3">
        <v>5108.6400000000003</v>
      </c>
      <c r="H2316" t="str">
        <f t="shared" si="36"/>
        <v>SOCIAL SECURITY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36"/>
        <v>SOCIAL SECURITY TAXES</v>
      </c>
    </row>
    <row r="2318" spans="5:8" x14ac:dyDescent="0.25">
      <c r="E2318" t="str">
        <f>"T4 201807252397"</f>
        <v>T4 201807252397</v>
      </c>
      <c r="F2318" t="str">
        <f>"MEDICARE TAXES"</f>
        <v>MEDICARE TAXES</v>
      </c>
      <c r="G2318" s="3">
        <v>23488.74</v>
      </c>
      <c r="H2318" t="str">
        <f t="shared" ref="H2318:H2349" si="37">"MEDICARE TAXES"</f>
        <v>MEDICARE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37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37"/>
        <v>MEDICARE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37"/>
        <v>MEDICARE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37"/>
        <v>MEDICARE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37"/>
        <v>MEDICARE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37"/>
        <v>MEDICARE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37"/>
        <v>MEDICARE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37"/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37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37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37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37"/>
        <v>MEDICARE TAXES</v>
      </c>
    </row>
    <row r="2331" spans="5:8" x14ac:dyDescent="0.25">
      <c r="E2331" t="str">
        <f>""</f>
        <v/>
      </c>
      <c r="F2331" t="str">
        <f>""</f>
        <v/>
      </c>
      <c r="H2331" t="str">
        <f t="shared" si="37"/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37"/>
        <v>MEDICARE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37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37"/>
        <v>MEDICARE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37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37"/>
        <v>MEDICARE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37"/>
        <v>MEDICARE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37"/>
        <v>MEDICARE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37"/>
        <v>MEDICARE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37"/>
        <v>MEDICARE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37"/>
        <v>MEDICARE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37"/>
        <v>MEDICARE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37"/>
        <v>MEDICARE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37"/>
        <v>MEDICARE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37"/>
        <v>MEDICARE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37"/>
        <v>MEDICARE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37"/>
        <v>MEDICARE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37"/>
        <v>MEDICARE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37"/>
        <v>MEDICARE TAXES</v>
      </c>
    </row>
    <row r="2350" spans="5:8" x14ac:dyDescent="0.25">
      <c r="E2350" t="str">
        <f>""</f>
        <v/>
      </c>
      <c r="F2350" t="str">
        <f>""</f>
        <v/>
      </c>
      <c r="H2350" t="str">
        <f t="shared" ref="H2350:H2374" si="38">"MEDICARE TAXES"</f>
        <v>MEDICARE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38"/>
        <v>MEDICARE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38"/>
        <v>MEDICARE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38"/>
        <v>MEDICARE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38"/>
        <v>MEDICARE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38"/>
        <v>MEDICARE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38"/>
        <v>MEDICARE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38"/>
        <v>MEDICARE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38"/>
        <v>MEDICARE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38"/>
        <v>MEDICARE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38"/>
        <v>MEDICARE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38"/>
        <v>MEDICARE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38"/>
        <v>MEDICARE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38"/>
        <v>MEDICARE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38"/>
        <v>MEDICARE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38"/>
        <v>MEDICARE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38"/>
        <v>MEDICARE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38"/>
        <v>MEDICARE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38"/>
        <v>MEDICARE TAXES</v>
      </c>
    </row>
    <row r="2369" spans="1:8" x14ac:dyDescent="0.25">
      <c r="E2369" t="str">
        <f>""</f>
        <v/>
      </c>
      <c r="F2369" t="str">
        <f>""</f>
        <v/>
      </c>
      <c r="H2369" t="str">
        <f t="shared" si="38"/>
        <v>MEDICARE TAXES</v>
      </c>
    </row>
    <row r="2370" spans="1:8" x14ac:dyDescent="0.25">
      <c r="E2370" t="str">
        <f>""</f>
        <v/>
      </c>
      <c r="F2370" t="str">
        <f>""</f>
        <v/>
      </c>
      <c r="H2370" t="str">
        <f t="shared" si="38"/>
        <v>MEDICARE TAXES</v>
      </c>
    </row>
    <row r="2371" spans="1:8" x14ac:dyDescent="0.25">
      <c r="E2371" t="str">
        <f>"T4 201807252398"</f>
        <v>T4 201807252398</v>
      </c>
      <c r="F2371" t="str">
        <f>"MEDICARE TAXES"</f>
        <v>MEDICARE TAXES</v>
      </c>
      <c r="G2371" s="3">
        <v>905.94</v>
      </c>
      <c r="H2371" t="str">
        <f t="shared" si="38"/>
        <v>MEDICARE TAXES</v>
      </c>
    </row>
    <row r="2372" spans="1:8" x14ac:dyDescent="0.25">
      <c r="E2372" t="str">
        <f>""</f>
        <v/>
      </c>
      <c r="F2372" t="str">
        <f>""</f>
        <v/>
      </c>
      <c r="H2372" t="str">
        <f t="shared" si="38"/>
        <v>MEDICARE TAXES</v>
      </c>
    </row>
    <row r="2373" spans="1:8" x14ac:dyDescent="0.25">
      <c r="E2373" t="str">
        <f>"T4 201807252399"</f>
        <v>T4 201807252399</v>
      </c>
      <c r="F2373" t="str">
        <f>"MEDICARE TAXES"</f>
        <v>MEDICARE TAXES</v>
      </c>
      <c r="G2373" s="3">
        <v>1194.78</v>
      </c>
      <c r="H2373" t="str">
        <f t="shared" si="38"/>
        <v>MEDICARE TAXES</v>
      </c>
    </row>
    <row r="2374" spans="1:8" x14ac:dyDescent="0.25">
      <c r="E2374" t="str">
        <f>""</f>
        <v/>
      </c>
      <c r="F2374" t="str">
        <f>""</f>
        <v/>
      </c>
      <c r="H2374" t="str">
        <f t="shared" si="38"/>
        <v>MEDICARE TAXES</v>
      </c>
    </row>
    <row r="2375" spans="1:8" x14ac:dyDescent="0.25">
      <c r="A2375" t="s">
        <v>535</v>
      </c>
      <c r="B2375">
        <v>46483</v>
      </c>
      <c r="C2375" s="2">
        <v>268.74</v>
      </c>
      <c r="D2375" s="1">
        <v>43294</v>
      </c>
      <c r="E2375" t="str">
        <f>"C64201807112168"</f>
        <v>C64201807112168</v>
      </c>
      <c r="F2375" t="str">
        <f>"CASE #912745322"</f>
        <v>CASE #912745322</v>
      </c>
      <c r="G2375" s="3">
        <v>268.74</v>
      </c>
      <c r="H2375" t="str">
        <f>"CASE #912745322"</f>
        <v>CASE #912745322</v>
      </c>
    </row>
    <row r="2376" spans="1:8" x14ac:dyDescent="0.25">
      <c r="A2376" t="s">
        <v>535</v>
      </c>
      <c r="B2376">
        <v>46508</v>
      </c>
      <c r="C2376" s="2">
        <v>268.74</v>
      </c>
      <c r="D2376" s="1">
        <v>43308</v>
      </c>
      <c r="E2376" t="str">
        <f>"C64201807252397"</f>
        <v>C64201807252397</v>
      </c>
      <c r="F2376" t="str">
        <f>"CASE #912745322"</f>
        <v>CASE #912745322</v>
      </c>
      <c r="G2376" s="3">
        <v>268.74</v>
      </c>
      <c r="H2376" t="str">
        <f>"CASE #912745322"</f>
        <v>CASE #912745322</v>
      </c>
    </row>
    <row r="2377" spans="1:8" x14ac:dyDescent="0.25">
      <c r="A2377" t="s">
        <v>536</v>
      </c>
      <c r="B2377">
        <v>0</v>
      </c>
      <c r="C2377" s="2">
        <v>28070.74</v>
      </c>
      <c r="D2377" s="1">
        <v>43312</v>
      </c>
      <c r="E2377" t="str">
        <f>"201807312415"</f>
        <v>201807312415</v>
      </c>
      <c r="F2377" t="str">
        <f>"Retiree July 2018"</f>
        <v>Retiree July 2018</v>
      </c>
      <c r="G2377" s="3">
        <v>28070.74</v>
      </c>
      <c r="H2377" t="str">
        <f>"Retiree July 2018"</f>
        <v>Retiree July 2018</v>
      </c>
    </row>
    <row r="2378" spans="1:8" x14ac:dyDescent="0.25">
      <c r="A2378" t="s">
        <v>537</v>
      </c>
      <c r="B2378">
        <v>0</v>
      </c>
      <c r="C2378" s="2">
        <v>674.82</v>
      </c>
      <c r="D2378" s="1">
        <v>43312</v>
      </c>
      <c r="E2378" t="str">
        <f>"LIX201807112168"</f>
        <v>LIX201807112168</v>
      </c>
      <c r="F2378" t="str">
        <f>"TEXAS LIFE/OLIVO GROUP"</f>
        <v>TEXAS LIFE/OLIVO GROUP</v>
      </c>
      <c r="G2378" s="3">
        <v>337.41</v>
      </c>
      <c r="H2378" t="str">
        <f>"TEXAS LIFE/OLIVO GROUP"</f>
        <v>TEXAS LIFE/OLIVO GROUP</v>
      </c>
    </row>
    <row r="2379" spans="1:8" x14ac:dyDescent="0.25">
      <c r="E2379" t="str">
        <f>"LIX201807252397"</f>
        <v>LIX201807252397</v>
      </c>
      <c r="F2379" t="str">
        <f>"TEXAS LIFE/OLIVO GROUP"</f>
        <v>TEXAS LIFE/OLIVO GROUP</v>
      </c>
      <c r="G2379" s="3">
        <v>337.41</v>
      </c>
      <c r="H2379" t="str">
        <f>"TEXAS LIFE/OLIVO GROUP"</f>
        <v>TEXAS LIFE/OLIVO GROUP</v>
      </c>
    </row>
    <row r="2380" spans="1:8" x14ac:dyDescent="0.25">
      <c r="A2380" t="s">
        <v>538</v>
      </c>
      <c r="B2380">
        <v>46515</v>
      </c>
      <c r="C2380" s="2">
        <v>339226.6</v>
      </c>
      <c r="D2380" s="1">
        <v>43312</v>
      </c>
      <c r="E2380" t="str">
        <f>"201807312422"</f>
        <v>201807312422</v>
      </c>
      <c r="F2380" t="str">
        <f>"Retiree July 2018"</f>
        <v>Retiree July 2018</v>
      </c>
      <c r="G2380" s="3">
        <v>15769.22</v>
      </c>
      <c r="H2380" t="str">
        <f>"TAC HEALTH BENEFITS POOL"</f>
        <v>TAC HEALTH BENEFITS POOL</v>
      </c>
    </row>
    <row r="2381" spans="1:8" x14ac:dyDescent="0.25">
      <c r="E2381" t="str">
        <f>"2EC201807112168"</f>
        <v>2EC201807112168</v>
      </c>
      <c r="F2381" t="str">
        <f>"BCBS PAYABLE"</f>
        <v>BCBS PAYABLE</v>
      </c>
      <c r="G2381" s="3">
        <v>47125.05</v>
      </c>
      <c r="H2381" t="str">
        <f t="shared" ref="H2381:H2444" si="39">"BCBS PAYABLE"</f>
        <v>BCBS PAYABLE</v>
      </c>
    </row>
    <row r="2382" spans="1:8" x14ac:dyDescent="0.25">
      <c r="E2382" t="str">
        <f>""</f>
        <v/>
      </c>
      <c r="F2382" t="str">
        <f>""</f>
        <v/>
      </c>
      <c r="H2382" t="str">
        <f t="shared" si="39"/>
        <v>BCBS PAYABLE</v>
      </c>
    </row>
    <row r="2383" spans="1:8" x14ac:dyDescent="0.25">
      <c r="E2383" t="str">
        <f>""</f>
        <v/>
      </c>
      <c r="F2383" t="str">
        <f>""</f>
        <v/>
      </c>
      <c r="H2383" t="str">
        <f t="shared" si="39"/>
        <v>BCBS PAYABLE</v>
      </c>
    </row>
    <row r="2384" spans="1:8" x14ac:dyDescent="0.25">
      <c r="E2384" t="str">
        <f>""</f>
        <v/>
      </c>
      <c r="F2384" t="str">
        <f>""</f>
        <v/>
      </c>
      <c r="H2384" t="str">
        <f t="shared" si="39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39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39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39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39"/>
        <v>BCBS PAYABLE</v>
      </c>
    </row>
    <row r="2389" spans="5:8" x14ac:dyDescent="0.25">
      <c r="E2389" t="str">
        <f>""</f>
        <v/>
      </c>
      <c r="F2389" t="str">
        <f>""</f>
        <v/>
      </c>
      <c r="H2389" t="str">
        <f t="shared" si="39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39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39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39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39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39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39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si="39"/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39"/>
        <v>BCBS PAYABLE</v>
      </c>
    </row>
    <row r="2398" spans="5:8" x14ac:dyDescent="0.25">
      <c r="E2398" t="str">
        <f>""</f>
        <v/>
      </c>
      <c r="F2398" t="str">
        <f>""</f>
        <v/>
      </c>
      <c r="H2398" t="str">
        <f t="shared" si="39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39"/>
        <v>BCBS PAYABLE</v>
      </c>
    </row>
    <row r="2400" spans="5:8" x14ac:dyDescent="0.25">
      <c r="E2400" t="str">
        <f>""</f>
        <v/>
      </c>
      <c r="F2400" t="str">
        <f>""</f>
        <v/>
      </c>
      <c r="H2400" t="str">
        <f t="shared" si="39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39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39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39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39"/>
        <v>BCBS PAYABLE</v>
      </c>
    </row>
    <row r="2405" spans="5:8" x14ac:dyDescent="0.25">
      <c r="E2405" t="str">
        <f>""</f>
        <v/>
      </c>
      <c r="F2405" t="str">
        <f>""</f>
        <v/>
      </c>
      <c r="H2405" t="str">
        <f t="shared" si="39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39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39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39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39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39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39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39"/>
        <v>BCBS PAYABLE</v>
      </c>
    </row>
    <row r="2413" spans="5:8" x14ac:dyDescent="0.25">
      <c r="E2413" t="str">
        <f>""</f>
        <v/>
      </c>
      <c r="F2413" t="str">
        <f>""</f>
        <v/>
      </c>
      <c r="H2413" t="str">
        <f t="shared" si="39"/>
        <v>BCBS PAYABLE</v>
      </c>
    </row>
    <row r="2414" spans="5:8" x14ac:dyDescent="0.25">
      <c r="E2414" t="str">
        <f>"2EC201807112169"</f>
        <v>2EC201807112169</v>
      </c>
      <c r="F2414" t="str">
        <f>"BCBS PAYABLE"</f>
        <v>BCBS PAYABLE</v>
      </c>
      <c r="G2414" s="3">
        <v>1795.24</v>
      </c>
      <c r="H2414" t="str">
        <f t="shared" si="39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39"/>
        <v>BCBS PAYABLE</v>
      </c>
    </row>
    <row r="2416" spans="5:8" x14ac:dyDescent="0.25">
      <c r="E2416" t="str">
        <f>"2EC201807252397"</f>
        <v>2EC201807252397</v>
      </c>
      <c r="F2416" t="str">
        <f>"BCBS PAYABLE"</f>
        <v>BCBS PAYABLE</v>
      </c>
      <c r="G2416" s="3">
        <v>45329.81</v>
      </c>
      <c r="H2416" t="str">
        <f t="shared" si="39"/>
        <v>BCBS PAYABLE</v>
      </c>
    </row>
    <row r="2417" spans="5:8" x14ac:dyDescent="0.25">
      <c r="E2417" t="str">
        <f>""</f>
        <v/>
      </c>
      <c r="F2417" t="str">
        <f>""</f>
        <v/>
      </c>
      <c r="H2417" t="str">
        <f t="shared" si="39"/>
        <v>BCBS PAYABLE</v>
      </c>
    </row>
    <row r="2418" spans="5:8" x14ac:dyDescent="0.25">
      <c r="E2418" t="str">
        <f>""</f>
        <v/>
      </c>
      <c r="F2418" t="str">
        <f>""</f>
        <v/>
      </c>
      <c r="H2418" t="str">
        <f t="shared" si="39"/>
        <v>BCBS PAYABLE</v>
      </c>
    </row>
    <row r="2419" spans="5:8" x14ac:dyDescent="0.25">
      <c r="E2419" t="str">
        <f>""</f>
        <v/>
      </c>
      <c r="F2419" t="str">
        <f>""</f>
        <v/>
      </c>
      <c r="H2419" t="str">
        <f t="shared" si="39"/>
        <v>BCBS PAYABLE</v>
      </c>
    </row>
    <row r="2420" spans="5:8" x14ac:dyDescent="0.25">
      <c r="E2420" t="str">
        <f>""</f>
        <v/>
      </c>
      <c r="F2420" t="str">
        <f>""</f>
        <v/>
      </c>
      <c r="H2420" t="str">
        <f t="shared" si="39"/>
        <v>BCBS PAYABLE</v>
      </c>
    </row>
    <row r="2421" spans="5:8" x14ac:dyDescent="0.25">
      <c r="E2421" t="str">
        <f>""</f>
        <v/>
      </c>
      <c r="F2421" t="str">
        <f>""</f>
        <v/>
      </c>
      <c r="H2421" t="str">
        <f t="shared" si="39"/>
        <v>BCBS PAYABLE</v>
      </c>
    </row>
    <row r="2422" spans="5:8" x14ac:dyDescent="0.25">
      <c r="E2422" t="str">
        <f>""</f>
        <v/>
      </c>
      <c r="F2422" t="str">
        <f>""</f>
        <v/>
      </c>
      <c r="H2422" t="str">
        <f t="shared" si="39"/>
        <v>BCBS PAYABLE</v>
      </c>
    </row>
    <row r="2423" spans="5:8" x14ac:dyDescent="0.25">
      <c r="E2423" t="str">
        <f>""</f>
        <v/>
      </c>
      <c r="F2423" t="str">
        <f>""</f>
        <v/>
      </c>
      <c r="H2423" t="str">
        <f t="shared" si="39"/>
        <v>BCBS PAYABLE</v>
      </c>
    </row>
    <row r="2424" spans="5:8" x14ac:dyDescent="0.25">
      <c r="E2424" t="str">
        <f>""</f>
        <v/>
      </c>
      <c r="F2424" t="str">
        <f>""</f>
        <v/>
      </c>
      <c r="H2424" t="str">
        <f t="shared" si="39"/>
        <v>BCBS PAYABLE</v>
      </c>
    </row>
    <row r="2425" spans="5:8" x14ac:dyDescent="0.25">
      <c r="E2425" t="str">
        <f>""</f>
        <v/>
      </c>
      <c r="F2425" t="str">
        <f>""</f>
        <v/>
      </c>
      <c r="H2425" t="str">
        <f t="shared" si="39"/>
        <v>BCBS PAYABLE</v>
      </c>
    </row>
    <row r="2426" spans="5:8" x14ac:dyDescent="0.25">
      <c r="E2426" t="str">
        <f>""</f>
        <v/>
      </c>
      <c r="F2426" t="str">
        <f>""</f>
        <v/>
      </c>
      <c r="H2426" t="str">
        <f t="shared" si="39"/>
        <v>BCBS PAYABLE</v>
      </c>
    </row>
    <row r="2427" spans="5:8" x14ac:dyDescent="0.25">
      <c r="E2427" t="str">
        <f>""</f>
        <v/>
      </c>
      <c r="F2427" t="str">
        <f>""</f>
        <v/>
      </c>
      <c r="H2427" t="str">
        <f t="shared" si="39"/>
        <v>BCBS PAYABLE</v>
      </c>
    </row>
    <row r="2428" spans="5:8" x14ac:dyDescent="0.25">
      <c r="E2428" t="str">
        <f>""</f>
        <v/>
      </c>
      <c r="F2428" t="str">
        <f>""</f>
        <v/>
      </c>
      <c r="H2428" t="str">
        <f t="shared" si="39"/>
        <v>BCBS PAYABLE</v>
      </c>
    </row>
    <row r="2429" spans="5:8" x14ac:dyDescent="0.25">
      <c r="E2429" t="str">
        <f>""</f>
        <v/>
      </c>
      <c r="F2429" t="str">
        <f>""</f>
        <v/>
      </c>
      <c r="H2429" t="str">
        <f t="shared" si="39"/>
        <v>BCBS PAYABLE</v>
      </c>
    </row>
    <row r="2430" spans="5:8" x14ac:dyDescent="0.25">
      <c r="E2430" t="str">
        <f>""</f>
        <v/>
      </c>
      <c r="F2430" t="str">
        <f>""</f>
        <v/>
      </c>
      <c r="H2430" t="str">
        <f t="shared" si="39"/>
        <v>BCBS PAYABLE</v>
      </c>
    </row>
    <row r="2431" spans="5:8" x14ac:dyDescent="0.25">
      <c r="E2431" t="str">
        <f>""</f>
        <v/>
      </c>
      <c r="F2431" t="str">
        <f>""</f>
        <v/>
      </c>
      <c r="H2431" t="str">
        <f t="shared" si="39"/>
        <v>BCBS PAYABLE</v>
      </c>
    </row>
    <row r="2432" spans="5:8" x14ac:dyDescent="0.25">
      <c r="E2432" t="str">
        <f>""</f>
        <v/>
      </c>
      <c r="F2432" t="str">
        <f>""</f>
        <v/>
      </c>
      <c r="H2432" t="str">
        <f t="shared" si="39"/>
        <v>BCBS PAYABLE</v>
      </c>
    </row>
    <row r="2433" spans="5:8" x14ac:dyDescent="0.25">
      <c r="E2433" t="str">
        <f>""</f>
        <v/>
      </c>
      <c r="F2433" t="str">
        <f>""</f>
        <v/>
      </c>
      <c r="H2433" t="str">
        <f t="shared" si="39"/>
        <v>BCBS PAYABLE</v>
      </c>
    </row>
    <row r="2434" spans="5:8" x14ac:dyDescent="0.25">
      <c r="E2434" t="str">
        <f>""</f>
        <v/>
      </c>
      <c r="F2434" t="str">
        <f>""</f>
        <v/>
      </c>
      <c r="H2434" t="str">
        <f t="shared" si="39"/>
        <v>BCBS PAYABLE</v>
      </c>
    </row>
    <row r="2435" spans="5:8" x14ac:dyDescent="0.25">
      <c r="E2435" t="str">
        <f>""</f>
        <v/>
      </c>
      <c r="F2435" t="str">
        <f>""</f>
        <v/>
      </c>
      <c r="H2435" t="str">
        <f t="shared" si="39"/>
        <v>BCBS PAYABLE</v>
      </c>
    </row>
    <row r="2436" spans="5:8" x14ac:dyDescent="0.25">
      <c r="E2436" t="str">
        <f>""</f>
        <v/>
      </c>
      <c r="F2436" t="str">
        <f>""</f>
        <v/>
      </c>
      <c r="H2436" t="str">
        <f t="shared" si="39"/>
        <v>BCBS PAYABLE</v>
      </c>
    </row>
    <row r="2437" spans="5:8" x14ac:dyDescent="0.25">
      <c r="E2437" t="str">
        <f>""</f>
        <v/>
      </c>
      <c r="F2437" t="str">
        <f>""</f>
        <v/>
      </c>
      <c r="H2437" t="str">
        <f t="shared" si="39"/>
        <v>BCBS PAYABLE</v>
      </c>
    </row>
    <row r="2438" spans="5:8" x14ac:dyDescent="0.25">
      <c r="E2438" t="str">
        <f>""</f>
        <v/>
      </c>
      <c r="F2438" t="str">
        <f>""</f>
        <v/>
      </c>
      <c r="H2438" t="str">
        <f t="shared" si="39"/>
        <v>BCBS PAYABLE</v>
      </c>
    </row>
    <row r="2439" spans="5:8" x14ac:dyDescent="0.25">
      <c r="E2439" t="str">
        <f>""</f>
        <v/>
      </c>
      <c r="F2439" t="str">
        <f>""</f>
        <v/>
      </c>
      <c r="H2439" t="str">
        <f t="shared" si="39"/>
        <v>BCBS PAYABLE</v>
      </c>
    </row>
    <row r="2440" spans="5:8" x14ac:dyDescent="0.25">
      <c r="E2440" t="str">
        <f>""</f>
        <v/>
      </c>
      <c r="F2440" t="str">
        <f>""</f>
        <v/>
      </c>
      <c r="H2440" t="str">
        <f t="shared" si="39"/>
        <v>BCBS PAYABLE</v>
      </c>
    </row>
    <row r="2441" spans="5:8" x14ac:dyDescent="0.25">
      <c r="E2441" t="str">
        <f>""</f>
        <v/>
      </c>
      <c r="F2441" t="str">
        <f>""</f>
        <v/>
      </c>
      <c r="H2441" t="str">
        <f t="shared" si="39"/>
        <v>BCBS PAYABLE</v>
      </c>
    </row>
    <row r="2442" spans="5:8" x14ac:dyDescent="0.25">
      <c r="E2442" t="str">
        <f>""</f>
        <v/>
      </c>
      <c r="F2442" t="str">
        <f>""</f>
        <v/>
      </c>
      <c r="H2442" t="str">
        <f t="shared" si="39"/>
        <v>BCBS PAYABLE</v>
      </c>
    </row>
    <row r="2443" spans="5:8" x14ac:dyDescent="0.25">
      <c r="E2443" t="str">
        <f>""</f>
        <v/>
      </c>
      <c r="F2443" t="str">
        <f>""</f>
        <v/>
      </c>
      <c r="H2443" t="str">
        <f t="shared" si="39"/>
        <v>BCBS PAYABLE</v>
      </c>
    </row>
    <row r="2444" spans="5:8" x14ac:dyDescent="0.25">
      <c r="E2444" t="str">
        <f>""</f>
        <v/>
      </c>
      <c r="F2444" t="str">
        <f>""</f>
        <v/>
      </c>
      <c r="H2444" t="str">
        <f t="shared" si="39"/>
        <v>BCBS PAYABLE</v>
      </c>
    </row>
    <row r="2445" spans="5:8" x14ac:dyDescent="0.25">
      <c r="E2445" t="str">
        <f>""</f>
        <v/>
      </c>
      <c r="F2445" t="str">
        <f>""</f>
        <v/>
      </c>
      <c r="H2445" t="str">
        <f t="shared" ref="H2445:H2508" si="40">"BCBS PAYABLE"</f>
        <v>BCBS PAYABLE</v>
      </c>
    </row>
    <row r="2446" spans="5:8" x14ac:dyDescent="0.25">
      <c r="E2446" t="str">
        <f>""</f>
        <v/>
      </c>
      <c r="F2446" t="str">
        <f>""</f>
        <v/>
      </c>
      <c r="H2446" t="str">
        <f t="shared" si="40"/>
        <v>BCBS PAYABLE</v>
      </c>
    </row>
    <row r="2447" spans="5:8" x14ac:dyDescent="0.25">
      <c r="E2447" t="str">
        <f>""</f>
        <v/>
      </c>
      <c r="F2447" t="str">
        <f>""</f>
        <v/>
      </c>
      <c r="H2447" t="str">
        <f t="shared" si="40"/>
        <v>BCBS PAYABLE</v>
      </c>
    </row>
    <row r="2448" spans="5:8" x14ac:dyDescent="0.25">
      <c r="E2448" t="str">
        <f>"2EC201807252398"</f>
        <v>2EC201807252398</v>
      </c>
      <c r="F2448" t="str">
        <f>"BCBS PAYABLE"</f>
        <v>BCBS PAYABLE</v>
      </c>
      <c r="G2448" s="3">
        <v>1795.24</v>
      </c>
      <c r="H2448" t="str">
        <f t="shared" si="40"/>
        <v>BCBS PAYABLE</v>
      </c>
    </row>
    <row r="2449" spans="5:8" x14ac:dyDescent="0.25">
      <c r="E2449" t="str">
        <f>""</f>
        <v/>
      </c>
      <c r="F2449" t="str">
        <f>""</f>
        <v/>
      </c>
      <c r="H2449" t="str">
        <f t="shared" si="40"/>
        <v>BCBS PAYABLE</v>
      </c>
    </row>
    <row r="2450" spans="5:8" x14ac:dyDescent="0.25">
      <c r="E2450" t="str">
        <f>"2EF201807112168"</f>
        <v>2EF201807112168</v>
      </c>
      <c r="F2450" t="str">
        <f>"BCBS PAYABLE"</f>
        <v>BCBS PAYABLE</v>
      </c>
      <c r="G2450" s="3">
        <v>891.87</v>
      </c>
      <c r="H2450" t="str">
        <f t="shared" si="40"/>
        <v>BCBS PAYABLE</v>
      </c>
    </row>
    <row r="2451" spans="5:8" x14ac:dyDescent="0.25">
      <c r="E2451" t="str">
        <f>""</f>
        <v/>
      </c>
      <c r="F2451" t="str">
        <f>""</f>
        <v/>
      </c>
      <c r="H2451" t="str">
        <f t="shared" si="40"/>
        <v>BCBS PAYABLE</v>
      </c>
    </row>
    <row r="2452" spans="5:8" x14ac:dyDescent="0.25">
      <c r="E2452" t="str">
        <f>"2EF201807252397"</f>
        <v>2EF201807252397</v>
      </c>
      <c r="F2452" t="str">
        <f>"BCBS PAYABLE"</f>
        <v>BCBS PAYABLE</v>
      </c>
      <c r="G2452" s="3">
        <v>891.87</v>
      </c>
      <c r="H2452" t="str">
        <f t="shared" si="40"/>
        <v>BCBS PAYABLE</v>
      </c>
    </row>
    <row r="2453" spans="5:8" x14ac:dyDescent="0.25">
      <c r="E2453" t="str">
        <f>""</f>
        <v/>
      </c>
      <c r="F2453" t="str">
        <f>""</f>
        <v/>
      </c>
      <c r="H2453" t="str">
        <f t="shared" si="40"/>
        <v>BCBS PAYABLE</v>
      </c>
    </row>
    <row r="2454" spans="5:8" x14ac:dyDescent="0.25">
      <c r="E2454" t="str">
        <f>"2EO201807112168"</f>
        <v>2EO201807112168</v>
      </c>
      <c r="F2454" t="str">
        <f>"BCBS PAYABLE"</f>
        <v>BCBS PAYABLE</v>
      </c>
      <c r="G2454" s="3">
        <v>92407.99</v>
      </c>
      <c r="H2454" t="str">
        <f t="shared" si="40"/>
        <v>BCBS PAYABLE</v>
      </c>
    </row>
    <row r="2455" spans="5:8" x14ac:dyDescent="0.25">
      <c r="E2455" t="str">
        <f>""</f>
        <v/>
      </c>
      <c r="F2455" t="str">
        <f>""</f>
        <v/>
      </c>
      <c r="H2455" t="str">
        <f t="shared" si="40"/>
        <v>BCBS PAYABLE</v>
      </c>
    </row>
    <row r="2456" spans="5:8" x14ac:dyDescent="0.25">
      <c r="E2456" t="str">
        <f>""</f>
        <v/>
      </c>
      <c r="F2456" t="str">
        <f>""</f>
        <v/>
      </c>
      <c r="H2456" t="str">
        <f t="shared" si="40"/>
        <v>BCBS PAYABLE</v>
      </c>
    </row>
    <row r="2457" spans="5:8" x14ac:dyDescent="0.25">
      <c r="E2457" t="str">
        <f>""</f>
        <v/>
      </c>
      <c r="F2457" t="str">
        <f>""</f>
        <v/>
      </c>
      <c r="H2457" t="str">
        <f t="shared" si="40"/>
        <v>BCBS PAYABLE</v>
      </c>
    </row>
    <row r="2458" spans="5:8" x14ac:dyDescent="0.25">
      <c r="E2458" t="str">
        <f>""</f>
        <v/>
      </c>
      <c r="F2458" t="str">
        <f>""</f>
        <v/>
      </c>
      <c r="H2458" t="str">
        <f t="shared" si="40"/>
        <v>BCBS PAYABLE</v>
      </c>
    </row>
    <row r="2459" spans="5:8" x14ac:dyDescent="0.25">
      <c r="E2459" t="str">
        <f>""</f>
        <v/>
      </c>
      <c r="F2459" t="str">
        <f>""</f>
        <v/>
      </c>
      <c r="H2459" t="str">
        <f t="shared" si="40"/>
        <v>BCBS PAYABLE</v>
      </c>
    </row>
    <row r="2460" spans="5:8" x14ac:dyDescent="0.25">
      <c r="E2460" t="str">
        <f>""</f>
        <v/>
      </c>
      <c r="F2460" t="str">
        <f>""</f>
        <v/>
      </c>
      <c r="H2460" t="str">
        <f t="shared" si="40"/>
        <v>BCBS PAYABLE</v>
      </c>
    </row>
    <row r="2461" spans="5:8" x14ac:dyDescent="0.25">
      <c r="E2461" t="str">
        <f>""</f>
        <v/>
      </c>
      <c r="F2461" t="str">
        <f>""</f>
        <v/>
      </c>
      <c r="H2461" t="str">
        <f t="shared" si="40"/>
        <v>BCBS PAYABLE</v>
      </c>
    </row>
    <row r="2462" spans="5:8" x14ac:dyDescent="0.25">
      <c r="E2462" t="str">
        <f>""</f>
        <v/>
      </c>
      <c r="F2462" t="str">
        <f>""</f>
        <v/>
      </c>
      <c r="H2462" t="str">
        <f t="shared" si="40"/>
        <v>BCBS PAYABLE</v>
      </c>
    </row>
    <row r="2463" spans="5:8" x14ac:dyDescent="0.25">
      <c r="E2463" t="str">
        <f>""</f>
        <v/>
      </c>
      <c r="F2463" t="str">
        <f>""</f>
        <v/>
      </c>
      <c r="H2463" t="str">
        <f t="shared" si="40"/>
        <v>BCBS PAYABLE</v>
      </c>
    </row>
    <row r="2464" spans="5:8" x14ac:dyDescent="0.25">
      <c r="E2464" t="str">
        <f>""</f>
        <v/>
      </c>
      <c r="F2464" t="str">
        <f>""</f>
        <v/>
      </c>
      <c r="H2464" t="str">
        <f t="shared" si="40"/>
        <v>BCBS PAYABLE</v>
      </c>
    </row>
    <row r="2465" spans="5:8" x14ac:dyDescent="0.25">
      <c r="E2465" t="str">
        <f>""</f>
        <v/>
      </c>
      <c r="F2465" t="str">
        <f>""</f>
        <v/>
      </c>
      <c r="H2465" t="str">
        <f t="shared" si="40"/>
        <v>BCBS PAYABLE</v>
      </c>
    </row>
    <row r="2466" spans="5:8" x14ac:dyDescent="0.25">
      <c r="E2466" t="str">
        <f>""</f>
        <v/>
      </c>
      <c r="F2466" t="str">
        <f>""</f>
        <v/>
      </c>
      <c r="H2466" t="str">
        <f t="shared" si="40"/>
        <v>BCBS PAYABLE</v>
      </c>
    </row>
    <row r="2467" spans="5:8" x14ac:dyDescent="0.25">
      <c r="E2467" t="str">
        <f>""</f>
        <v/>
      </c>
      <c r="F2467" t="str">
        <f>""</f>
        <v/>
      </c>
      <c r="H2467" t="str">
        <f t="shared" si="40"/>
        <v>BCBS PAYABLE</v>
      </c>
    </row>
    <row r="2468" spans="5:8" x14ac:dyDescent="0.25">
      <c r="E2468" t="str">
        <f>""</f>
        <v/>
      </c>
      <c r="F2468" t="str">
        <f>""</f>
        <v/>
      </c>
      <c r="H2468" t="str">
        <f t="shared" si="40"/>
        <v>BCBS PAYABLE</v>
      </c>
    </row>
    <row r="2469" spans="5:8" x14ac:dyDescent="0.25">
      <c r="E2469" t="str">
        <f>""</f>
        <v/>
      </c>
      <c r="F2469" t="str">
        <f>""</f>
        <v/>
      </c>
      <c r="H2469" t="str">
        <f t="shared" si="40"/>
        <v>BCBS PAYABLE</v>
      </c>
    </row>
    <row r="2470" spans="5:8" x14ac:dyDescent="0.25">
      <c r="E2470" t="str">
        <f>""</f>
        <v/>
      </c>
      <c r="F2470" t="str">
        <f>""</f>
        <v/>
      </c>
      <c r="H2470" t="str">
        <f t="shared" si="40"/>
        <v>BCBS PAYABLE</v>
      </c>
    </row>
    <row r="2471" spans="5:8" x14ac:dyDescent="0.25">
      <c r="E2471" t="str">
        <f>""</f>
        <v/>
      </c>
      <c r="F2471" t="str">
        <f>""</f>
        <v/>
      </c>
      <c r="H2471" t="str">
        <f t="shared" si="40"/>
        <v>BCBS PAYABLE</v>
      </c>
    </row>
    <row r="2472" spans="5:8" x14ac:dyDescent="0.25">
      <c r="E2472" t="str">
        <f>""</f>
        <v/>
      </c>
      <c r="F2472" t="str">
        <f>""</f>
        <v/>
      </c>
      <c r="H2472" t="str">
        <f t="shared" si="40"/>
        <v>BCBS PAYABLE</v>
      </c>
    </row>
    <row r="2473" spans="5:8" x14ac:dyDescent="0.25">
      <c r="E2473" t="str">
        <f>""</f>
        <v/>
      </c>
      <c r="F2473" t="str">
        <f>""</f>
        <v/>
      </c>
      <c r="H2473" t="str">
        <f t="shared" si="40"/>
        <v>BCBS PAYABLE</v>
      </c>
    </row>
    <row r="2474" spans="5:8" x14ac:dyDescent="0.25">
      <c r="E2474" t="str">
        <f>""</f>
        <v/>
      </c>
      <c r="F2474" t="str">
        <f>""</f>
        <v/>
      </c>
      <c r="H2474" t="str">
        <f t="shared" si="40"/>
        <v>BCBS PAYABLE</v>
      </c>
    </row>
    <row r="2475" spans="5:8" x14ac:dyDescent="0.25">
      <c r="E2475" t="str">
        <f>""</f>
        <v/>
      </c>
      <c r="F2475" t="str">
        <f>""</f>
        <v/>
      </c>
      <c r="H2475" t="str">
        <f t="shared" si="40"/>
        <v>BCBS PAYABLE</v>
      </c>
    </row>
    <row r="2476" spans="5:8" x14ac:dyDescent="0.25">
      <c r="E2476" t="str">
        <f>""</f>
        <v/>
      </c>
      <c r="F2476" t="str">
        <f>""</f>
        <v/>
      </c>
      <c r="H2476" t="str">
        <f t="shared" si="40"/>
        <v>BCBS PAYABLE</v>
      </c>
    </row>
    <row r="2477" spans="5:8" x14ac:dyDescent="0.25">
      <c r="E2477" t="str">
        <f>""</f>
        <v/>
      </c>
      <c r="F2477" t="str">
        <f>""</f>
        <v/>
      </c>
      <c r="H2477" t="str">
        <f t="shared" si="40"/>
        <v>BCBS PAYABLE</v>
      </c>
    </row>
    <row r="2478" spans="5:8" x14ac:dyDescent="0.25">
      <c r="E2478" t="str">
        <f>""</f>
        <v/>
      </c>
      <c r="F2478" t="str">
        <f>""</f>
        <v/>
      </c>
      <c r="H2478" t="str">
        <f t="shared" si="40"/>
        <v>BCBS PAYABLE</v>
      </c>
    </row>
    <row r="2479" spans="5:8" x14ac:dyDescent="0.25">
      <c r="E2479" t="str">
        <f>""</f>
        <v/>
      </c>
      <c r="F2479" t="str">
        <f>""</f>
        <v/>
      </c>
      <c r="H2479" t="str">
        <f t="shared" si="40"/>
        <v>BCBS PAYABLE</v>
      </c>
    </row>
    <row r="2480" spans="5:8" x14ac:dyDescent="0.25">
      <c r="E2480" t="str">
        <f>""</f>
        <v/>
      </c>
      <c r="F2480" t="str">
        <f>""</f>
        <v/>
      </c>
      <c r="H2480" t="str">
        <f t="shared" si="40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40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40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40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si="40"/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40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40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40"/>
        <v>BCBS PAYABLE</v>
      </c>
    </row>
    <row r="2488" spans="5:8" x14ac:dyDescent="0.25">
      <c r="E2488" t="str">
        <f>""</f>
        <v/>
      </c>
      <c r="F2488" t="str">
        <f>""</f>
        <v/>
      </c>
      <c r="H2488" t="str">
        <f t="shared" si="40"/>
        <v>BCBS PAYABLE</v>
      </c>
    </row>
    <row r="2489" spans="5:8" x14ac:dyDescent="0.25">
      <c r="E2489" t="str">
        <f>""</f>
        <v/>
      </c>
      <c r="F2489" t="str">
        <f>""</f>
        <v/>
      </c>
      <c r="H2489" t="str">
        <f t="shared" si="40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40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si="40"/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40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si="40"/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40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40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40"/>
        <v>BCBS PAYABLE</v>
      </c>
    </row>
    <row r="2497" spans="5:8" x14ac:dyDescent="0.25">
      <c r="E2497" t="str">
        <f>""</f>
        <v/>
      </c>
      <c r="F2497" t="str">
        <f>""</f>
        <v/>
      </c>
      <c r="H2497" t="str">
        <f t="shared" si="40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40"/>
        <v>BCBS PAYABLE</v>
      </c>
    </row>
    <row r="2499" spans="5:8" x14ac:dyDescent="0.25">
      <c r="E2499" t="str">
        <f>"2EO201807112169"</f>
        <v>2EO201807112169</v>
      </c>
      <c r="F2499" t="str">
        <f>"BCBS PAYABLE"</f>
        <v>BCBS PAYABLE</v>
      </c>
      <c r="G2499" s="3">
        <v>3591.83</v>
      </c>
      <c r="H2499" t="str">
        <f t="shared" si="40"/>
        <v>BCBS PAYABLE</v>
      </c>
    </row>
    <row r="2500" spans="5:8" x14ac:dyDescent="0.25">
      <c r="E2500" t="str">
        <f>"2EO201807252397"</f>
        <v>2EO201807252397</v>
      </c>
      <c r="F2500" t="str">
        <f>"BCBS PAYABLE"</f>
        <v>BCBS PAYABLE</v>
      </c>
      <c r="G2500" s="3">
        <v>91754.93</v>
      </c>
      <c r="H2500" t="str">
        <f t="shared" si="40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40"/>
        <v>BCBS PAYABLE</v>
      </c>
    </row>
    <row r="2502" spans="5:8" x14ac:dyDescent="0.25">
      <c r="E2502" t="str">
        <f>""</f>
        <v/>
      </c>
      <c r="F2502" t="str">
        <f>""</f>
        <v/>
      </c>
      <c r="H2502" t="str">
        <f t="shared" si="40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40"/>
        <v>BCBS PAYABLE</v>
      </c>
    </row>
    <row r="2504" spans="5:8" x14ac:dyDescent="0.25">
      <c r="E2504" t="str">
        <f>""</f>
        <v/>
      </c>
      <c r="F2504" t="str">
        <f>""</f>
        <v/>
      </c>
      <c r="H2504" t="str">
        <f t="shared" si="40"/>
        <v>BCBS PAYABLE</v>
      </c>
    </row>
    <row r="2505" spans="5:8" x14ac:dyDescent="0.25">
      <c r="E2505" t="str">
        <f>""</f>
        <v/>
      </c>
      <c r="F2505" t="str">
        <f>""</f>
        <v/>
      </c>
      <c r="H2505" t="str">
        <f t="shared" si="40"/>
        <v>BCBS PAYABLE</v>
      </c>
    </row>
    <row r="2506" spans="5:8" x14ac:dyDescent="0.25">
      <c r="E2506" t="str">
        <f>""</f>
        <v/>
      </c>
      <c r="F2506" t="str">
        <f>""</f>
        <v/>
      </c>
      <c r="H2506" t="str">
        <f t="shared" si="40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si="40"/>
        <v>BCBS PAYABLE</v>
      </c>
    </row>
    <row r="2508" spans="5:8" x14ac:dyDescent="0.25">
      <c r="E2508" t="str">
        <f>""</f>
        <v/>
      </c>
      <c r="F2508" t="str">
        <f>""</f>
        <v/>
      </c>
      <c r="H2508" t="str">
        <f t="shared" si="40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ref="H2509:H2572" si="41">"BCBS PAYABLE"</f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41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41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41"/>
        <v>BCBS PAYABLE</v>
      </c>
    </row>
    <row r="2513" spans="5:8" x14ac:dyDescent="0.25">
      <c r="E2513" t="str">
        <f>""</f>
        <v/>
      </c>
      <c r="F2513" t="str">
        <f>""</f>
        <v/>
      </c>
      <c r="H2513" t="str">
        <f t="shared" si="41"/>
        <v>BCBS PAYABLE</v>
      </c>
    </row>
    <row r="2514" spans="5:8" x14ac:dyDescent="0.25">
      <c r="E2514" t="str">
        <f>""</f>
        <v/>
      </c>
      <c r="F2514" t="str">
        <f>""</f>
        <v/>
      </c>
      <c r="H2514" t="str">
        <f t="shared" si="41"/>
        <v>BCBS PAYABLE</v>
      </c>
    </row>
    <row r="2515" spans="5:8" x14ac:dyDescent="0.25">
      <c r="E2515" t="str">
        <f>""</f>
        <v/>
      </c>
      <c r="F2515" t="str">
        <f>""</f>
        <v/>
      </c>
      <c r="H2515" t="str">
        <f t="shared" si="41"/>
        <v>BCBS PAYABLE</v>
      </c>
    </row>
    <row r="2516" spans="5:8" x14ac:dyDescent="0.25">
      <c r="E2516" t="str">
        <f>""</f>
        <v/>
      </c>
      <c r="F2516" t="str">
        <f>""</f>
        <v/>
      </c>
      <c r="H2516" t="str">
        <f t="shared" si="41"/>
        <v>BCBS PAYABLE</v>
      </c>
    </row>
    <row r="2517" spans="5:8" x14ac:dyDescent="0.25">
      <c r="E2517" t="str">
        <f>""</f>
        <v/>
      </c>
      <c r="F2517" t="str">
        <f>""</f>
        <v/>
      </c>
      <c r="H2517" t="str">
        <f t="shared" si="41"/>
        <v>BCBS PAYABLE</v>
      </c>
    </row>
    <row r="2518" spans="5:8" x14ac:dyDescent="0.25">
      <c r="E2518" t="str">
        <f>""</f>
        <v/>
      </c>
      <c r="F2518" t="str">
        <f>""</f>
        <v/>
      </c>
      <c r="H2518" t="str">
        <f t="shared" si="41"/>
        <v>BCBS PAYABLE</v>
      </c>
    </row>
    <row r="2519" spans="5:8" x14ac:dyDescent="0.25">
      <c r="E2519" t="str">
        <f>""</f>
        <v/>
      </c>
      <c r="F2519" t="str">
        <f>""</f>
        <v/>
      </c>
      <c r="H2519" t="str">
        <f t="shared" si="41"/>
        <v>BCBS PAYABLE</v>
      </c>
    </row>
    <row r="2520" spans="5:8" x14ac:dyDescent="0.25">
      <c r="E2520" t="str">
        <f>""</f>
        <v/>
      </c>
      <c r="F2520" t="str">
        <f>""</f>
        <v/>
      </c>
      <c r="H2520" t="str">
        <f t="shared" si="41"/>
        <v>BCBS PAYABLE</v>
      </c>
    </row>
    <row r="2521" spans="5:8" x14ac:dyDescent="0.25">
      <c r="E2521" t="str">
        <f>""</f>
        <v/>
      </c>
      <c r="F2521" t="str">
        <f>""</f>
        <v/>
      </c>
      <c r="H2521" t="str">
        <f t="shared" si="41"/>
        <v>BCBS PAYABLE</v>
      </c>
    </row>
    <row r="2522" spans="5:8" x14ac:dyDescent="0.25">
      <c r="E2522" t="str">
        <f>""</f>
        <v/>
      </c>
      <c r="F2522" t="str">
        <f>""</f>
        <v/>
      </c>
      <c r="H2522" t="str">
        <f t="shared" si="41"/>
        <v>BCBS PAYABLE</v>
      </c>
    </row>
    <row r="2523" spans="5:8" x14ac:dyDescent="0.25">
      <c r="E2523" t="str">
        <f>""</f>
        <v/>
      </c>
      <c r="F2523" t="str">
        <f>""</f>
        <v/>
      </c>
      <c r="H2523" t="str">
        <f t="shared" si="41"/>
        <v>BCBS PAYABLE</v>
      </c>
    </row>
    <row r="2524" spans="5:8" x14ac:dyDescent="0.25">
      <c r="E2524" t="str">
        <f>""</f>
        <v/>
      </c>
      <c r="F2524" t="str">
        <f>""</f>
        <v/>
      </c>
      <c r="H2524" t="str">
        <f t="shared" si="41"/>
        <v>BCBS PAYABLE</v>
      </c>
    </row>
    <row r="2525" spans="5:8" x14ac:dyDescent="0.25">
      <c r="E2525" t="str">
        <f>""</f>
        <v/>
      </c>
      <c r="F2525" t="str">
        <f>""</f>
        <v/>
      </c>
      <c r="H2525" t="str">
        <f t="shared" si="41"/>
        <v>BCBS PAYABLE</v>
      </c>
    </row>
    <row r="2526" spans="5:8" x14ac:dyDescent="0.25">
      <c r="E2526" t="str">
        <f>""</f>
        <v/>
      </c>
      <c r="F2526" t="str">
        <f>""</f>
        <v/>
      </c>
      <c r="H2526" t="str">
        <f t="shared" si="41"/>
        <v>BCBS PAYABLE</v>
      </c>
    </row>
    <row r="2527" spans="5:8" x14ac:dyDescent="0.25">
      <c r="E2527" t="str">
        <f>""</f>
        <v/>
      </c>
      <c r="F2527" t="str">
        <f>""</f>
        <v/>
      </c>
      <c r="H2527" t="str">
        <f t="shared" si="41"/>
        <v>BCBS PAYABLE</v>
      </c>
    </row>
    <row r="2528" spans="5:8" x14ac:dyDescent="0.25">
      <c r="E2528" t="str">
        <f>""</f>
        <v/>
      </c>
      <c r="F2528" t="str">
        <f>""</f>
        <v/>
      </c>
      <c r="H2528" t="str">
        <f t="shared" si="41"/>
        <v>BCBS PAYABLE</v>
      </c>
    </row>
    <row r="2529" spans="5:8" x14ac:dyDescent="0.25">
      <c r="E2529" t="str">
        <f>""</f>
        <v/>
      </c>
      <c r="F2529" t="str">
        <f>""</f>
        <v/>
      </c>
      <c r="H2529" t="str">
        <f t="shared" si="41"/>
        <v>BCBS PAYABLE</v>
      </c>
    </row>
    <row r="2530" spans="5:8" x14ac:dyDescent="0.25">
      <c r="E2530" t="str">
        <f>""</f>
        <v/>
      </c>
      <c r="F2530" t="str">
        <f>""</f>
        <v/>
      </c>
      <c r="H2530" t="str">
        <f t="shared" si="41"/>
        <v>BCBS PAYABLE</v>
      </c>
    </row>
    <row r="2531" spans="5:8" x14ac:dyDescent="0.25">
      <c r="E2531" t="str">
        <f>""</f>
        <v/>
      </c>
      <c r="F2531" t="str">
        <f>""</f>
        <v/>
      </c>
      <c r="H2531" t="str">
        <f t="shared" si="41"/>
        <v>BCBS PAYABLE</v>
      </c>
    </row>
    <row r="2532" spans="5:8" x14ac:dyDescent="0.25">
      <c r="E2532" t="str">
        <f>""</f>
        <v/>
      </c>
      <c r="F2532" t="str">
        <f>""</f>
        <v/>
      </c>
      <c r="H2532" t="str">
        <f t="shared" si="41"/>
        <v>BCBS PAYABLE</v>
      </c>
    </row>
    <row r="2533" spans="5:8" x14ac:dyDescent="0.25">
      <c r="E2533" t="str">
        <f>""</f>
        <v/>
      </c>
      <c r="F2533" t="str">
        <f>""</f>
        <v/>
      </c>
      <c r="H2533" t="str">
        <f t="shared" si="41"/>
        <v>BCBS PAYABLE</v>
      </c>
    </row>
    <row r="2534" spans="5:8" x14ac:dyDescent="0.25">
      <c r="E2534" t="str">
        <f>""</f>
        <v/>
      </c>
      <c r="F2534" t="str">
        <f>""</f>
        <v/>
      </c>
      <c r="H2534" t="str">
        <f t="shared" si="41"/>
        <v>BCBS PAYABLE</v>
      </c>
    </row>
    <row r="2535" spans="5:8" x14ac:dyDescent="0.25">
      <c r="E2535" t="str">
        <f>""</f>
        <v/>
      </c>
      <c r="F2535" t="str">
        <f>""</f>
        <v/>
      </c>
      <c r="H2535" t="str">
        <f t="shared" si="41"/>
        <v>BCBS PAYABLE</v>
      </c>
    </row>
    <row r="2536" spans="5:8" x14ac:dyDescent="0.25">
      <c r="E2536" t="str">
        <f>""</f>
        <v/>
      </c>
      <c r="F2536" t="str">
        <f>""</f>
        <v/>
      </c>
      <c r="H2536" t="str">
        <f t="shared" si="41"/>
        <v>BCBS PAYABLE</v>
      </c>
    </row>
    <row r="2537" spans="5:8" x14ac:dyDescent="0.25">
      <c r="E2537" t="str">
        <f>""</f>
        <v/>
      </c>
      <c r="F2537" t="str">
        <f>""</f>
        <v/>
      </c>
      <c r="H2537" t="str">
        <f t="shared" si="41"/>
        <v>BCBS PAYABLE</v>
      </c>
    </row>
    <row r="2538" spans="5:8" x14ac:dyDescent="0.25">
      <c r="E2538" t="str">
        <f>""</f>
        <v/>
      </c>
      <c r="F2538" t="str">
        <f>""</f>
        <v/>
      </c>
      <c r="H2538" t="str">
        <f t="shared" si="41"/>
        <v>BCBS PAYABLE</v>
      </c>
    </row>
    <row r="2539" spans="5:8" x14ac:dyDescent="0.25">
      <c r="E2539" t="str">
        <f>""</f>
        <v/>
      </c>
      <c r="F2539" t="str">
        <f>""</f>
        <v/>
      </c>
      <c r="H2539" t="str">
        <f t="shared" si="41"/>
        <v>BCBS PAYABLE</v>
      </c>
    </row>
    <row r="2540" spans="5:8" x14ac:dyDescent="0.25">
      <c r="E2540" t="str">
        <f>""</f>
        <v/>
      </c>
      <c r="F2540" t="str">
        <f>""</f>
        <v/>
      </c>
      <c r="H2540" t="str">
        <f t="shared" si="41"/>
        <v>BCBS PAYABLE</v>
      </c>
    </row>
    <row r="2541" spans="5:8" x14ac:dyDescent="0.25">
      <c r="E2541" t="str">
        <f>""</f>
        <v/>
      </c>
      <c r="F2541" t="str">
        <f>""</f>
        <v/>
      </c>
      <c r="H2541" t="str">
        <f t="shared" si="41"/>
        <v>BCBS PAYABLE</v>
      </c>
    </row>
    <row r="2542" spans="5:8" x14ac:dyDescent="0.25">
      <c r="E2542" t="str">
        <f>""</f>
        <v/>
      </c>
      <c r="F2542" t="str">
        <f>""</f>
        <v/>
      </c>
      <c r="H2542" t="str">
        <f t="shared" si="41"/>
        <v>BCBS PAYABLE</v>
      </c>
    </row>
    <row r="2543" spans="5:8" x14ac:dyDescent="0.25">
      <c r="E2543" t="str">
        <f>""</f>
        <v/>
      </c>
      <c r="F2543" t="str">
        <f>""</f>
        <v/>
      </c>
      <c r="H2543" t="str">
        <f t="shared" si="41"/>
        <v>BCBS PAYABLE</v>
      </c>
    </row>
    <row r="2544" spans="5:8" x14ac:dyDescent="0.25">
      <c r="E2544" t="str">
        <f>""</f>
        <v/>
      </c>
      <c r="F2544" t="str">
        <f>""</f>
        <v/>
      </c>
      <c r="H2544" t="str">
        <f t="shared" si="41"/>
        <v>BCBS PAYABLE</v>
      </c>
    </row>
    <row r="2545" spans="5:8" x14ac:dyDescent="0.25">
      <c r="E2545" t="str">
        <f>"2EO201807252398"</f>
        <v>2EO201807252398</v>
      </c>
      <c r="F2545" t="str">
        <f>"BCBS PAYABLE"</f>
        <v>BCBS PAYABLE</v>
      </c>
      <c r="G2545" s="3">
        <v>3591.83</v>
      </c>
      <c r="H2545" t="str">
        <f t="shared" si="41"/>
        <v>BCBS PAYABLE</v>
      </c>
    </row>
    <row r="2546" spans="5:8" x14ac:dyDescent="0.25">
      <c r="E2546" t="str">
        <f>"2ES201807112168"</f>
        <v>2ES201807112168</v>
      </c>
      <c r="F2546" t="str">
        <f>"BCBS PAYABLE"</f>
        <v>BCBS PAYABLE</v>
      </c>
      <c r="G2546" s="3">
        <v>17140.86</v>
      </c>
      <c r="H2546" t="str">
        <f t="shared" si="41"/>
        <v>BCBS PAYABLE</v>
      </c>
    </row>
    <row r="2547" spans="5:8" x14ac:dyDescent="0.25">
      <c r="E2547" t="str">
        <f>""</f>
        <v/>
      </c>
      <c r="F2547" t="str">
        <f>""</f>
        <v/>
      </c>
      <c r="H2547" t="str">
        <f t="shared" si="41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si="41"/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41"/>
        <v>BCBS PAYABLE</v>
      </c>
    </row>
    <row r="2550" spans="5:8" x14ac:dyDescent="0.25">
      <c r="E2550" t="str">
        <f>""</f>
        <v/>
      </c>
      <c r="F2550" t="str">
        <f>""</f>
        <v/>
      </c>
      <c r="H2550" t="str">
        <f t="shared" si="41"/>
        <v>BCBS PAYABLE</v>
      </c>
    </row>
    <row r="2551" spans="5:8" x14ac:dyDescent="0.25">
      <c r="E2551" t="str">
        <f>""</f>
        <v/>
      </c>
      <c r="F2551" t="str">
        <f>""</f>
        <v/>
      </c>
      <c r="H2551" t="str">
        <f t="shared" si="41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41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41"/>
        <v>BCBS PAYABLE</v>
      </c>
    </row>
    <row r="2554" spans="5:8" x14ac:dyDescent="0.25">
      <c r="E2554" t="str">
        <f>""</f>
        <v/>
      </c>
      <c r="F2554" t="str">
        <f>""</f>
        <v/>
      </c>
      <c r="H2554" t="str">
        <f t="shared" si="41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41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41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si="41"/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41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41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41"/>
        <v>BCBS PAYABLE</v>
      </c>
    </row>
    <row r="2561" spans="5:8" x14ac:dyDescent="0.25">
      <c r="E2561" t="str">
        <f>""</f>
        <v/>
      </c>
      <c r="F2561" t="str">
        <f>""</f>
        <v/>
      </c>
      <c r="H2561" t="str">
        <f t="shared" si="41"/>
        <v>BCBS PAYABLE</v>
      </c>
    </row>
    <row r="2562" spans="5:8" x14ac:dyDescent="0.25">
      <c r="E2562" t="str">
        <f>""</f>
        <v/>
      </c>
      <c r="F2562" t="str">
        <f>""</f>
        <v/>
      </c>
      <c r="H2562" t="str">
        <f t="shared" si="41"/>
        <v>BCBS PAYABLE</v>
      </c>
    </row>
    <row r="2563" spans="5:8" x14ac:dyDescent="0.25">
      <c r="E2563" t="str">
        <f>""</f>
        <v/>
      </c>
      <c r="F2563" t="str">
        <f>""</f>
        <v/>
      </c>
      <c r="H2563" t="str">
        <f t="shared" si="41"/>
        <v>BCBS PAYABLE</v>
      </c>
    </row>
    <row r="2564" spans="5:8" x14ac:dyDescent="0.25">
      <c r="E2564" t="str">
        <f>"2ES201807252397"</f>
        <v>2ES201807252397</v>
      </c>
      <c r="F2564" t="str">
        <f>"BCBS PAYABLE"</f>
        <v>BCBS PAYABLE</v>
      </c>
      <c r="G2564" s="3">
        <v>17140.86</v>
      </c>
      <c r="H2564" t="str">
        <f t="shared" si="41"/>
        <v>BCBS PAYABLE</v>
      </c>
    </row>
    <row r="2565" spans="5:8" x14ac:dyDescent="0.25">
      <c r="E2565" t="str">
        <f>""</f>
        <v/>
      </c>
      <c r="F2565" t="str">
        <f>""</f>
        <v/>
      </c>
      <c r="H2565" t="str">
        <f t="shared" si="41"/>
        <v>BCBS PAYABLE</v>
      </c>
    </row>
    <row r="2566" spans="5:8" x14ac:dyDescent="0.25">
      <c r="E2566" t="str">
        <f>""</f>
        <v/>
      </c>
      <c r="F2566" t="str">
        <f>""</f>
        <v/>
      </c>
      <c r="H2566" t="str">
        <f t="shared" si="41"/>
        <v>BCBS PAYABLE</v>
      </c>
    </row>
    <row r="2567" spans="5:8" x14ac:dyDescent="0.25">
      <c r="E2567" t="str">
        <f>""</f>
        <v/>
      </c>
      <c r="F2567" t="str">
        <f>""</f>
        <v/>
      </c>
      <c r="H2567" t="str">
        <f t="shared" si="41"/>
        <v>BCBS PAYABLE</v>
      </c>
    </row>
    <row r="2568" spans="5:8" x14ac:dyDescent="0.25">
      <c r="E2568" t="str">
        <f>""</f>
        <v/>
      </c>
      <c r="F2568" t="str">
        <f>""</f>
        <v/>
      </c>
      <c r="H2568" t="str">
        <f t="shared" si="41"/>
        <v>BCBS PAYABLE</v>
      </c>
    </row>
    <row r="2569" spans="5:8" x14ac:dyDescent="0.25">
      <c r="E2569" t="str">
        <f>""</f>
        <v/>
      </c>
      <c r="F2569" t="str">
        <f>""</f>
        <v/>
      </c>
      <c r="H2569" t="str">
        <f t="shared" si="41"/>
        <v>BCBS PAYABLE</v>
      </c>
    </row>
    <row r="2570" spans="5:8" x14ac:dyDescent="0.25">
      <c r="E2570" t="str">
        <f>""</f>
        <v/>
      </c>
      <c r="F2570" t="str">
        <f>""</f>
        <v/>
      </c>
      <c r="H2570" t="str">
        <f t="shared" si="41"/>
        <v>BCBS PAYABLE</v>
      </c>
    </row>
    <row r="2571" spans="5:8" x14ac:dyDescent="0.25">
      <c r="E2571" t="str">
        <f>""</f>
        <v/>
      </c>
      <c r="F2571" t="str">
        <f>""</f>
        <v/>
      </c>
      <c r="H2571" t="str">
        <f t="shared" si="41"/>
        <v>BCBS PAYABLE</v>
      </c>
    </row>
    <row r="2572" spans="5:8" x14ac:dyDescent="0.25">
      <c r="E2572" t="str">
        <f>""</f>
        <v/>
      </c>
      <c r="F2572" t="str">
        <f>""</f>
        <v/>
      </c>
      <c r="H2572" t="str">
        <f t="shared" si="41"/>
        <v>BCBS PAYABLE</v>
      </c>
    </row>
    <row r="2573" spans="5:8" x14ac:dyDescent="0.25">
      <c r="E2573" t="str">
        <f>""</f>
        <v/>
      </c>
      <c r="F2573" t="str">
        <f>""</f>
        <v/>
      </c>
      <c r="H2573" t="str">
        <f t="shared" ref="H2573:H2581" si="42">"BCBS PAYABLE"</f>
        <v>BCBS PAYABLE</v>
      </c>
    </row>
    <row r="2574" spans="5:8" x14ac:dyDescent="0.25">
      <c r="E2574" t="str">
        <f>""</f>
        <v/>
      </c>
      <c r="F2574" t="str">
        <f>""</f>
        <v/>
      </c>
      <c r="H2574" t="str">
        <f t="shared" si="42"/>
        <v>BCBS PAYABLE</v>
      </c>
    </row>
    <row r="2575" spans="5:8" x14ac:dyDescent="0.25">
      <c r="E2575" t="str">
        <f>""</f>
        <v/>
      </c>
      <c r="F2575" t="str">
        <f>""</f>
        <v/>
      </c>
      <c r="H2575" t="str">
        <f t="shared" si="42"/>
        <v>BCBS PAYABLE</v>
      </c>
    </row>
    <row r="2576" spans="5:8" x14ac:dyDescent="0.25">
      <c r="E2576" t="str">
        <f>""</f>
        <v/>
      </c>
      <c r="F2576" t="str">
        <f>""</f>
        <v/>
      </c>
      <c r="H2576" t="str">
        <f t="shared" si="42"/>
        <v>BCBS PAYABLE</v>
      </c>
    </row>
    <row r="2577" spans="1:8" x14ac:dyDescent="0.25">
      <c r="E2577" t="str">
        <f>""</f>
        <v/>
      </c>
      <c r="F2577" t="str">
        <f>""</f>
        <v/>
      </c>
      <c r="H2577" t="str">
        <f t="shared" si="42"/>
        <v>BCBS PAYABLE</v>
      </c>
    </row>
    <row r="2578" spans="1:8" x14ac:dyDescent="0.25">
      <c r="E2578" t="str">
        <f>""</f>
        <v/>
      </c>
      <c r="F2578" t="str">
        <f>""</f>
        <v/>
      </c>
      <c r="H2578" t="str">
        <f t="shared" si="42"/>
        <v>BCBS PAYABLE</v>
      </c>
    </row>
    <row r="2579" spans="1:8" x14ac:dyDescent="0.25">
      <c r="E2579" t="str">
        <f>""</f>
        <v/>
      </c>
      <c r="F2579" t="str">
        <f>""</f>
        <v/>
      </c>
      <c r="H2579" t="str">
        <f t="shared" si="42"/>
        <v>BCBS PAYABLE</v>
      </c>
    </row>
    <row r="2580" spans="1:8" x14ac:dyDescent="0.25">
      <c r="E2580" t="str">
        <f>""</f>
        <v/>
      </c>
      <c r="F2580" t="str">
        <f>""</f>
        <v/>
      </c>
      <c r="H2580" t="str">
        <f t="shared" si="42"/>
        <v>BCBS PAYABLE</v>
      </c>
    </row>
    <row r="2581" spans="1:8" x14ac:dyDescent="0.25">
      <c r="E2581" t="str">
        <f>""</f>
        <v/>
      </c>
      <c r="F2581" t="str">
        <f>""</f>
        <v/>
      </c>
      <c r="H2581" t="str">
        <f t="shared" si="42"/>
        <v>BCBS PAYABLE</v>
      </c>
    </row>
    <row r="2582" spans="1:8" x14ac:dyDescent="0.25">
      <c r="A2582" t="s">
        <v>539</v>
      </c>
      <c r="B2582">
        <v>0</v>
      </c>
      <c r="C2582" s="2">
        <v>3427.81</v>
      </c>
      <c r="D2582" s="1">
        <v>43294</v>
      </c>
      <c r="E2582" t="str">
        <f>"C18201807112169"</f>
        <v>C18201807112169</v>
      </c>
      <c r="F2582" t="str">
        <f>"CAUSE# 0011635329"</f>
        <v>CAUSE# 0011635329</v>
      </c>
      <c r="G2582" s="3">
        <v>603.23</v>
      </c>
      <c r="H2582" t="str">
        <f>"CAUSE# 0011635329"</f>
        <v>CAUSE# 0011635329</v>
      </c>
    </row>
    <row r="2583" spans="1:8" x14ac:dyDescent="0.25">
      <c r="E2583" t="str">
        <f>"C2 201807112169"</f>
        <v>C2 201807112169</v>
      </c>
      <c r="F2583" t="str">
        <f>"0012982132CCL7445"</f>
        <v>0012982132CCL7445</v>
      </c>
      <c r="G2583" s="3">
        <v>692.31</v>
      </c>
      <c r="H2583" t="str">
        <f>"0012982132CCL7445"</f>
        <v>0012982132CCL7445</v>
      </c>
    </row>
    <row r="2584" spans="1:8" x14ac:dyDescent="0.25">
      <c r="E2584" t="str">
        <f>"C20201807112168"</f>
        <v>C20201807112168</v>
      </c>
      <c r="F2584" t="str">
        <f>"001003981107-12252"</f>
        <v>001003981107-12252</v>
      </c>
      <c r="G2584" s="3">
        <v>115.39</v>
      </c>
      <c r="H2584" t="str">
        <f>"001003981107-12252"</f>
        <v>001003981107-12252</v>
      </c>
    </row>
    <row r="2585" spans="1:8" x14ac:dyDescent="0.25">
      <c r="E2585" t="str">
        <f>"C42201807112168"</f>
        <v>C42201807112168</v>
      </c>
      <c r="F2585" t="str">
        <f>"001236769211-14410"</f>
        <v>001236769211-14410</v>
      </c>
      <c r="G2585" s="3">
        <v>230.31</v>
      </c>
      <c r="H2585" t="str">
        <f>"001236769211-14410"</f>
        <v>001236769211-14410</v>
      </c>
    </row>
    <row r="2586" spans="1:8" x14ac:dyDescent="0.25">
      <c r="E2586" t="str">
        <f>"C46201807112168"</f>
        <v>C46201807112168</v>
      </c>
      <c r="F2586" t="str">
        <f>"CAUSE# 11-14911"</f>
        <v>CAUSE# 11-14911</v>
      </c>
      <c r="G2586" s="3">
        <v>238.62</v>
      </c>
      <c r="H2586" t="str">
        <f>"CAUSE# 11-14911"</f>
        <v>CAUSE# 11-14911</v>
      </c>
    </row>
    <row r="2587" spans="1:8" x14ac:dyDescent="0.25">
      <c r="E2587" t="str">
        <f>"C53201807112168"</f>
        <v>C53201807112168</v>
      </c>
      <c r="F2587" t="str">
        <f>"0012453366"</f>
        <v>0012453366</v>
      </c>
      <c r="G2587" s="3">
        <v>138.46</v>
      </c>
      <c r="H2587" t="str">
        <f>"0012453366"</f>
        <v>0012453366</v>
      </c>
    </row>
    <row r="2588" spans="1:8" x14ac:dyDescent="0.25">
      <c r="E2588" t="str">
        <f>"C60201807112168"</f>
        <v>C60201807112168</v>
      </c>
      <c r="F2588" t="str">
        <f>"00130730762012V300"</f>
        <v>00130730762012V300</v>
      </c>
      <c r="G2588" s="3">
        <v>399.32</v>
      </c>
      <c r="H2588" t="str">
        <f>"00130730762012V300"</f>
        <v>00130730762012V300</v>
      </c>
    </row>
    <row r="2589" spans="1:8" x14ac:dyDescent="0.25">
      <c r="E2589" t="str">
        <f>"C62201807112168"</f>
        <v>C62201807112168</v>
      </c>
      <c r="F2589" t="str">
        <f>"# 0012128865"</f>
        <v># 0012128865</v>
      </c>
      <c r="G2589" s="3">
        <v>243.23</v>
      </c>
      <c r="H2589" t="str">
        <f>"# 0012128865"</f>
        <v># 0012128865</v>
      </c>
    </row>
    <row r="2590" spans="1:8" x14ac:dyDescent="0.25">
      <c r="E2590" t="str">
        <f>"C65201807112168"</f>
        <v>C65201807112168</v>
      </c>
      <c r="F2590" t="str">
        <f>"12-14956"</f>
        <v>12-14956</v>
      </c>
      <c r="G2590" s="3">
        <v>351.1</v>
      </c>
      <c r="H2590" t="str">
        <f>"12-14956"</f>
        <v>12-14956</v>
      </c>
    </row>
    <row r="2591" spans="1:8" x14ac:dyDescent="0.25">
      <c r="E2591" t="str">
        <f>"C66201807112168"</f>
        <v>C66201807112168</v>
      </c>
      <c r="F2591" t="str">
        <f>"# 0012871801"</f>
        <v># 0012871801</v>
      </c>
      <c r="G2591" s="3">
        <v>90</v>
      </c>
      <c r="H2591" t="str">
        <f>"# 0012871801"</f>
        <v># 0012871801</v>
      </c>
    </row>
    <row r="2592" spans="1:8" x14ac:dyDescent="0.25">
      <c r="E2592" t="str">
        <f>"C66201807112170"</f>
        <v>C66201807112170</v>
      </c>
      <c r="F2592" t="str">
        <f>"CAUSE#D1FM13007058"</f>
        <v>CAUSE#D1FM13007058</v>
      </c>
      <c r="G2592" s="3">
        <v>138.46</v>
      </c>
      <c r="H2592" t="str">
        <f>"CAUSE#D1FM13007058"</f>
        <v>CAUSE#D1FM13007058</v>
      </c>
    </row>
    <row r="2593" spans="1:8" x14ac:dyDescent="0.25">
      <c r="E2593" t="str">
        <f>"C69201807112168"</f>
        <v>C69201807112168</v>
      </c>
      <c r="F2593" t="str">
        <f>"0012046911423672"</f>
        <v>0012046911423672</v>
      </c>
      <c r="G2593" s="3">
        <v>187.38</v>
      </c>
      <c r="H2593" t="str">
        <f>"0012046911423672"</f>
        <v>0012046911423672</v>
      </c>
    </row>
    <row r="2594" spans="1:8" x14ac:dyDescent="0.25">
      <c r="A2594" t="s">
        <v>539</v>
      </c>
      <c r="B2594">
        <v>0</v>
      </c>
      <c r="C2594" s="2">
        <v>3685.27</v>
      </c>
      <c r="D2594" s="1">
        <v>43308</v>
      </c>
      <c r="E2594" t="str">
        <f>"C18201807252398"</f>
        <v>C18201807252398</v>
      </c>
      <c r="F2594" t="str">
        <f>"CAUSE# 0011635329"</f>
        <v>CAUSE# 0011635329</v>
      </c>
      <c r="G2594" s="3">
        <v>603.23</v>
      </c>
      <c r="H2594" t="str">
        <f>"CAUSE# 0011635329"</f>
        <v>CAUSE# 0011635329</v>
      </c>
    </row>
    <row r="2595" spans="1:8" x14ac:dyDescent="0.25">
      <c r="E2595" t="str">
        <f>"C2 201807252398"</f>
        <v>C2 201807252398</v>
      </c>
      <c r="F2595" t="str">
        <f>"0012982132CCL7445"</f>
        <v>0012982132CCL7445</v>
      </c>
      <c r="G2595" s="3">
        <v>692.31</v>
      </c>
      <c r="H2595" t="str">
        <f>"0012982132CCL7445"</f>
        <v>0012982132CCL7445</v>
      </c>
    </row>
    <row r="2596" spans="1:8" x14ac:dyDescent="0.25">
      <c r="E2596" t="str">
        <f>"C20201807252397"</f>
        <v>C20201807252397</v>
      </c>
      <c r="F2596" t="str">
        <f>"001003981107-12252"</f>
        <v>001003981107-12252</v>
      </c>
      <c r="G2596" s="3">
        <v>115.39</v>
      </c>
      <c r="H2596" t="str">
        <f>"001003981107-12252"</f>
        <v>001003981107-12252</v>
      </c>
    </row>
    <row r="2597" spans="1:8" x14ac:dyDescent="0.25">
      <c r="E2597" t="str">
        <f>"C42201807252397"</f>
        <v>C42201807252397</v>
      </c>
      <c r="F2597" t="str">
        <f>"001236769211-14410"</f>
        <v>001236769211-14410</v>
      </c>
      <c r="G2597" s="3">
        <v>230.31</v>
      </c>
      <c r="H2597" t="str">
        <f>"001236769211-14410"</f>
        <v>001236769211-14410</v>
      </c>
    </row>
    <row r="2598" spans="1:8" x14ac:dyDescent="0.25">
      <c r="E2598" t="str">
        <f>"C46201807252397"</f>
        <v>C46201807252397</v>
      </c>
      <c r="F2598" t="str">
        <f>"CAUSE# 11-14911"</f>
        <v>CAUSE# 11-14911</v>
      </c>
      <c r="G2598" s="3">
        <v>238.62</v>
      </c>
      <c r="H2598" t="str">
        <f>"CAUSE# 11-14911"</f>
        <v>CAUSE# 11-14911</v>
      </c>
    </row>
    <row r="2599" spans="1:8" x14ac:dyDescent="0.25">
      <c r="E2599" t="str">
        <f>"C53201807252397"</f>
        <v>C53201807252397</v>
      </c>
      <c r="F2599" t="str">
        <f>"0012453366"</f>
        <v>0012453366</v>
      </c>
      <c r="G2599" s="3">
        <v>138.46</v>
      </c>
      <c r="H2599" t="str">
        <f>"0012453366"</f>
        <v>0012453366</v>
      </c>
    </row>
    <row r="2600" spans="1:8" x14ac:dyDescent="0.25">
      <c r="E2600" t="str">
        <f>"C60201807252397"</f>
        <v>C60201807252397</v>
      </c>
      <c r="F2600" t="str">
        <f>"00130730762012V300"</f>
        <v>00130730762012V300</v>
      </c>
      <c r="G2600" s="3">
        <v>399.32</v>
      </c>
      <c r="H2600" t="str">
        <f>"00130730762012V300"</f>
        <v>00130730762012V300</v>
      </c>
    </row>
    <row r="2601" spans="1:8" x14ac:dyDescent="0.25">
      <c r="E2601" t="str">
        <f>"C62201807252397"</f>
        <v>C62201807252397</v>
      </c>
      <c r="F2601" t="str">
        <f>"# 0012128865"</f>
        <v># 0012128865</v>
      </c>
      <c r="G2601" s="3">
        <v>243.23</v>
      </c>
      <c r="H2601" t="str">
        <f>"# 0012128865"</f>
        <v># 0012128865</v>
      </c>
    </row>
    <row r="2602" spans="1:8" x14ac:dyDescent="0.25">
      <c r="E2602" t="str">
        <f>"C65201807252397"</f>
        <v>C65201807252397</v>
      </c>
      <c r="F2602" t="str">
        <f>"12-14956"</f>
        <v>12-14956</v>
      </c>
      <c r="G2602" s="3">
        <v>351.1</v>
      </c>
      <c r="H2602" t="str">
        <f>"12-14956"</f>
        <v>12-14956</v>
      </c>
    </row>
    <row r="2603" spans="1:8" x14ac:dyDescent="0.25">
      <c r="E2603" t="str">
        <f>"C66201807252397"</f>
        <v>C66201807252397</v>
      </c>
      <c r="F2603" t="str">
        <f>"# 0012871801"</f>
        <v># 0012871801</v>
      </c>
      <c r="G2603" s="3">
        <v>90</v>
      </c>
      <c r="H2603" t="str">
        <f>"# 0012871801"</f>
        <v># 0012871801</v>
      </c>
    </row>
    <row r="2604" spans="1:8" x14ac:dyDescent="0.25">
      <c r="E2604" t="str">
        <f>"C66201807252399"</f>
        <v>C66201807252399</v>
      </c>
      <c r="F2604" t="str">
        <f>"CAUSE#D1FM13007058"</f>
        <v>CAUSE#D1FM13007058</v>
      </c>
      <c r="G2604" s="3">
        <v>138.46</v>
      </c>
      <c r="H2604" t="str">
        <f>"CAUSE#D1FM13007058"</f>
        <v>CAUSE#D1FM13007058</v>
      </c>
    </row>
    <row r="2605" spans="1:8" x14ac:dyDescent="0.25">
      <c r="E2605" t="str">
        <f>"C69201807252397"</f>
        <v>C69201807252397</v>
      </c>
      <c r="F2605" t="str">
        <f>"0012046911423672"</f>
        <v>0012046911423672</v>
      </c>
      <c r="G2605" s="3">
        <v>187.38</v>
      </c>
      <c r="H2605" t="str">
        <f>"0012046911423672"</f>
        <v>0012046911423672</v>
      </c>
    </row>
    <row r="2606" spans="1:8" x14ac:dyDescent="0.25">
      <c r="E2606" t="str">
        <f>"C70201807252397"</f>
        <v>C70201807252397</v>
      </c>
      <c r="F2606" t="str">
        <f>"00136881334235026"</f>
        <v>00136881334235026</v>
      </c>
      <c r="G2606" s="3">
        <v>257.45999999999998</v>
      </c>
      <c r="H2606" t="str">
        <f>"00136881334235026"</f>
        <v>00136881334235026</v>
      </c>
    </row>
    <row r="2607" spans="1:8" x14ac:dyDescent="0.25">
      <c r="A2607" t="s">
        <v>540</v>
      </c>
      <c r="B2607">
        <v>0</v>
      </c>
      <c r="C2607" s="2">
        <v>320941.52</v>
      </c>
      <c r="D2607" s="1">
        <v>43308</v>
      </c>
      <c r="E2607" t="str">
        <f>"RET201807021770"</f>
        <v>RET201807021770</v>
      </c>
      <c r="F2607" t="str">
        <f>"TEXAS COUNTY &amp; DISTRICT RET"</f>
        <v>TEXAS COUNTY &amp; DISTRICT RET</v>
      </c>
      <c r="G2607" s="3">
        <v>62.3</v>
      </c>
      <c r="H2607" t="str">
        <f t="shared" ref="H2607:H2638" si="43">"TEXAS COUNTY &amp; DISTRICT RET"</f>
        <v>TEXAS COUNTY &amp; DISTRICT RET</v>
      </c>
    </row>
    <row r="2608" spans="1:8" x14ac:dyDescent="0.25">
      <c r="E2608" t="str">
        <f>""</f>
        <v/>
      </c>
      <c r="F2608" t="str">
        <f>""</f>
        <v/>
      </c>
      <c r="H2608" t="str">
        <f t="shared" si="43"/>
        <v>TEXAS COUNTY &amp; DISTRICT RET</v>
      </c>
    </row>
    <row r="2609" spans="5:8" x14ac:dyDescent="0.25">
      <c r="E2609" t="str">
        <f>"RET201807021771"</f>
        <v>RET201807021771</v>
      </c>
      <c r="F2609" t="str">
        <f>"TEXAS COUNTY &amp; DISTRICT RET"</f>
        <v>TEXAS COUNTY &amp; DISTRICT RET</v>
      </c>
      <c r="G2609" s="3">
        <v>52.77</v>
      </c>
      <c r="H2609" t="str">
        <f t="shared" si="43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43"/>
        <v>TEXAS COUNTY &amp; DISTRICT RET</v>
      </c>
    </row>
    <row r="2611" spans="5:8" x14ac:dyDescent="0.25">
      <c r="E2611" t="str">
        <f>"RET201807112168"</f>
        <v>RET201807112168</v>
      </c>
      <c r="F2611" t="str">
        <f>"TEXAS COUNTY &amp; DISTRICT RET"</f>
        <v>TEXAS COUNTY &amp; DISTRICT RET</v>
      </c>
      <c r="G2611" s="3">
        <v>147126.32999999999</v>
      </c>
      <c r="H2611" t="str">
        <f t="shared" si="43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43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43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43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43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43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43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43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43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43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43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43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43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43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43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43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43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43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43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43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43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43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43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43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43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43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43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43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ref="H2639:H2662" si="44">"TEXAS COUNTY &amp; DISTRICT RET"</f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44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44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44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44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44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44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44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44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44"/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44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44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44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44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44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44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44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44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44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44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44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44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44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44"/>
        <v>TEXAS COUNTY &amp; DISTRICT RET</v>
      </c>
    </row>
    <row r="2663" spans="5:8" x14ac:dyDescent="0.25">
      <c r="E2663" t="str">
        <f>"RET201807112169"</f>
        <v>RET201807112169</v>
      </c>
      <c r="F2663" t="str">
        <f>"TEXAS COUNTY  DISTRICT RET"</f>
        <v>TEXAS COUNTY  DISTRICT RET</v>
      </c>
      <c r="G2663" s="3">
        <v>5652.12</v>
      </c>
      <c r="H2663" t="str">
        <f>"TEXAS COUNTY  DISTRICT RET"</f>
        <v>TEXAS COUNTY  DISTRICT RET</v>
      </c>
    </row>
    <row r="2664" spans="5:8" x14ac:dyDescent="0.25">
      <c r="E2664" t="str">
        <f>""</f>
        <v/>
      </c>
      <c r="F2664" t="str">
        <f>""</f>
        <v/>
      </c>
      <c r="H2664" t="str">
        <f>"TEXAS COUNTY  DISTRICT RET"</f>
        <v>TEXAS COUNTY  DISTRICT RET</v>
      </c>
    </row>
    <row r="2665" spans="5:8" x14ac:dyDescent="0.25">
      <c r="E2665" t="str">
        <f>"RET201807112170"</f>
        <v>RET201807112170</v>
      </c>
      <c r="F2665" t="str">
        <f>"TEXAS COUNTY &amp; DISTRICT RET"</f>
        <v>TEXAS COUNTY &amp; DISTRICT RET</v>
      </c>
      <c r="G2665" s="3">
        <v>8278.06</v>
      </c>
      <c r="H2665" t="str">
        <f t="shared" ref="H2665:H2696" si="45">"TEXAS COUNTY &amp; DISTRICT RET"</f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45"/>
        <v>TEXAS COUNTY &amp; DISTRICT RET</v>
      </c>
    </row>
    <row r="2667" spans="5:8" x14ac:dyDescent="0.25">
      <c r="E2667" t="str">
        <f>"RET201807252397"</f>
        <v>RET201807252397</v>
      </c>
      <c r="F2667" t="str">
        <f>"TEXAS COUNTY &amp; DISTRICT RET"</f>
        <v>TEXAS COUNTY &amp; DISTRICT RET</v>
      </c>
      <c r="G2667" s="3">
        <v>146436.70000000001</v>
      </c>
      <c r="H2667" t="str">
        <f t="shared" si="45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45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45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45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45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45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45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45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45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45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45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45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45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45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45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45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45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45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45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45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45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45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45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45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45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45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45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45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45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45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ref="H2697:H2718" si="46">"TEXAS COUNTY &amp; DISTRICT RET"</f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46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46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46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46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46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46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46"/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46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si="46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46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46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46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46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46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46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46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46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46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46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46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46"/>
        <v>TEXAS COUNTY &amp; DISTRICT RET</v>
      </c>
    </row>
    <row r="2719" spans="5:8" x14ac:dyDescent="0.25">
      <c r="E2719" t="str">
        <f>"RET201807252398"</f>
        <v>RET201807252398</v>
      </c>
      <c r="F2719" t="str">
        <f>"TEXAS COUNTY  DISTRICT RET"</f>
        <v>TEXAS COUNTY  DISTRICT RET</v>
      </c>
      <c r="G2719" s="3">
        <v>5681.95</v>
      </c>
      <c r="H2719" t="str">
        <f>"TEXAS COUNTY  DISTRICT RET"</f>
        <v>TEXAS COUNTY  DISTRICT RET</v>
      </c>
    </row>
    <row r="2720" spans="5:8" x14ac:dyDescent="0.25">
      <c r="E2720" t="str">
        <f>""</f>
        <v/>
      </c>
      <c r="F2720" t="str">
        <f>""</f>
        <v/>
      </c>
      <c r="H2720" t="str">
        <f>"TEXAS COUNTY  DISTRICT RET"</f>
        <v>TEXAS COUNTY  DISTRICT RET</v>
      </c>
    </row>
    <row r="2721" spans="1:8" x14ac:dyDescent="0.25">
      <c r="E2721" t="str">
        <f>"RET201807252399"</f>
        <v>RET201807252399</v>
      </c>
      <c r="F2721" t="str">
        <f>"TEXAS COUNTY &amp; DISTRICT RET"</f>
        <v>TEXAS COUNTY &amp; DISTRICT RET</v>
      </c>
      <c r="G2721" s="3">
        <v>7651.29</v>
      </c>
      <c r="H2721" t="str">
        <f>"TEXAS COUNTY &amp; DISTRICT RET"</f>
        <v>TEXAS COUNTY &amp; DISTRICT RET</v>
      </c>
    </row>
    <row r="2722" spans="1:8" x14ac:dyDescent="0.25">
      <c r="E2722" t="str">
        <f>""</f>
        <v/>
      </c>
      <c r="F2722" t="str">
        <f>""</f>
        <v/>
      </c>
      <c r="H2722" t="str">
        <f>"TEXAS COUNTY &amp; DISTRICT RET"</f>
        <v>TEXAS COUNTY &amp; DISTRICT RET</v>
      </c>
    </row>
    <row r="2723" spans="1:8" x14ac:dyDescent="0.25">
      <c r="A2723" t="s">
        <v>541</v>
      </c>
      <c r="B2723">
        <v>46514</v>
      </c>
      <c r="C2723" s="2">
        <v>1120</v>
      </c>
      <c r="D2723" s="1">
        <v>43312</v>
      </c>
      <c r="E2723" t="str">
        <f>"LEG201807112168"</f>
        <v>LEG201807112168</v>
      </c>
      <c r="F2723" t="str">
        <f>"TEXAS LEGAL PROTECTION PLAN"</f>
        <v>TEXAS LEGAL PROTECTION PLAN</v>
      </c>
      <c r="G2723" s="3">
        <v>560</v>
      </c>
      <c r="H2723" t="str">
        <f>"TEXAS LEGAL PROTECTION PLAN"</f>
        <v>TEXAS LEGAL PROTECTION PLAN</v>
      </c>
    </row>
    <row r="2724" spans="1:8" x14ac:dyDescent="0.25">
      <c r="E2724" t="str">
        <f>"LEG201807252397"</f>
        <v>LEG201807252397</v>
      </c>
      <c r="F2724" t="str">
        <f>"TEXAS LEGAL PROTECTION PLAN"</f>
        <v>TEXAS LEGAL PROTECTION PLAN</v>
      </c>
      <c r="G2724" s="3">
        <v>560</v>
      </c>
      <c r="H2724" t="str">
        <f>"TEXAS LEGAL PROTECTION PLAN"</f>
        <v>TEXAS LEGAL PROTECTION PLAN</v>
      </c>
    </row>
    <row r="2725" spans="1:8" x14ac:dyDescent="0.25">
      <c r="A2725" t="s">
        <v>542</v>
      </c>
      <c r="B2725">
        <v>46487</v>
      </c>
      <c r="C2725" s="2">
        <v>218.61</v>
      </c>
      <c r="D2725" s="1">
        <v>43294</v>
      </c>
      <c r="E2725" t="str">
        <f>"SL6201807112168"</f>
        <v>SL6201807112168</v>
      </c>
      <c r="F2725" t="str">
        <f>"TG STUDENT LOAN - P CROUCH"</f>
        <v>TG STUDENT LOAN - P CROUCH</v>
      </c>
      <c r="G2725" s="3">
        <v>218.61</v>
      </c>
      <c r="H2725" t="str">
        <f>"TG STUDENT LOAN - P CROUCH"</f>
        <v>TG STUDENT LOAN - P CROUCH</v>
      </c>
    </row>
    <row r="2726" spans="1:8" x14ac:dyDescent="0.25">
      <c r="A2726" t="s">
        <v>542</v>
      </c>
      <c r="B2726">
        <v>46512</v>
      </c>
      <c r="C2726" s="2">
        <v>218.61</v>
      </c>
      <c r="D2726" s="1">
        <v>43308</v>
      </c>
      <c r="E2726" t="str">
        <f>"SL6201807252397"</f>
        <v>SL6201807252397</v>
      </c>
      <c r="F2726" t="str">
        <f>"TG STUDENT LOAN - P CROUCH"</f>
        <v>TG STUDENT LOAN - P CROUCH</v>
      </c>
      <c r="G2726" s="3">
        <v>218.61</v>
      </c>
      <c r="H2726" t="str">
        <f>"TG STUDENT LOAN - P CROUCH"</f>
        <v>TG STUDENT LOAN - P CROUCH</v>
      </c>
    </row>
    <row r="2727" spans="1:8" x14ac:dyDescent="0.25">
      <c r="A2727" t="s">
        <v>543</v>
      </c>
      <c r="B2727">
        <v>46486</v>
      </c>
      <c r="C2727" s="2">
        <v>378.02</v>
      </c>
      <c r="D2727" s="1">
        <v>43294</v>
      </c>
      <c r="E2727" t="str">
        <f>"S10201807112168"</f>
        <v>S10201807112168</v>
      </c>
      <c r="F2727" t="str">
        <f>"STUDENT LOAN"</f>
        <v>STUDENT LOAN</v>
      </c>
      <c r="G2727" s="3">
        <v>165.37</v>
      </c>
      <c r="H2727" t="str">
        <f>"STUDENT LOAN"</f>
        <v>STUDENT LOAN</v>
      </c>
    </row>
    <row r="2728" spans="1:8" x14ac:dyDescent="0.25">
      <c r="E2728" t="str">
        <f>"SL9201807112168"</f>
        <v>SL9201807112168</v>
      </c>
      <c r="F2728" t="str">
        <f>"STUDENT LOAN"</f>
        <v>STUDENT LOAN</v>
      </c>
      <c r="G2728" s="3">
        <v>212.65</v>
      </c>
      <c r="H2728" t="str">
        <f>"STUDENT LOAN"</f>
        <v>STUDENT LOAN</v>
      </c>
    </row>
    <row r="2729" spans="1:8" x14ac:dyDescent="0.25">
      <c r="A2729" t="s">
        <v>543</v>
      </c>
      <c r="B2729">
        <v>46511</v>
      </c>
      <c r="C2729" s="2">
        <v>378.02</v>
      </c>
      <c r="D2729" s="1">
        <v>43308</v>
      </c>
      <c r="E2729" t="str">
        <f>"S10201807252397"</f>
        <v>S10201807252397</v>
      </c>
      <c r="F2729" t="str">
        <f>"STUDENT LOAN"</f>
        <v>STUDENT LOAN</v>
      </c>
      <c r="G2729" s="3">
        <v>165.37</v>
      </c>
      <c r="H2729" t="str">
        <f>"STUDENT LOAN"</f>
        <v>STUDENT LOAN</v>
      </c>
    </row>
    <row r="2730" spans="1:8" x14ac:dyDescent="0.25">
      <c r="E2730" t="str">
        <f>"SL9201807252397"</f>
        <v>SL9201807252397</v>
      </c>
      <c r="F2730" t="str">
        <f>"STUDENT LOAN"</f>
        <v>STUDENT LOAN</v>
      </c>
      <c r="G2730" s="3">
        <v>212.65</v>
      </c>
      <c r="H2730" t="str">
        <f>"STUDENT LOAN"</f>
        <v>STUDENT LOAN</v>
      </c>
    </row>
    <row r="2731" spans="1:8" x14ac:dyDescent="0.25">
      <c r="A2731" t="s">
        <v>507</v>
      </c>
      <c r="B2731">
        <v>0</v>
      </c>
      <c r="C2731" s="2">
        <v>12432.64</v>
      </c>
      <c r="D2731" s="1">
        <v>43294</v>
      </c>
      <c r="E2731" t="str">
        <f>"FSA201807112168"</f>
        <v>FSA201807112168</v>
      </c>
      <c r="F2731" t="str">
        <f>"WAGE WORKS"</f>
        <v>WAGE WORKS</v>
      </c>
      <c r="G2731" s="3">
        <v>8437.65</v>
      </c>
      <c r="H2731" t="str">
        <f>"WAGE WORKS"</f>
        <v>WAGE WORKS</v>
      </c>
    </row>
    <row r="2732" spans="1:8" x14ac:dyDescent="0.25">
      <c r="E2732" t="str">
        <f>"FSA201807112169"</f>
        <v>FSA201807112169</v>
      </c>
      <c r="F2732" t="str">
        <f>"WAGE WORKS"</f>
        <v>WAGE WORKS</v>
      </c>
      <c r="G2732" s="3">
        <v>574</v>
      </c>
      <c r="H2732" t="str">
        <f>"WAGE WORKS"</f>
        <v>WAGE WORKS</v>
      </c>
    </row>
    <row r="2733" spans="1:8" x14ac:dyDescent="0.25">
      <c r="E2733" t="str">
        <f>"FSC201807112168"</f>
        <v>FSC201807112168</v>
      </c>
      <c r="F2733" t="str">
        <f>"WAGE WORKS"</f>
        <v>WAGE WORKS</v>
      </c>
      <c r="G2733" s="3">
        <v>913.95</v>
      </c>
      <c r="H2733" t="str">
        <f>"WAGE WORKS"</f>
        <v>WAGE WORKS</v>
      </c>
    </row>
    <row r="2734" spans="1:8" x14ac:dyDescent="0.25">
      <c r="E2734" t="str">
        <f>"FSF201807112168"</f>
        <v>FSF201807112168</v>
      </c>
      <c r="F2734" t="str">
        <f>"WAGE WORKS - FSA &amp; HRA FEES"</f>
        <v>WAGE WORKS - FSA &amp; HRA FEES</v>
      </c>
      <c r="G2734" s="3">
        <v>537.95000000000005</v>
      </c>
      <c r="H2734" t="str">
        <f t="shared" ref="H2734:H2774" si="47">"WAGE WORKS - FSA &amp; HRA FEES"</f>
        <v>WAGE WORKS - FSA &amp; HRA FEES</v>
      </c>
    </row>
    <row r="2735" spans="1:8" x14ac:dyDescent="0.25">
      <c r="E2735" t="str">
        <f>""</f>
        <v/>
      </c>
      <c r="F2735" t="str">
        <f>""</f>
        <v/>
      </c>
      <c r="H2735" t="str">
        <f t="shared" si="47"/>
        <v>WAGE WORKS - FSA &amp; HRA FEES</v>
      </c>
    </row>
    <row r="2736" spans="1:8" x14ac:dyDescent="0.25">
      <c r="E2736" t="str">
        <f>""</f>
        <v/>
      </c>
      <c r="F2736" t="str">
        <f>""</f>
        <v/>
      </c>
      <c r="H2736" t="str">
        <f t="shared" si="47"/>
        <v>WAGE WORKS - FSA &amp; HRA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47"/>
        <v>WAGE WORKS - FSA &amp; HRA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47"/>
        <v>WAGE WORKS - FSA &amp; HRA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47"/>
        <v>WAGE WORKS - FSA &amp; HRA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47"/>
        <v>WAGE WORKS - FSA &amp; HRA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47"/>
        <v>WAGE WORKS - FSA &amp; HRA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47"/>
        <v>WAGE WORKS - FSA &amp; HRA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47"/>
        <v>WAGE WORKS - FSA &amp; HRA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47"/>
        <v>WAGE WORKS - FSA &amp; HRA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47"/>
        <v>WAGE WORKS - FSA &amp; HRA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47"/>
        <v>WAGE WORKS - FSA &amp; HRA FEES</v>
      </c>
    </row>
    <row r="2747" spans="5:8" x14ac:dyDescent="0.25">
      <c r="E2747" t="str">
        <f>""</f>
        <v/>
      </c>
      <c r="F2747" t="str">
        <f>""</f>
        <v/>
      </c>
      <c r="H2747" t="str">
        <f t="shared" si="47"/>
        <v>WAGE WORKS - FSA &amp; HRA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47"/>
        <v>WAGE WORKS - FSA &amp; HRA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47"/>
        <v>WAGE WORKS - FSA &amp; HRA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47"/>
        <v>WAGE WORKS - FSA &amp; HRA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47"/>
        <v>WAGE WORKS - FSA &amp; HRA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47"/>
        <v>WAGE WORKS - FSA &amp; HRA FEES</v>
      </c>
    </row>
    <row r="2753" spans="5:8" x14ac:dyDescent="0.25">
      <c r="E2753" t="str">
        <f>""</f>
        <v/>
      </c>
      <c r="F2753" t="str">
        <f>""</f>
        <v/>
      </c>
      <c r="H2753" t="str">
        <f t="shared" si="47"/>
        <v>WAGE WORKS - FSA &amp; HRA FEES</v>
      </c>
    </row>
    <row r="2754" spans="5:8" x14ac:dyDescent="0.25">
      <c r="E2754" t="str">
        <f>""</f>
        <v/>
      </c>
      <c r="F2754" t="str">
        <f>""</f>
        <v/>
      </c>
      <c r="H2754" t="str">
        <f t="shared" si="47"/>
        <v>WAGE WORKS - FSA &amp; HRA FEES</v>
      </c>
    </row>
    <row r="2755" spans="5:8" x14ac:dyDescent="0.25">
      <c r="E2755" t="str">
        <f>""</f>
        <v/>
      </c>
      <c r="F2755" t="str">
        <f>""</f>
        <v/>
      </c>
      <c r="H2755" t="str">
        <f t="shared" si="47"/>
        <v>WAGE WORKS - FSA &amp; HRA FEES</v>
      </c>
    </row>
    <row r="2756" spans="5:8" x14ac:dyDescent="0.25">
      <c r="E2756" t="str">
        <f>""</f>
        <v/>
      </c>
      <c r="F2756" t="str">
        <f>""</f>
        <v/>
      </c>
      <c r="H2756" t="str">
        <f t="shared" si="47"/>
        <v>WAGE WORKS - FSA &amp; HRA FEES</v>
      </c>
    </row>
    <row r="2757" spans="5:8" x14ac:dyDescent="0.25">
      <c r="E2757" t="str">
        <f>""</f>
        <v/>
      </c>
      <c r="F2757" t="str">
        <f>""</f>
        <v/>
      </c>
      <c r="H2757" t="str">
        <f t="shared" si="47"/>
        <v>WAGE WORKS - FSA &amp; HRA FEES</v>
      </c>
    </row>
    <row r="2758" spans="5:8" x14ac:dyDescent="0.25">
      <c r="E2758" t="str">
        <f>""</f>
        <v/>
      </c>
      <c r="F2758" t="str">
        <f>""</f>
        <v/>
      </c>
      <c r="H2758" t="str">
        <f t="shared" si="47"/>
        <v>WAGE WORKS - FSA &amp; HRA FEES</v>
      </c>
    </row>
    <row r="2759" spans="5:8" x14ac:dyDescent="0.25">
      <c r="E2759" t="str">
        <f>""</f>
        <v/>
      </c>
      <c r="F2759" t="str">
        <f>""</f>
        <v/>
      </c>
      <c r="H2759" t="str">
        <f t="shared" si="47"/>
        <v>WAGE WORKS - FSA &amp; HRA FEES</v>
      </c>
    </row>
    <row r="2760" spans="5:8" x14ac:dyDescent="0.25">
      <c r="E2760" t="str">
        <f>""</f>
        <v/>
      </c>
      <c r="F2760" t="str">
        <f>""</f>
        <v/>
      </c>
      <c r="H2760" t="str">
        <f t="shared" si="47"/>
        <v>WAGE WORKS - FSA &amp; HRA FEES</v>
      </c>
    </row>
    <row r="2761" spans="5:8" x14ac:dyDescent="0.25">
      <c r="E2761" t="str">
        <f>""</f>
        <v/>
      </c>
      <c r="F2761" t="str">
        <f>""</f>
        <v/>
      </c>
      <c r="H2761" t="str">
        <f t="shared" si="47"/>
        <v>WAGE WORKS - FSA &amp; HRA FEES</v>
      </c>
    </row>
    <row r="2762" spans="5:8" x14ac:dyDescent="0.25">
      <c r="E2762" t="str">
        <f>""</f>
        <v/>
      </c>
      <c r="F2762" t="str">
        <f>""</f>
        <v/>
      </c>
      <c r="H2762" t="str">
        <f t="shared" si="47"/>
        <v>WAGE WORKS - FSA &amp; HRA FEES</v>
      </c>
    </row>
    <row r="2763" spans="5:8" x14ac:dyDescent="0.25">
      <c r="E2763" t="str">
        <f>""</f>
        <v/>
      </c>
      <c r="F2763" t="str">
        <f>""</f>
        <v/>
      </c>
      <c r="H2763" t="str">
        <f t="shared" si="47"/>
        <v>WAGE WORKS - FSA &amp; HRA FEES</v>
      </c>
    </row>
    <row r="2764" spans="5:8" x14ac:dyDescent="0.25">
      <c r="E2764" t="str">
        <f>""</f>
        <v/>
      </c>
      <c r="F2764" t="str">
        <f>""</f>
        <v/>
      </c>
      <c r="H2764" t="str">
        <f t="shared" si="47"/>
        <v>WAGE WORKS - FSA &amp; HRA FEES</v>
      </c>
    </row>
    <row r="2765" spans="5:8" x14ac:dyDescent="0.25">
      <c r="E2765" t="str">
        <f>""</f>
        <v/>
      </c>
      <c r="F2765" t="str">
        <f>""</f>
        <v/>
      </c>
      <c r="H2765" t="str">
        <f t="shared" si="47"/>
        <v>WAGE WORKS - FSA &amp; HRA FEES</v>
      </c>
    </row>
    <row r="2766" spans="5:8" x14ac:dyDescent="0.25">
      <c r="E2766" t="str">
        <f>""</f>
        <v/>
      </c>
      <c r="F2766" t="str">
        <f>""</f>
        <v/>
      </c>
      <c r="H2766" t="str">
        <f t="shared" si="47"/>
        <v>WAGE WORKS - FSA &amp; HRA FEES</v>
      </c>
    </row>
    <row r="2767" spans="5:8" x14ac:dyDescent="0.25">
      <c r="E2767" t="str">
        <f>""</f>
        <v/>
      </c>
      <c r="F2767" t="str">
        <f>""</f>
        <v/>
      </c>
      <c r="H2767" t="str">
        <f t="shared" si="47"/>
        <v>WAGE WORKS - FSA &amp; HRA FEES</v>
      </c>
    </row>
    <row r="2768" spans="5:8" x14ac:dyDescent="0.25">
      <c r="E2768" t="str">
        <f>""</f>
        <v/>
      </c>
      <c r="F2768" t="str">
        <f>""</f>
        <v/>
      </c>
      <c r="H2768" t="str">
        <f t="shared" si="47"/>
        <v>WAGE WORKS - FSA &amp; HRA FEES</v>
      </c>
    </row>
    <row r="2769" spans="5:8" x14ac:dyDescent="0.25">
      <c r="E2769" t="str">
        <f>""</f>
        <v/>
      </c>
      <c r="F2769" t="str">
        <f>""</f>
        <v/>
      </c>
      <c r="H2769" t="str">
        <f t="shared" si="47"/>
        <v>WAGE WORKS - FSA &amp; HRA FEES</v>
      </c>
    </row>
    <row r="2770" spans="5:8" x14ac:dyDescent="0.25">
      <c r="E2770" t="str">
        <f>""</f>
        <v/>
      </c>
      <c r="F2770" t="str">
        <f>""</f>
        <v/>
      </c>
      <c r="H2770" t="str">
        <f t="shared" si="47"/>
        <v>WAGE WORKS - FSA &amp; HRA FEES</v>
      </c>
    </row>
    <row r="2771" spans="5:8" x14ac:dyDescent="0.25">
      <c r="E2771" t="str">
        <f>""</f>
        <v/>
      </c>
      <c r="F2771" t="str">
        <f>""</f>
        <v/>
      </c>
      <c r="H2771" t="str">
        <f t="shared" si="47"/>
        <v>WAGE WORKS - FSA &amp; HRA FEES</v>
      </c>
    </row>
    <row r="2772" spans="5:8" x14ac:dyDescent="0.25">
      <c r="E2772" t="str">
        <f>""</f>
        <v/>
      </c>
      <c r="F2772" t="str">
        <f>""</f>
        <v/>
      </c>
      <c r="H2772" t="str">
        <f t="shared" si="47"/>
        <v>WAGE WORKS - FSA &amp; HRA FEES</v>
      </c>
    </row>
    <row r="2773" spans="5:8" x14ac:dyDescent="0.25">
      <c r="E2773" t="str">
        <f>""</f>
        <v/>
      </c>
      <c r="F2773" t="str">
        <f>""</f>
        <v/>
      </c>
      <c r="H2773" t="str">
        <f t="shared" si="47"/>
        <v>WAGE WORKS - FSA &amp; HRA FEES</v>
      </c>
    </row>
    <row r="2774" spans="5:8" x14ac:dyDescent="0.25">
      <c r="E2774" t="str">
        <f>"FSF201807112169"</f>
        <v>FSF201807112169</v>
      </c>
      <c r="F2774" t="str">
        <f>"WAGE WORKS - FSA &amp; HRA FEES"</f>
        <v>WAGE WORKS - FSA &amp; HRA FEES</v>
      </c>
      <c r="G2774" s="3">
        <v>25.97</v>
      </c>
      <c r="H2774" t="str">
        <f t="shared" si="47"/>
        <v>WAGE WORKS - FSA &amp; HRA FEES</v>
      </c>
    </row>
    <row r="2775" spans="5:8" x14ac:dyDescent="0.25">
      <c r="E2775" t="str">
        <f>"FSO201807112168"</f>
        <v>FSO201807112168</v>
      </c>
      <c r="F2775" t="str">
        <f>"WAGE WORKS - FSA FEES"</f>
        <v>WAGE WORKS - FSA FEES</v>
      </c>
      <c r="G2775" s="3">
        <v>11.16</v>
      </c>
      <c r="H2775" t="str">
        <f t="shared" ref="H2775:H2782" si="48">"WAGE WORKS - FSA FEES"</f>
        <v>WAGE WORKS - FSA FEES</v>
      </c>
    </row>
    <row r="2776" spans="5:8" x14ac:dyDescent="0.25">
      <c r="E2776" t="str">
        <f>""</f>
        <v/>
      </c>
      <c r="F2776" t="str">
        <f>""</f>
        <v/>
      </c>
      <c r="H2776" t="str">
        <f t="shared" si="48"/>
        <v>WAGE WORKS - FSA FEES</v>
      </c>
    </row>
    <row r="2777" spans="5:8" x14ac:dyDescent="0.25">
      <c r="E2777" t="str">
        <f>""</f>
        <v/>
      </c>
      <c r="F2777" t="str">
        <f>""</f>
        <v/>
      </c>
      <c r="H2777" t="str">
        <f t="shared" si="48"/>
        <v>WAGE WORKS - FSA FEES</v>
      </c>
    </row>
    <row r="2778" spans="5:8" x14ac:dyDescent="0.25">
      <c r="E2778" t="str">
        <f>""</f>
        <v/>
      </c>
      <c r="F2778" t="str">
        <f>""</f>
        <v/>
      </c>
      <c r="H2778" t="str">
        <f t="shared" si="48"/>
        <v>WAGE WORKS - FSA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48"/>
        <v>WAGE WORKS - FSA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48"/>
        <v>WAGE WORKS - FSA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48"/>
        <v>WAGE WORKS - FSA FEES</v>
      </c>
    </row>
    <row r="2782" spans="5:8" x14ac:dyDescent="0.25">
      <c r="E2782" t="str">
        <f>"FSO201807112169"</f>
        <v>FSO201807112169</v>
      </c>
      <c r="F2782" t="str">
        <f>"WAGE WORKS - FSA FEES"</f>
        <v>WAGE WORKS - FSA FEES</v>
      </c>
      <c r="G2782" s="3">
        <v>1.86</v>
      </c>
      <c r="H2782" t="str">
        <f t="shared" si="48"/>
        <v>WAGE WORKS - FSA FEES</v>
      </c>
    </row>
    <row r="2783" spans="5:8" x14ac:dyDescent="0.25">
      <c r="E2783" t="str">
        <f>"HRA201807112168"</f>
        <v>HRA201807112168</v>
      </c>
      <c r="F2783" t="str">
        <f>"WAGE WORKS"</f>
        <v>WAGE WORKS</v>
      </c>
      <c r="G2783" s="3">
        <v>1400</v>
      </c>
      <c r="H2783" t="str">
        <f t="shared" ref="H2783:H2791" si="49">"WAGE WORKS"</f>
        <v>WAGE WORKS</v>
      </c>
    </row>
    <row r="2784" spans="5:8" x14ac:dyDescent="0.25">
      <c r="E2784" t="str">
        <f>""</f>
        <v/>
      </c>
      <c r="F2784" t="str">
        <f>""</f>
        <v/>
      </c>
      <c r="H2784" t="str">
        <f t="shared" si="49"/>
        <v>WAGE WORKS</v>
      </c>
    </row>
    <row r="2785" spans="5:8" x14ac:dyDescent="0.25">
      <c r="E2785" t="str">
        <f>""</f>
        <v/>
      </c>
      <c r="F2785" t="str">
        <f>""</f>
        <v/>
      </c>
      <c r="H2785" t="str">
        <f t="shared" si="49"/>
        <v>WAGE WORKS</v>
      </c>
    </row>
    <row r="2786" spans="5:8" x14ac:dyDescent="0.25">
      <c r="E2786" t="str">
        <f>""</f>
        <v/>
      </c>
      <c r="F2786" t="str">
        <f>""</f>
        <v/>
      </c>
      <c r="H2786" t="str">
        <f t="shared" si="49"/>
        <v>WAGE WORKS</v>
      </c>
    </row>
    <row r="2787" spans="5:8" x14ac:dyDescent="0.25">
      <c r="E2787" t="str">
        <f>""</f>
        <v/>
      </c>
      <c r="F2787" t="str">
        <f>""</f>
        <v/>
      </c>
      <c r="H2787" t="str">
        <f t="shared" si="49"/>
        <v>WAGE WORKS</v>
      </c>
    </row>
    <row r="2788" spans="5:8" x14ac:dyDescent="0.25">
      <c r="E2788" t="str">
        <f>""</f>
        <v/>
      </c>
      <c r="F2788" t="str">
        <f>""</f>
        <v/>
      </c>
      <c r="H2788" t="str">
        <f t="shared" si="49"/>
        <v>WAGE WORKS</v>
      </c>
    </row>
    <row r="2789" spans="5:8" x14ac:dyDescent="0.25">
      <c r="E2789" t="str">
        <f>""</f>
        <v/>
      </c>
      <c r="F2789" t="str">
        <f>""</f>
        <v/>
      </c>
      <c r="H2789" t="str">
        <f t="shared" si="49"/>
        <v>WAGE WORKS</v>
      </c>
    </row>
    <row r="2790" spans="5:8" x14ac:dyDescent="0.25">
      <c r="E2790" t="str">
        <f>""</f>
        <v/>
      </c>
      <c r="F2790" t="str">
        <f>""</f>
        <v/>
      </c>
      <c r="H2790" t="str">
        <f t="shared" si="49"/>
        <v>WAGE WORKS</v>
      </c>
    </row>
    <row r="2791" spans="5:8" x14ac:dyDescent="0.25">
      <c r="E2791" t="str">
        <f>""</f>
        <v/>
      </c>
      <c r="F2791" t="str">
        <f>""</f>
        <v/>
      </c>
      <c r="H2791" t="str">
        <f t="shared" si="49"/>
        <v>WAGE WORKS</v>
      </c>
    </row>
    <row r="2792" spans="5:8" x14ac:dyDescent="0.25">
      <c r="E2792" t="str">
        <f>"HRF201807112168"</f>
        <v>HRF201807112168</v>
      </c>
      <c r="F2792" t="str">
        <f>"WAGE WORKS - HRA FEES"</f>
        <v>WAGE WORKS - HRA FEES</v>
      </c>
      <c r="G2792" s="3">
        <v>515.22</v>
      </c>
      <c r="H2792" t="str">
        <f t="shared" ref="H2792:H2830" si="50">"WAGE WORKS - HRA FEES"</f>
        <v>WAGE WORKS - HRA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50"/>
        <v>WAGE WORKS - HRA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50"/>
        <v>WAGE WORKS - HRA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50"/>
        <v>WAGE WORKS - HRA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50"/>
        <v>WAGE WORKS - HRA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50"/>
        <v>WAGE WORKS - HRA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50"/>
        <v>WAGE WORKS - HRA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50"/>
        <v>WAGE WORKS - HRA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50"/>
        <v>WAGE WORKS - HRA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50"/>
        <v>WAGE WORKS - HRA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50"/>
        <v>WAGE WORKS - HRA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50"/>
        <v>WAGE WORKS - HRA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50"/>
        <v>WAGE WORKS - HRA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50"/>
        <v>WAGE WORKS - HRA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50"/>
        <v>WAGE WORKS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50"/>
        <v>WAGE WORKS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50"/>
        <v>WAGE WORKS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50"/>
        <v>WAGE WORKS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50"/>
        <v>WAGE WORKS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50"/>
        <v>WAGE WORKS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50"/>
        <v>WAGE WORKS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50"/>
        <v>WAGE WORKS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50"/>
        <v>WAGE WORKS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50"/>
        <v>WAGE WORKS - HRA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50"/>
        <v>WAGE WORKS - HRA FEES</v>
      </c>
    </row>
    <row r="2817" spans="1:8" x14ac:dyDescent="0.25">
      <c r="E2817" t="str">
        <f>""</f>
        <v/>
      </c>
      <c r="F2817" t="str">
        <f>""</f>
        <v/>
      </c>
      <c r="H2817" t="str">
        <f t="shared" si="50"/>
        <v>WAGE WORKS - HRA FEES</v>
      </c>
    </row>
    <row r="2818" spans="1:8" x14ac:dyDescent="0.25">
      <c r="E2818" t="str">
        <f>""</f>
        <v/>
      </c>
      <c r="F2818" t="str">
        <f>""</f>
        <v/>
      </c>
      <c r="H2818" t="str">
        <f t="shared" si="50"/>
        <v>WAGE WORKS - HRA FEES</v>
      </c>
    </row>
    <row r="2819" spans="1:8" x14ac:dyDescent="0.25">
      <c r="E2819" t="str">
        <f>""</f>
        <v/>
      </c>
      <c r="F2819" t="str">
        <f>""</f>
        <v/>
      </c>
      <c r="H2819" t="str">
        <f t="shared" si="50"/>
        <v>WAGE WORKS - HRA FEES</v>
      </c>
    </row>
    <row r="2820" spans="1:8" x14ac:dyDescent="0.25">
      <c r="E2820" t="str">
        <f>""</f>
        <v/>
      </c>
      <c r="F2820" t="str">
        <f>""</f>
        <v/>
      </c>
      <c r="H2820" t="str">
        <f t="shared" si="50"/>
        <v>WAGE WORKS - HRA FEES</v>
      </c>
    </row>
    <row r="2821" spans="1:8" x14ac:dyDescent="0.25">
      <c r="E2821" t="str">
        <f>""</f>
        <v/>
      </c>
      <c r="F2821" t="str">
        <f>""</f>
        <v/>
      </c>
      <c r="H2821" t="str">
        <f t="shared" si="50"/>
        <v>WAGE WORKS - HRA FEES</v>
      </c>
    </row>
    <row r="2822" spans="1:8" x14ac:dyDescent="0.25">
      <c r="E2822" t="str">
        <f>""</f>
        <v/>
      </c>
      <c r="F2822" t="str">
        <f>""</f>
        <v/>
      </c>
      <c r="H2822" t="str">
        <f t="shared" si="50"/>
        <v>WAGE WORKS - HRA FEES</v>
      </c>
    </row>
    <row r="2823" spans="1:8" x14ac:dyDescent="0.25">
      <c r="E2823" t="str">
        <f>""</f>
        <v/>
      </c>
      <c r="F2823" t="str">
        <f>""</f>
        <v/>
      </c>
      <c r="H2823" t="str">
        <f t="shared" si="50"/>
        <v>WAGE WORKS - HRA FEES</v>
      </c>
    </row>
    <row r="2824" spans="1:8" x14ac:dyDescent="0.25">
      <c r="E2824" t="str">
        <f>""</f>
        <v/>
      </c>
      <c r="F2824" t="str">
        <f>""</f>
        <v/>
      </c>
      <c r="H2824" t="str">
        <f t="shared" si="50"/>
        <v>WAGE WORKS - HRA FEES</v>
      </c>
    </row>
    <row r="2825" spans="1:8" x14ac:dyDescent="0.25">
      <c r="E2825" t="str">
        <f>""</f>
        <v/>
      </c>
      <c r="F2825" t="str">
        <f>""</f>
        <v/>
      </c>
      <c r="H2825" t="str">
        <f t="shared" si="50"/>
        <v>WAGE WORKS - HRA FEES</v>
      </c>
    </row>
    <row r="2826" spans="1:8" x14ac:dyDescent="0.25">
      <c r="E2826" t="str">
        <f>""</f>
        <v/>
      </c>
      <c r="F2826" t="str">
        <f>""</f>
        <v/>
      </c>
      <c r="H2826" t="str">
        <f t="shared" si="50"/>
        <v>WAGE WORKS - HRA FEES</v>
      </c>
    </row>
    <row r="2827" spans="1:8" x14ac:dyDescent="0.25">
      <c r="E2827" t="str">
        <f>""</f>
        <v/>
      </c>
      <c r="F2827" t="str">
        <f>""</f>
        <v/>
      </c>
      <c r="H2827" t="str">
        <f t="shared" si="50"/>
        <v>WAGE WORKS - HRA FEES</v>
      </c>
    </row>
    <row r="2828" spans="1:8" x14ac:dyDescent="0.25">
      <c r="E2828" t="str">
        <f>""</f>
        <v/>
      </c>
      <c r="F2828" t="str">
        <f>""</f>
        <v/>
      </c>
      <c r="H2828" t="str">
        <f t="shared" si="50"/>
        <v>WAGE WORKS - HRA FEES</v>
      </c>
    </row>
    <row r="2829" spans="1:8" x14ac:dyDescent="0.25">
      <c r="E2829" t="str">
        <f>""</f>
        <v/>
      </c>
      <c r="F2829" t="str">
        <f>""</f>
        <v/>
      </c>
      <c r="H2829" t="str">
        <f t="shared" si="50"/>
        <v>WAGE WORKS - HRA FEES</v>
      </c>
    </row>
    <row r="2830" spans="1:8" x14ac:dyDescent="0.25">
      <c r="E2830" t="str">
        <f>"HRF201807112169"</f>
        <v>HRF201807112169</v>
      </c>
      <c r="F2830" t="str">
        <f>"WAGE WORKS - HRA FEES"</f>
        <v>WAGE WORKS - HRA FEES</v>
      </c>
      <c r="G2830" s="3">
        <v>14.88</v>
      </c>
      <c r="H2830" t="str">
        <f t="shared" si="50"/>
        <v>WAGE WORKS - HRA FEES</v>
      </c>
    </row>
    <row r="2831" spans="1:8" x14ac:dyDescent="0.25">
      <c r="A2831" t="s">
        <v>507</v>
      </c>
      <c r="B2831">
        <v>0</v>
      </c>
      <c r="C2831" s="2">
        <v>11021.48</v>
      </c>
      <c r="D2831" s="1">
        <v>43308</v>
      </c>
      <c r="E2831" t="str">
        <f>"FSA201807252397"</f>
        <v>FSA201807252397</v>
      </c>
      <c r="F2831" t="str">
        <f>"WAGE WORKS"</f>
        <v>WAGE WORKS</v>
      </c>
      <c r="G2831" s="3">
        <v>8437.65</v>
      </c>
      <c r="H2831" t="str">
        <f>"WAGE WORKS"</f>
        <v>WAGE WORKS</v>
      </c>
    </row>
    <row r="2832" spans="1:8" x14ac:dyDescent="0.25">
      <c r="E2832" t="str">
        <f>"FSA201807252398"</f>
        <v>FSA201807252398</v>
      </c>
      <c r="F2832" t="str">
        <f>"WAGE WORKS"</f>
        <v>WAGE WORKS</v>
      </c>
      <c r="G2832" s="3">
        <v>574</v>
      </c>
      <c r="H2832" t="str">
        <f>"WAGE WORKS"</f>
        <v>WAGE WORKS</v>
      </c>
    </row>
    <row r="2833" spans="5:8" x14ac:dyDescent="0.25">
      <c r="E2833" t="str">
        <f>"FSC201807252397"</f>
        <v>FSC201807252397</v>
      </c>
      <c r="F2833" t="str">
        <f>"WAGE WORKS"</f>
        <v>WAGE WORKS</v>
      </c>
      <c r="G2833" s="3">
        <v>913.95</v>
      </c>
      <c r="H2833" t="str">
        <f>"WAGE WORKS"</f>
        <v>WAGE WORKS</v>
      </c>
    </row>
    <row r="2834" spans="5:8" x14ac:dyDescent="0.25">
      <c r="E2834" t="str">
        <f>"FSF201807252397"</f>
        <v>FSF201807252397</v>
      </c>
      <c r="F2834" t="str">
        <f>"WAGE WORKS - FSA &amp; HRA FEES"</f>
        <v>WAGE WORKS - FSA &amp; HRA FEES</v>
      </c>
      <c r="G2834" s="3">
        <v>537.95000000000005</v>
      </c>
      <c r="H2834" t="str">
        <f t="shared" ref="H2834:H2874" si="51">"WAGE WORKS - FSA &amp; HRA FEES"</f>
        <v>WAGE WORKS - FSA &amp; HRA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51"/>
        <v>WAGE WORKS - FSA &amp; HRA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51"/>
        <v>WAGE WORKS - FSA &amp; HRA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51"/>
        <v>WAGE WORKS - FSA &amp; HRA FEES</v>
      </c>
    </row>
    <row r="2838" spans="5:8" x14ac:dyDescent="0.25">
      <c r="E2838" t="str">
        <f>""</f>
        <v/>
      </c>
      <c r="F2838" t="str">
        <f>""</f>
        <v/>
      </c>
      <c r="H2838" t="str">
        <f t="shared" si="51"/>
        <v>WAGE WORKS - FSA &amp; HRA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51"/>
        <v>WAGE WORKS - FSA &amp; HRA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51"/>
        <v>WAGE WORKS - FSA &amp; HRA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51"/>
        <v>WAGE WORKS - FSA &amp; HRA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51"/>
        <v>WAGE WORKS - FSA &amp; HRA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51"/>
        <v>WAGE WORKS - FSA &amp; HRA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51"/>
        <v>WAGE WORKS - FSA &amp; HRA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51"/>
        <v>WAGE WORKS - FSA &amp; HRA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51"/>
        <v>WAGE WORKS - FSA &amp; HRA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51"/>
        <v>WAGE WORKS - FSA &amp; HRA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51"/>
        <v>WAGE WORKS - FSA &amp; HRA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51"/>
        <v>WAGE WORKS - FSA &amp; HRA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51"/>
        <v>WAGE WORKS - FSA &amp; HRA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51"/>
        <v>WAGE WORKS - FSA &amp; HRA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51"/>
        <v>WAGE WORKS - FSA &amp; HRA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51"/>
        <v>WAGE WORKS - FSA &amp; HRA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51"/>
        <v>WAGE WORKS - FSA &amp; HRA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51"/>
        <v>WAGE WORKS - FSA &amp; HRA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51"/>
        <v>WAGE WORKS - FSA &amp; HRA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51"/>
        <v>WAGE WORKS - FSA &amp; HRA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51"/>
        <v>WAGE WORKS - FSA &amp; HRA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51"/>
        <v>WAGE WORKS - FSA &amp; HRA FEES</v>
      </c>
    </row>
    <row r="2860" spans="5:8" x14ac:dyDescent="0.25">
      <c r="E2860" t="str">
        <f>""</f>
        <v/>
      </c>
      <c r="F2860" t="str">
        <f>""</f>
        <v/>
      </c>
      <c r="H2860" t="str">
        <f t="shared" si="51"/>
        <v>WAGE WORKS - FSA &amp; HRA FEES</v>
      </c>
    </row>
    <row r="2861" spans="5:8" x14ac:dyDescent="0.25">
      <c r="E2861" t="str">
        <f>""</f>
        <v/>
      </c>
      <c r="F2861" t="str">
        <f>""</f>
        <v/>
      </c>
      <c r="H2861" t="str">
        <f t="shared" si="51"/>
        <v>WAGE WORKS - FSA &amp; HRA FEES</v>
      </c>
    </row>
    <row r="2862" spans="5:8" x14ac:dyDescent="0.25">
      <c r="E2862" t="str">
        <f>""</f>
        <v/>
      </c>
      <c r="F2862" t="str">
        <f>""</f>
        <v/>
      </c>
      <c r="H2862" t="str">
        <f t="shared" si="51"/>
        <v>WAGE WORKS - FSA &amp; HRA FEES</v>
      </c>
    </row>
    <row r="2863" spans="5:8" x14ac:dyDescent="0.25">
      <c r="E2863" t="str">
        <f>""</f>
        <v/>
      </c>
      <c r="F2863" t="str">
        <f>""</f>
        <v/>
      </c>
      <c r="H2863" t="str">
        <f t="shared" si="51"/>
        <v>WAGE WORKS - FSA &amp; HRA FEES</v>
      </c>
    </row>
    <row r="2864" spans="5:8" x14ac:dyDescent="0.25">
      <c r="E2864" t="str">
        <f>""</f>
        <v/>
      </c>
      <c r="F2864" t="str">
        <f>""</f>
        <v/>
      </c>
      <c r="H2864" t="str">
        <f t="shared" si="51"/>
        <v>WAGE WORKS - FSA &amp; HRA FEES</v>
      </c>
    </row>
    <row r="2865" spans="5:8" x14ac:dyDescent="0.25">
      <c r="E2865" t="str">
        <f>""</f>
        <v/>
      </c>
      <c r="F2865" t="str">
        <f>""</f>
        <v/>
      </c>
      <c r="H2865" t="str">
        <f t="shared" si="51"/>
        <v>WAGE WORKS - FSA &amp; HRA FEES</v>
      </c>
    </row>
    <row r="2866" spans="5:8" x14ac:dyDescent="0.25">
      <c r="E2866" t="str">
        <f>""</f>
        <v/>
      </c>
      <c r="F2866" t="str">
        <f>""</f>
        <v/>
      </c>
      <c r="H2866" t="str">
        <f t="shared" si="51"/>
        <v>WAGE WORKS - FSA &amp; HRA FEES</v>
      </c>
    </row>
    <row r="2867" spans="5:8" x14ac:dyDescent="0.25">
      <c r="E2867" t="str">
        <f>""</f>
        <v/>
      </c>
      <c r="F2867" t="str">
        <f>""</f>
        <v/>
      </c>
      <c r="H2867" t="str">
        <f t="shared" si="51"/>
        <v>WAGE WORKS - FSA &amp; HRA FEES</v>
      </c>
    </row>
    <row r="2868" spans="5:8" x14ac:dyDescent="0.25">
      <c r="E2868" t="str">
        <f>""</f>
        <v/>
      </c>
      <c r="F2868" t="str">
        <f>""</f>
        <v/>
      </c>
      <c r="H2868" t="str">
        <f t="shared" si="51"/>
        <v>WAGE WORKS - FSA &amp; HRA FEES</v>
      </c>
    </row>
    <row r="2869" spans="5:8" x14ac:dyDescent="0.25">
      <c r="E2869" t="str">
        <f>""</f>
        <v/>
      </c>
      <c r="F2869" t="str">
        <f>""</f>
        <v/>
      </c>
      <c r="H2869" t="str">
        <f t="shared" si="51"/>
        <v>WAGE WORKS - FSA &amp;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51"/>
        <v>WAGE WORKS - FSA &amp;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51"/>
        <v>WAGE WORKS - FSA &amp;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51"/>
        <v>WAGE WORKS - FSA &amp;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51"/>
        <v>WAGE WORKS - FSA &amp; HRA FEES</v>
      </c>
    </row>
    <row r="2874" spans="5:8" x14ac:dyDescent="0.25">
      <c r="E2874" t="str">
        <f>"FSF201807252398"</f>
        <v>FSF201807252398</v>
      </c>
      <c r="F2874" t="str">
        <f>"WAGE WORKS - FSA &amp; HRA FEES"</f>
        <v>WAGE WORKS - FSA &amp; HRA FEES</v>
      </c>
      <c r="G2874" s="3">
        <v>25.97</v>
      </c>
      <c r="H2874" t="str">
        <f t="shared" si="51"/>
        <v>WAGE WORKS - FSA &amp; HRA FEES</v>
      </c>
    </row>
    <row r="2875" spans="5:8" x14ac:dyDescent="0.25">
      <c r="E2875" t="str">
        <f>"FSO201807252397"</f>
        <v>FSO201807252397</v>
      </c>
      <c r="F2875" t="str">
        <f>"WAGE WORKS - FSA FEES"</f>
        <v>WAGE WORKS - FSA FEES</v>
      </c>
      <c r="G2875" s="3">
        <v>11.16</v>
      </c>
      <c r="H2875" t="str">
        <f t="shared" ref="H2875:H2882" si="52">"WAGE WORKS - FSA FEES"</f>
        <v>WAGE WORKS - FSA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52"/>
        <v>WAGE WORKS - FSA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52"/>
        <v>WAGE WORKS - FSA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52"/>
        <v>WAGE WORKS - FSA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52"/>
        <v>WAGE WORKS - FSA FEES</v>
      </c>
    </row>
    <row r="2880" spans="5:8" x14ac:dyDescent="0.25">
      <c r="E2880" t="str">
        <f>""</f>
        <v/>
      </c>
      <c r="F2880" t="str">
        <f>""</f>
        <v/>
      </c>
      <c r="H2880" t="str">
        <f t="shared" si="52"/>
        <v>WAGE WORKS - FSA FEES</v>
      </c>
    </row>
    <row r="2881" spans="5:8" x14ac:dyDescent="0.25">
      <c r="E2881" t="str">
        <f>""</f>
        <v/>
      </c>
      <c r="F2881" t="str">
        <f>""</f>
        <v/>
      </c>
      <c r="H2881" t="str">
        <f t="shared" si="52"/>
        <v>WAGE WORKS - FSA FEES</v>
      </c>
    </row>
    <row r="2882" spans="5:8" x14ac:dyDescent="0.25">
      <c r="E2882" t="str">
        <f>"FSO201807252398"</f>
        <v>FSO201807252398</v>
      </c>
      <c r="F2882" t="str">
        <f>"WAGE WORKS - FSA FEES"</f>
        <v>WAGE WORKS - FSA FEES</v>
      </c>
      <c r="G2882" s="3">
        <v>1.86</v>
      </c>
      <c r="H2882" t="str">
        <f t="shared" si="52"/>
        <v>WAGE WORKS - FSA FEES</v>
      </c>
    </row>
    <row r="2883" spans="5:8" x14ac:dyDescent="0.25">
      <c r="E2883" t="str">
        <f>"HRF201807252397"</f>
        <v>HRF201807252397</v>
      </c>
      <c r="F2883" t="str">
        <f>"WAGE WORKS - HRA FEES"</f>
        <v>WAGE WORKS - HRA FEES</v>
      </c>
      <c r="G2883" s="3">
        <v>504.06</v>
      </c>
      <c r="H2883" t="str">
        <f t="shared" ref="H2883:H2921" si="53">"WAGE WORKS - HRA FEES"</f>
        <v>WAGE WORKS - HRA FEES</v>
      </c>
    </row>
    <row r="2884" spans="5:8" x14ac:dyDescent="0.25">
      <c r="E2884" t="str">
        <f>""</f>
        <v/>
      </c>
      <c r="F2884" t="str">
        <f>""</f>
        <v/>
      </c>
      <c r="H2884" t="str">
        <f t="shared" si="53"/>
        <v>WAGE WORKS - HRA FEES</v>
      </c>
    </row>
    <row r="2885" spans="5:8" x14ac:dyDescent="0.25">
      <c r="E2885" t="str">
        <f>""</f>
        <v/>
      </c>
      <c r="F2885" t="str">
        <f>""</f>
        <v/>
      </c>
      <c r="H2885" t="str">
        <f t="shared" si="53"/>
        <v>WAGE WORKS - HRA FEES</v>
      </c>
    </row>
    <row r="2886" spans="5:8" x14ac:dyDescent="0.25">
      <c r="E2886" t="str">
        <f>""</f>
        <v/>
      </c>
      <c r="F2886" t="str">
        <f>""</f>
        <v/>
      </c>
      <c r="H2886" t="str">
        <f t="shared" si="53"/>
        <v>WAGE WORKS - HRA FEES</v>
      </c>
    </row>
    <row r="2887" spans="5:8" x14ac:dyDescent="0.25">
      <c r="E2887" t="str">
        <f>""</f>
        <v/>
      </c>
      <c r="F2887" t="str">
        <f>""</f>
        <v/>
      </c>
      <c r="H2887" t="str">
        <f t="shared" si="53"/>
        <v>WAGE WORKS - HRA FEES</v>
      </c>
    </row>
    <row r="2888" spans="5:8" x14ac:dyDescent="0.25">
      <c r="E2888" t="str">
        <f>""</f>
        <v/>
      </c>
      <c r="F2888" t="str">
        <f>""</f>
        <v/>
      </c>
      <c r="H2888" t="str">
        <f t="shared" si="53"/>
        <v>WAGE WORKS - HRA FEES</v>
      </c>
    </row>
    <row r="2889" spans="5:8" x14ac:dyDescent="0.25">
      <c r="E2889" t="str">
        <f>""</f>
        <v/>
      </c>
      <c r="F2889" t="str">
        <f>""</f>
        <v/>
      </c>
      <c r="H2889" t="str">
        <f t="shared" si="53"/>
        <v>WAGE WORKS - HRA FEES</v>
      </c>
    </row>
    <row r="2890" spans="5:8" x14ac:dyDescent="0.25">
      <c r="E2890" t="str">
        <f>""</f>
        <v/>
      </c>
      <c r="F2890" t="str">
        <f>""</f>
        <v/>
      </c>
      <c r="H2890" t="str">
        <f t="shared" si="53"/>
        <v>WAGE WORKS - HRA FEES</v>
      </c>
    </row>
    <row r="2891" spans="5:8" x14ac:dyDescent="0.25">
      <c r="E2891" t="str">
        <f>""</f>
        <v/>
      </c>
      <c r="F2891" t="str">
        <f>""</f>
        <v/>
      </c>
      <c r="H2891" t="str">
        <f t="shared" si="53"/>
        <v>WAGE WORKS - HRA FEES</v>
      </c>
    </row>
    <row r="2892" spans="5:8" x14ac:dyDescent="0.25">
      <c r="E2892" t="str">
        <f>""</f>
        <v/>
      </c>
      <c r="F2892" t="str">
        <f>""</f>
        <v/>
      </c>
      <c r="H2892" t="str">
        <f t="shared" si="53"/>
        <v>WAGE WORKS - HRA FEES</v>
      </c>
    </row>
    <row r="2893" spans="5:8" x14ac:dyDescent="0.25">
      <c r="E2893" t="str">
        <f>""</f>
        <v/>
      </c>
      <c r="F2893" t="str">
        <f>""</f>
        <v/>
      </c>
      <c r="H2893" t="str">
        <f t="shared" si="53"/>
        <v>WAGE WORKS - HRA FEES</v>
      </c>
    </row>
    <row r="2894" spans="5:8" x14ac:dyDescent="0.25">
      <c r="E2894" t="str">
        <f>""</f>
        <v/>
      </c>
      <c r="F2894" t="str">
        <f>""</f>
        <v/>
      </c>
      <c r="H2894" t="str">
        <f t="shared" si="53"/>
        <v>WAGE WORKS - HRA FEES</v>
      </c>
    </row>
    <row r="2895" spans="5:8" x14ac:dyDescent="0.25">
      <c r="E2895" t="str">
        <f>""</f>
        <v/>
      </c>
      <c r="F2895" t="str">
        <f>""</f>
        <v/>
      </c>
      <c r="H2895" t="str">
        <f t="shared" si="53"/>
        <v>WAGE WORKS - HRA FEES</v>
      </c>
    </row>
    <row r="2896" spans="5:8" x14ac:dyDescent="0.25">
      <c r="E2896" t="str">
        <f>""</f>
        <v/>
      </c>
      <c r="F2896" t="str">
        <f>""</f>
        <v/>
      </c>
      <c r="H2896" t="str">
        <f t="shared" si="53"/>
        <v>WAGE WORKS - HRA FEES</v>
      </c>
    </row>
    <row r="2897" spans="5:8" x14ac:dyDescent="0.25">
      <c r="E2897" t="str">
        <f>""</f>
        <v/>
      </c>
      <c r="F2897" t="str">
        <f>""</f>
        <v/>
      </c>
      <c r="H2897" t="str">
        <f t="shared" si="53"/>
        <v>WAGE WORKS - HRA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53"/>
        <v>WAGE WORKS - HRA FEES</v>
      </c>
    </row>
    <row r="2899" spans="5:8" x14ac:dyDescent="0.25">
      <c r="E2899" t="str">
        <f>""</f>
        <v/>
      </c>
      <c r="F2899" t="str">
        <f>""</f>
        <v/>
      </c>
      <c r="H2899" t="str">
        <f t="shared" si="53"/>
        <v>WAGE WORKS - HRA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53"/>
        <v>WAGE WORKS - HRA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53"/>
        <v>WAGE WORKS - HRA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53"/>
        <v>WAGE WORKS - HRA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53"/>
        <v>WAGE WORKS - HRA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53"/>
        <v>WAGE WORKS - HRA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53"/>
        <v>WAGE WORKS - HRA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53"/>
        <v>WAGE WORKS - HRA FEES</v>
      </c>
    </row>
    <row r="2907" spans="5:8" x14ac:dyDescent="0.25">
      <c r="E2907" t="str">
        <f>""</f>
        <v/>
      </c>
      <c r="F2907" t="str">
        <f>""</f>
        <v/>
      </c>
      <c r="H2907" t="str">
        <f t="shared" si="53"/>
        <v>WAGE WORKS - HRA FEES</v>
      </c>
    </row>
    <row r="2908" spans="5:8" x14ac:dyDescent="0.25">
      <c r="E2908" t="str">
        <f>""</f>
        <v/>
      </c>
      <c r="F2908" t="str">
        <f>""</f>
        <v/>
      </c>
      <c r="H2908" t="str">
        <f t="shared" si="53"/>
        <v>WAGE WORKS - HRA FEES</v>
      </c>
    </row>
    <row r="2909" spans="5:8" x14ac:dyDescent="0.25">
      <c r="E2909" t="str">
        <f>""</f>
        <v/>
      </c>
      <c r="F2909" t="str">
        <f>""</f>
        <v/>
      </c>
      <c r="H2909" t="str">
        <f t="shared" si="53"/>
        <v>WAGE WORKS - HRA FEES</v>
      </c>
    </row>
    <row r="2910" spans="5:8" x14ac:dyDescent="0.25">
      <c r="E2910" t="str">
        <f>""</f>
        <v/>
      </c>
      <c r="F2910" t="str">
        <f>""</f>
        <v/>
      </c>
      <c r="H2910" t="str">
        <f t="shared" si="53"/>
        <v>WAGE WORKS - HRA FEES</v>
      </c>
    </row>
    <row r="2911" spans="5:8" x14ac:dyDescent="0.25">
      <c r="E2911" t="str">
        <f>""</f>
        <v/>
      </c>
      <c r="F2911" t="str">
        <f>""</f>
        <v/>
      </c>
      <c r="H2911" t="str">
        <f t="shared" si="53"/>
        <v>WAGE WORKS - HRA FEES</v>
      </c>
    </row>
    <row r="2912" spans="5:8" x14ac:dyDescent="0.25">
      <c r="E2912" t="str">
        <f>""</f>
        <v/>
      </c>
      <c r="F2912" t="str">
        <f>""</f>
        <v/>
      </c>
      <c r="H2912" t="str">
        <f t="shared" si="53"/>
        <v>WAGE WORKS - HRA FEES</v>
      </c>
    </row>
    <row r="2913" spans="2:8" x14ac:dyDescent="0.25">
      <c r="E2913" t="str">
        <f>""</f>
        <v/>
      </c>
      <c r="F2913" t="str">
        <f>""</f>
        <v/>
      </c>
      <c r="H2913" t="str">
        <f t="shared" si="53"/>
        <v>WAGE WORKS - HRA FEES</v>
      </c>
    </row>
    <row r="2914" spans="2:8" x14ac:dyDescent="0.25">
      <c r="E2914" t="str">
        <f>""</f>
        <v/>
      </c>
      <c r="F2914" t="str">
        <f>""</f>
        <v/>
      </c>
      <c r="H2914" t="str">
        <f t="shared" si="53"/>
        <v>WAGE WORKS - HRA FEES</v>
      </c>
    </row>
    <row r="2915" spans="2:8" x14ac:dyDescent="0.25">
      <c r="E2915" t="str">
        <f>""</f>
        <v/>
      </c>
      <c r="F2915" t="str">
        <f>""</f>
        <v/>
      </c>
      <c r="H2915" t="str">
        <f t="shared" si="53"/>
        <v>WAGE WORKS - HRA FEES</v>
      </c>
    </row>
    <row r="2916" spans="2:8" x14ac:dyDescent="0.25">
      <c r="E2916" t="str">
        <f>""</f>
        <v/>
      </c>
      <c r="F2916" t="str">
        <f>""</f>
        <v/>
      </c>
      <c r="H2916" t="str">
        <f t="shared" si="53"/>
        <v>WAGE WORKS - HRA FEES</v>
      </c>
    </row>
    <row r="2917" spans="2:8" x14ac:dyDescent="0.25">
      <c r="E2917" t="str">
        <f>""</f>
        <v/>
      </c>
      <c r="F2917" t="str">
        <f>""</f>
        <v/>
      </c>
      <c r="H2917" t="str">
        <f t="shared" si="53"/>
        <v>WAGE WORKS - HRA FEES</v>
      </c>
    </row>
    <row r="2918" spans="2:8" x14ac:dyDescent="0.25">
      <c r="E2918" t="str">
        <f>""</f>
        <v/>
      </c>
      <c r="F2918" t="str">
        <f>""</f>
        <v/>
      </c>
      <c r="H2918" t="str">
        <f t="shared" si="53"/>
        <v>WAGE WORKS - HRA FEES</v>
      </c>
    </row>
    <row r="2919" spans="2:8" x14ac:dyDescent="0.25">
      <c r="E2919" t="str">
        <f>""</f>
        <v/>
      </c>
      <c r="F2919" t="str">
        <f>""</f>
        <v/>
      </c>
      <c r="H2919" t="str">
        <f t="shared" si="53"/>
        <v>WAGE WORKS - HRA FEES</v>
      </c>
    </row>
    <row r="2920" spans="2:8" x14ac:dyDescent="0.25">
      <c r="E2920" t="str">
        <f>""</f>
        <v/>
      </c>
      <c r="F2920" t="str">
        <f>""</f>
        <v/>
      </c>
      <c r="H2920" t="str">
        <f t="shared" si="53"/>
        <v>WAGE WORKS - HRA FEES</v>
      </c>
    </row>
    <row r="2921" spans="2:8" x14ac:dyDescent="0.25">
      <c r="B2921" s="4" t="s">
        <v>544</v>
      </c>
      <c r="C2921" s="2">
        <f>SUM(C2:C2920)</f>
        <v>4573149.830000001</v>
      </c>
      <c r="E2921" t="str">
        <f>"HRF201807252398"</f>
        <v>HRF201807252398</v>
      </c>
      <c r="F2921" t="str">
        <f>"WAGE WORKS - HRA FEES"</f>
        <v>WAGE WORKS - HRA FEES</v>
      </c>
      <c r="G2921" s="3">
        <v>14.88</v>
      </c>
      <c r="H2921" t="str">
        <f t="shared" si="53"/>
        <v>WAGE WORKS - HRA FEES</v>
      </c>
    </row>
    <row r="2922" spans="2:8" x14ac:dyDescent="0.25">
      <c r="D2922" s="1"/>
    </row>
    <row r="2923" spans="2:8" x14ac:dyDescent="0.25">
      <c r="D2923" s="1"/>
    </row>
    <row r="2924" spans="2:8" x14ac:dyDescent="0.25">
      <c r="D2924" s="1"/>
    </row>
    <row r="2925" spans="2:8" x14ac:dyDescent="0.25">
      <c r="D2925" s="1"/>
    </row>
    <row r="2926" spans="2:8" x14ac:dyDescent="0.25">
      <c r="D2926" s="1"/>
    </row>
    <row r="2927" spans="2:8" x14ac:dyDescent="0.25">
      <c r="D2927" s="1"/>
    </row>
    <row r="2928" spans="2:8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  <row r="2970" spans="4:4" x14ac:dyDescent="0.25">
      <c r="D2970" s="1"/>
    </row>
    <row r="2971" spans="4:4" x14ac:dyDescent="0.25">
      <c r="D2971" s="1"/>
    </row>
    <row r="2972" spans="4:4" x14ac:dyDescent="0.25">
      <c r="D2972" s="1"/>
    </row>
    <row r="2973" spans="4:4" x14ac:dyDescent="0.25">
      <c r="D2973" s="1"/>
    </row>
    <row r="2974" spans="4:4" x14ac:dyDescent="0.25">
      <c r="D2974" s="1"/>
    </row>
    <row r="2975" spans="4:4" x14ac:dyDescent="0.25">
      <c r="D2975" s="1"/>
    </row>
    <row r="2976" spans="4:4" x14ac:dyDescent="0.25">
      <c r="D2976" s="1"/>
    </row>
    <row r="2977" spans="4:4" x14ac:dyDescent="0.25">
      <c r="D2977" s="1"/>
    </row>
    <row r="2978" spans="4:4" x14ac:dyDescent="0.25">
      <c r="D2978" s="1"/>
    </row>
    <row r="2979" spans="4:4" x14ac:dyDescent="0.25">
      <c r="D2979" s="1"/>
    </row>
    <row r="2980" spans="4:4" x14ac:dyDescent="0.25">
      <c r="D2980" s="1"/>
    </row>
    <row r="2981" spans="4:4" x14ac:dyDescent="0.25">
      <c r="D2981" s="1"/>
    </row>
    <row r="2982" spans="4:4" x14ac:dyDescent="0.25">
      <c r="D2982" s="1"/>
    </row>
    <row r="2983" spans="4:4" x14ac:dyDescent="0.25">
      <c r="D2983" s="1"/>
    </row>
    <row r="2984" spans="4:4" x14ac:dyDescent="0.25">
      <c r="D2984" s="1"/>
    </row>
    <row r="2985" spans="4:4" x14ac:dyDescent="0.25">
      <c r="D2985" s="1"/>
    </row>
    <row r="2986" spans="4:4" x14ac:dyDescent="0.25">
      <c r="D2986" s="1"/>
    </row>
    <row r="2987" spans="4:4" x14ac:dyDescent="0.25">
      <c r="D2987" s="1"/>
    </row>
    <row r="2988" spans="4:4" x14ac:dyDescent="0.25">
      <c r="D2988" s="1"/>
    </row>
    <row r="2989" spans="4:4" x14ac:dyDescent="0.25">
      <c r="D2989" s="1"/>
    </row>
    <row r="2990" spans="4:4" x14ac:dyDescent="0.25">
      <c r="D2990" s="1"/>
    </row>
    <row r="2991" spans="4:4" x14ac:dyDescent="0.25">
      <c r="D2991" s="1"/>
    </row>
    <row r="2992" spans="4:4" x14ac:dyDescent="0.25">
      <c r="D2992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2019-02-01T19:37:55Z</dcterms:created>
  <dcterms:modified xsi:type="dcterms:W3CDTF">2019-02-04T16:40:43Z</dcterms:modified>
</cp:coreProperties>
</file>