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AP-CHK-RPT-20190204" sheetId="1" r:id="rId1"/>
  </sheets>
  <calcPr calcId="145621"/>
</workbook>
</file>

<file path=xl/calcChain.xml><?xml version="1.0" encoding="utf-8"?>
<calcChain xmlns="http://schemas.openxmlformats.org/spreadsheetml/2006/main">
  <c r="C2907" i="1" l="1"/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G97" i="1"/>
  <c r="H97" i="1"/>
  <c r="I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G282" i="1"/>
  <c r="H282" i="1"/>
  <c r="I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G339" i="1"/>
  <c r="H339" i="1"/>
  <c r="I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G480" i="1"/>
  <c r="H480" i="1"/>
  <c r="I480" i="1"/>
  <c r="G481" i="1"/>
  <c r="H481" i="1"/>
  <c r="I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G506" i="1"/>
  <c r="H506" i="1"/>
  <c r="I506" i="1"/>
  <c r="G507" i="1"/>
  <c r="H507" i="1"/>
  <c r="I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G626" i="1"/>
  <c r="H626" i="1"/>
  <c r="I626" i="1"/>
  <c r="G627" i="1"/>
  <c r="H627" i="1"/>
  <c r="I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G635" i="1"/>
  <c r="H635" i="1"/>
  <c r="I635" i="1"/>
  <c r="G636" i="1"/>
  <c r="H636" i="1"/>
  <c r="I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G674" i="1"/>
  <c r="H674" i="1"/>
  <c r="I674" i="1"/>
  <c r="G675" i="1"/>
  <c r="H675" i="1"/>
  <c r="I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G689" i="1"/>
  <c r="H689" i="1"/>
  <c r="I689" i="1"/>
  <c r="G690" i="1"/>
  <c r="H690" i="1"/>
  <c r="I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G772" i="1"/>
  <c r="H772" i="1"/>
  <c r="I772" i="1"/>
  <c r="G773" i="1"/>
  <c r="H773" i="1"/>
  <c r="I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G799" i="1"/>
  <c r="H799" i="1"/>
  <c r="I799" i="1"/>
  <c r="G800" i="1"/>
  <c r="H800" i="1"/>
  <c r="I800" i="1"/>
  <c r="G801" i="1"/>
  <c r="H801" i="1"/>
  <c r="I801" i="1"/>
  <c r="E802" i="1"/>
  <c r="F802" i="1"/>
  <c r="H802" i="1"/>
  <c r="E803" i="1"/>
  <c r="F803" i="1"/>
  <c r="H803" i="1"/>
  <c r="G804" i="1"/>
  <c r="G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G908" i="1"/>
  <c r="H908" i="1"/>
  <c r="I908" i="1"/>
  <c r="G909" i="1"/>
  <c r="H909" i="1"/>
  <c r="I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G992" i="1"/>
  <c r="H992" i="1"/>
  <c r="I992" i="1"/>
  <c r="E993" i="1"/>
  <c r="F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G1087" i="1"/>
  <c r="H1087" i="1"/>
  <c r="I1087" i="1"/>
  <c r="G1088" i="1"/>
  <c r="H1088" i="1"/>
  <c r="I1088" i="1"/>
  <c r="G1089" i="1"/>
  <c r="H1089" i="1"/>
  <c r="I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E1179" i="1"/>
  <c r="F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G1187" i="1"/>
  <c r="H1187" i="1"/>
  <c r="I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G1329" i="1"/>
  <c r="H1329" i="1"/>
  <c r="I1329" i="1"/>
  <c r="G1330" i="1"/>
  <c r="H1330" i="1"/>
  <c r="I1330" i="1"/>
  <c r="G1331" i="1"/>
  <c r="H1331" i="1"/>
  <c r="I1331" i="1"/>
  <c r="G1332" i="1"/>
  <c r="H1332" i="1"/>
  <c r="I1332" i="1"/>
  <c r="G1333" i="1"/>
  <c r="H1333" i="1"/>
  <c r="I1333" i="1"/>
  <c r="G1334" i="1"/>
  <c r="H1334" i="1"/>
  <c r="I1334" i="1"/>
  <c r="G1335" i="1"/>
  <c r="H1335" i="1"/>
  <c r="I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G1372" i="1"/>
  <c r="H1372" i="1"/>
  <c r="I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G1472" i="1"/>
  <c r="H1472" i="1"/>
  <c r="I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  <c r="E2747" i="1"/>
  <c r="F2747" i="1"/>
  <c r="H2747" i="1"/>
  <c r="E2748" i="1"/>
  <c r="F2748" i="1"/>
  <c r="H2748" i="1"/>
  <c r="E2749" i="1"/>
  <c r="F2749" i="1"/>
  <c r="H2749" i="1"/>
  <c r="E2750" i="1"/>
  <c r="F2750" i="1"/>
  <c r="H2750" i="1"/>
  <c r="E2751" i="1"/>
  <c r="F2751" i="1"/>
  <c r="H2751" i="1"/>
  <c r="E2752" i="1"/>
  <c r="F2752" i="1"/>
  <c r="H2752" i="1"/>
  <c r="E2753" i="1"/>
  <c r="F2753" i="1"/>
  <c r="H2753" i="1"/>
  <c r="E2754" i="1"/>
  <c r="F2754" i="1"/>
  <c r="H2754" i="1"/>
  <c r="E2755" i="1"/>
  <c r="F2755" i="1"/>
  <c r="H2755" i="1"/>
  <c r="E2756" i="1"/>
  <c r="F2756" i="1"/>
  <c r="H2756" i="1"/>
  <c r="E2757" i="1"/>
  <c r="F2757" i="1"/>
  <c r="H2757" i="1"/>
  <c r="E2758" i="1"/>
  <c r="F2758" i="1"/>
  <c r="H2758" i="1"/>
  <c r="E2759" i="1"/>
  <c r="F2759" i="1"/>
  <c r="H2759" i="1"/>
  <c r="E2760" i="1"/>
  <c r="F2760" i="1"/>
  <c r="H2760" i="1"/>
  <c r="E2761" i="1"/>
  <c r="F2761" i="1"/>
  <c r="H2761" i="1"/>
  <c r="E2762" i="1"/>
  <c r="F2762" i="1"/>
  <c r="H2762" i="1"/>
  <c r="E2763" i="1"/>
  <c r="F2763" i="1"/>
  <c r="H2763" i="1"/>
  <c r="E2764" i="1"/>
  <c r="F2764" i="1"/>
  <c r="H2764" i="1"/>
  <c r="E2765" i="1"/>
  <c r="F2765" i="1"/>
  <c r="H2765" i="1"/>
  <c r="E2766" i="1"/>
  <c r="F2766" i="1"/>
  <c r="H2766" i="1"/>
  <c r="E2767" i="1"/>
  <c r="F2767" i="1"/>
  <c r="H2767" i="1"/>
  <c r="E2768" i="1"/>
  <c r="F2768" i="1"/>
  <c r="H2768" i="1"/>
  <c r="E2769" i="1"/>
  <c r="F2769" i="1"/>
  <c r="H2769" i="1"/>
  <c r="E2770" i="1"/>
  <c r="F2770" i="1"/>
  <c r="H2770" i="1"/>
  <c r="E2771" i="1"/>
  <c r="F2771" i="1"/>
  <c r="H2771" i="1"/>
  <c r="E2772" i="1"/>
  <c r="F2772" i="1"/>
  <c r="H2772" i="1"/>
  <c r="E2773" i="1"/>
  <c r="F2773" i="1"/>
  <c r="H2773" i="1"/>
  <c r="E2774" i="1"/>
  <c r="F2774" i="1"/>
  <c r="H2774" i="1"/>
  <c r="E2775" i="1"/>
  <c r="F2775" i="1"/>
  <c r="H2775" i="1"/>
  <c r="E2776" i="1"/>
  <c r="F2776" i="1"/>
  <c r="H2776" i="1"/>
  <c r="E2777" i="1"/>
  <c r="F2777" i="1"/>
  <c r="H2777" i="1"/>
  <c r="E2778" i="1"/>
  <c r="F2778" i="1"/>
  <c r="H2778" i="1"/>
  <c r="E2779" i="1"/>
  <c r="F2779" i="1"/>
  <c r="H2779" i="1"/>
  <c r="E2780" i="1"/>
  <c r="F2780" i="1"/>
  <c r="H2780" i="1"/>
  <c r="E2781" i="1"/>
  <c r="F2781" i="1"/>
  <c r="H2781" i="1"/>
  <c r="E2782" i="1"/>
  <c r="F2782" i="1"/>
  <c r="H2782" i="1"/>
  <c r="E2783" i="1"/>
  <c r="F2783" i="1"/>
  <c r="H2783" i="1"/>
  <c r="E2784" i="1"/>
  <c r="F2784" i="1"/>
  <c r="H2784" i="1"/>
  <c r="E2785" i="1"/>
  <c r="F2785" i="1"/>
  <c r="H2785" i="1"/>
  <c r="E2786" i="1"/>
  <c r="F2786" i="1"/>
  <c r="H2786" i="1"/>
  <c r="E2787" i="1"/>
  <c r="F2787" i="1"/>
  <c r="H2787" i="1"/>
  <c r="E2788" i="1"/>
  <c r="F2788" i="1"/>
  <c r="H2788" i="1"/>
  <c r="E2789" i="1"/>
  <c r="F2789" i="1"/>
  <c r="H2789" i="1"/>
  <c r="E2790" i="1"/>
  <c r="F2790" i="1"/>
  <c r="H2790" i="1"/>
  <c r="E2791" i="1"/>
  <c r="F2791" i="1"/>
  <c r="H2791" i="1"/>
  <c r="E2792" i="1"/>
  <c r="F2792" i="1"/>
  <c r="H2792" i="1"/>
  <c r="E2793" i="1"/>
  <c r="F2793" i="1"/>
  <c r="H2793" i="1"/>
  <c r="E2794" i="1"/>
  <c r="F2794" i="1"/>
  <c r="H2794" i="1"/>
  <c r="E2795" i="1"/>
  <c r="F2795" i="1"/>
  <c r="H2795" i="1"/>
  <c r="E2796" i="1"/>
  <c r="F2796" i="1"/>
  <c r="H2796" i="1"/>
  <c r="E2797" i="1"/>
  <c r="F2797" i="1"/>
  <c r="H2797" i="1"/>
  <c r="E2798" i="1"/>
  <c r="F2798" i="1"/>
  <c r="H2798" i="1"/>
  <c r="E2799" i="1"/>
  <c r="F2799" i="1"/>
  <c r="H2799" i="1"/>
  <c r="E2800" i="1"/>
  <c r="F2800" i="1"/>
  <c r="H2800" i="1"/>
  <c r="E2801" i="1"/>
  <c r="F2801" i="1"/>
  <c r="H2801" i="1"/>
  <c r="E2802" i="1"/>
  <c r="F2802" i="1"/>
  <c r="H2802" i="1"/>
  <c r="E2803" i="1"/>
  <c r="F2803" i="1"/>
  <c r="H2803" i="1"/>
  <c r="E2804" i="1"/>
  <c r="F2804" i="1"/>
  <c r="H2804" i="1"/>
  <c r="E2805" i="1"/>
  <c r="F2805" i="1"/>
  <c r="H2805" i="1"/>
  <c r="E2806" i="1"/>
  <c r="F2806" i="1"/>
  <c r="H2806" i="1"/>
  <c r="E2807" i="1"/>
  <c r="F2807" i="1"/>
  <c r="H2807" i="1"/>
  <c r="E2808" i="1"/>
  <c r="F2808" i="1"/>
  <c r="H2808" i="1"/>
  <c r="E2809" i="1"/>
  <c r="F2809" i="1"/>
  <c r="H2809" i="1"/>
  <c r="E2810" i="1"/>
  <c r="F2810" i="1"/>
  <c r="H2810" i="1"/>
  <c r="E2811" i="1"/>
  <c r="F2811" i="1"/>
  <c r="H2811" i="1"/>
  <c r="E2812" i="1"/>
  <c r="F2812" i="1"/>
  <c r="H2812" i="1"/>
  <c r="E2813" i="1"/>
  <c r="F2813" i="1"/>
  <c r="H2813" i="1"/>
  <c r="E2814" i="1"/>
  <c r="F2814" i="1"/>
  <c r="H2814" i="1"/>
  <c r="E2815" i="1"/>
  <c r="F2815" i="1"/>
  <c r="H2815" i="1"/>
  <c r="E2816" i="1"/>
  <c r="F2816" i="1"/>
  <c r="H2816" i="1"/>
  <c r="E2817" i="1"/>
  <c r="F2817" i="1"/>
  <c r="H2817" i="1"/>
  <c r="E2818" i="1"/>
  <c r="F2818" i="1"/>
  <c r="H2818" i="1"/>
  <c r="E2819" i="1"/>
  <c r="F2819" i="1"/>
  <c r="H2819" i="1"/>
  <c r="E2820" i="1"/>
  <c r="F2820" i="1"/>
  <c r="H2820" i="1"/>
  <c r="E2821" i="1"/>
  <c r="F2821" i="1"/>
  <c r="H2821" i="1"/>
  <c r="E2822" i="1"/>
  <c r="F2822" i="1"/>
  <c r="H2822" i="1"/>
  <c r="E2823" i="1"/>
  <c r="F2823" i="1"/>
  <c r="H2823" i="1"/>
  <c r="E2824" i="1"/>
  <c r="F2824" i="1"/>
  <c r="H2824" i="1"/>
  <c r="E2825" i="1"/>
  <c r="F2825" i="1"/>
  <c r="H2825" i="1"/>
  <c r="E2826" i="1"/>
  <c r="F2826" i="1"/>
  <c r="H2826" i="1"/>
  <c r="E2827" i="1"/>
  <c r="F2827" i="1"/>
  <c r="H2827" i="1"/>
  <c r="E2828" i="1"/>
  <c r="F2828" i="1"/>
  <c r="H2828" i="1"/>
  <c r="E2829" i="1"/>
  <c r="F2829" i="1"/>
  <c r="H2829" i="1"/>
  <c r="E2830" i="1"/>
  <c r="F2830" i="1"/>
  <c r="H2830" i="1"/>
  <c r="E2831" i="1"/>
  <c r="F2831" i="1"/>
  <c r="H2831" i="1"/>
  <c r="E2832" i="1"/>
  <c r="F2832" i="1"/>
  <c r="H2832" i="1"/>
  <c r="E2833" i="1"/>
  <c r="F2833" i="1"/>
  <c r="H2833" i="1"/>
  <c r="E2834" i="1"/>
  <c r="F2834" i="1"/>
  <c r="H2834" i="1"/>
  <c r="E2835" i="1"/>
  <c r="F2835" i="1"/>
  <c r="H2835" i="1"/>
  <c r="E2836" i="1"/>
  <c r="F2836" i="1"/>
  <c r="H2836" i="1"/>
  <c r="E2837" i="1"/>
  <c r="F2837" i="1"/>
  <c r="H2837" i="1"/>
  <c r="E2838" i="1"/>
  <c r="F2838" i="1"/>
  <c r="H2838" i="1"/>
  <c r="E2839" i="1"/>
  <c r="F2839" i="1"/>
  <c r="H2839" i="1"/>
  <c r="E2840" i="1"/>
  <c r="F2840" i="1"/>
  <c r="H2840" i="1"/>
  <c r="E2841" i="1"/>
  <c r="F2841" i="1"/>
  <c r="H2841" i="1"/>
  <c r="E2842" i="1"/>
  <c r="F2842" i="1"/>
  <c r="H2842" i="1"/>
  <c r="E2843" i="1"/>
  <c r="F2843" i="1"/>
  <c r="H2843" i="1"/>
  <c r="E2844" i="1"/>
  <c r="F2844" i="1"/>
  <c r="H2844" i="1"/>
  <c r="E2845" i="1"/>
  <c r="F2845" i="1"/>
  <c r="H2845" i="1"/>
  <c r="E2846" i="1"/>
  <c r="F2846" i="1"/>
  <c r="H2846" i="1"/>
  <c r="E2847" i="1"/>
  <c r="F2847" i="1"/>
  <c r="H2847" i="1"/>
  <c r="E2848" i="1"/>
  <c r="F2848" i="1"/>
  <c r="H2848" i="1"/>
  <c r="E2849" i="1"/>
  <c r="F2849" i="1"/>
  <c r="H2849" i="1"/>
  <c r="E2850" i="1"/>
  <c r="F2850" i="1"/>
  <c r="H2850" i="1"/>
  <c r="E2851" i="1"/>
  <c r="F2851" i="1"/>
  <c r="H2851" i="1"/>
  <c r="E2852" i="1"/>
  <c r="F2852" i="1"/>
  <c r="H2852" i="1"/>
  <c r="E2853" i="1"/>
  <c r="F2853" i="1"/>
  <c r="H2853" i="1"/>
  <c r="E2854" i="1"/>
  <c r="F2854" i="1"/>
  <c r="H2854" i="1"/>
  <c r="E2855" i="1"/>
  <c r="F2855" i="1"/>
  <c r="H2855" i="1"/>
  <c r="E2856" i="1"/>
  <c r="F2856" i="1"/>
  <c r="H2856" i="1"/>
  <c r="E2857" i="1"/>
  <c r="F2857" i="1"/>
  <c r="H2857" i="1"/>
  <c r="E2858" i="1"/>
  <c r="F2858" i="1"/>
  <c r="H2858" i="1"/>
  <c r="E2859" i="1"/>
  <c r="F2859" i="1"/>
  <c r="H2859" i="1"/>
  <c r="E2860" i="1"/>
  <c r="F2860" i="1"/>
  <c r="H2860" i="1"/>
  <c r="E2861" i="1"/>
  <c r="F2861" i="1"/>
  <c r="H2861" i="1"/>
  <c r="E2862" i="1"/>
  <c r="F2862" i="1"/>
  <c r="H2862" i="1"/>
  <c r="E2863" i="1"/>
  <c r="F2863" i="1"/>
  <c r="H2863" i="1"/>
  <c r="E2864" i="1"/>
  <c r="F2864" i="1"/>
  <c r="H2864" i="1"/>
  <c r="E2865" i="1"/>
  <c r="F2865" i="1"/>
  <c r="H2865" i="1"/>
  <c r="E2866" i="1"/>
  <c r="F2866" i="1"/>
  <c r="H2866" i="1"/>
  <c r="E2867" i="1"/>
  <c r="F2867" i="1"/>
  <c r="H2867" i="1"/>
  <c r="E2868" i="1"/>
  <c r="F2868" i="1"/>
  <c r="H2868" i="1"/>
  <c r="E2869" i="1"/>
  <c r="F2869" i="1"/>
  <c r="H2869" i="1"/>
  <c r="E2870" i="1"/>
  <c r="F2870" i="1"/>
  <c r="H2870" i="1"/>
  <c r="E2871" i="1"/>
  <c r="F2871" i="1"/>
  <c r="H2871" i="1"/>
  <c r="E2872" i="1"/>
  <c r="F2872" i="1"/>
  <c r="H2872" i="1"/>
  <c r="E2873" i="1"/>
  <c r="F2873" i="1"/>
  <c r="H2873" i="1"/>
  <c r="E2874" i="1"/>
  <c r="F2874" i="1"/>
  <c r="H2874" i="1"/>
  <c r="E2875" i="1"/>
  <c r="F2875" i="1"/>
  <c r="H2875" i="1"/>
  <c r="E2876" i="1"/>
  <c r="F2876" i="1"/>
  <c r="H2876" i="1"/>
  <c r="E2877" i="1"/>
  <c r="F2877" i="1"/>
  <c r="H2877" i="1"/>
  <c r="E2878" i="1"/>
  <c r="F2878" i="1"/>
  <c r="H2878" i="1"/>
  <c r="E2879" i="1"/>
  <c r="F2879" i="1"/>
  <c r="H2879" i="1"/>
  <c r="E2880" i="1"/>
  <c r="F2880" i="1"/>
  <c r="H2880" i="1"/>
  <c r="E2881" i="1"/>
  <c r="F2881" i="1"/>
  <c r="H2881" i="1"/>
  <c r="E2882" i="1"/>
  <c r="F2882" i="1"/>
  <c r="H2882" i="1"/>
  <c r="E2883" i="1"/>
  <c r="F2883" i="1"/>
  <c r="H2883" i="1"/>
  <c r="E2884" i="1"/>
  <c r="F2884" i="1"/>
  <c r="H2884" i="1"/>
  <c r="E2885" i="1"/>
  <c r="F2885" i="1"/>
  <c r="H2885" i="1"/>
  <c r="E2886" i="1"/>
  <c r="F2886" i="1"/>
  <c r="H2886" i="1"/>
  <c r="E2887" i="1"/>
  <c r="F2887" i="1"/>
  <c r="H2887" i="1"/>
  <c r="E2888" i="1"/>
  <c r="F2888" i="1"/>
  <c r="H2888" i="1"/>
  <c r="E2889" i="1"/>
  <c r="F2889" i="1"/>
  <c r="H2889" i="1"/>
  <c r="E2890" i="1"/>
  <c r="F2890" i="1"/>
  <c r="H2890" i="1"/>
  <c r="E2891" i="1"/>
  <c r="F2891" i="1"/>
  <c r="H2891" i="1"/>
  <c r="E2892" i="1"/>
  <c r="F2892" i="1"/>
  <c r="H2892" i="1"/>
  <c r="E2893" i="1"/>
  <c r="F2893" i="1"/>
  <c r="H2893" i="1"/>
  <c r="E2894" i="1"/>
  <c r="F2894" i="1"/>
  <c r="H2894" i="1"/>
  <c r="E2895" i="1"/>
  <c r="F2895" i="1"/>
  <c r="H2895" i="1"/>
  <c r="E2896" i="1"/>
  <c r="F2896" i="1"/>
  <c r="H2896" i="1"/>
  <c r="E2897" i="1"/>
  <c r="F2897" i="1"/>
  <c r="H2897" i="1"/>
  <c r="E2898" i="1"/>
  <c r="F2898" i="1"/>
  <c r="H2898" i="1"/>
  <c r="E2899" i="1"/>
  <c r="F2899" i="1"/>
  <c r="H2899" i="1"/>
  <c r="E2900" i="1"/>
  <c r="F2900" i="1"/>
  <c r="H2900" i="1"/>
  <c r="E2901" i="1"/>
  <c r="F2901" i="1"/>
  <c r="H2901" i="1"/>
  <c r="E2902" i="1"/>
  <c r="F2902" i="1"/>
  <c r="H2902" i="1"/>
  <c r="E2903" i="1"/>
  <c r="F2903" i="1"/>
  <c r="H2903" i="1"/>
  <c r="E2904" i="1"/>
  <c r="F2904" i="1"/>
  <c r="H2904" i="1"/>
  <c r="E2905" i="1"/>
  <c r="F2905" i="1"/>
  <c r="H2905" i="1"/>
  <c r="E2906" i="1"/>
  <c r="F2906" i="1"/>
  <c r="H2906" i="1"/>
  <c r="E2907" i="1"/>
  <c r="F2907" i="1"/>
  <c r="H2907" i="1"/>
</calcChain>
</file>

<file path=xl/sharedStrings.xml><?xml version="1.0" encoding="utf-8"?>
<sst xmlns="http://schemas.openxmlformats.org/spreadsheetml/2006/main" count="717" uniqueCount="551">
  <si>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</si>
  <si>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</si>
  <si>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</si>
  <si>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</si>
  <si>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</si>
  <si>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</si>
  <si>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</si>
  <si>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</si>
  <si>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AIRPLEXUS  INC</t>
  </si>
  <si>
    <t>ALTICE USA INC</t>
  </si>
  <si>
    <t>APPEL FORD  INC.</t>
  </si>
  <si>
    <t>BASTROP COUNTY GENERAL FUND</t>
  </si>
  <si>
    <t>CENTURYLINK COMMUNICATIONS  LLC</t>
  </si>
  <si>
    <t>CITIBANK NA</t>
  </si>
  <si>
    <t>CORRECTIONS SOFTWARE SOLUTIONS LP</t>
  </si>
  <si>
    <t>DONNA DAMON</t>
  </si>
  <si>
    <t>JOSE REYES</t>
  </si>
  <si>
    <t>LEE COUNTY IRRIGATION INC</t>
  </si>
  <si>
    <t>LEXISNEXIS RISK DATA MANAGEMENT INC</t>
  </si>
  <si>
    <t>MATTHEW L CLARK</t>
  </si>
  <si>
    <t>OFFICE DEPOT  INC</t>
  </si>
  <si>
    <t>ONE SOURCE TOXICOLOGY</t>
  </si>
  <si>
    <t>GE CAPITAL INFORMATION TECCHNOLOGY SOLUTIONS  INC</t>
  </si>
  <si>
    <t>ROBERT M &amp; DAN B ALFORD LLC</t>
  </si>
  <si>
    <t>SAM HOUSTON STATE UNIVERSITY</t>
  </si>
  <si>
    <t>SMART SALES  LLC</t>
  </si>
  <si>
    <t>SOUTHWESTERN BELL TELEPHONE COMPANY</t>
  </si>
  <si>
    <t>AT &amp; T</t>
  </si>
  <si>
    <t>CHARTER COMMUNICATIONS HOLDINGS  LLC</t>
  </si>
  <si>
    <t>STEPHANIE G CASEY</t>
  </si>
  <si>
    <t>TAMIKA ROGERS</t>
  </si>
  <si>
    <t>TEXAS ASSOCIATION OF COUNTIES</t>
  </si>
  <si>
    <t>TIB-THE INDEPENDENT BANKERSBANK</t>
  </si>
  <si>
    <t>UBEO OF EAST TEXAS  INC.</t>
  </si>
  <si>
    <t>WALMART STORES TEXAS  LLC</t>
  </si>
  <si>
    <t>WESTERN SURETY COMPANY</t>
  </si>
  <si>
    <t>CHRISTINA CANNON</t>
  </si>
  <si>
    <t>304 CONSTRUCTION LLC</t>
  </si>
  <si>
    <t>C ARTHUR LLC</t>
  </si>
  <si>
    <t>4MC ENTERPRISES  LLC</t>
  </si>
  <si>
    <t>A PLUS BAIL BONDS</t>
  </si>
  <si>
    <t>ARNOLD OIL COMPANY OF AUSTIN LP</t>
  </si>
  <si>
    <t>A. DAVID AXELRAD  M.D. &amp; ASSOCIATES  P. A.</t>
  </si>
  <si>
    <t>TIMOTHY HALL</t>
  </si>
  <si>
    <t>AARCHER  INC.</t>
  </si>
  <si>
    <t>HAVERDA ENTERPRISES INC</t>
  </si>
  <si>
    <t>ACME PARTNERSHIP  LP</t>
  </si>
  <si>
    <t>ADAM DAKOTA ROWINS</t>
  </si>
  <si>
    <t>ADENA LEWIS</t>
  </si>
  <si>
    <t>ALBERT NEAL PFEIFFER</t>
  </si>
  <si>
    <t>ALEJANDRO RODRIGUEZ</t>
  </si>
  <si>
    <t>ALLIED INSURANCE</t>
  </si>
  <si>
    <t>="15</t>
  </si>
  <si>
    <t>835  07/10/18"</t>
  </si>
  <si>
    <t>TEXAS ENTERPRISES INC.</t>
  </si>
  <si>
    <t>S &amp; D PLUMBING-GIDDINGS LLC</t>
  </si>
  <si>
    <t>AMAZON CAPITAL SERVICES INC</t>
  </si>
  <si>
    <t>AMERICAN TIRE DISTRIBUTORS INC</t>
  </si>
  <si>
    <t>AMERISOURCEBERGEN</t>
  </si>
  <si>
    <t>AMG PRINTING &amp; MAILING  LLC</t>
  </si>
  <si>
    <t>ANDERSON &amp; ANDERSON LAW FIRM PC</t>
  </si>
  <si>
    <t>ANIMAL HEALTH INTERNATIONAL INC</t>
  </si>
  <si>
    <t>C APPLEMAN ENT INC</t>
  </si>
  <si>
    <t>APRIL KUCK</t>
  </si>
  <si>
    <t>AQUA BEVERAGE COMPANY/OZARKA</t>
  </si>
  <si>
    <t>AQUA WATER SUPPLY CORPORATION</t>
  </si>
  <si>
    <t>ARCHITEXAS - ARCHITECTURE  PLANNING &amp; HISTORIC PRE</t>
  </si>
  <si>
    <t>ARSENAL ADVERTISING LLC</t>
  </si>
  <si>
    <t>ASHLEY HERMANS</t>
  </si>
  <si>
    <t>AT&amp;T</t>
  </si>
  <si>
    <t>AT&amp;T MOBILITY</t>
  </si>
  <si>
    <t>AT&amp;T MOBILITY-W&amp;M</t>
  </si>
  <si>
    <t>RICHARD ATWOOD</t>
  </si>
  <si>
    <t>THE AUBAINE SUPPLY COMPANY  INC</t>
  </si>
  <si>
    <t>AUSTEX DUMPTERS LLC</t>
  </si>
  <si>
    <t>GRAND JUNCTION NEWSPAPERS INC</t>
  </si>
  <si>
    <t>AUSTIN CERTIFIED TRANSLATION  LLC</t>
  </si>
  <si>
    <t>AUSTIN GASTROENTEROLOGY ANESTHESIA ASSOC</t>
  </si>
  <si>
    <t>AUSTIN GENERATOR SERVICE</t>
  </si>
  <si>
    <t>PTL LAWN &amp; CLEANING SERVICE  INC</t>
  </si>
  <si>
    <t>AUSTIN RADIOLOGICAL ASSOC</t>
  </si>
  <si>
    <t>AUTUMN J SMITH</t>
  </si>
  <si>
    <t>B-GREENER INDUSTRIAL CLEANERS  LLC</t>
  </si>
  <si>
    <t>MICHAEL OLDHAM TIRE INC</t>
  </si>
  <si>
    <t>EDUARDO BARRIENTOS</t>
  </si>
  <si>
    <t>BASTROP AIR CONDITIONING &amp; HEATING</t>
  </si>
  <si>
    <t>BASTROP CHAMBER OF COMMERCE</t>
  </si>
  <si>
    <t>BASTROP COUNTY SHERIFF'S DEPT</t>
  </si>
  <si>
    <t>="13</t>
  </si>
  <si>
    <t>304"</t>
  </si>
  <si>
    <t>DANIEL L HEPKER</t>
  </si>
  <si>
    <t>BASTROP COUNTY PROBATION DEPT</t>
  </si>
  <si>
    <t>BASTROP COUNTY CHILD PROTECTIVE SERVICES</t>
  </si>
  <si>
    <t>BASTROP COUNTY CARES</t>
  </si>
  <si>
    <t>BASTROP MEDICAL CLINIC</t>
  </si>
  <si>
    <t>BASTROP OUTDOOR</t>
  </si>
  <si>
    <t>BASTROP PROVIDENCE  LLC</t>
  </si>
  <si>
    <t>BASTROP VETERINARY HOSPITAL  INC.</t>
  </si>
  <si>
    <t>BAYER CORPORATION</t>
  </si>
  <si>
    <t>DAVID H OUTON</t>
  </si>
  <si>
    <t>BEARD INTEGRATED SYSTEMS  INC.</t>
  </si>
  <si>
    <t>BEN E KEITH CO.</t>
  </si>
  <si>
    <t>BENJAMIN ESPY</t>
  </si>
  <si>
    <t>BENJAMIN FOODS  LLC</t>
  </si>
  <si>
    <t>MULTI SERVICE CORP</t>
  </si>
  <si>
    <t>B C FOOD GROUP  LLC</t>
  </si>
  <si>
    <t>BEXAR COUNTY SHERIFF</t>
  </si>
  <si>
    <t>BICKERSTAFF HEATH DELGADO ACOSTA LLP</t>
  </si>
  <si>
    <t>MAURINE MC LEAN</t>
  </si>
  <si>
    <t>BIMBO FOODS INC</t>
  </si>
  <si>
    <t>BLAS J. COY  JR.</t>
  </si>
  <si>
    <t>BLUEBONNET AREA CRIME STOPPERS PROGRAM</t>
  </si>
  <si>
    <t>BLUEBONNET ELECTRIC</t>
  </si>
  <si>
    <t>915   07/02/18"</t>
  </si>
  <si>
    <t>BLUEBONNET ELECTRIC COOPERATIVE  INC.</t>
  </si>
  <si>
    <t>BLUEBONNET TRAILS MHMR</t>
  </si>
  <si>
    <t>BOBBY BROWN</t>
  </si>
  <si>
    <t>BRAUNTEX MATERIALS INC</t>
  </si>
  <si>
    <t>BRIDGETTE ESCOBEDO</t>
  </si>
  <si>
    <t>BRYAN GOERTZ</t>
  </si>
  <si>
    <t>LAW OFFICE OF BRYAN W. MCDANIEL  P.C.</t>
  </si>
  <si>
    <t>BUREAU OF VITAL STATISTICS</t>
  </si>
  <si>
    <t>CALISSA HEUDIER</t>
  </si>
  <si>
    <t>CAPITOL BEARING SERVICE OF AUSTIN  INC.</t>
  </si>
  <si>
    <t>TIB-THE INDEPENDENT BANKERS BANK</t>
  </si>
  <si>
    <t>CDW GOVERNMENT INC</t>
  </si>
  <si>
    <t>CECIL R REYNOLDS PHD</t>
  </si>
  <si>
    <t>CENTEX MATERIALS LLC</t>
  </si>
  <si>
    <t>CENTEX MECHANICAL INC</t>
  </si>
  <si>
    <t>CENTRAL TEXAS BARRICADES INC</t>
  </si>
  <si>
    <t>CENTRAL TEXAS AUTOPSY</t>
  </si>
  <si>
    <t>CERTIFIED LABORATORIES</t>
  </si>
  <si>
    <t>CHARLES W CARVER</t>
  </si>
  <si>
    <t>CHRIS MATT DILLON</t>
  </si>
  <si>
    <t>CINTAS</t>
  </si>
  <si>
    <t>CINTAS CORPORATION #86</t>
  </si>
  <si>
    <t>CIRRUS LOGIC  INC.</t>
  </si>
  <si>
    <t>CITY OF BASTROP</t>
  </si>
  <si>
    <t>="12</t>
  </si>
  <si>
    <t>756  07/18/18"</t>
  </si>
  <si>
    <t>756  08/20/18"</t>
  </si>
  <si>
    <t>CITY OF SMITHVILLE</t>
  </si>
  <si>
    <t>CLIFFORD POWER SYSTEMS INC</t>
  </si>
  <si>
    <t>CLINICAL PATHOLOGY LABORATORIES INC</t>
  </si>
  <si>
    <t>COMMUNITY COFFEE COMPANY LLC</t>
  </si>
  <si>
    <t>COMMUNITY HEALTH CENTERS</t>
  </si>
  <si>
    <t>CONNIE CAMERON RABEL</t>
  </si>
  <si>
    <t>CONNIE SCHROEDER</t>
  </si>
  <si>
    <t>651  07/31/18"</t>
  </si>
  <si>
    <t>651  08/23/18"</t>
  </si>
  <si>
    <t>CONSOLIDATED ELECTRIC DIST</t>
  </si>
  <si>
    <t>CONTECH ENGINEERED SOLUTIONS INC</t>
  </si>
  <si>
    <t>CONVERGENCE CABLING  INC.</t>
  </si>
  <si>
    <t>COOPER EQUIPMENT CO.</t>
  </si>
  <si>
    <t>COTHRON SECURITY SOLUTIONS  LLC</t>
  </si>
  <si>
    <t>COVERT CHEVROLET-OLDS</t>
  </si>
  <si>
    <t>CRESSIDA EVELYN KWOLEK  Ph.D.</t>
  </si>
  <si>
    <t>CRISTINA HELMERICHS</t>
  </si>
  <si>
    <t>DFW COMMUNICATIONS  INC.</t>
  </si>
  <si>
    <t>CRYSTAL DEAR</t>
  </si>
  <si>
    <t>DAHILL</t>
  </si>
  <si>
    <t>DALLAS COUNTY CONSTABLE PCT 1</t>
  </si>
  <si>
    <t>DATASPEC INC</t>
  </si>
  <si>
    <t>DAVID B BROOKS</t>
  </si>
  <si>
    <t>DAVID LEWIS</t>
  </si>
  <si>
    <t>DAVID M COLLINS</t>
  </si>
  <si>
    <t>DAVID WILHELM</t>
  </si>
  <si>
    <t>DELL</t>
  </si>
  <si>
    <t>SETON FAMILY OF HOSPITALS</t>
  </si>
  <si>
    <t>DENTRUST DENTAL TX PC</t>
  </si>
  <si>
    <t>DICKENS LOCKSMITH INC</t>
  </si>
  <si>
    <t>DUNNE &amp; JUAREZ L.L.C.</t>
  </si>
  <si>
    <t>DURAN GRAVEL CO. INC</t>
  </si>
  <si>
    <t>ECOLAB INC</t>
  </si>
  <si>
    <t>BLACKLANDS PUBLICATIONS INC</t>
  </si>
  <si>
    <t>RALPH DAVID GLASS</t>
  </si>
  <si>
    <t>CITY OF ELGIN UTILITIES</t>
  </si>
  <si>
    <t>ELLIOTT ELECTRIC SUPPLY INC</t>
  </si>
  <si>
    <t>ERGON ASPHALT &amp; EMULSIONS INC</t>
  </si>
  <si>
    <t>ETTA WILEY</t>
  </si>
  <si>
    <t>EVOLUTION COMPUTERS INC</t>
  </si>
  <si>
    <t>BASTROP COUNTY WOMEN'S SHELTER</t>
  </si>
  <si>
    <t>FAMILY HEALTH CENTER OF BASTROP PLLC</t>
  </si>
  <si>
    <t>FIRST NATIONAL BANK BASTROP</t>
  </si>
  <si>
    <t>="14</t>
  </si>
  <si>
    <t>861  07/31/18"</t>
  </si>
  <si>
    <t>861  08/23/18"</t>
  </si>
  <si>
    <t>FLEET COR TECHNOLOGIES INC</t>
  </si>
  <si>
    <t>FLEETPRIDE</t>
  </si>
  <si>
    <t>FLORENCE BEHAVIN</t>
  </si>
  <si>
    <t>FOREMOST COUNTY MUTUAL INS CO</t>
  </si>
  <si>
    <t>347  07/03/18"</t>
  </si>
  <si>
    <t>347  08/31/18"</t>
  </si>
  <si>
    <t>FORREST L. SANDERSON</t>
  </si>
  <si>
    <t>FRANLAN MULTIMEDIA</t>
  </si>
  <si>
    <t>AUSTIN TRUCK &amp; EQUIPMENT  LTD</t>
  </si>
  <si>
    <t>EUGENE W BRIGGS JR</t>
  </si>
  <si>
    <t>GARLAND T MURLEY</t>
  </si>
  <si>
    <t>GARMENTS TO GO  INC</t>
  </si>
  <si>
    <t>GIPSON PENDERGRASS PEOPLE'S MORTUARY LLC</t>
  </si>
  <si>
    <t>GT DISTRIBUTORS  INC.</t>
  </si>
  <si>
    <t>GULF COAST PAPER CO. INC.</t>
  </si>
  <si>
    <t>BUCKSTAFF PUBLIC SAFETY  INC.</t>
  </si>
  <si>
    <t>GARY HARGER</t>
  </si>
  <si>
    <t>HEB GROCERY COMPANY LP</t>
  </si>
  <si>
    <t>="10</t>
  </si>
  <si>
    <t>442  07/03/18"</t>
  </si>
  <si>
    <t>442  08/31/18"</t>
  </si>
  <si>
    <t>HENGST PRINTING &amp; SUPPLIES</t>
  </si>
  <si>
    <t>BUTLER ANIMAL HEALTH</t>
  </si>
  <si>
    <t>HERITAGE FOOD SERVICES GROUP</t>
  </si>
  <si>
    <t>HERSHCAP BACKHOE &amp; DITCHING  INC.</t>
  </si>
  <si>
    <t>658  07/13/18"</t>
  </si>
  <si>
    <t>658  08/17/18"</t>
  </si>
  <si>
    <t>BASCOM L HODGES JR</t>
  </si>
  <si>
    <t>HODGSON G ECKEL</t>
  </si>
  <si>
    <t>HOLLY SCHULZ  CSR  RPR</t>
  </si>
  <si>
    <t>BD HOLT CO</t>
  </si>
  <si>
    <t>CITIBANK (SOUTH DAKOTA)N.A./THE HOME DEPOT</t>
  </si>
  <si>
    <t>HUDSON ENERGY CORP</t>
  </si>
  <si>
    <t>ICS</t>
  </si>
  <si>
    <t>INDIGENT HEALTHCARE SOLUTIONS</t>
  </si>
  <si>
    <t>INSTITUTE FOR ECOLOGICAL HEALTH</t>
  </si>
  <si>
    <t>IRON MOUNTAIN RECORDS MGMT INC</t>
  </si>
  <si>
    <t>JAMES ALLEN</t>
  </si>
  <si>
    <t>JAMES O. BURKE</t>
  </si>
  <si>
    <t>JAY'S TIRE &amp; AUTOMOTIVE REPAIR INC</t>
  </si>
  <si>
    <t>JENKINS &amp; JENKINS LLP</t>
  </si>
  <si>
    <t>JERRY HOFROCK</t>
  </si>
  <si>
    <t>505  07/10/18"</t>
  </si>
  <si>
    <t>505  08/17/18"</t>
  </si>
  <si>
    <t>JAMES MORGAN</t>
  </si>
  <si>
    <t>JOHN DEERE FINANCIAL f.s.b.</t>
  </si>
  <si>
    <t>JUSTIN MATTHEW FOHN</t>
  </si>
  <si>
    <t>KIP &amp; CECI CHEMICAL SOLUTIONS</t>
  </si>
  <si>
    <t>KAREN STARKS</t>
  </si>
  <si>
    <t>="8</t>
  </si>
  <si>
    <t>898  07/17/18"</t>
  </si>
  <si>
    <t>KATHY G. REEVES</t>
  </si>
  <si>
    <t>393  07/30/18"</t>
  </si>
  <si>
    <t>393  08/17/18"</t>
  </si>
  <si>
    <t>KELLIE BAILEY</t>
  </si>
  <si>
    <t>KELLY-MOORE PAINT COMPANY  INC</t>
  </si>
  <si>
    <t>KENNETH GONSOULIN</t>
  </si>
  <si>
    <t>="16</t>
  </si>
  <si>
    <t>181  07/09/18"</t>
  </si>
  <si>
    <t>181  08/08/18"</t>
  </si>
  <si>
    <t>KENT BROUSSARD TOWER RENTAL INC</t>
  </si>
  <si>
    <t>KLEIBER FORD TRACTOR  INC.</t>
  </si>
  <si>
    <t>KRISTIN BURNS</t>
  </si>
  <si>
    <t>LONGHORN INTERNATIONAL TRUCKS LTD</t>
  </si>
  <si>
    <t>THE LA GRANGE PARTS HOUSE INC</t>
  </si>
  <si>
    <t>LABATT INSTITUTIONAL SUPPLY CO</t>
  </si>
  <si>
    <t>LAUREN OTT</t>
  </si>
  <si>
    <t>LUCIO LEAL</t>
  </si>
  <si>
    <t>LEE COUNTY WATER SUPPLY CORP</t>
  </si>
  <si>
    <t>LENNOX INDUSTRIES INC</t>
  </si>
  <si>
    <t>LEXISNEXIS RISK DATA MGMT INC</t>
  </si>
  <si>
    <t>LIBERTY TIRE RECYCLING</t>
  </si>
  <si>
    <t>LINDA HARMON-TAX ASSESSOR</t>
  </si>
  <si>
    <t>LINDSEY SIMMONS</t>
  </si>
  <si>
    <t>LISA M. MIMS</t>
  </si>
  <si>
    <t>LONE STAR CIRCLE OF CARE</t>
  </si>
  <si>
    <t>LONESTAR FREIGHTLINER GROUP  LLC</t>
  </si>
  <si>
    <t>LONGHORN EMERGENCY MEDICAL ASSOC PA</t>
  </si>
  <si>
    <t>LONNIE LAWRENCE DAVIS JR</t>
  </si>
  <si>
    <t>LOVELACE SCIENTIFIC RESOURCES  INC.</t>
  </si>
  <si>
    <t>LOWE'S</t>
  </si>
  <si>
    <t>LUNG NU VAN</t>
  </si>
  <si>
    <t>MARGARET A RAIFORD</t>
  </si>
  <si>
    <t>MARIA ANFOSSO</t>
  </si>
  <si>
    <t>MARIO GINTELLA</t>
  </si>
  <si>
    <t>MARK A RUMPLE</t>
  </si>
  <si>
    <t>MARK E BOWLES</t>
  </si>
  <si>
    <t>MARK T. MALONE  M.D. P.A</t>
  </si>
  <si>
    <t>MARY BETH SCOTT</t>
  </si>
  <si>
    <t>MATHESON TRI-GAS INC</t>
  </si>
  <si>
    <t>ROGER C MATHIS</t>
  </si>
  <si>
    <t>MAUREEN S BURROWS MD MPH</t>
  </si>
  <si>
    <t>MAURICE C. COOK</t>
  </si>
  <si>
    <t>McCOY'S BUILDING SUPPLY CENTER</t>
  </si>
  <si>
    <t>McCREARY  VESELKA  BRAGG &amp; ALLEN P</t>
  </si>
  <si>
    <t>MEDIMPACT HEALTHCARE SYSTEMS INC</t>
  </si>
  <si>
    <t>MEGAN FAITH BROWN</t>
  </si>
  <si>
    <t>MELISSA A MEADOR</t>
  </si>
  <si>
    <t>393  08/17/2018"</t>
  </si>
  <si>
    <t>MELVIN TUCKER</t>
  </si>
  <si>
    <t>MENTALIX INC</t>
  </si>
  <si>
    <t>MICHELE FRITSCHE C.S.R.</t>
  </si>
  <si>
    <t>GALLS  LLC</t>
  </si>
  <si>
    <t>Children's Advocacy Center</t>
  </si>
  <si>
    <t>COURT APPOINTED SPECIAL ADVOCA</t>
  </si>
  <si>
    <t>Family Crisis Center</t>
  </si>
  <si>
    <t>Child Protective Services</t>
  </si>
  <si>
    <t>CYNTHIA ANN HENSON</t>
  </si>
  <si>
    <t>CLIFFORD HERMAN HATCH JR</t>
  </si>
  <si>
    <t>WILLIE MOSES SIMMONS</t>
  </si>
  <si>
    <t>DANNY GENE TIMMONS</t>
  </si>
  <si>
    <t>DEREK JOHN BECK</t>
  </si>
  <si>
    <t>JACOB SAMUEL VOLLETTE</t>
  </si>
  <si>
    <t>JEFFREY LOUIS TAYLOR</t>
  </si>
  <si>
    <t>PAUL DOUGLAS BUTLER</t>
  </si>
  <si>
    <t>DANIEL JOSEPH BOLTON</t>
  </si>
  <si>
    <t>JORGE A GAONA</t>
  </si>
  <si>
    <t>MARGARET ESPINOSA JAIMES</t>
  </si>
  <si>
    <t>KENNETH HAROLD FLETCHER</t>
  </si>
  <si>
    <t>ISAAC JON MERINO</t>
  </si>
  <si>
    <t>NOAH DANIEL GONZALES</t>
  </si>
  <si>
    <t>ELEANOR ANN DENSFORD</t>
  </si>
  <si>
    <t>SANDRA L MEYER</t>
  </si>
  <si>
    <t>TONY JOE TREJO</t>
  </si>
  <si>
    <t>LISA-ANN LARKIN KELLOGG</t>
  </si>
  <si>
    <t>ROBERT EDWARD MCKINLEY</t>
  </si>
  <si>
    <t>CHRISTINA ROSE UPTON FRANCIS</t>
  </si>
  <si>
    <t>ROBERT CHARLES KRAMM</t>
  </si>
  <si>
    <t>ROSE LOERA GALARZA</t>
  </si>
  <si>
    <t>HEATHER HENSARLING PAYNE</t>
  </si>
  <si>
    <t>TAMMY LYNN CROUCH</t>
  </si>
  <si>
    <t>CARLTON BURNARD CRUTCHER</t>
  </si>
  <si>
    <t>WILLIEMAE GIVENS TOWNSEND</t>
  </si>
  <si>
    <t>BRANDON RAY ANGUIANO</t>
  </si>
  <si>
    <t>MELISA SAENZ VARGAS</t>
  </si>
  <si>
    <t>JANET JAECKS TERRELL</t>
  </si>
  <si>
    <t>DEFLORA SIMS THORNE</t>
  </si>
  <si>
    <t>TINA AMMANN WALKER</t>
  </si>
  <si>
    <t>ANGEL DIAZ BELTRAN</t>
  </si>
  <si>
    <t>GREG EMERY MOORE</t>
  </si>
  <si>
    <t>PAMELA JOY KLINE</t>
  </si>
  <si>
    <t>DEBORAH JONES GIPSON</t>
  </si>
  <si>
    <t>CELESTE TALENE HOFFMAN</t>
  </si>
  <si>
    <t>LORETTA MEWIS JOHNS</t>
  </si>
  <si>
    <t>GARY WAYNE SMITH</t>
  </si>
  <si>
    <t>PEGGY SUE MILLER</t>
  </si>
  <si>
    <t>MICHELLE ELLINGTON ANDERSON</t>
  </si>
  <si>
    <t>DARLA DOUGHERTY GILCREASE</t>
  </si>
  <si>
    <t>DAVID RICHARD MILLER</t>
  </si>
  <si>
    <t>TIMOTHY HARMON PEOPLES</t>
  </si>
  <si>
    <t>MARIE KROPP MURNAN</t>
  </si>
  <si>
    <t>PAULA IMES CASTLE</t>
  </si>
  <si>
    <t>CHARLES A GLAZE</t>
  </si>
  <si>
    <t>ARCHIE JOHN SVETLIK</t>
  </si>
  <si>
    <t>DENNIS WAYNE LUTON</t>
  </si>
  <si>
    <t>JOAN MILLER RICHARDSON</t>
  </si>
  <si>
    <t>ANGELA MARIE GONZALEZ</t>
  </si>
  <si>
    <t>MICHELE FRANCES BLUEMEL</t>
  </si>
  <si>
    <t>ALEXIA CHRISTINE PASCHAL</t>
  </si>
  <si>
    <t>CHRISTINA LAMBERT</t>
  </si>
  <si>
    <t>JESSICA CONLEY</t>
  </si>
  <si>
    <t>GERALD HENDERSON</t>
  </si>
  <si>
    <t>CHRISTINE FOX</t>
  </si>
  <si>
    <t>CLAYTON TOMES</t>
  </si>
  <si>
    <t>TAMMI WASHINGTON</t>
  </si>
  <si>
    <t>MIKE MCBRYAR</t>
  </si>
  <si>
    <t>JOHNNIE THOMAS</t>
  </si>
  <si>
    <t>IRMA RODRIQUEZ</t>
  </si>
  <si>
    <t>JUDY EVANICKY</t>
  </si>
  <si>
    <t>DOUGLAS BERRYMAN</t>
  </si>
  <si>
    <t>MOISES OR CAROLINE GUERRERO</t>
  </si>
  <si>
    <t>851  08/31/18"</t>
  </si>
  <si>
    <t>MOODY GARDENS HOTEL</t>
  </si>
  <si>
    <t>HAJOCA CORPORATION</t>
  </si>
  <si>
    <t>MORRIS &amp; MCCLIMON ATTORNEYS AT LAW  PLLC</t>
  </si>
  <si>
    <t>MORSCO SUPPLY  LLC</t>
  </si>
  <si>
    <t>MOTOROLA INC</t>
  </si>
  <si>
    <t>NANCY A URBANOWICZ  CSR</t>
  </si>
  <si>
    <t>NATIONAL FOOD GROUP INC</t>
  </si>
  <si>
    <t>NOTEPAGE INC</t>
  </si>
  <si>
    <t>O'REILLY AUTOMOTIVE  INC.</t>
  </si>
  <si>
    <t>SOUTHERN FOODS GROUP LP</t>
  </si>
  <si>
    <t>OFFICE DEPOT</t>
  </si>
  <si>
    <t>ROGER C. OSBORN</t>
  </si>
  <si>
    <t>TACSERV LLC</t>
  </si>
  <si>
    <t>PAIGE TRACTORS INC</t>
  </si>
  <si>
    <t>PALO PINTO COUNTY</t>
  </si>
  <si>
    <t>SL PARKER PARTNERSHIP LLC</t>
  </si>
  <si>
    <t>PATSY VINEYARD</t>
  </si>
  <si>
    <t>PATTERSON  VETERINARY SUPPLY INC</t>
  </si>
  <si>
    <t>PETHEALTH SERVICES(USA) INC.</t>
  </si>
  <si>
    <t>PHILIP  J  LEONARD MD</t>
  </si>
  <si>
    <t>PHILIP L HALL</t>
  </si>
  <si>
    <t>PHILIP R DUCLOUX</t>
  </si>
  <si>
    <t>R.J. THOMAS MANUFACTURING COMPANY  INC.</t>
  </si>
  <si>
    <t>PITNEY BOWES GLOBAL FINANCIAL SERVICES</t>
  </si>
  <si>
    <t>PM WILSON &amp; ASSOCIATES PLLC</t>
  </si>
  <si>
    <t>MC KIM ULLRICH YOUNG LLP</t>
  </si>
  <si>
    <t>PRO SERVE ENTERPRISE INC</t>
  </si>
  <si>
    <t>PROGRESSIVE - RESTITUTION ACCT</t>
  </si>
  <si>
    <t>PROSPERITY BANK</t>
  </si>
  <si>
    <t>122"</t>
  </si>
  <si>
    <t>AEGEAN  LLC</t>
  </si>
  <si>
    <t>PAUL EDWARD WILKENS</t>
  </si>
  <si>
    <t>QUEST DIAGNOSTICS CLINICAL LABORATORIES</t>
  </si>
  <si>
    <t>RDO TRUST # 80-5800</t>
  </si>
  <si>
    <t>NESTLE WATERS N AMERICA INC</t>
  </si>
  <si>
    <t>REBECCA STRNAD</t>
  </si>
  <si>
    <t>REPUBLIC SERVICES INC BFI WASTE SERVICE</t>
  </si>
  <si>
    <t>REPUBLIC TRUCK SALES   PARTS  &amp; REPAIRS LLC</t>
  </si>
  <si>
    <t>RESERVE ACCOUNT</t>
  </si>
  <si>
    <t>REYNOLDS &amp; KEINARTH</t>
  </si>
  <si>
    <t>RIATA FORD</t>
  </si>
  <si>
    <t>RICHARD T. FRENCH</t>
  </si>
  <si>
    <t>RICOH USA INC</t>
  </si>
  <si>
    <t>CIT TECHNOLOGY FINANCE</t>
  </si>
  <si>
    <t>ROADRUNNER RADIOLOGY EQUIP LLC</t>
  </si>
  <si>
    <t>ROBERT MADDEN INDUSTRIES LTD</t>
  </si>
  <si>
    <t>ROCKHURST UNIV CONTINUING ED CENTER</t>
  </si>
  <si>
    <t>ROCKY ROAD PRINTING</t>
  </si>
  <si>
    <t>ROSE PIETSCH COUNTY CLERK</t>
  </si>
  <si>
    <t>RUSH CHEVROLET LLC</t>
  </si>
  <si>
    <t>RUSSELL DOUGLAS HILL</t>
  </si>
  <si>
    <t>SAFARILAND LLC</t>
  </si>
  <si>
    <t>SAFELITE FULFILLMENT INC</t>
  </si>
  <si>
    <t>SAMES BASTROP FORD INC</t>
  </si>
  <si>
    <t>SAMMY LERMA III MD</t>
  </si>
  <si>
    <t>SARAH LOUCKS</t>
  </si>
  <si>
    <t>SECOND ADMINISTRATIVE JUDICIAL REGION</t>
  </si>
  <si>
    <t>SECURUS TECHNOLOGIES INC</t>
  </si>
  <si>
    <t>SETON HEALTHCARE SPONSORED PROJECTS</t>
  </si>
  <si>
    <t>SHARON HANCOCK</t>
  </si>
  <si>
    <t>962  08/28/18"</t>
  </si>
  <si>
    <t>SHARON WENSKE</t>
  </si>
  <si>
    <t>SHERI AMANN</t>
  </si>
  <si>
    <t>SHERRY LYNNE WEBB</t>
  </si>
  <si>
    <t>SHI GOVERNMENT SOLUTIONS INC.</t>
  </si>
  <si>
    <t>SHOR-LINE</t>
  </si>
  <si>
    <t>SHRED-IT US HOLDCO  INC</t>
  </si>
  <si>
    <t>SILSBEE FORD</t>
  </si>
  <si>
    <t>SMITH STORES  INC.</t>
  </si>
  <si>
    <t>SMITHVILLE AUTO PARTS  INC</t>
  </si>
  <si>
    <t>SOUTHERN TIRE MART LLC</t>
  </si>
  <si>
    <t>DS WATERS OF AMERICA INC</t>
  </si>
  <si>
    <t>SPARKLETTS &amp; SIERRA SPRINGS</t>
  </si>
  <si>
    <t>SPECIALTY VETERINARY PHARMACY INC</t>
  </si>
  <si>
    <t>SPRINT</t>
  </si>
  <si>
    <t>SRIDHAR P REDDY MD PA</t>
  </si>
  <si>
    <t>ST. JOSEPH REGIONAL HEALTH CENTER</t>
  </si>
  <si>
    <t>ST.DAVID'S HEALTHCARE PARTNERSHIP</t>
  </si>
  <si>
    <t>ST.DAVIDS HEART &amp; VASCULAR  PLLC</t>
  </si>
  <si>
    <t>STAPLES ADVANTAGE</t>
  </si>
  <si>
    <t>STATE OF TEXAS</t>
  </si>
  <si>
    <t>STERICYCLE  INC.</t>
  </si>
  <si>
    <t>STEVE GRANADO</t>
  </si>
  <si>
    <t>STEVEN A LOGSDON</t>
  </si>
  <si>
    <t>SUBWAY SANDWICHES &amp; SALADS</t>
  </si>
  <si>
    <t>MATTHEW LEE SULLINS</t>
  </si>
  <si>
    <t>SUN COAST RESOURCES</t>
  </si>
  <si>
    <t>TAVCO SERVICES INC</t>
  </si>
  <si>
    <t>TAYLOR SECURITY SYSTEMS  LLC</t>
  </si>
  <si>
    <t>TEXAS DISTRICT &amp; COUNTY ATTORNEYS ASSOCIATION</t>
  </si>
  <si>
    <t>TEXAS A&amp;M ENGINEERING EXTENSION SERVICE</t>
  </si>
  <si>
    <t>TEJAS ELEVATOR COMPANY</t>
  </si>
  <si>
    <t>TERRILL L FLENNIKEN</t>
  </si>
  <si>
    <t>JOHN J FIETSAM INC</t>
  </si>
  <si>
    <t>TEX-CON OIL CO</t>
  </si>
  <si>
    <t>TEXAS A&amp;M AGRILIFE EXTENSION</t>
  </si>
  <si>
    <t>TEXAS AGGREGATES  LLC</t>
  </si>
  <si>
    <t>TEXAS ASSOCIATES INSURORS AGENCY</t>
  </si>
  <si>
    <t>TEXAS BLACKLAND HARDWARE</t>
  </si>
  <si>
    <t>TEXAS BRAZOS TRAIL REGION</t>
  </si>
  <si>
    <t>TEXAS CONFERENCE OF URBAN COUNTIES</t>
  </si>
  <si>
    <t>TEXAS DEPT OF LICENSING &amp; REGULATION</t>
  </si>
  <si>
    <t>TEXAS DEPT OF MOTOR VEHICLES</t>
  </si>
  <si>
    <t>TEXAS DEPT OF PUBLIC SAFETY</t>
  </si>
  <si>
    <t>257  08/31/18"</t>
  </si>
  <si>
    <t>935  07/12/18"</t>
  </si>
  <si>
    <t>935  08/17"</t>
  </si>
  <si>
    <t>072"</t>
  </si>
  <si>
    <t>237  07/12/18"</t>
  </si>
  <si>
    <t>317"</t>
  </si>
  <si>
    <t>320  07/16/18"</t>
  </si>
  <si>
    <t>TEXAS INDEPENDENCE TRAIL</t>
  </si>
  <si>
    <t>TEXAS PARKS &amp; WILDLIFE DEPARTMENT</t>
  </si>
  <si>
    <t>TEXAS VISION CLINIC  PLLC</t>
  </si>
  <si>
    <t>JEFFREY TOUSSAINT</t>
  </si>
  <si>
    <t>BUG MASTER EXTERMINATING SERVICES  LTD</t>
  </si>
  <si>
    <t>JAMES ANDREW CASEY</t>
  </si>
  <si>
    <t>RICHARD NELSON MOORE</t>
  </si>
  <si>
    <t>931"</t>
  </si>
  <si>
    <t>THE TRAVELERS INDEMNITY COMPANY</t>
  </si>
  <si>
    <t>WEST PUBLISHING CORPORATION</t>
  </si>
  <si>
    <t>TILSON HOME COROPORATION</t>
  </si>
  <si>
    <t>TIM MAHONEY  ATTORNEY AT LAW  PC</t>
  </si>
  <si>
    <t>TWE-ADVANCE/NEWHOUSE PARTNERSHIP</t>
  </si>
  <si>
    <t>TIMEKEEPING SYSTEMS INC</t>
  </si>
  <si>
    <t>TRACTOR SUPPLY CREDIT PLAN</t>
  </si>
  <si>
    <t>TRAVIS COUNTY CONSTABLE PCT 5</t>
  </si>
  <si>
    <t>TRAVIS COUNTY MEDICAL EXAMINER</t>
  </si>
  <si>
    <t>KAUFFMAN TIRE</t>
  </si>
  <si>
    <t>TRI-COUNTY PRACTICE ASSOCIATION</t>
  </si>
  <si>
    <t>TTIA</t>
  </si>
  <si>
    <t>TULL FARLEY</t>
  </si>
  <si>
    <t>LINDA WALKER</t>
  </si>
  <si>
    <t>TYLER TECHNOLOGIES INC</t>
  </si>
  <si>
    <t>COUFAL-PRATER EQUIPMENT  LLC</t>
  </si>
  <si>
    <t>UNITED REFRIGERATION INC</t>
  </si>
  <si>
    <t>VALERIE BULLOCK</t>
  </si>
  <si>
    <t>VERIZON WIRELESS</t>
  </si>
  <si>
    <t>TEXAS DEPARTMENT OF STATE HEALTH SERVICES</t>
  </si>
  <si>
    <t>VIVIAN PAN</t>
  </si>
  <si>
    <t>VOTEC</t>
  </si>
  <si>
    <t>US BANK NA</t>
  </si>
  <si>
    <t>VULCAN  INC.</t>
  </si>
  <si>
    <t>WAGEWORKS INC  FSA/HSA</t>
  </si>
  <si>
    <t>WAL-MART  BASTROP</t>
  </si>
  <si>
    <t>="11</t>
  </si>
  <si>
    <t>645  07/18/18"</t>
  </si>
  <si>
    <t>WALLER COUNTY ASPHALT INC</t>
  </si>
  <si>
    <t>WALMART COMMUNITY BRC</t>
  </si>
  <si>
    <t>WASTE MANAGEMENT OF TEXAS INC</t>
  </si>
  <si>
    <t>PROGRESSIVE WASTE SOLUTIONS OF TX. INC.</t>
  </si>
  <si>
    <t>COBRA EQUIPMENT RENTALS</t>
  </si>
  <si>
    <t>WEI-ANN LIN  MD PA</t>
  </si>
  <si>
    <t>WESTCREEK HOMES</t>
  </si>
  <si>
    <t>MAO PHARMACY INC</t>
  </si>
  <si>
    <t>XEROX CORPORATION</t>
  </si>
  <si>
    <t>YOLANDA WHEATON</t>
  </si>
  <si>
    <t>YOUNGS PROFESSIONAL SERVICES  LLC</t>
  </si>
  <si>
    <t>ZOETIS US LLC</t>
  </si>
  <si>
    <t>ZORO TOOLS INC</t>
  </si>
  <si>
    <t>973 MATERIALS  LLC</t>
  </si>
  <si>
    <t>A &amp; E WELDING</t>
  </si>
  <si>
    <t>AAA FIRE &amp; SAFETY EQUIP CO.  INC.</t>
  </si>
  <si>
    <t>BASTROP INDEPENDENT SCHOOL DISTRICT</t>
  </si>
  <si>
    <t>DISCOUNT DOOR &amp; METAL  LLC</t>
  </si>
  <si>
    <t>KIRKSEY ARCHITECTS  INC.</t>
  </si>
  <si>
    <t>LANGFORD COMMUNITY MGMT INC</t>
  </si>
  <si>
    <t>MIDTEX MATERIALS</t>
  </si>
  <si>
    <t>MUSTANG MACHINERY COMPANY LTD</t>
  </si>
  <si>
    <t>SARAH D. JACKSON</t>
  </si>
  <si>
    <t>TEXAS AMERICAN TITLE COMPANY - INDEPENDENCE TITLE</t>
  </si>
  <si>
    <t>TEXAS STATE UNIVERSITY</t>
  </si>
  <si>
    <t>ALLSTATE-AMERICAN HERITAGE LIFE INS CO</t>
  </si>
  <si>
    <t>BASTROP CNTY ADULT PROBATION</t>
  </si>
  <si>
    <t>BRENDA MEUTH</t>
  </si>
  <si>
    <t>COLONIAL LIFE &amp; ACCIDENT INS. CO.</t>
  </si>
  <si>
    <t>CPI QUALIFIED PLAN CONSULTANTS  INC.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</si>
  <si>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</si>
  <si>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</si>
  <si>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</si>
  <si>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</si>
  <si>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</si>
  <si>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</si>
  <si>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NYS CHILD SUPPORT PROCESSING CENTER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</si>
  <si>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</si>
  <si>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</si>
  <si>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</si>
  <si>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</si>
  <si>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</si>
  <si>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LOAN/TRELLIS CO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</si>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</sst>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9"/>
  <sheetViews>
    <sheetView tabSelected="1" workbookViewId="0"/>
  </sheetViews>
  <sheetFormatPr defaultRowHeight="15" x14ac:dyDescent="0.25"/>
  <cols>
    <col min="1" max="1" width="53.7109375" bestFit="1" customWidth="1"/>
    <col min="2" max="2" width="7.7109375" bestFit="1" customWidth="1"/>
    <col min="3" max="3" width="14" style="3" bestFit="1" customWidth="1"/>
    <col min="4" max="4" width="10.85546875" bestFit="1" customWidth="1"/>
    <col min="5" max="5" width="19.7109375" bestFit="1" customWidth="1"/>
    <col min="6" max="6" width="37" bestFit="1" customWidth="1"/>
    <col min="7" max="7" width="28" style="2" bestFit="1" customWidth="1"/>
    <col min="8" max="8" width="37" bestFit="1" customWidth="1"/>
  </cols>
  <sheetData>
    <row r="1" spans="1:8" x14ac:dyDescent="0.25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</row>
    <row r="2" spans="1:8" x14ac:dyDescent="0.25">
      <c r="A2" t="s">
        <v>8</v>
      </c>
      <c r="B2">
        <v>999999</v>
      </c>
      <c r="C2" s="3">
        <v>190.25</v>
      </c>
      <c r="D2" s="1">
        <v>43354</v>
      </c>
      <c r="E2" t="str">
        <f>"44262"</f>
        <v>44262</v>
      </c>
      <c r="F2" t="str">
        <f>"WIRELESS BUSINESS INTERNET"</f>
        <v>WIRELESS BUSINESS INTERNET</v>
      </c>
      <c r="G2" s="2">
        <v>145.5</v>
      </c>
      <c r="H2" t="str">
        <f>"WIRELESS BUSINESS INTERNET"</f>
        <v>WIRELESS BUSINESS INTERNET</v>
      </c>
    </row>
    <row r="3" spans="1:8" x14ac:dyDescent="0.25">
      <c r="E3" t="str">
        <f>"44263"</f>
        <v>44263</v>
      </c>
      <c r="F3" t="str">
        <f>"DOMAIN HOSTING"</f>
        <v>DOMAIN HOSTING</v>
      </c>
      <c r="G3" s="2">
        <v>44.75</v>
      </c>
      <c r="H3" t="str">
        <f>"DOMAIN HOSTING"</f>
        <v>DOMAIN HOSTING</v>
      </c>
    </row>
    <row r="4" spans="1:8" x14ac:dyDescent="0.25">
      <c r="A4" t="s">
        <v>9</v>
      </c>
      <c r="B4">
        <v>2376</v>
      </c>
      <c r="C4" s="3">
        <v>223.5</v>
      </c>
      <c r="D4" s="1">
        <v>43353</v>
      </c>
      <c r="E4" t="str">
        <f>"201809053428"</f>
        <v>201809053428</v>
      </c>
      <c r="F4" t="str">
        <f>"ACCT#100001-8659-708279001"</f>
        <v>ACCT#100001-8659-708279001</v>
      </c>
      <c r="G4" s="2">
        <v>223.5</v>
      </c>
      <c r="H4" t="str">
        <f>"ACCT#100001-8659-708279001"</f>
        <v>ACCT#100001-8659-708279001</v>
      </c>
    </row>
    <row r="5" spans="1:8" x14ac:dyDescent="0.25">
      <c r="A5" t="s">
        <v>10</v>
      </c>
      <c r="B5">
        <v>2390</v>
      </c>
      <c r="C5" s="3">
        <v>63.66</v>
      </c>
      <c r="D5" s="1">
        <v>43367</v>
      </c>
      <c r="E5" t="str">
        <f>"56812"</f>
        <v>56812</v>
      </c>
      <c r="F5" t="str">
        <f>"2018 CHEV OIL CHANGE"</f>
        <v>2018 CHEV OIL CHANGE</v>
      </c>
      <c r="G5" s="2">
        <v>63.66</v>
      </c>
      <c r="H5" t="str">
        <f>"2018 CHEV OIL CHANGE"</f>
        <v>2018 CHEV OIL CHANGE</v>
      </c>
    </row>
    <row r="6" spans="1:8" x14ac:dyDescent="0.25">
      <c r="A6" t="s">
        <v>11</v>
      </c>
      <c r="B6">
        <v>999999</v>
      </c>
      <c r="C6" s="3">
        <v>5825</v>
      </c>
      <c r="D6" s="1">
        <v>43354</v>
      </c>
      <c r="E6" t="str">
        <f>"201809053427"</f>
        <v>201809053427</v>
      </c>
      <c r="F6" t="str">
        <f>"FY 2018 FISCAL SERVICE FEES"</f>
        <v>FY 2018 FISCAL SERVICE FEES</v>
      </c>
      <c r="G6" s="2">
        <v>5825</v>
      </c>
      <c r="H6" t="str">
        <f t="shared" ref="H6:H11" si="0">"FY 2018 FISCAL SERVICE FEES"</f>
        <v>FY 2018 FISCAL SERVICE FEES</v>
      </c>
    </row>
    <row r="7" spans="1:8" x14ac:dyDescent="0.25">
      <c r="E7" t="str">
        <f>""</f>
        <v/>
      </c>
      <c r="F7" t="str">
        <f>""</f>
        <v/>
      </c>
      <c r="H7" t="str">
        <f t="shared" si="0"/>
        <v>FY 2018 FISCAL SERVICE FEES</v>
      </c>
    </row>
    <row r="8" spans="1:8" x14ac:dyDescent="0.25">
      <c r="E8" t="str">
        <f>""</f>
        <v/>
      </c>
      <c r="F8" t="str">
        <f>""</f>
        <v/>
      </c>
      <c r="H8" t="str">
        <f t="shared" si="0"/>
        <v>FY 2018 FISCAL SERVICE FEES</v>
      </c>
    </row>
    <row r="9" spans="1:8" x14ac:dyDescent="0.25">
      <c r="E9" t="str">
        <f>""</f>
        <v/>
      </c>
      <c r="F9" t="str">
        <f>""</f>
        <v/>
      </c>
      <c r="H9" t="str">
        <f t="shared" si="0"/>
        <v>FY 2018 FISCAL SERVICE FEES</v>
      </c>
    </row>
    <row r="10" spans="1:8" x14ac:dyDescent="0.25">
      <c r="E10" t="str">
        <f>""</f>
        <v/>
      </c>
      <c r="F10" t="str">
        <f>""</f>
        <v/>
      </c>
      <c r="H10" t="str">
        <f t="shared" si="0"/>
        <v>FY 2018 FISCAL SERVICE FEES</v>
      </c>
    </row>
    <row r="11" spans="1:8" x14ac:dyDescent="0.25">
      <c r="E11" t="str">
        <f>""</f>
        <v/>
      </c>
      <c r="F11" t="str">
        <f>""</f>
        <v/>
      </c>
      <c r="H11" t="str">
        <f t="shared" si="0"/>
        <v>FY 2018 FISCAL SERVICE FEES</v>
      </c>
    </row>
    <row r="12" spans="1:8" x14ac:dyDescent="0.25">
      <c r="A12" t="s">
        <v>12</v>
      </c>
      <c r="B12">
        <v>2391</v>
      </c>
      <c r="C12" s="3">
        <v>36.26</v>
      </c>
      <c r="D12" s="1">
        <v>43367</v>
      </c>
      <c r="E12" t="str">
        <f>"1449295466"</f>
        <v>1449295466</v>
      </c>
      <c r="F12" t="str">
        <f>"ACCT#36550462/PHONE SVC"</f>
        <v>ACCT#36550462/PHONE SVC</v>
      </c>
      <c r="G12" s="2">
        <v>36.26</v>
      </c>
      <c r="H12" t="str">
        <f>"ACCT#36550462/PHONE SVC"</f>
        <v>ACCT#36550462/PHONE SVC</v>
      </c>
    </row>
    <row r="13" spans="1:8" x14ac:dyDescent="0.25">
      <c r="A13" t="s">
        <v>13</v>
      </c>
      <c r="B13">
        <v>2392</v>
      </c>
      <c r="C13" s="3">
        <v>211.66</v>
      </c>
      <c r="D13" s="1">
        <v>43367</v>
      </c>
      <c r="E13" t="str">
        <f>"000000065155376809"</f>
        <v>000000065155376809</v>
      </c>
      <c r="F13" t="str">
        <f>"ACCT#065 155 376/VEHICLE FUEL"</f>
        <v>ACCT#065 155 376/VEHICLE FUEL</v>
      </c>
      <c r="G13" s="2">
        <v>211.66</v>
      </c>
      <c r="H13" t="str">
        <f>"ACCT#065 155 376/VEHICLE FUEL"</f>
        <v>ACCT#065 155 376/VEHICLE FUEL</v>
      </c>
    </row>
    <row r="14" spans="1:8" x14ac:dyDescent="0.25">
      <c r="E14" t="str">
        <f>""</f>
        <v/>
      </c>
      <c r="F14" t="str">
        <f>""</f>
        <v/>
      </c>
      <c r="H14" t="str">
        <f>"ACCT#065 155 376/VEHICLE FUEL"</f>
        <v>ACCT#065 155 376/VEHICLE FUEL</v>
      </c>
    </row>
    <row r="15" spans="1:8" x14ac:dyDescent="0.25">
      <c r="E15" t="str">
        <f>""</f>
        <v/>
      </c>
      <c r="F15" t="str">
        <f>""</f>
        <v/>
      </c>
      <c r="H15" t="str">
        <f>"ACCT#065 155 376/VEHICLE FUEL"</f>
        <v>ACCT#065 155 376/VEHICLE FUEL</v>
      </c>
    </row>
    <row r="16" spans="1:8" x14ac:dyDescent="0.25">
      <c r="A16" t="s">
        <v>14</v>
      </c>
      <c r="B16">
        <v>999999</v>
      </c>
      <c r="C16" s="3">
        <v>3980</v>
      </c>
      <c r="D16" s="1">
        <v>43354</v>
      </c>
      <c r="E16" t="str">
        <f>"34182"</f>
        <v>34182</v>
      </c>
      <c r="F16" t="str">
        <f>"PROF SVCS SEP 2018"</f>
        <v>PROF SVCS SEP 2018</v>
      </c>
      <c r="G16" s="2">
        <v>3980</v>
      </c>
      <c r="H16" t="str">
        <f>"PROF SVCS SEP 2018"</f>
        <v>PROF SVCS SEP 2018</v>
      </c>
    </row>
    <row r="17" spans="1:8" x14ac:dyDescent="0.25">
      <c r="A17" t="s">
        <v>14</v>
      </c>
      <c r="B17">
        <v>999999</v>
      </c>
      <c r="C17" s="3">
        <v>3980</v>
      </c>
      <c r="D17" s="1">
        <v>43368</v>
      </c>
      <c r="E17" t="str">
        <f>"34323"</f>
        <v>34323</v>
      </c>
      <c r="F17" t="str">
        <f>"PROF SVCS OCTOBER 2018"</f>
        <v>PROF SVCS OCTOBER 2018</v>
      </c>
      <c r="G17" s="2">
        <v>3980</v>
      </c>
      <c r="H17" t="str">
        <f>"PROF SVCS OCTOBER 2018"</f>
        <v>PROF SVCS OCTOBER 2018</v>
      </c>
    </row>
    <row r="18" spans="1:8" x14ac:dyDescent="0.25">
      <c r="A18" t="s">
        <v>15</v>
      </c>
      <c r="B18">
        <v>2377</v>
      </c>
      <c r="C18" s="3">
        <v>522.09</v>
      </c>
      <c r="D18" s="1">
        <v>43353</v>
      </c>
      <c r="E18" t="str">
        <f>"201809053429"</f>
        <v>201809053429</v>
      </c>
      <c r="F18" t="str">
        <f>"2018 HR FORUM"</f>
        <v>2018 HR FORUM</v>
      </c>
      <c r="G18" s="2">
        <v>249.93</v>
      </c>
      <c r="H18" t="str">
        <f>"2018 HR FORUM/DIRECTOR'S SUMMI"</f>
        <v>2018 HR FORUM/DIRECTOR'S SUMMI</v>
      </c>
    </row>
    <row r="19" spans="1:8" x14ac:dyDescent="0.25">
      <c r="E19" t="str">
        <f>"201809053430"</f>
        <v>201809053430</v>
      </c>
      <c r="F19" t="str">
        <f>"DIRECTOR'S SUMMIT"</f>
        <v>DIRECTOR'S SUMMIT</v>
      </c>
      <c r="G19" s="2">
        <v>272.16000000000003</v>
      </c>
      <c r="H19" t="str">
        <f>"DIRECTOR'S SUMMIT"</f>
        <v>DIRECTOR'S SUMMIT</v>
      </c>
    </row>
    <row r="20" spans="1:8" x14ac:dyDescent="0.25">
      <c r="A20" t="s">
        <v>15</v>
      </c>
      <c r="B20">
        <v>2393</v>
      </c>
      <c r="C20" s="3">
        <v>300.18</v>
      </c>
      <c r="D20" s="1">
        <v>43367</v>
      </c>
      <c r="E20" t="str">
        <f>"201809183820"</f>
        <v>201809183820</v>
      </c>
      <c r="F20" t="str">
        <f>"TRAVEL ADVANCE-HOTEL/PER DIEM"</f>
        <v>TRAVEL ADVANCE-HOTEL/PER DIEM</v>
      </c>
      <c r="G20" s="2">
        <v>300.18</v>
      </c>
      <c r="H20" t="str">
        <f>"TRAVEL ADVANCE-HOTEL/PER DIEM"</f>
        <v>TRAVEL ADVANCE-HOTEL/PER DIEM</v>
      </c>
    </row>
    <row r="21" spans="1:8" x14ac:dyDescent="0.25">
      <c r="A21" t="s">
        <v>16</v>
      </c>
      <c r="B21">
        <v>2378</v>
      </c>
      <c r="C21" s="3">
        <v>10</v>
      </c>
      <c r="D21" s="1">
        <v>43353</v>
      </c>
      <c r="E21" t="str">
        <f>"201809053431"</f>
        <v>201809053431</v>
      </c>
      <c r="F21" t="str">
        <f>"NAME PLATE"</f>
        <v>NAME PLATE</v>
      </c>
      <c r="G21" s="2">
        <v>10</v>
      </c>
      <c r="H21" t="str">
        <f>"NAME PLATE"</f>
        <v>NAME PLATE</v>
      </c>
    </row>
    <row r="22" spans="1:8" x14ac:dyDescent="0.25">
      <c r="A22" t="s">
        <v>17</v>
      </c>
      <c r="B22">
        <v>2379</v>
      </c>
      <c r="C22" s="3">
        <v>7.98</v>
      </c>
      <c r="D22" s="1">
        <v>43353</v>
      </c>
      <c r="E22" t="str">
        <f>"269251"</f>
        <v>269251</v>
      </c>
      <c r="F22" t="str">
        <f>"CUST#1236/SPARK PLUG"</f>
        <v>CUST#1236/SPARK PLUG</v>
      </c>
      <c r="G22" s="2">
        <v>7.98</v>
      </c>
      <c r="H22" t="str">
        <f>"CUST#1236/SPARK PLUG"</f>
        <v>CUST#1236/SPARK PLUG</v>
      </c>
    </row>
    <row r="23" spans="1:8" x14ac:dyDescent="0.25">
      <c r="A23" t="s">
        <v>18</v>
      </c>
      <c r="B23">
        <v>2394</v>
      </c>
      <c r="C23" s="3">
        <v>50</v>
      </c>
      <c r="D23" s="1">
        <v>43367</v>
      </c>
      <c r="E23" t="str">
        <f>"1223984-20180831"</f>
        <v>1223984-20180831</v>
      </c>
      <c r="F23" t="str">
        <f>"BILLING ID:1223984/CSCD"</f>
        <v>BILLING ID:1223984/CSCD</v>
      </c>
      <c r="G23" s="2">
        <v>50</v>
      </c>
      <c r="H23" t="str">
        <f>"BILLING ID:1223984/CSCD"</f>
        <v>BILLING ID:1223984/CSCD</v>
      </c>
    </row>
    <row r="24" spans="1:8" x14ac:dyDescent="0.25">
      <c r="A24" t="s">
        <v>19</v>
      </c>
      <c r="B24">
        <v>2380</v>
      </c>
      <c r="C24" s="3">
        <v>470.85</v>
      </c>
      <c r="D24" s="1">
        <v>43353</v>
      </c>
      <c r="E24" t="str">
        <f>"201809053432"</f>
        <v>201809053432</v>
      </c>
      <c r="F24" t="str">
        <f>"HOTEL/PER DIEM"</f>
        <v>HOTEL/PER DIEM</v>
      </c>
      <c r="G24" s="2">
        <v>470.85</v>
      </c>
      <c r="H24" t="str">
        <f>"HOTEL/PER DIEM"</f>
        <v>HOTEL/PER DIEM</v>
      </c>
    </row>
    <row r="25" spans="1:8" x14ac:dyDescent="0.25">
      <c r="A25" t="s">
        <v>19</v>
      </c>
      <c r="B25">
        <v>2395</v>
      </c>
      <c r="C25" s="3">
        <v>28.17</v>
      </c>
      <c r="D25" s="1">
        <v>43367</v>
      </c>
      <c r="E25" t="str">
        <f>"201809183839"</f>
        <v>201809183839</v>
      </c>
      <c r="F25" t="str">
        <f>"REIMBURSE GAS"</f>
        <v>REIMBURSE GAS</v>
      </c>
      <c r="G25" s="2">
        <v>28.17</v>
      </c>
      <c r="H25" t="str">
        <f>"REIMBURSE GAS"</f>
        <v>REIMBURSE GAS</v>
      </c>
    </row>
    <row r="26" spans="1:8" x14ac:dyDescent="0.25">
      <c r="A26" t="s">
        <v>20</v>
      </c>
      <c r="B26">
        <v>2381</v>
      </c>
      <c r="C26" s="3">
        <v>351.25</v>
      </c>
      <c r="D26" s="1">
        <v>43353</v>
      </c>
      <c r="E26" t="str">
        <f>"152922370001"</f>
        <v>152922370001</v>
      </c>
      <c r="F26" t="str">
        <f>"ACCT#60805099/BILL ID#3755073"</f>
        <v>ACCT#60805099/BILL ID#3755073</v>
      </c>
      <c r="G26" s="2">
        <v>119.96</v>
      </c>
      <c r="H26" t="str">
        <f>"ACCT#60805099/BILL ID#3755073"</f>
        <v>ACCT#60805099/BILL ID#3755073</v>
      </c>
    </row>
    <row r="27" spans="1:8" x14ac:dyDescent="0.25">
      <c r="E27" t="str">
        <f>"189901738001"</f>
        <v>189901738001</v>
      </c>
      <c r="F27" t="str">
        <f>"ACCT#60805099/BILL ID:3755073"</f>
        <v>ACCT#60805099/BILL ID:3755073</v>
      </c>
      <c r="G27" s="2">
        <v>71.37</v>
      </c>
      <c r="H27" t="str">
        <f>"ACCT#60805099/BILL ID:3755073"</f>
        <v>ACCT#60805099/BILL ID:3755073</v>
      </c>
    </row>
    <row r="28" spans="1:8" x14ac:dyDescent="0.25">
      <c r="E28" t="str">
        <f>""</f>
        <v/>
      </c>
      <c r="F28" t="str">
        <f>""</f>
        <v/>
      </c>
      <c r="H28" t="str">
        <f>"ACCT#60805099/BILL ID:3755073"</f>
        <v>ACCT#60805099/BILL ID:3755073</v>
      </c>
    </row>
    <row r="29" spans="1:8" x14ac:dyDescent="0.25">
      <c r="E29" t="str">
        <f>""</f>
        <v/>
      </c>
      <c r="F29" t="str">
        <f>""</f>
        <v/>
      </c>
      <c r="H29" t="str">
        <f>"ACCT#60805099/BILL ID:3755073"</f>
        <v>ACCT#60805099/BILL ID:3755073</v>
      </c>
    </row>
    <row r="30" spans="1:8" x14ac:dyDescent="0.25">
      <c r="E30" t="str">
        <f>"189922360001"</f>
        <v>189922360001</v>
      </c>
      <c r="F30" t="str">
        <f>"ACCT#60805099/BILL ID:3755073"</f>
        <v>ACCT#60805099/BILL ID:3755073</v>
      </c>
      <c r="G30" s="2">
        <v>89.45</v>
      </c>
      <c r="H30" t="str">
        <f>"ACCT#60805099/BILL ID:3755073"</f>
        <v>ACCT#60805099/BILL ID:3755073</v>
      </c>
    </row>
    <row r="31" spans="1:8" x14ac:dyDescent="0.25">
      <c r="E31" t="str">
        <f>"195295454001"</f>
        <v>195295454001</v>
      </c>
      <c r="F31" t="str">
        <f>"ACCT#60805099/BILL ID:3755073"</f>
        <v>ACCT#60805099/BILL ID:3755073</v>
      </c>
      <c r="G31" s="2">
        <v>70.47</v>
      </c>
      <c r="H31" t="str">
        <f>"ACCT#60805099/BILL ID:3755073"</f>
        <v>ACCT#60805099/BILL ID:3755073</v>
      </c>
    </row>
    <row r="32" spans="1:8" x14ac:dyDescent="0.25">
      <c r="A32" t="s">
        <v>20</v>
      </c>
      <c r="B32">
        <v>2396</v>
      </c>
      <c r="C32" s="3">
        <v>410.7</v>
      </c>
      <c r="D32" s="1">
        <v>43367</v>
      </c>
      <c r="E32" t="str">
        <f>"199151138001"</f>
        <v>199151138001</v>
      </c>
      <c r="F32" t="str">
        <f>"ACCT#60805099/BILL ID:37550073"</f>
        <v>ACCT#60805099/BILL ID:37550073</v>
      </c>
      <c r="G32" s="2">
        <v>273.98</v>
      </c>
      <c r="H32" t="str">
        <f>"ACCT#60805099/BILL ID:37550073"</f>
        <v>ACCT#60805099/BILL ID:37550073</v>
      </c>
    </row>
    <row r="33" spans="1:8" x14ac:dyDescent="0.25">
      <c r="E33" t="str">
        <f>""</f>
        <v/>
      </c>
      <c r="F33" t="str">
        <f>""</f>
        <v/>
      </c>
      <c r="H33" t="str">
        <f>"ACCT#60805099/BILL ID:37550073"</f>
        <v>ACCT#60805099/BILL ID:37550073</v>
      </c>
    </row>
    <row r="34" spans="1:8" x14ac:dyDescent="0.25">
      <c r="E34" t="str">
        <f>"200095748001"</f>
        <v>200095748001</v>
      </c>
      <c r="F34" t="str">
        <f>"ACCT#60805099/BILL ID:37550073"</f>
        <v>ACCT#60805099/BILL ID:37550073</v>
      </c>
      <c r="G34" s="2">
        <v>125.93</v>
      </c>
      <c r="H34" t="str">
        <f>"ACCT#60805099/BILL ID:37550073"</f>
        <v>ACCT#60805099/BILL ID:37550073</v>
      </c>
    </row>
    <row r="35" spans="1:8" x14ac:dyDescent="0.25">
      <c r="E35" t="str">
        <f>"200098108001"</f>
        <v>200098108001</v>
      </c>
      <c r="F35" t="str">
        <f>"ACCT#60805099/BILL ID:37550073"</f>
        <v>ACCT#60805099/BILL ID:37550073</v>
      </c>
      <c r="G35" s="2">
        <v>10.79</v>
      </c>
      <c r="H35" t="str">
        <f>"ACCT#60805099/BILL ID:37550073"</f>
        <v>ACCT#60805099/BILL ID:37550073</v>
      </c>
    </row>
    <row r="36" spans="1:8" x14ac:dyDescent="0.25">
      <c r="A36" t="s">
        <v>21</v>
      </c>
      <c r="B36">
        <v>2397</v>
      </c>
      <c r="C36" s="3">
        <v>82</v>
      </c>
      <c r="D36" s="1">
        <v>43367</v>
      </c>
      <c r="E36" t="str">
        <f>"83102"</f>
        <v>83102</v>
      </c>
      <c r="F36" t="str">
        <f>"CLIENT#21254/U/A CONF-BASIC"</f>
        <v>CLIENT#21254/U/A CONF-BASIC</v>
      </c>
      <c r="G36" s="2">
        <v>12</v>
      </c>
      <c r="H36" t="str">
        <f>"CLIENT#21254/U/A CONF-BASIC"</f>
        <v>CLIENT#21254/U/A CONF-BASIC</v>
      </c>
    </row>
    <row r="37" spans="1:8" x14ac:dyDescent="0.25">
      <c r="E37" t="str">
        <f>"83103"</f>
        <v>83103</v>
      </c>
      <c r="F37" t="str">
        <f>"CLIENT#21263/U/A CONF-BASIC"</f>
        <v>CLIENT#21263/U/A CONF-BASIC</v>
      </c>
      <c r="G37" s="2">
        <v>70</v>
      </c>
      <c r="H37" t="str">
        <f>"CLIENT#21263/U/A CONF-BASIC"</f>
        <v>CLIENT#21263/U/A CONF-BASIC</v>
      </c>
    </row>
    <row r="38" spans="1:8" x14ac:dyDescent="0.25">
      <c r="A38" t="s">
        <v>22</v>
      </c>
      <c r="B38">
        <v>2382</v>
      </c>
      <c r="C38" s="3">
        <v>346</v>
      </c>
      <c r="D38" s="1">
        <v>43353</v>
      </c>
      <c r="E38" t="str">
        <f>"101016445"</f>
        <v>101016445</v>
      </c>
      <c r="F38" t="str">
        <f>"ACCT#969045-1009520A9"</f>
        <v>ACCT#969045-1009520A9</v>
      </c>
      <c r="G38" s="2">
        <v>178</v>
      </c>
      <c r="H38" t="str">
        <f>"ACCT#969045-1009520A9"</f>
        <v>ACCT#969045-1009520A9</v>
      </c>
    </row>
    <row r="39" spans="1:8" x14ac:dyDescent="0.25">
      <c r="E39" t="str">
        <f>"101017158"</f>
        <v>101017158</v>
      </c>
      <c r="F39" t="str">
        <f>"ACCT#1581891-1029681ML"</f>
        <v>ACCT#1581891-1029681ML</v>
      </c>
      <c r="G39" s="2">
        <v>168</v>
      </c>
      <c r="H39" t="str">
        <f>"ACCT#1581891-1029681ML"</f>
        <v>ACCT#1581891-1029681ML</v>
      </c>
    </row>
    <row r="40" spans="1:8" x14ac:dyDescent="0.25">
      <c r="A40" t="s">
        <v>23</v>
      </c>
      <c r="B40">
        <v>999999</v>
      </c>
      <c r="C40" s="3">
        <v>99.77</v>
      </c>
      <c r="D40" s="1">
        <v>43368</v>
      </c>
      <c r="E40" t="str">
        <f>"201809183821"</f>
        <v>201809183821</v>
      </c>
      <c r="F40" t="str">
        <f>"ACCT#PROBAT/FUEL"</f>
        <v>ACCT#PROBAT/FUEL</v>
      </c>
      <c r="G40" s="2">
        <v>99.77</v>
      </c>
      <c r="H40" t="str">
        <f>"ACCT#PROBAT/FUEL"</f>
        <v>ACCT#PROBAT/FUEL</v>
      </c>
    </row>
    <row r="41" spans="1:8" x14ac:dyDescent="0.25">
      <c r="E41" t="str">
        <f>""</f>
        <v/>
      </c>
      <c r="F41" t="str">
        <f>""</f>
        <v/>
      </c>
      <c r="H41" t="str">
        <f>"ACCT#PROBAT/FUEL"</f>
        <v>ACCT#PROBAT/FUEL</v>
      </c>
    </row>
    <row r="42" spans="1:8" x14ac:dyDescent="0.25">
      <c r="E42" t="str">
        <f>""</f>
        <v/>
      </c>
      <c r="F42" t="str">
        <f>""</f>
        <v/>
      </c>
      <c r="H42" t="str">
        <f>"ACCT#PROBAT/FUEL"</f>
        <v>ACCT#PROBAT/FUEL</v>
      </c>
    </row>
    <row r="43" spans="1:8" x14ac:dyDescent="0.25">
      <c r="A43" t="s">
        <v>24</v>
      </c>
      <c r="B43">
        <v>2383</v>
      </c>
      <c r="C43" s="3">
        <v>260</v>
      </c>
      <c r="D43" s="1">
        <v>43353</v>
      </c>
      <c r="E43" t="str">
        <f>"15779"</f>
        <v>15779</v>
      </c>
      <c r="F43" t="str">
        <f>"MENTAL HLTH CONF-MATTHEW CLARK"</f>
        <v>MENTAL HLTH CONF-MATTHEW CLARK</v>
      </c>
      <c r="G43" s="2">
        <v>260</v>
      </c>
      <c r="H43" t="str">
        <f>"MENTAL HLTH CONF-MATTHEW CLARK"</f>
        <v>MENTAL HLTH CONF-MATTHEW CLARK</v>
      </c>
    </row>
    <row r="44" spans="1:8" x14ac:dyDescent="0.25">
      <c r="A44" t="s">
        <v>25</v>
      </c>
      <c r="B44">
        <v>2384</v>
      </c>
      <c r="C44" s="3">
        <v>885</v>
      </c>
      <c r="D44" s="1">
        <v>43353</v>
      </c>
      <c r="E44" t="str">
        <f>"11433"</f>
        <v>11433</v>
      </c>
      <c r="F44" t="str">
        <f>"UA SUPPLIES"</f>
        <v>UA SUPPLIES</v>
      </c>
      <c r="G44" s="2">
        <v>885</v>
      </c>
      <c r="H44" t="str">
        <f>"UA SUPPLIES"</f>
        <v>UA SUPPLIES</v>
      </c>
    </row>
    <row r="45" spans="1:8" x14ac:dyDescent="0.25">
      <c r="A45" t="s">
        <v>26</v>
      </c>
      <c r="B45">
        <v>2385</v>
      </c>
      <c r="C45" s="3">
        <v>34.06</v>
      </c>
      <c r="D45" s="1">
        <v>43353</v>
      </c>
      <c r="E45" t="str">
        <f>"201809053434"</f>
        <v>201809053434</v>
      </c>
      <c r="F45" t="str">
        <f>"ACCT#512-321-1511 548 4"</f>
        <v>ACCT#512-321-1511 548 4</v>
      </c>
      <c r="G45" s="2">
        <v>34.06</v>
      </c>
      <c r="H45" t="str">
        <f>"ACCT#512-321-1511 548 4"</f>
        <v>ACCT#512-321-1511 548 4</v>
      </c>
    </row>
    <row r="46" spans="1:8" x14ac:dyDescent="0.25">
      <c r="A46" t="s">
        <v>28</v>
      </c>
      <c r="B46">
        <v>2386</v>
      </c>
      <c r="C46" s="3">
        <v>407.13</v>
      </c>
      <c r="D46" s="1">
        <v>43353</v>
      </c>
      <c r="E46" t="str">
        <f>"0047972081918"</f>
        <v>0047972081918</v>
      </c>
      <c r="F46" t="str">
        <f>"ACCT#8260 16 111 0047972"</f>
        <v>ACCT#8260 16 111 0047972</v>
      </c>
      <c r="G46" s="2">
        <v>407.13</v>
      </c>
      <c r="H46" t="str">
        <f>"ACCT#8260 16 111 0047972"</f>
        <v>ACCT#8260 16 111 0047972</v>
      </c>
    </row>
    <row r="47" spans="1:8" x14ac:dyDescent="0.25">
      <c r="A47" t="s">
        <v>29</v>
      </c>
      <c r="B47">
        <v>2387</v>
      </c>
      <c r="C47" s="3">
        <v>5520</v>
      </c>
      <c r="D47" s="1">
        <v>43353</v>
      </c>
      <c r="E47" t="str">
        <f>"201809053435"</f>
        <v>201809053435</v>
      </c>
      <c r="F47" t="str">
        <f>"IOPT COUNSELING"</f>
        <v>IOPT COUNSELING</v>
      </c>
      <c r="G47" s="2">
        <v>5520</v>
      </c>
      <c r="H47" t="str">
        <f>"IOPT COUNSELING"</f>
        <v>IOPT COUNSELING</v>
      </c>
    </row>
    <row r="48" spans="1:8" x14ac:dyDescent="0.25">
      <c r="E48" t="str">
        <f>""</f>
        <v/>
      </c>
      <c r="F48" t="str">
        <f>""</f>
        <v/>
      </c>
      <c r="H48" t="str">
        <f>"IOPT COUNSELING"</f>
        <v>IOPT COUNSELING</v>
      </c>
    </row>
    <row r="49" spans="1:8" x14ac:dyDescent="0.25">
      <c r="A49" t="s">
        <v>30</v>
      </c>
      <c r="B49">
        <v>2398</v>
      </c>
      <c r="C49" s="3">
        <v>90</v>
      </c>
      <c r="D49" s="1">
        <v>43367</v>
      </c>
      <c r="E49" t="str">
        <f>"201809183822"</f>
        <v>201809183822</v>
      </c>
      <c r="F49" t="str">
        <f>"PER DIEM"</f>
        <v>PER DIEM</v>
      </c>
      <c r="G49" s="2">
        <v>90</v>
      </c>
      <c r="H49" t="str">
        <f>"PER DIEM"</f>
        <v>PER DIEM</v>
      </c>
    </row>
    <row r="50" spans="1:8" x14ac:dyDescent="0.25">
      <c r="A50" t="s">
        <v>31</v>
      </c>
      <c r="B50">
        <v>2388</v>
      </c>
      <c r="C50" s="3">
        <v>2486</v>
      </c>
      <c r="D50" s="1">
        <v>43353</v>
      </c>
      <c r="E50" t="str">
        <f>"22711"</f>
        <v>22711</v>
      </c>
      <c r="F50" t="str">
        <f>"VEHICLE INSURANCE"</f>
        <v>VEHICLE INSURANCE</v>
      </c>
      <c r="G50" s="2">
        <v>2486</v>
      </c>
      <c r="H50" t="str">
        <f>"VEHICLE INSURANCE"</f>
        <v>VEHICLE INSURANCE</v>
      </c>
    </row>
    <row r="51" spans="1:8" x14ac:dyDescent="0.25">
      <c r="E51" t="str">
        <f>""</f>
        <v/>
      </c>
      <c r="F51" t="str">
        <f>""</f>
        <v/>
      </c>
      <c r="H51" t="str">
        <f>"VEHICLE INSURANCE"</f>
        <v>VEHICLE INSURANCE</v>
      </c>
    </row>
    <row r="52" spans="1:8" x14ac:dyDescent="0.25">
      <c r="E52" t="str">
        <f>""</f>
        <v/>
      </c>
      <c r="F52" t="str">
        <f>""</f>
        <v/>
      </c>
      <c r="H52" t="str">
        <f>"VEHICLE INSURANCE"</f>
        <v>VEHICLE INSURANCE</v>
      </c>
    </row>
    <row r="53" spans="1:8" x14ac:dyDescent="0.25">
      <c r="A53" t="s">
        <v>32</v>
      </c>
      <c r="B53">
        <v>0</v>
      </c>
      <c r="C53" s="3">
        <v>704.39</v>
      </c>
      <c r="D53" s="1">
        <v>43367</v>
      </c>
      <c r="E53" t="str">
        <f>"201809183823"</f>
        <v>201809183823</v>
      </c>
      <c r="F53" t="str">
        <f>"ACCT#XXXX 0132"</f>
        <v>ACCT#XXXX 0132</v>
      </c>
      <c r="G53" s="2">
        <v>704.39</v>
      </c>
      <c r="H53" t="str">
        <f>"ACCT#XXXX 0132"</f>
        <v>ACCT#XXXX 0132</v>
      </c>
    </row>
    <row r="54" spans="1:8" x14ac:dyDescent="0.25">
      <c r="E54" t="str">
        <f>""</f>
        <v/>
      </c>
      <c r="F54" t="str">
        <f>""</f>
        <v/>
      </c>
      <c r="H54" t="str">
        <f>"ACCT#XXXX 0132"</f>
        <v>ACCT#XXXX 0132</v>
      </c>
    </row>
    <row r="55" spans="1:8" x14ac:dyDescent="0.25">
      <c r="E55" t="str">
        <f>""</f>
        <v/>
      </c>
      <c r="F55" t="str">
        <f>""</f>
        <v/>
      </c>
      <c r="H55" t="str">
        <f>"ACCT#XXXX 0132"</f>
        <v>ACCT#XXXX 0132</v>
      </c>
    </row>
    <row r="56" spans="1:8" x14ac:dyDescent="0.25">
      <c r="A56" t="s">
        <v>33</v>
      </c>
      <c r="B56">
        <v>2389</v>
      </c>
      <c r="C56" s="3">
        <v>195</v>
      </c>
      <c r="D56" s="1">
        <v>43353</v>
      </c>
      <c r="E56" t="str">
        <f>"23247684"</f>
        <v>23247684</v>
      </c>
      <c r="F56" t="str">
        <f>"AGREEMENT#012-1173727-000"</f>
        <v>AGREEMENT#012-1173727-000</v>
      </c>
      <c r="G56" s="2">
        <v>195</v>
      </c>
      <c r="H56" t="str">
        <f>"AGREEMENT#012-1173727-000"</f>
        <v>AGREEMENT#012-1173727-000</v>
      </c>
    </row>
    <row r="57" spans="1:8" x14ac:dyDescent="0.25">
      <c r="A57" t="s">
        <v>34</v>
      </c>
      <c r="B57">
        <v>2399</v>
      </c>
      <c r="C57" s="3">
        <v>132.41999999999999</v>
      </c>
      <c r="D57" s="1">
        <v>43367</v>
      </c>
      <c r="E57" t="str">
        <f>"201809183824"</f>
        <v>201809183824</v>
      </c>
      <c r="F57" t="str">
        <f>"ACCT#6032202005314019"</f>
        <v>ACCT#6032202005314019</v>
      </c>
      <c r="G57" s="2">
        <v>132.41999999999999</v>
      </c>
      <c r="H57" t="str">
        <f>"ACCT#6032202005314019"</f>
        <v>ACCT#6032202005314019</v>
      </c>
    </row>
    <row r="58" spans="1:8" x14ac:dyDescent="0.25">
      <c r="A58" t="s">
        <v>35</v>
      </c>
      <c r="B58">
        <v>2400</v>
      </c>
      <c r="C58" s="3">
        <v>50</v>
      </c>
      <c r="D58" s="1">
        <v>43367</v>
      </c>
      <c r="E58" t="str">
        <f>"69243859  11/01/18"</f>
        <v>69243859  11/01/18</v>
      </c>
      <c r="F58" t="str">
        <f>"TX FISCAL MGR COMM SUPER &amp; COR"</f>
        <v>TX FISCAL MGR COMM SUPER &amp; COR</v>
      </c>
      <c r="G58" s="2">
        <v>50</v>
      </c>
      <c r="H58" t="str">
        <f>"TX FISCAL MGR COMM SUPER &amp; COR"</f>
        <v>TX FISCAL MGR COMM SUPER &amp; COR</v>
      </c>
    </row>
    <row r="59" spans="1:8" x14ac:dyDescent="0.25">
      <c r="A59" t="s">
        <v>36</v>
      </c>
      <c r="B59">
        <v>78687</v>
      </c>
      <c r="C59" s="3">
        <v>135</v>
      </c>
      <c r="D59" s="1">
        <v>43367</v>
      </c>
      <c r="E59" t="str">
        <f>"201809183785"</f>
        <v>201809183785</v>
      </c>
      <c r="F59" t="str">
        <f>"REFUND COUPONS"</f>
        <v>REFUND COUPONS</v>
      </c>
      <c r="G59" s="2">
        <v>135</v>
      </c>
      <c r="H59" t="str">
        <f>"REFUND COUPONS"</f>
        <v>REFUND COUPONS</v>
      </c>
    </row>
    <row r="60" spans="1:8" x14ac:dyDescent="0.25">
      <c r="A60" t="s">
        <v>37</v>
      </c>
      <c r="B60">
        <v>78685</v>
      </c>
      <c r="C60" s="3">
        <v>51300</v>
      </c>
      <c r="D60" s="1">
        <v>43356</v>
      </c>
      <c r="E60" t="str">
        <f>"18-1035"</f>
        <v>18-1035</v>
      </c>
      <c r="F60" t="str">
        <f>"RFB 18BCP04A - P4"</f>
        <v>RFB 18BCP04A - P4</v>
      </c>
      <c r="G60" s="2">
        <v>51300</v>
      </c>
      <c r="H60" t="str">
        <f>"RFB 18BCP04A - P4"</f>
        <v>RFB 18BCP04A - P4</v>
      </c>
    </row>
    <row r="61" spans="1:8" x14ac:dyDescent="0.25">
      <c r="A61" t="s">
        <v>37</v>
      </c>
      <c r="B61">
        <v>78863</v>
      </c>
      <c r="C61" s="3">
        <v>90700</v>
      </c>
      <c r="D61" s="1">
        <v>43369</v>
      </c>
      <c r="E61" t="str">
        <f>"18-1038"</f>
        <v>18-1038</v>
      </c>
      <c r="F61" t="str">
        <f>"RFB 18BCP04A - P4"</f>
        <v>RFB 18BCP04A - P4</v>
      </c>
      <c r="G61" s="2">
        <v>90700</v>
      </c>
      <c r="H61" t="str">
        <f>"RFB 18BCP04A - P4"</f>
        <v>RFB 18BCP04A - P4</v>
      </c>
    </row>
    <row r="62" spans="1:8" x14ac:dyDescent="0.25">
      <c r="A62" t="s">
        <v>38</v>
      </c>
      <c r="B62">
        <v>78488</v>
      </c>
      <c r="C62" s="3">
        <v>2671.86</v>
      </c>
      <c r="D62" s="1">
        <v>43353</v>
      </c>
      <c r="E62" t="str">
        <f>"1144"</f>
        <v>1144</v>
      </c>
      <c r="F62" t="str">
        <f>"Inv# 1144"</f>
        <v>Inv# 1144</v>
      </c>
      <c r="G62" s="2">
        <v>2671.86</v>
      </c>
      <c r="H62" t="str">
        <f>"Inv# 1144"</f>
        <v>Inv# 1144</v>
      </c>
    </row>
    <row r="63" spans="1:8" x14ac:dyDescent="0.25">
      <c r="A63" t="s">
        <v>39</v>
      </c>
      <c r="B63">
        <v>999999</v>
      </c>
      <c r="C63" s="3">
        <v>20540</v>
      </c>
      <c r="D63" s="1">
        <v>43354</v>
      </c>
      <c r="E63" t="str">
        <f>"201808313201"</f>
        <v>201808313201</v>
      </c>
      <c r="F63" t="str">
        <f>"Dywall for Surgical Cente"</f>
        <v>Dywall for Surgical Cente</v>
      </c>
      <c r="G63" s="2">
        <v>16550</v>
      </c>
      <c r="H63" t="str">
        <f>"payment"</f>
        <v>payment</v>
      </c>
    </row>
    <row r="64" spans="1:8" x14ac:dyDescent="0.25">
      <c r="E64" t="str">
        <f>"201808313202"</f>
        <v>201808313202</v>
      </c>
      <c r="F64" t="str">
        <f>"FRP Drywall"</f>
        <v>FRP Drywall</v>
      </c>
      <c r="G64" s="2">
        <v>3990</v>
      </c>
      <c r="H64" t="str">
        <f>"Payment"</f>
        <v>Payment</v>
      </c>
    </row>
    <row r="65" spans="1:8" x14ac:dyDescent="0.25">
      <c r="A65" t="s">
        <v>40</v>
      </c>
      <c r="B65">
        <v>78688</v>
      </c>
      <c r="C65" s="3">
        <v>75</v>
      </c>
      <c r="D65" s="1">
        <v>43367</v>
      </c>
      <c r="E65" t="str">
        <f>"201809183786"</f>
        <v>201809183786</v>
      </c>
      <c r="F65" t="str">
        <f>"REFUND COUPONS"</f>
        <v>REFUND COUPONS</v>
      </c>
      <c r="G65" s="2">
        <v>75</v>
      </c>
      <c r="H65" t="str">
        <f>"REFUND COUPONS"</f>
        <v>REFUND COUPONS</v>
      </c>
    </row>
    <row r="66" spans="1:8" x14ac:dyDescent="0.25">
      <c r="A66" t="s">
        <v>41</v>
      </c>
      <c r="B66">
        <v>78489</v>
      </c>
      <c r="C66" s="3">
        <v>495.52</v>
      </c>
      <c r="D66" s="1">
        <v>43353</v>
      </c>
      <c r="E66" t="str">
        <f>"201809043280"</f>
        <v>201809043280</v>
      </c>
      <c r="F66" t="str">
        <f>"CUST ID#16500/STMT#318253/P4"</f>
        <v>CUST ID#16500/STMT#318253/P4</v>
      </c>
      <c r="G66" s="2">
        <v>495.52</v>
      </c>
      <c r="H66" t="str">
        <f>"CUST ID#16500/STMT#318253/P4"</f>
        <v>CUST ID#16500/STMT#318253/P4</v>
      </c>
    </row>
    <row r="67" spans="1:8" x14ac:dyDescent="0.25">
      <c r="A67" t="s">
        <v>42</v>
      </c>
      <c r="B67">
        <v>78689</v>
      </c>
      <c r="C67" s="3">
        <v>2000</v>
      </c>
      <c r="D67" s="1">
        <v>43367</v>
      </c>
      <c r="E67" t="str">
        <f>"201809123702"</f>
        <v>201809123702</v>
      </c>
      <c r="F67" t="str">
        <f>"ACCT#17181002/CONSULTATION SVC"</f>
        <v>ACCT#17181002/CONSULTATION SVC</v>
      </c>
      <c r="G67" s="2">
        <v>2000</v>
      </c>
      <c r="H67" t="str">
        <f>"ACCT#17181002/CONSULTATION SVC"</f>
        <v>ACCT#17181002/CONSULTATION SVC</v>
      </c>
    </row>
    <row r="68" spans="1:8" x14ac:dyDescent="0.25">
      <c r="A68" t="s">
        <v>43</v>
      </c>
      <c r="B68">
        <v>999999</v>
      </c>
      <c r="C68" s="3">
        <v>6543.5</v>
      </c>
      <c r="D68" s="1">
        <v>43354</v>
      </c>
      <c r="E68" t="str">
        <f>"201809043272"</f>
        <v>201809043272</v>
      </c>
      <c r="F68" t="str">
        <f>"HAULING EXPS 08/22-08/29/PCT#1"</f>
        <v>HAULING EXPS 08/22-08/29/PCT#1</v>
      </c>
      <c r="G68" s="2">
        <v>1498.79</v>
      </c>
      <c r="H68" t="str">
        <f>"HAULING EXPS 08/22-08/29/PCT#1"</f>
        <v>HAULING EXPS 08/22-08/29/PCT#1</v>
      </c>
    </row>
    <row r="69" spans="1:8" x14ac:dyDescent="0.25">
      <c r="E69" t="str">
        <f>"201809043273"</f>
        <v>201809043273</v>
      </c>
      <c r="F69" t="str">
        <f>"HAULING EXPS 08/29-08/30"</f>
        <v>HAULING EXPS 08/29-08/30</v>
      </c>
      <c r="G69" s="2">
        <v>5044.71</v>
      </c>
      <c r="H69" t="str">
        <f>"HAULING EXPS 08/29-08/30"</f>
        <v>HAULING EXPS 08/29-08/30</v>
      </c>
    </row>
    <row r="70" spans="1:8" x14ac:dyDescent="0.25">
      <c r="A70" t="s">
        <v>43</v>
      </c>
      <c r="B70">
        <v>999999</v>
      </c>
      <c r="C70" s="3">
        <v>19669.259999999998</v>
      </c>
      <c r="D70" s="1">
        <v>43368</v>
      </c>
      <c r="E70" t="str">
        <f>"201809173783"</f>
        <v>201809173783</v>
      </c>
      <c r="F70" t="str">
        <f>"HAULING EXPS 09/06-09/14/PCT#1"</f>
        <v>HAULING EXPS 09/06-09/14/PCT#1</v>
      </c>
      <c r="G70" s="2">
        <v>11516.94</v>
      </c>
      <c r="H70" t="str">
        <f>"HAULING EXPS 09/06-09/14/PCT#1"</f>
        <v>HAULING EXPS 09/06-09/14/PCT#1</v>
      </c>
    </row>
    <row r="71" spans="1:8" x14ac:dyDescent="0.25">
      <c r="E71" t="str">
        <f>"201809173784"</f>
        <v>201809173784</v>
      </c>
      <c r="F71" t="str">
        <f>"HAULING EXPS 09/04-09/11/PCT#4"</f>
        <v>HAULING EXPS 09/04-09/11/PCT#4</v>
      </c>
      <c r="G71" s="2">
        <v>8152.32</v>
      </c>
      <c r="H71" t="str">
        <f>"HAULING EXPS 09/04-09/11/PCT#4"</f>
        <v>HAULING EXPS 09/04-09/11/PCT#4</v>
      </c>
    </row>
    <row r="72" spans="1:8" x14ac:dyDescent="0.25">
      <c r="A72" t="s">
        <v>44</v>
      </c>
      <c r="B72">
        <v>78690</v>
      </c>
      <c r="C72" s="3">
        <v>1526</v>
      </c>
      <c r="D72" s="1">
        <v>43367</v>
      </c>
      <c r="E72" t="str">
        <f>"823054879"</f>
        <v>823054879</v>
      </c>
      <c r="F72" t="str">
        <f>"ENVIRO COMP BOOTCAMP-K. BERRY"</f>
        <v>ENVIRO COMP BOOTCAMP-K. BERRY</v>
      </c>
      <c r="G72" s="2">
        <v>1526</v>
      </c>
      <c r="H72" t="str">
        <f>"ENVIRO COMP BOOTCAMP-K. BERRY"</f>
        <v>ENVIRO COMP BOOTCAMP-K. BERRY</v>
      </c>
    </row>
    <row r="73" spans="1:8" x14ac:dyDescent="0.25">
      <c r="A73" t="s">
        <v>45</v>
      </c>
      <c r="B73">
        <v>78691</v>
      </c>
      <c r="C73" s="3">
        <v>166.94</v>
      </c>
      <c r="D73" s="1">
        <v>43367</v>
      </c>
      <c r="E73" t="str">
        <f>"93758"</f>
        <v>93758</v>
      </c>
      <c r="F73" t="str">
        <f>"SO#81631/PCT#2"</f>
        <v>SO#81631/PCT#2</v>
      </c>
      <c r="G73" s="2">
        <v>166.94</v>
      </c>
      <c r="H73" t="str">
        <f>"SO#81631/PCT#2"</f>
        <v>SO#81631/PCT#2</v>
      </c>
    </row>
    <row r="74" spans="1:8" x14ac:dyDescent="0.25">
      <c r="A74" t="s">
        <v>46</v>
      </c>
      <c r="B74">
        <v>999999</v>
      </c>
      <c r="C74" s="3">
        <v>4600</v>
      </c>
      <c r="D74" s="1">
        <v>43368</v>
      </c>
      <c r="E74" t="str">
        <f>"100417"</f>
        <v>100417</v>
      </c>
      <c r="F74" t="str">
        <f>"INV 100417"</f>
        <v>INV 100417</v>
      </c>
      <c r="G74" s="2">
        <v>4600</v>
      </c>
      <c r="H74" t="str">
        <f>"01-160B"</f>
        <v>01-160B</v>
      </c>
    </row>
    <row r="75" spans="1:8" x14ac:dyDescent="0.25">
      <c r="E75" t="str">
        <f>""</f>
        <v/>
      </c>
      <c r="F75" t="str">
        <f>""</f>
        <v/>
      </c>
      <c r="H75" t="str">
        <f>"01-175B"</f>
        <v>01-175B</v>
      </c>
    </row>
    <row r="76" spans="1:8" x14ac:dyDescent="0.25">
      <c r="E76" t="str">
        <f>""</f>
        <v/>
      </c>
      <c r="F76" t="str">
        <f>""</f>
        <v/>
      </c>
      <c r="H76" t="str">
        <f>"INSTALL 01-160B"</f>
        <v>INSTALL 01-160B</v>
      </c>
    </row>
    <row r="77" spans="1:8" x14ac:dyDescent="0.25">
      <c r="E77" t="str">
        <f>""</f>
        <v/>
      </c>
      <c r="F77" t="str">
        <f>""</f>
        <v/>
      </c>
      <c r="H77" t="str">
        <f>"INSTALL 01-175B"</f>
        <v>INSTALL 01-175B</v>
      </c>
    </row>
    <row r="78" spans="1:8" x14ac:dyDescent="0.25">
      <c r="A78" t="s">
        <v>47</v>
      </c>
      <c r="B78">
        <v>78490</v>
      </c>
      <c r="C78" s="3">
        <v>1302.5</v>
      </c>
      <c r="D78" s="1">
        <v>43353</v>
      </c>
      <c r="E78" t="str">
        <f>"201809053337"</f>
        <v>201809053337</v>
      </c>
      <c r="F78" t="str">
        <f>"18-19093"</f>
        <v>18-19093</v>
      </c>
      <c r="G78" s="2">
        <v>97.5</v>
      </c>
      <c r="H78" t="str">
        <f>"18-19093"</f>
        <v>18-19093</v>
      </c>
    </row>
    <row r="79" spans="1:8" x14ac:dyDescent="0.25">
      <c r="E79" t="str">
        <f>"201809053338"</f>
        <v>201809053338</v>
      </c>
      <c r="F79" t="str">
        <f>"17-18229"</f>
        <v>17-18229</v>
      </c>
      <c r="G79" s="2">
        <v>107.5</v>
      </c>
      <c r="H79" t="str">
        <f>"17-18229"</f>
        <v>17-18229</v>
      </c>
    </row>
    <row r="80" spans="1:8" x14ac:dyDescent="0.25">
      <c r="E80" t="str">
        <f>"201809053339"</f>
        <v>201809053339</v>
      </c>
      <c r="F80" t="str">
        <f>"18-19142"</f>
        <v>18-19142</v>
      </c>
      <c r="G80" s="2">
        <v>257.5</v>
      </c>
      <c r="H80" t="str">
        <f>"18-19142"</f>
        <v>18-19142</v>
      </c>
    </row>
    <row r="81" spans="1:8" x14ac:dyDescent="0.25">
      <c r="E81" t="str">
        <f>"201809053340"</f>
        <v>201809053340</v>
      </c>
      <c r="F81" t="str">
        <f>"17-18392"</f>
        <v>17-18392</v>
      </c>
      <c r="G81" s="2">
        <v>157.5</v>
      </c>
      <c r="H81" t="str">
        <f>"17-18392"</f>
        <v>17-18392</v>
      </c>
    </row>
    <row r="82" spans="1:8" x14ac:dyDescent="0.25">
      <c r="E82" t="str">
        <f>"201809053341"</f>
        <v>201809053341</v>
      </c>
      <c r="F82" t="str">
        <f>"18-19182"</f>
        <v>18-19182</v>
      </c>
      <c r="G82" s="2">
        <v>417.5</v>
      </c>
      <c r="H82" t="str">
        <f>"18-19182"</f>
        <v>18-19182</v>
      </c>
    </row>
    <row r="83" spans="1:8" x14ac:dyDescent="0.25">
      <c r="E83" t="str">
        <f>"201809053342"</f>
        <v>201809053342</v>
      </c>
      <c r="F83" t="str">
        <f>"18-19016"</f>
        <v>18-19016</v>
      </c>
      <c r="G83" s="2">
        <v>60</v>
      </c>
      <c r="H83" t="str">
        <f>"18-19016"</f>
        <v>18-19016</v>
      </c>
    </row>
    <row r="84" spans="1:8" x14ac:dyDescent="0.25">
      <c r="E84" t="str">
        <f>"201809053343"</f>
        <v>201809053343</v>
      </c>
      <c r="F84" t="str">
        <f>"17-18635"</f>
        <v>17-18635</v>
      </c>
      <c r="G84" s="2">
        <v>160</v>
      </c>
      <c r="H84" t="str">
        <f>"17-18635"</f>
        <v>17-18635</v>
      </c>
    </row>
    <row r="85" spans="1:8" x14ac:dyDescent="0.25">
      <c r="E85" t="str">
        <f>"201809053344"</f>
        <v>201809053344</v>
      </c>
      <c r="F85" t="str">
        <f>"14-16404"</f>
        <v>14-16404</v>
      </c>
      <c r="G85" s="2">
        <v>45</v>
      </c>
      <c r="H85" t="str">
        <f>"14-16404"</f>
        <v>14-16404</v>
      </c>
    </row>
    <row r="86" spans="1:8" x14ac:dyDescent="0.25">
      <c r="A86" t="s">
        <v>48</v>
      </c>
      <c r="B86">
        <v>999999</v>
      </c>
      <c r="C86" s="3">
        <v>494.46</v>
      </c>
      <c r="D86" s="1">
        <v>43354</v>
      </c>
      <c r="E86" t="str">
        <f>"201808313195"</f>
        <v>201808313195</v>
      </c>
      <c r="F86" t="str">
        <f>"TRAVEL ADVANCE-PER DIEM"</f>
        <v>TRAVEL ADVANCE-PER DIEM</v>
      </c>
      <c r="G86" s="2">
        <v>60</v>
      </c>
      <c r="H86" t="str">
        <f>"TRAVEL ADVANCE-PER DIEM"</f>
        <v>TRAVEL ADVANCE-PER DIEM</v>
      </c>
    </row>
    <row r="87" spans="1:8" x14ac:dyDescent="0.25">
      <c r="E87" t="str">
        <f>"201809043269"</f>
        <v>201809043269</v>
      </c>
      <c r="F87" t="str">
        <f>"REIMBURSE-REG/POSTAGE/BOOTH"</f>
        <v>REIMBURSE-REG/POSTAGE/BOOTH</v>
      </c>
      <c r="G87" s="2">
        <v>434.46</v>
      </c>
      <c r="H87" t="str">
        <f>"REIMBURSE-REG/POSTAGE/BOOTH"</f>
        <v>REIMBURSE-REG/POSTAGE/BOOTH</v>
      </c>
    </row>
    <row r="88" spans="1:8" x14ac:dyDescent="0.25">
      <c r="A88" t="s">
        <v>48</v>
      </c>
      <c r="B88">
        <v>999999</v>
      </c>
      <c r="C88" s="3">
        <v>310.14999999999998</v>
      </c>
      <c r="D88" s="1">
        <v>43368</v>
      </c>
      <c r="E88" t="str">
        <f>"201809173779"</f>
        <v>201809173779</v>
      </c>
      <c r="F88" t="str">
        <f>"REIMBURSE SHIPPING FEES"</f>
        <v>REIMBURSE SHIPPING FEES</v>
      </c>
      <c r="G88" s="2">
        <v>15.15</v>
      </c>
      <c r="H88" t="str">
        <f>"REIMBURSE SHIPPING FEES"</f>
        <v>REIMBURSE SHIPPING FEES</v>
      </c>
    </row>
    <row r="89" spans="1:8" x14ac:dyDescent="0.25">
      <c r="E89" t="str">
        <f>"201809173781"</f>
        <v>201809173781</v>
      </c>
      <c r="F89" t="str">
        <f>"PER DIEM 10/7-10/12"</f>
        <v>PER DIEM 10/7-10/12</v>
      </c>
      <c r="G89" s="2">
        <v>225</v>
      </c>
      <c r="H89" t="str">
        <f>"PER DIEM 10/7-10/12"</f>
        <v>PER DIEM 10/7-10/12</v>
      </c>
    </row>
    <row r="90" spans="1:8" x14ac:dyDescent="0.25">
      <c r="E90" t="str">
        <f>"201809173782"</f>
        <v>201809173782</v>
      </c>
      <c r="F90" t="str">
        <f>"PER DIEM 10/1-10/3"</f>
        <v>PER DIEM 10/1-10/3</v>
      </c>
      <c r="G90" s="2">
        <v>70</v>
      </c>
      <c r="H90" t="str">
        <f>"PER DIEM 10/1-10/3"</f>
        <v>PER DIEM 10/1-10/3</v>
      </c>
    </row>
    <row r="91" spans="1:8" x14ac:dyDescent="0.25">
      <c r="A91" t="s">
        <v>49</v>
      </c>
      <c r="B91">
        <v>999999</v>
      </c>
      <c r="C91" s="3">
        <v>2350</v>
      </c>
      <c r="D91" s="1">
        <v>43354</v>
      </c>
      <c r="E91" t="str">
        <f>"201808293106"</f>
        <v>201808293106</v>
      </c>
      <c r="F91" t="str">
        <f>"16344"</f>
        <v>16344</v>
      </c>
      <c r="G91" s="2">
        <v>400</v>
      </c>
      <c r="H91" t="str">
        <f>"16344"</f>
        <v>16344</v>
      </c>
    </row>
    <row r="92" spans="1:8" x14ac:dyDescent="0.25">
      <c r="E92" t="str">
        <f>"201808293107"</f>
        <v>201808293107</v>
      </c>
      <c r="F92" t="str">
        <f>"16 333"</f>
        <v>16 333</v>
      </c>
      <c r="G92" s="2">
        <v>400</v>
      </c>
      <c r="H92" t="str">
        <f>"16 333"</f>
        <v>16 333</v>
      </c>
    </row>
    <row r="93" spans="1:8" x14ac:dyDescent="0.25">
      <c r="E93" t="str">
        <f>"201808313176"</f>
        <v>201808313176</v>
      </c>
      <c r="F93" t="str">
        <f>"16075"</f>
        <v>16075</v>
      </c>
      <c r="G93" s="2">
        <v>1550</v>
      </c>
      <c r="H93" t="str">
        <f>"16075"</f>
        <v>16075</v>
      </c>
    </row>
    <row r="94" spans="1:8" x14ac:dyDescent="0.25">
      <c r="A94" t="s">
        <v>50</v>
      </c>
      <c r="B94">
        <v>78491</v>
      </c>
      <c r="C94" s="3">
        <v>692.91</v>
      </c>
      <c r="D94" s="1">
        <v>43353</v>
      </c>
      <c r="E94" t="str">
        <f>"201808313178"</f>
        <v>201808313178</v>
      </c>
      <c r="F94" t="str">
        <f>"CRIMINAL DOCKET  08/15"</f>
        <v>CRIMINAL DOCKET  08/15</v>
      </c>
      <c r="G94" s="2">
        <v>230.97</v>
      </c>
      <c r="H94" t="str">
        <f>"CRIMINAL DOCKET"</f>
        <v>CRIMINAL DOCKET</v>
      </c>
    </row>
    <row r="95" spans="1:8" x14ac:dyDescent="0.25">
      <c r="E95" t="str">
        <f>"201809053298"</f>
        <v>201809053298</v>
      </c>
      <c r="F95" t="str">
        <f>"CRIMINAL DOCKET 08/23/18"</f>
        <v>CRIMINAL DOCKET 08/23/18</v>
      </c>
      <c r="G95" s="2">
        <v>230.97</v>
      </c>
      <c r="H95" t="str">
        <f>"CRIMINAL DOCKET 08/23/18"</f>
        <v>CRIMINAL DOCKET 08/23/18</v>
      </c>
    </row>
    <row r="96" spans="1:8" x14ac:dyDescent="0.25">
      <c r="E96" t="str">
        <f>"201809053299"</f>
        <v>201809053299</v>
      </c>
      <c r="F96" t="str">
        <f>"CRIMINAL DOCKET 08/30"</f>
        <v>CRIMINAL DOCKET 08/30</v>
      </c>
      <c r="G96" s="2">
        <v>230.97</v>
      </c>
      <c r="H96" t="str">
        <f>"CRIMINAL DOCKET 08/30"</f>
        <v>CRIMINAL DOCKET 08/30</v>
      </c>
    </row>
    <row r="97" spans="1:9" x14ac:dyDescent="0.25">
      <c r="A97" t="s">
        <v>51</v>
      </c>
      <c r="B97">
        <v>78492</v>
      </c>
      <c r="C97" s="3">
        <v>25</v>
      </c>
      <c r="D97" s="1">
        <v>43353</v>
      </c>
      <c r="E97" t="s">
        <v>52</v>
      </c>
      <c r="F97" t="s">
        <v>53</v>
      </c>
      <c r="G97" s="2" t="str">
        <f>"RESTITUTION-T.CHURCH"</f>
        <v>RESTITUTION-T.CHURCH</v>
      </c>
      <c r="H97" t="str">
        <f>"210-0000"</f>
        <v>210-0000</v>
      </c>
      <c r="I97" t="str">
        <f>""</f>
        <v/>
      </c>
    </row>
    <row r="98" spans="1:9" x14ac:dyDescent="0.25">
      <c r="A98" t="s">
        <v>54</v>
      </c>
      <c r="B98">
        <v>999999</v>
      </c>
      <c r="C98" s="3">
        <v>6714.55</v>
      </c>
      <c r="D98" s="1">
        <v>43368</v>
      </c>
      <c r="E98" t="str">
        <f>"31683063"</f>
        <v>31683063</v>
      </c>
      <c r="F98" t="str">
        <f>"ORDER#10692741/PCT#4"</f>
        <v>ORDER#10692741/PCT#4</v>
      </c>
      <c r="G98" s="2">
        <v>6714.55</v>
      </c>
      <c r="H98" t="str">
        <f>"ORDER#10692741/PCT#4"</f>
        <v>ORDER#10692741/PCT#4</v>
      </c>
    </row>
    <row r="99" spans="1:9" x14ac:dyDescent="0.25">
      <c r="A99" t="s">
        <v>55</v>
      </c>
      <c r="B99">
        <v>78493</v>
      </c>
      <c r="C99" s="3">
        <v>571</v>
      </c>
      <c r="D99" s="1">
        <v>43353</v>
      </c>
      <c r="E99" t="str">
        <f>"32265"</f>
        <v>32265</v>
      </c>
      <c r="F99" t="str">
        <f>"RENTAL-601 COOL WATER DR/P1"</f>
        <v>RENTAL-601 COOL WATER DR/P1</v>
      </c>
      <c r="G99" s="2">
        <v>215</v>
      </c>
      <c r="H99" t="str">
        <f>"RENTAL-601 COOL WATER DR/P1"</f>
        <v>RENTAL-601 COOL WATER DR/P1</v>
      </c>
    </row>
    <row r="100" spans="1:9" x14ac:dyDescent="0.25">
      <c r="E100" t="str">
        <f>"32266"</f>
        <v>32266</v>
      </c>
      <c r="F100" t="str">
        <f>"RENTAL-375 RIVERSIDE LAUNCH"</f>
        <v>RENTAL-375 RIVERSIDE LAUNCH</v>
      </c>
      <c r="G100" s="2">
        <v>259</v>
      </c>
      <c r="H100" t="str">
        <f>"RENTAL-375 RIVERSIDE LAUNCH"</f>
        <v>RENTAL-375 RIVERSIDE LAUNCH</v>
      </c>
    </row>
    <row r="101" spans="1:9" x14ac:dyDescent="0.25">
      <c r="E101" t="str">
        <f>"32267"</f>
        <v>32267</v>
      </c>
      <c r="F101" t="str">
        <f>"RENTAL-589 COOL WATER"</f>
        <v>RENTAL-589 COOL WATER</v>
      </c>
      <c r="G101" s="2">
        <v>97</v>
      </c>
      <c r="H101" t="str">
        <f>"RENTAL-589 COOL WATER"</f>
        <v>RENTAL-589 COOL WATER</v>
      </c>
    </row>
    <row r="102" spans="1:9" x14ac:dyDescent="0.25">
      <c r="A102" t="s">
        <v>55</v>
      </c>
      <c r="B102">
        <v>78692</v>
      </c>
      <c r="C102" s="3">
        <v>97</v>
      </c>
      <c r="D102" s="1">
        <v>43367</v>
      </c>
      <c r="E102" t="str">
        <f>"32625"</f>
        <v>32625</v>
      </c>
      <c r="F102" t="str">
        <f>"RENTAL-SHILOH RD &amp; 304/PCT#1"</f>
        <v>RENTAL-SHILOH RD &amp; 304/PCT#1</v>
      </c>
      <c r="G102" s="2">
        <v>97</v>
      </c>
      <c r="H102" t="str">
        <f>"RENTAL-SHILOH RD &amp; 304/PCT#1"</f>
        <v>RENTAL-SHILOH RD &amp; 304/PCT#1</v>
      </c>
    </row>
    <row r="103" spans="1:9" x14ac:dyDescent="0.25">
      <c r="A103" t="s">
        <v>56</v>
      </c>
      <c r="B103">
        <v>78494</v>
      </c>
      <c r="C103" s="3">
        <v>1823.71</v>
      </c>
      <c r="D103" s="1">
        <v>43353</v>
      </c>
      <c r="E103" t="str">
        <f>"1CID-7Y9D-4T96"</f>
        <v>1CID-7Y9D-4T96</v>
      </c>
      <c r="F103" t="str">
        <f>"Book Order"</f>
        <v>Book Order</v>
      </c>
      <c r="G103" s="2">
        <v>26.52</v>
      </c>
      <c r="H103" t="str">
        <f>"De-Escalate:"</f>
        <v>De-Escalate:</v>
      </c>
    </row>
    <row r="104" spans="1:9" x14ac:dyDescent="0.25">
      <c r="E104" t="str">
        <f>""</f>
        <v/>
      </c>
      <c r="F104" t="str">
        <f>""</f>
        <v/>
      </c>
      <c r="H104" t="str">
        <f>"Reclaiming Conversat"</f>
        <v>Reclaiming Conversat</v>
      </c>
    </row>
    <row r="105" spans="1:9" x14ac:dyDescent="0.25">
      <c r="E105" t="str">
        <f>""</f>
        <v/>
      </c>
      <c r="F105" t="str">
        <f>""</f>
        <v/>
      </c>
      <c r="H105" t="str">
        <f>"Shipping"</f>
        <v>Shipping</v>
      </c>
    </row>
    <row r="106" spans="1:9" x14ac:dyDescent="0.25">
      <c r="E106" t="str">
        <f>"1GCH-VJNV-PCT7"</f>
        <v>1GCH-VJNV-PCT7</v>
      </c>
      <c r="F106" t="str">
        <f>"Replacement Power Supply"</f>
        <v>Replacement Power Supply</v>
      </c>
      <c r="G106" s="2">
        <v>37.99</v>
      </c>
      <c r="H106" t="str">
        <f>"Power Supply Unit"</f>
        <v>Power Supply Unit</v>
      </c>
    </row>
    <row r="107" spans="1:9" x14ac:dyDescent="0.25">
      <c r="E107" t="str">
        <f>"201808313204"</f>
        <v>201808313204</v>
      </c>
      <c r="F107" t="str">
        <f>"AMAZON CAPITAL SERVICES INC"</f>
        <v>AMAZON CAPITAL SERVICES INC</v>
      </c>
      <c r="G107" s="2">
        <v>1759.2</v>
      </c>
      <c r="H107" t="str">
        <f>"Wall Mount"</f>
        <v>Wall Mount</v>
      </c>
    </row>
    <row r="108" spans="1:9" x14ac:dyDescent="0.25">
      <c r="E108" t="str">
        <f>""</f>
        <v/>
      </c>
      <c r="F108" t="str">
        <f>""</f>
        <v/>
      </c>
      <c r="H108" t="str">
        <f>"Wall Fan"</f>
        <v>Wall Fan</v>
      </c>
    </row>
    <row r="109" spans="1:9" x14ac:dyDescent="0.25">
      <c r="E109" t="str">
        <f>""</f>
        <v/>
      </c>
      <c r="F109" t="str">
        <f>""</f>
        <v/>
      </c>
      <c r="H109" t="str">
        <f>"Glass Mirror"</f>
        <v>Glass Mirror</v>
      </c>
    </row>
    <row r="110" spans="1:9" x14ac:dyDescent="0.25">
      <c r="E110" t="str">
        <f>""</f>
        <v/>
      </c>
      <c r="F110" t="str">
        <f>""</f>
        <v/>
      </c>
      <c r="H110" t="str">
        <f>"TV Swivel Mount"</f>
        <v>TV Swivel Mount</v>
      </c>
    </row>
    <row r="111" spans="1:9" x14ac:dyDescent="0.25">
      <c r="E111" t="str">
        <f>""</f>
        <v/>
      </c>
      <c r="F111" t="str">
        <f>""</f>
        <v/>
      </c>
      <c r="H111" t="str">
        <f>"Sport Wagon"</f>
        <v>Sport Wagon</v>
      </c>
    </row>
    <row r="112" spans="1:9" x14ac:dyDescent="0.25">
      <c r="E112" t="str">
        <f>""</f>
        <v/>
      </c>
      <c r="F112" t="str">
        <f>""</f>
        <v/>
      </c>
      <c r="H112" t="str">
        <f>"Shelving"</f>
        <v>Shelving</v>
      </c>
    </row>
    <row r="113" spans="5:8" x14ac:dyDescent="0.25">
      <c r="E113" t="str">
        <f>""</f>
        <v/>
      </c>
      <c r="F113" t="str">
        <f>""</f>
        <v/>
      </c>
      <c r="H113" t="str">
        <f>"8 lb medicine ball"</f>
        <v>8 lb medicine ball</v>
      </c>
    </row>
    <row r="114" spans="5:8" x14ac:dyDescent="0.25">
      <c r="E114" t="str">
        <f>""</f>
        <v/>
      </c>
      <c r="F114" t="str">
        <f>""</f>
        <v/>
      </c>
      <c r="H114" t="str">
        <f>"shock florring"</f>
        <v>shock florring</v>
      </c>
    </row>
    <row r="115" spans="5:8" x14ac:dyDescent="0.25">
      <c r="E115" t="str">
        <f>""</f>
        <v/>
      </c>
      <c r="F115" t="str">
        <f>""</f>
        <v/>
      </c>
      <c r="H115" t="str">
        <f>"Shock Floor Discount"</f>
        <v>Shock Floor Discount</v>
      </c>
    </row>
    <row r="116" spans="5:8" x14ac:dyDescent="0.25">
      <c r="E116" t="str">
        <f>""</f>
        <v/>
      </c>
      <c r="F116" t="str">
        <f>""</f>
        <v/>
      </c>
      <c r="H116" t="str">
        <f>"kettle bell weights"</f>
        <v>kettle bell weights</v>
      </c>
    </row>
    <row r="117" spans="5:8" x14ac:dyDescent="0.25">
      <c r="E117" t="str">
        <f>""</f>
        <v/>
      </c>
      <c r="F117" t="str">
        <f>""</f>
        <v/>
      </c>
      <c r="H117" t="str">
        <f>"Dumbell Set"</f>
        <v>Dumbell Set</v>
      </c>
    </row>
    <row r="118" spans="5:8" x14ac:dyDescent="0.25">
      <c r="E118" t="str">
        <f>""</f>
        <v/>
      </c>
      <c r="F118" t="str">
        <f>""</f>
        <v/>
      </c>
      <c r="H118" t="str">
        <f>"Music System"</f>
        <v>Music System</v>
      </c>
    </row>
    <row r="119" spans="5:8" x14ac:dyDescent="0.25">
      <c r="E119" t="str">
        <f>""</f>
        <v/>
      </c>
      <c r="F119" t="str">
        <f>""</f>
        <v/>
      </c>
      <c r="H119" t="str">
        <f>"scale"</f>
        <v>scale</v>
      </c>
    </row>
    <row r="120" spans="5:8" x14ac:dyDescent="0.25">
      <c r="E120" t="str">
        <f>""</f>
        <v/>
      </c>
      <c r="F120" t="str">
        <f>""</f>
        <v/>
      </c>
      <c r="H120" t="str">
        <f>"hand theraply ball"</f>
        <v>hand theraply ball</v>
      </c>
    </row>
    <row r="121" spans="5:8" x14ac:dyDescent="0.25">
      <c r="E121" t="str">
        <f>""</f>
        <v/>
      </c>
      <c r="F121" t="str">
        <f>""</f>
        <v/>
      </c>
      <c r="H121" t="str">
        <f>"utility bench"</f>
        <v>utility bench</v>
      </c>
    </row>
    <row r="122" spans="5:8" x14ac:dyDescent="0.25">
      <c r="E122" t="str">
        <f>""</f>
        <v/>
      </c>
      <c r="F122" t="str">
        <f>""</f>
        <v/>
      </c>
      <c r="H122" t="str">
        <f>"1lb dumbell set"</f>
        <v>1lb dumbell set</v>
      </c>
    </row>
    <row r="123" spans="5:8" x14ac:dyDescent="0.25">
      <c r="E123" t="str">
        <f>""</f>
        <v/>
      </c>
      <c r="F123" t="str">
        <f>""</f>
        <v/>
      </c>
      <c r="H123" t="str">
        <f>"ball kit"</f>
        <v>ball kit</v>
      </c>
    </row>
    <row r="124" spans="5:8" x14ac:dyDescent="0.25">
      <c r="E124" t="str">
        <f>""</f>
        <v/>
      </c>
      <c r="F124" t="str">
        <f>""</f>
        <v/>
      </c>
      <c r="H124" t="str">
        <f>"jump rope"</f>
        <v>jump rope</v>
      </c>
    </row>
    <row r="125" spans="5:8" x14ac:dyDescent="0.25">
      <c r="E125" t="str">
        <f>""</f>
        <v/>
      </c>
      <c r="F125" t="str">
        <f>""</f>
        <v/>
      </c>
      <c r="H125" t="str">
        <f>"trash can"</f>
        <v>trash can</v>
      </c>
    </row>
    <row r="126" spans="5:8" x14ac:dyDescent="0.25">
      <c r="E126" t="str">
        <f>""</f>
        <v/>
      </c>
      <c r="F126" t="str">
        <f>""</f>
        <v/>
      </c>
      <c r="H126" t="str">
        <f>"10lb medicine ball"</f>
        <v>10lb medicine ball</v>
      </c>
    </row>
    <row r="127" spans="5:8" x14ac:dyDescent="0.25">
      <c r="E127" t="str">
        <f>""</f>
        <v/>
      </c>
      <c r="F127" t="str">
        <f>""</f>
        <v/>
      </c>
      <c r="H127" t="str">
        <f>"yoga mat"</f>
        <v>yoga mat</v>
      </c>
    </row>
    <row r="128" spans="5:8" x14ac:dyDescent="0.25">
      <c r="E128" t="str">
        <f>""</f>
        <v/>
      </c>
      <c r="F128" t="str">
        <f>""</f>
        <v/>
      </c>
      <c r="H128" t="str">
        <f>"fitness pack"</f>
        <v>fitness pack</v>
      </c>
    </row>
    <row r="129" spans="1:8" x14ac:dyDescent="0.25">
      <c r="E129" t="str">
        <f>""</f>
        <v/>
      </c>
      <c r="F129" t="str">
        <f>""</f>
        <v/>
      </c>
      <c r="H129" t="str">
        <f>"aerobic stepper"</f>
        <v>aerobic stepper</v>
      </c>
    </row>
    <row r="130" spans="1:8" x14ac:dyDescent="0.25">
      <c r="E130" t="str">
        <f>""</f>
        <v/>
      </c>
      <c r="F130" t="str">
        <f>""</f>
        <v/>
      </c>
      <c r="H130" t="str">
        <f>"massage roller"</f>
        <v>massage roller</v>
      </c>
    </row>
    <row r="131" spans="1:8" x14ac:dyDescent="0.25">
      <c r="A131" t="s">
        <v>56</v>
      </c>
      <c r="B131">
        <v>78693</v>
      </c>
      <c r="C131" s="3">
        <v>542.12</v>
      </c>
      <c r="D131" s="1">
        <v>43367</v>
      </c>
      <c r="E131" t="str">
        <f>"11PH-74RD-LGYK"</f>
        <v>11PH-74RD-LGYK</v>
      </c>
      <c r="F131" t="str">
        <f>"Ticket 10033  10032 10010"</f>
        <v>Ticket 10033  10032 10010</v>
      </c>
      <c r="G131" s="2">
        <v>169.85</v>
      </c>
      <c r="H131" t="str">
        <f>"Battery Backup"</f>
        <v>Battery Backup</v>
      </c>
    </row>
    <row r="132" spans="1:8" x14ac:dyDescent="0.25">
      <c r="E132" t="str">
        <f>""</f>
        <v/>
      </c>
      <c r="F132" t="str">
        <f>""</f>
        <v/>
      </c>
      <c r="H132" t="str">
        <f>"Lasko Heater"</f>
        <v>Lasko Heater</v>
      </c>
    </row>
    <row r="133" spans="1:8" x14ac:dyDescent="0.25">
      <c r="E133" t="str">
        <f>""</f>
        <v/>
      </c>
      <c r="F133" t="str">
        <f>""</f>
        <v/>
      </c>
      <c r="H133" t="str">
        <f>"Duracell 9Volt Batte"</f>
        <v>Duracell 9Volt Batte</v>
      </c>
    </row>
    <row r="134" spans="1:8" x14ac:dyDescent="0.25">
      <c r="E134" t="str">
        <f>""</f>
        <v/>
      </c>
      <c r="F134" t="str">
        <f>""</f>
        <v/>
      </c>
      <c r="H134" t="str">
        <f>"2.0 Flash Drive"</f>
        <v>2.0 Flash Drive</v>
      </c>
    </row>
    <row r="135" spans="1:8" x14ac:dyDescent="0.25">
      <c r="E135" t="str">
        <f>""</f>
        <v/>
      </c>
      <c r="F135" t="str">
        <f>""</f>
        <v/>
      </c>
      <c r="H135" t="str">
        <f>"Peerless Mount"</f>
        <v>Peerless Mount</v>
      </c>
    </row>
    <row r="136" spans="1:8" x14ac:dyDescent="0.25">
      <c r="E136" t="str">
        <f>"1LL9-9F6H-7K3T"</f>
        <v>1LL9-9F6H-7K3T</v>
      </c>
      <c r="F136" t="str">
        <f>"Speakers for Russel Abel"</f>
        <v>Speakers for Russel Abel</v>
      </c>
      <c r="G136" s="2">
        <v>249</v>
      </c>
      <c r="H136" t="str">
        <f>"Audioengine A2+ Blac"</f>
        <v>Audioengine A2+ Blac</v>
      </c>
    </row>
    <row r="137" spans="1:8" x14ac:dyDescent="0.25">
      <c r="E137" t="str">
        <f>"1LYC-N3HW-W3QX"</f>
        <v>1LYC-N3HW-W3QX</v>
      </c>
      <c r="F137" t="str">
        <f>"Office Supplies"</f>
        <v>Office Supplies</v>
      </c>
      <c r="G137" s="2">
        <v>57.68</v>
      </c>
      <c r="H137" t="str">
        <f>"Coopay 16 Pack Trans"</f>
        <v>Coopay 16 Pack Trans</v>
      </c>
    </row>
    <row r="138" spans="1:8" x14ac:dyDescent="0.25">
      <c r="E138" t="str">
        <f>""</f>
        <v/>
      </c>
      <c r="F138" t="str">
        <f>""</f>
        <v/>
      </c>
      <c r="H138" t="str">
        <f>"Uni-ball 33950 uni-b"</f>
        <v>Uni-ball 33950 uni-b</v>
      </c>
    </row>
    <row r="139" spans="1:8" x14ac:dyDescent="0.25">
      <c r="E139" t="str">
        <f>""</f>
        <v/>
      </c>
      <c r="F139" t="str">
        <f>""</f>
        <v/>
      </c>
      <c r="H139" t="str">
        <f>"Swingline Staples  S"</f>
        <v>Swingline Staples  S</v>
      </c>
    </row>
    <row r="140" spans="1:8" x14ac:dyDescent="0.25">
      <c r="E140" t="str">
        <f>""</f>
        <v/>
      </c>
      <c r="F140" t="str">
        <f>""</f>
        <v/>
      </c>
      <c r="H140" t="str">
        <f>"TYH Supplies Box of"</f>
        <v>TYH Supplies Box of</v>
      </c>
    </row>
    <row r="141" spans="1:8" x14ac:dyDescent="0.25">
      <c r="E141" t="str">
        <f>""</f>
        <v/>
      </c>
      <c r="F141" t="str">
        <f>""</f>
        <v/>
      </c>
      <c r="H141" t="str">
        <f>"Scotch Desktop Tape"</f>
        <v>Scotch Desktop Tape</v>
      </c>
    </row>
    <row r="142" spans="1:8" x14ac:dyDescent="0.25">
      <c r="E142" t="str">
        <f>""</f>
        <v/>
      </c>
      <c r="F142" t="str">
        <f>""</f>
        <v/>
      </c>
      <c r="H142" t="str">
        <f>"4A Sticky Notes 1 1/"</f>
        <v>4A Sticky Notes 1 1/</v>
      </c>
    </row>
    <row r="143" spans="1:8" x14ac:dyDescent="0.25">
      <c r="E143" t="str">
        <f>""</f>
        <v/>
      </c>
      <c r="F143" t="str">
        <f>""</f>
        <v/>
      </c>
      <c r="H143" t="str">
        <f>"Swingline 5000 Stapl"</f>
        <v>Swingline 5000 Stapl</v>
      </c>
    </row>
    <row r="144" spans="1:8" x14ac:dyDescent="0.25">
      <c r="E144" t="str">
        <f>"1QVY-LV3X-171K"</f>
        <v>1QVY-LV3X-171K</v>
      </c>
      <c r="F144" t="str">
        <f>"AMAZON CAPITAL SERVICES INC"</f>
        <v>AMAZON CAPITAL SERVICES INC</v>
      </c>
      <c r="G144" s="2">
        <v>65.59</v>
      </c>
      <c r="H144" t="str">
        <f>"Colored Toner"</f>
        <v>Colored Toner</v>
      </c>
    </row>
    <row r="145" spans="1:8" x14ac:dyDescent="0.25">
      <c r="A145" t="s">
        <v>57</v>
      </c>
      <c r="B145">
        <v>78495</v>
      </c>
      <c r="C145" s="3">
        <v>263.33999999999997</v>
      </c>
      <c r="D145" s="1">
        <v>43353</v>
      </c>
      <c r="E145" t="str">
        <f>"S112561627"</f>
        <v>S112561627</v>
      </c>
      <c r="F145" t="str">
        <f>"CUST#379865/ORD#140106904/PCT2"</f>
        <v>CUST#379865/ORD#140106904/PCT2</v>
      </c>
      <c r="G145" s="2">
        <v>263.33999999999997</v>
      </c>
      <c r="H145" t="str">
        <f>"CUST#379865/ORD#140106904/PCT2"</f>
        <v>CUST#379865/ORD#140106904/PCT2</v>
      </c>
    </row>
    <row r="146" spans="1:8" x14ac:dyDescent="0.25">
      <c r="A146" t="s">
        <v>57</v>
      </c>
      <c r="B146">
        <v>78694</v>
      </c>
      <c r="C146" s="3">
        <v>3486.8</v>
      </c>
      <c r="D146" s="1">
        <v>43367</v>
      </c>
      <c r="E146" t="str">
        <f>"S111836677"</f>
        <v>S111836677</v>
      </c>
      <c r="F146" t="str">
        <f>"ACCT#379865/PCT#2"</f>
        <v>ACCT#379865/PCT#2</v>
      </c>
      <c r="G146" s="2">
        <v>3486.8</v>
      </c>
      <c r="H146" t="str">
        <f>"ACCT#379865/PCT#2"</f>
        <v>ACCT#379865/PCT#2</v>
      </c>
    </row>
    <row r="147" spans="1:8" x14ac:dyDescent="0.25">
      <c r="A147" t="s">
        <v>58</v>
      </c>
      <c r="B147">
        <v>78695</v>
      </c>
      <c r="C147" s="3">
        <v>320.26</v>
      </c>
      <c r="D147" s="1">
        <v>43367</v>
      </c>
      <c r="E147" t="str">
        <f>"942149003"</f>
        <v>942149003</v>
      </c>
      <c r="F147" t="str">
        <f>"INV 942149003"</f>
        <v>INV 942149003</v>
      </c>
      <c r="G147" s="2">
        <v>320.26</v>
      </c>
      <c r="H147" t="str">
        <f>"INV 942149003"</f>
        <v>INV 942149003</v>
      </c>
    </row>
    <row r="148" spans="1:8" x14ac:dyDescent="0.25">
      <c r="A148" t="s">
        <v>59</v>
      </c>
      <c r="B148">
        <v>78696</v>
      </c>
      <c r="C148" s="3">
        <v>2423.14</v>
      </c>
      <c r="D148" s="1">
        <v>43367</v>
      </c>
      <c r="E148" t="str">
        <f>"109023"</f>
        <v>109023</v>
      </c>
      <c r="F148" t="str">
        <f>"2018 POLLING CHANGE PC"</f>
        <v>2018 POLLING CHANGE PC</v>
      </c>
      <c r="G148" s="2">
        <v>2423.14</v>
      </c>
      <c r="H148" t="str">
        <f>"2018 POLLING CHANGE PC"</f>
        <v>2018 POLLING CHANGE PC</v>
      </c>
    </row>
    <row r="149" spans="1:8" x14ac:dyDescent="0.25">
      <c r="A149" t="s">
        <v>60</v>
      </c>
      <c r="B149">
        <v>999999</v>
      </c>
      <c r="C149" s="3">
        <v>5217.5</v>
      </c>
      <c r="D149" s="1">
        <v>43354</v>
      </c>
      <c r="E149" t="str">
        <f>"201808293104"</f>
        <v>201808293104</v>
      </c>
      <c r="F149" t="str">
        <f>"862-21"</f>
        <v>862-21</v>
      </c>
      <c r="G149" s="2">
        <v>75</v>
      </c>
      <c r="H149" t="str">
        <f>"862-21"</f>
        <v>862-21</v>
      </c>
    </row>
    <row r="150" spans="1:8" x14ac:dyDescent="0.25">
      <c r="E150" t="str">
        <f>"201808303123"</f>
        <v>201808303123</v>
      </c>
      <c r="F150" t="str">
        <f>"745-335  04/12/18"</f>
        <v>745-335  04/12/18</v>
      </c>
      <c r="G150" s="2">
        <v>100</v>
      </c>
      <c r="H150" t="str">
        <f>"745-335  04/12/18"</f>
        <v>745-335  04/12/18</v>
      </c>
    </row>
    <row r="151" spans="1:8" x14ac:dyDescent="0.25">
      <c r="E151" t="str">
        <f>"201808303124"</f>
        <v>201808303124</v>
      </c>
      <c r="F151" t="str">
        <f>"15 847"</f>
        <v>15 847</v>
      </c>
      <c r="G151" s="2">
        <v>400</v>
      </c>
      <c r="H151" t="str">
        <f>"15 847"</f>
        <v>15 847</v>
      </c>
    </row>
    <row r="152" spans="1:8" x14ac:dyDescent="0.25">
      <c r="E152" t="str">
        <f>"201808303125"</f>
        <v>201808303125</v>
      </c>
      <c r="F152" t="str">
        <f>"1JP8617C  1JP8617D"</f>
        <v>1JP8617C  1JP8617D</v>
      </c>
      <c r="G152" s="2">
        <v>800</v>
      </c>
      <c r="H152" t="str">
        <f>"1JP8617C  1JP8617D"</f>
        <v>1JP8617C  1JP8617D</v>
      </c>
    </row>
    <row r="153" spans="1:8" x14ac:dyDescent="0.25">
      <c r="E153" t="str">
        <f>"201808303150"</f>
        <v>201808303150</v>
      </c>
      <c r="F153" t="str">
        <f>"16 346"</f>
        <v>16 346</v>
      </c>
      <c r="G153" s="2">
        <v>400</v>
      </c>
      <c r="H153" t="str">
        <f>"16 346"</f>
        <v>16 346</v>
      </c>
    </row>
    <row r="154" spans="1:8" x14ac:dyDescent="0.25">
      <c r="E154" t="str">
        <f>"201808303151"</f>
        <v>201808303151</v>
      </c>
      <c r="F154" t="str">
        <f>"16 025"</f>
        <v>16 025</v>
      </c>
      <c r="G154" s="2">
        <v>400</v>
      </c>
      <c r="H154" t="str">
        <f>"16 025"</f>
        <v>16 025</v>
      </c>
    </row>
    <row r="155" spans="1:8" x14ac:dyDescent="0.25">
      <c r="E155" t="str">
        <f>"201808303152"</f>
        <v>201808303152</v>
      </c>
      <c r="F155" t="str">
        <f>"16 328"</f>
        <v>16 328</v>
      </c>
      <c r="G155" s="2">
        <v>1000</v>
      </c>
      <c r="H155" t="str">
        <f>"16 328"</f>
        <v>16 328</v>
      </c>
    </row>
    <row r="156" spans="1:8" x14ac:dyDescent="0.25">
      <c r="E156" t="str">
        <f>"201808313179"</f>
        <v>201808313179</v>
      </c>
      <c r="F156" t="str">
        <f>"874-335"</f>
        <v>874-335</v>
      </c>
      <c r="G156" s="2">
        <v>100</v>
      </c>
      <c r="H156" t="str">
        <f>"874-335"</f>
        <v>874-335</v>
      </c>
    </row>
    <row r="157" spans="1:8" x14ac:dyDescent="0.25">
      <c r="E157" t="str">
        <f>"201809053327"</f>
        <v>201809053327</v>
      </c>
      <c r="F157" t="str">
        <f>"18-19100"</f>
        <v>18-19100</v>
      </c>
      <c r="G157" s="2">
        <v>100</v>
      </c>
      <c r="H157" t="str">
        <f>"18-19100"</f>
        <v>18-19100</v>
      </c>
    </row>
    <row r="158" spans="1:8" x14ac:dyDescent="0.25">
      <c r="E158" t="str">
        <f>"201809053328"</f>
        <v>201809053328</v>
      </c>
      <c r="F158" t="str">
        <f>"18-19202"</f>
        <v>18-19202</v>
      </c>
      <c r="G158" s="2">
        <v>100</v>
      </c>
      <c r="H158" t="str">
        <f>"18-19202"</f>
        <v>18-19202</v>
      </c>
    </row>
    <row r="159" spans="1:8" x14ac:dyDescent="0.25">
      <c r="E159" t="str">
        <f>"201809053329"</f>
        <v>201809053329</v>
      </c>
      <c r="F159" t="str">
        <f>"14-16896"</f>
        <v>14-16896</v>
      </c>
      <c r="G159" s="2">
        <v>482.5</v>
      </c>
      <c r="H159" t="str">
        <f>"14-16896"</f>
        <v>14-16896</v>
      </c>
    </row>
    <row r="160" spans="1:8" x14ac:dyDescent="0.25">
      <c r="E160" t="str">
        <f>"201809053331"</f>
        <v>201809053331</v>
      </c>
      <c r="F160" t="str">
        <f>"18-19212  18-19213"</f>
        <v>18-19212  18-19213</v>
      </c>
      <c r="G160" s="2">
        <v>200</v>
      </c>
      <c r="H160" t="str">
        <f>"18-19212  18-19213"</f>
        <v>18-19212  18-19213</v>
      </c>
    </row>
    <row r="161" spans="1:8" x14ac:dyDescent="0.25">
      <c r="E161" t="str">
        <f>"201809053334"</f>
        <v>201809053334</v>
      </c>
      <c r="F161" t="str">
        <f>"17-18636"</f>
        <v>17-18636</v>
      </c>
      <c r="G161" s="2">
        <v>160</v>
      </c>
      <c r="H161" t="str">
        <f>"17-18636"</f>
        <v>17-18636</v>
      </c>
    </row>
    <row r="162" spans="1:8" x14ac:dyDescent="0.25">
      <c r="E162" t="str">
        <f>"201809053346"</f>
        <v>201809053346</v>
      </c>
      <c r="F162" t="str">
        <f>"3071820186  08/23"</f>
        <v>3071820186  08/23</v>
      </c>
      <c r="G162" s="2">
        <v>150</v>
      </c>
      <c r="H162" t="str">
        <f>"3071820186  08/23"</f>
        <v>3071820186  08/23</v>
      </c>
    </row>
    <row r="163" spans="1:8" x14ac:dyDescent="0.25">
      <c r="E163" t="str">
        <f>"201809053375"</f>
        <v>201809053375</v>
      </c>
      <c r="F163" t="str">
        <f>"20160643  12/11/17"</f>
        <v>20160643  12/11/17</v>
      </c>
      <c r="G163" s="2">
        <v>250</v>
      </c>
      <c r="H163" t="str">
        <f>"20160643  12/11/17"</f>
        <v>20160643  12/11/17</v>
      </c>
    </row>
    <row r="164" spans="1:8" x14ac:dyDescent="0.25">
      <c r="E164" t="str">
        <f>"201809053376"</f>
        <v>201809053376</v>
      </c>
      <c r="F164" t="str">
        <f>"02.0304.1  08/21/18"</f>
        <v>02.0304.1  08/21/18</v>
      </c>
      <c r="G164" s="2">
        <v>250</v>
      </c>
      <c r="H164" t="str">
        <f>"02.0304.1  08/21/18"</f>
        <v>02.0304.1  08/21/18</v>
      </c>
    </row>
    <row r="165" spans="1:8" x14ac:dyDescent="0.25">
      <c r="E165" t="str">
        <f>"201809053377"</f>
        <v>201809053377</v>
      </c>
      <c r="F165" t="str">
        <f>"56 115"</f>
        <v>56 115</v>
      </c>
      <c r="G165" s="2">
        <v>250</v>
      </c>
      <c r="H165" t="str">
        <f>"56 115"</f>
        <v>56 115</v>
      </c>
    </row>
    <row r="166" spans="1:8" x14ac:dyDescent="0.25">
      <c r="A166" t="s">
        <v>60</v>
      </c>
      <c r="B166">
        <v>999999</v>
      </c>
      <c r="C166" s="3">
        <v>840</v>
      </c>
      <c r="D166" s="1">
        <v>43368</v>
      </c>
      <c r="E166" t="str">
        <f>"201809123711"</f>
        <v>201809123711</v>
      </c>
      <c r="F166" t="str">
        <f>"18-18941"</f>
        <v>18-18941</v>
      </c>
      <c r="G166" s="2">
        <v>130</v>
      </c>
      <c r="H166" t="str">
        <f>"18-18941"</f>
        <v>18-18941</v>
      </c>
    </row>
    <row r="167" spans="1:8" x14ac:dyDescent="0.25">
      <c r="E167" t="str">
        <f>"201809123722"</f>
        <v>201809123722</v>
      </c>
      <c r="F167" t="str">
        <f>"309302017B"</f>
        <v>309302017B</v>
      </c>
      <c r="G167" s="2">
        <v>250</v>
      </c>
      <c r="H167" t="str">
        <f>"309302017B"</f>
        <v>309302017B</v>
      </c>
    </row>
    <row r="168" spans="1:8" x14ac:dyDescent="0.25">
      <c r="E168" t="str">
        <f>"201809123723"</f>
        <v>201809123723</v>
      </c>
      <c r="F168" t="str">
        <f>"20160434A"</f>
        <v>20160434A</v>
      </c>
      <c r="G168" s="2">
        <v>250</v>
      </c>
      <c r="H168" t="str">
        <f>"20160434A"</f>
        <v>20160434A</v>
      </c>
    </row>
    <row r="169" spans="1:8" x14ac:dyDescent="0.25">
      <c r="E169" t="str">
        <f>"201809183800"</f>
        <v>201809183800</v>
      </c>
      <c r="F169" t="str">
        <f>"56 128"</f>
        <v>56 128</v>
      </c>
      <c r="G169" s="2">
        <v>210</v>
      </c>
      <c r="H169" t="str">
        <f>"56 128"</f>
        <v>56 128</v>
      </c>
    </row>
    <row r="170" spans="1:8" x14ac:dyDescent="0.25">
      <c r="A170" t="s">
        <v>61</v>
      </c>
      <c r="B170">
        <v>78697</v>
      </c>
      <c r="C170" s="3">
        <v>368.04</v>
      </c>
      <c r="D170" s="1">
        <v>43367</v>
      </c>
      <c r="E170" t="str">
        <f>"9008295636"</f>
        <v>9008295636</v>
      </c>
      <c r="F170" t="str">
        <f>"Inv# 9008295636"</f>
        <v>Inv# 9008295636</v>
      </c>
      <c r="G170" s="2">
        <v>368.04</v>
      </c>
      <c r="H170" t="str">
        <f>"SCALE"</f>
        <v>SCALE</v>
      </c>
    </row>
    <row r="171" spans="1:8" x14ac:dyDescent="0.25">
      <c r="E171" t="str">
        <f>""</f>
        <v/>
      </c>
      <c r="F171" t="str">
        <f>""</f>
        <v/>
      </c>
      <c r="H171" t="str">
        <f>"SHIPPING"</f>
        <v>SHIPPING</v>
      </c>
    </row>
    <row r="172" spans="1:8" x14ac:dyDescent="0.25">
      <c r="A172" t="s">
        <v>62</v>
      </c>
      <c r="B172">
        <v>78496</v>
      </c>
      <c r="C172" s="3">
        <v>143.72</v>
      </c>
      <c r="D172" s="1">
        <v>43353</v>
      </c>
      <c r="E172" t="str">
        <f>"201808313199"</f>
        <v>201808313199</v>
      </c>
      <c r="F172" t="str">
        <f>"ACCT#3-3053/PCT#2"</f>
        <v>ACCT#3-3053/PCT#2</v>
      </c>
      <c r="G172" s="2">
        <v>143.72</v>
      </c>
      <c r="H172" t="str">
        <f>"ACCT#3-3053/PCT#2"</f>
        <v>ACCT#3-3053/PCT#2</v>
      </c>
    </row>
    <row r="173" spans="1:8" x14ac:dyDescent="0.25">
      <c r="A173" t="s">
        <v>63</v>
      </c>
      <c r="B173">
        <v>999999</v>
      </c>
      <c r="C173" s="3">
        <v>418.36</v>
      </c>
      <c r="D173" s="1">
        <v>43368</v>
      </c>
      <c r="E173" t="str">
        <f>"201809123730"</f>
        <v>201809123730</v>
      </c>
      <c r="F173" t="str">
        <f>"MILEAGE REIMBURSEMENT AUG2018"</f>
        <v>MILEAGE REIMBURSEMENT AUG2018</v>
      </c>
      <c r="G173" s="2">
        <v>268.14</v>
      </c>
      <c r="H173" t="str">
        <f>"MILEAGE REIMBURSEMENT AUG2018"</f>
        <v>MILEAGE REIMBURSEMENT AUG2018</v>
      </c>
    </row>
    <row r="174" spans="1:8" x14ac:dyDescent="0.25">
      <c r="E174" t="str">
        <f>"201809183788"</f>
        <v>201809183788</v>
      </c>
      <c r="F174" t="str">
        <f>"REIMBURSE PARKING/HOTEL"</f>
        <v>REIMBURSE PARKING/HOTEL</v>
      </c>
      <c r="G174" s="2">
        <v>150.22</v>
      </c>
      <c r="H174" t="str">
        <f>"REIMBURSE PARKING/HOTEL"</f>
        <v>REIMBURSE PARKING/HOTEL</v>
      </c>
    </row>
    <row r="175" spans="1:8" x14ac:dyDescent="0.25">
      <c r="A175" t="s">
        <v>64</v>
      </c>
      <c r="B175">
        <v>78698</v>
      </c>
      <c r="C175" s="3">
        <v>1438.42</v>
      </c>
      <c r="D175" s="1">
        <v>43367</v>
      </c>
      <c r="E175" t="str">
        <f>"201809113658"</f>
        <v>201809113658</v>
      </c>
      <c r="F175" t="str">
        <f>"ACCT#012571/TREASURER"</f>
        <v>ACCT#012571/TREASURER</v>
      </c>
      <c r="G175" s="2">
        <v>31.5</v>
      </c>
      <c r="H175" t="str">
        <f>"ACCT#012571/TREASURER"</f>
        <v>ACCT#012571/TREASURER</v>
      </c>
    </row>
    <row r="176" spans="1:8" x14ac:dyDescent="0.25">
      <c r="E176" t="str">
        <f>"201809113659"</f>
        <v>201809113659</v>
      </c>
      <c r="F176" t="str">
        <f>"ACCT#010057/AUDITOR"</f>
        <v>ACCT#010057/AUDITOR</v>
      </c>
      <c r="G176" s="2">
        <v>76.5</v>
      </c>
      <c r="H176" t="str">
        <f>"ACCT#010057/AUDITOR"</f>
        <v>ACCT#010057/AUDITOR</v>
      </c>
    </row>
    <row r="177" spans="5:8" x14ac:dyDescent="0.25">
      <c r="E177" t="str">
        <f>"201809113660"</f>
        <v>201809113660</v>
      </c>
      <c r="F177" t="str">
        <f>"ACCT#015199/JP #1"</f>
        <v>ACCT#015199/JP #1</v>
      </c>
      <c r="G177" s="2">
        <v>23.98</v>
      </c>
      <c r="H177" t="str">
        <f>"ACCT#015199/JP #1"</f>
        <v>ACCT#015199/JP #1</v>
      </c>
    </row>
    <row r="178" spans="5:8" x14ac:dyDescent="0.25">
      <c r="E178" t="str">
        <f>"201809113661"</f>
        <v>201809113661</v>
      </c>
      <c r="F178" t="str">
        <f>"ACCT#010602/COMMISSIONER OFF"</f>
        <v>ACCT#010602/COMMISSIONER OFF</v>
      </c>
      <c r="G178" s="2">
        <v>91.5</v>
      </c>
      <c r="H178" t="str">
        <f>"ACCT#010602/COMMISSIONER OFF"</f>
        <v>ACCT#010602/COMMISSIONER OFF</v>
      </c>
    </row>
    <row r="179" spans="5:8" x14ac:dyDescent="0.25">
      <c r="E179" t="str">
        <f>"201809113662"</f>
        <v>201809113662</v>
      </c>
      <c r="F179" t="str">
        <f>"ACCT#010311/COUNTY CT AT LAW"</f>
        <v>ACCT#010311/COUNTY CT AT LAW</v>
      </c>
      <c r="G179" s="2">
        <v>61.5</v>
      </c>
      <c r="H179" t="str">
        <f>"ACCT#010311/COUNTY CT AT LAW"</f>
        <v>ACCT#010311/COUNTY CT AT LAW</v>
      </c>
    </row>
    <row r="180" spans="5:8" x14ac:dyDescent="0.25">
      <c r="E180" t="str">
        <f>"201809113663"</f>
        <v>201809113663</v>
      </c>
      <c r="F180" t="str">
        <f>"ACCT#011280/COUNTY CLERK"</f>
        <v>ACCT#011280/COUNTY CLERK</v>
      </c>
      <c r="G180" s="2">
        <v>121.5</v>
      </c>
      <c r="H180" t="str">
        <f>"ACCT#011280/COUNTY CLERK"</f>
        <v>ACCT#011280/COUNTY CLERK</v>
      </c>
    </row>
    <row r="181" spans="5:8" x14ac:dyDescent="0.25">
      <c r="E181" t="str">
        <f>"201809113664"</f>
        <v>201809113664</v>
      </c>
      <c r="F181" t="str">
        <f>"ACCT#011474/BASTROP CO ELECT"</f>
        <v>ACCT#011474/BASTROP CO ELECT</v>
      </c>
      <c r="G181" s="2">
        <v>32.5</v>
      </c>
      <c r="H181" t="str">
        <f>"ACCT#011474/BASTROP CO ELECT"</f>
        <v>ACCT#011474/BASTROP CO ELECT</v>
      </c>
    </row>
    <row r="182" spans="5:8" x14ac:dyDescent="0.25">
      <c r="E182" t="str">
        <f>"201809113665"</f>
        <v>201809113665</v>
      </c>
      <c r="F182" t="str">
        <f>"ACCT#010238/GEN SVCS"</f>
        <v>ACCT#010238/GEN SVCS</v>
      </c>
      <c r="G182" s="2">
        <v>101.5</v>
      </c>
      <c r="H182" t="str">
        <f>"ACCT#010238/GEN SVCS"</f>
        <v>ACCT#010238/GEN SVCS</v>
      </c>
    </row>
    <row r="183" spans="5:8" x14ac:dyDescent="0.25">
      <c r="E183" t="str">
        <f>"201809113666"</f>
        <v>201809113666</v>
      </c>
      <c r="F183" t="str">
        <f>"ACCT#012803/BASTROP CO JUDGE"</f>
        <v>ACCT#012803/BASTROP CO JUDGE</v>
      </c>
      <c r="G183" s="2">
        <v>31.5</v>
      </c>
      <c r="H183" t="str">
        <f>"ACCT#012803/BASTROP CO JUDGE"</f>
        <v>ACCT#012803/BASTROP CO JUDGE</v>
      </c>
    </row>
    <row r="184" spans="5:8" x14ac:dyDescent="0.25">
      <c r="E184" t="str">
        <f>"201809113667"</f>
        <v>201809113667</v>
      </c>
      <c r="F184" t="str">
        <f>"ACCT#011033/IT DEPT"</f>
        <v>ACCT#011033/IT DEPT</v>
      </c>
      <c r="G184" s="2">
        <v>61.5</v>
      </c>
      <c r="H184" t="str">
        <f>"ACCT#011033/IT DEPT"</f>
        <v>ACCT#011033/IT DEPT</v>
      </c>
    </row>
    <row r="185" spans="5:8" x14ac:dyDescent="0.25">
      <c r="E185" t="str">
        <f>"201809113668"</f>
        <v>201809113668</v>
      </c>
      <c r="F185" t="str">
        <f>"ACCT#012259/DIST CLERK"</f>
        <v>ACCT#012259/DIST CLERK</v>
      </c>
      <c r="G185" s="2">
        <v>201</v>
      </c>
      <c r="H185" t="str">
        <f>"ACCT#012259/DIST CLERK"</f>
        <v>ACCT#012259/DIST CLERK</v>
      </c>
    </row>
    <row r="186" spans="5:8" x14ac:dyDescent="0.25">
      <c r="E186" t="str">
        <f>"201809113670"</f>
        <v>201809113670</v>
      </c>
      <c r="F186" t="str">
        <f>"ACCT#013393/HUMAN RESOURCES"</f>
        <v>ACCT#013393/HUMAN RESOURCES</v>
      </c>
      <c r="G186" s="2">
        <v>47.5</v>
      </c>
      <c r="H186" t="str">
        <f>"ACCT#013393/HUMAN RESOURCES"</f>
        <v>ACCT#013393/HUMAN RESOURCES</v>
      </c>
    </row>
    <row r="187" spans="5:8" x14ac:dyDescent="0.25">
      <c r="E187" t="str">
        <f>"201809113671"</f>
        <v>201809113671</v>
      </c>
      <c r="F187" t="str">
        <f>"ACCT#012260/DA'S OFFICE"</f>
        <v>ACCT#012260/DA'S OFFICE</v>
      </c>
      <c r="G187" s="2">
        <v>120</v>
      </c>
      <c r="H187" t="str">
        <f>"ACCT#012260/DA'S OFFICE"</f>
        <v>ACCT#012260/DA'S OFFICE</v>
      </c>
    </row>
    <row r="188" spans="5:8" x14ac:dyDescent="0.25">
      <c r="E188" t="str">
        <f>"201809113674"</f>
        <v>201809113674</v>
      </c>
      <c r="F188" t="str">
        <f>"ACCT#010149/AGRI LIFE EXTEN"</f>
        <v>ACCT#010149/AGRI LIFE EXTEN</v>
      </c>
      <c r="G188" s="2">
        <v>53.98</v>
      </c>
      <c r="H188" t="str">
        <f>"ACCT#010149/AGRI LIFE EXTEN"</f>
        <v>ACCT#010149/AGRI LIFE EXTEN</v>
      </c>
    </row>
    <row r="189" spans="5:8" x14ac:dyDescent="0.25">
      <c r="E189" t="str">
        <f>"201809113676"</f>
        <v>201809113676</v>
      </c>
      <c r="F189" t="str">
        <f>"ACCT#011955/DIST JUDGE"</f>
        <v>ACCT#011955/DIST JUDGE</v>
      </c>
      <c r="G189" s="2">
        <v>108</v>
      </c>
      <c r="H189" t="str">
        <f>"ACCT#011955/DIST JUDGE"</f>
        <v>ACCT#011955/DIST JUDGE</v>
      </c>
    </row>
    <row r="190" spans="5:8" x14ac:dyDescent="0.25">
      <c r="E190" t="str">
        <f>"201809113677"</f>
        <v>201809113677</v>
      </c>
      <c r="F190" t="str">
        <f>"ACCT#012231/DIST JUDGE OFF"</f>
        <v>ACCT#012231/DIST JUDGE OFF</v>
      </c>
      <c r="G190" s="2">
        <v>10</v>
      </c>
      <c r="H190" t="str">
        <f>"ACCT#012231/DIST JUDGE OFF"</f>
        <v>ACCT#012231/DIST JUDGE OFF</v>
      </c>
    </row>
    <row r="191" spans="5:8" x14ac:dyDescent="0.25">
      <c r="E191" t="str">
        <f>"201809113678"</f>
        <v>201809113678</v>
      </c>
      <c r="F191" t="str">
        <f>"ACCT#010835/COMMISSIONER PCT#1"</f>
        <v>ACCT#010835/COMMISSIONER PCT#1</v>
      </c>
      <c r="G191" s="2">
        <v>34.49</v>
      </c>
      <c r="H191" t="str">
        <f>"ACCT#010835/COMMISSIONER PCT#1"</f>
        <v>ACCT#010835/COMMISSIONER PCT#1</v>
      </c>
    </row>
    <row r="192" spans="5:8" x14ac:dyDescent="0.25">
      <c r="E192" t="str">
        <f>"201809123728"</f>
        <v>201809123728</v>
      </c>
      <c r="F192" t="str">
        <f>"ACCT#015538/BASTROP CO EMER CO"</f>
        <v>ACCT#015538/BASTROP CO EMER CO</v>
      </c>
      <c r="G192" s="2">
        <v>119.49</v>
      </c>
      <c r="H192" t="str">
        <f>"ACCT#015538/BASTROP CO EMER CO"</f>
        <v>ACCT#015538/BASTROP CO EMER CO</v>
      </c>
    </row>
    <row r="193" spans="1:8" x14ac:dyDescent="0.25">
      <c r="E193" t="str">
        <f>"201809133772"</f>
        <v>201809133772</v>
      </c>
      <c r="F193" t="str">
        <f>"ACCT#015476/PURCHASING DEPT"</f>
        <v>ACCT#015476/PURCHASING DEPT</v>
      </c>
      <c r="G193" s="2">
        <v>10.49</v>
      </c>
      <c r="H193" t="str">
        <f>"ACCT#015476/PURCHASING DEPT"</f>
        <v>ACCT#015476/PURCHASING DEPT</v>
      </c>
    </row>
    <row r="194" spans="1:8" x14ac:dyDescent="0.25">
      <c r="E194" t="str">
        <f>"201809193852"</f>
        <v>201809193852</v>
      </c>
      <c r="F194" t="str">
        <f>"ACCT#014737/ANIMAL SERVICE"</f>
        <v>ACCT#014737/ANIMAL SERVICE</v>
      </c>
      <c r="G194" s="2">
        <v>99.99</v>
      </c>
      <c r="H194" t="str">
        <f>"ACCT#014737/ANIMAL SERVICE"</f>
        <v>ACCT#014737/ANIMAL SERVICE</v>
      </c>
    </row>
    <row r="195" spans="1:8" x14ac:dyDescent="0.25">
      <c r="A195" t="s">
        <v>65</v>
      </c>
      <c r="B195">
        <v>78484</v>
      </c>
      <c r="C195" s="3">
        <v>1328.8</v>
      </c>
      <c r="D195" s="1">
        <v>43350</v>
      </c>
      <c r="E195" t="str">
        <f>"201809073555"</f>
        <v>201809073555</v>
      </c>
      <c r="F195" t="str">
        <f>"ACCT#0102120801 / 09012018"</f>
        <v>ACCT#0102120801 / 09012018</v>
      </c>
      <c r="G195" s="2">
        <v>388.17</v>
      </c>
      <c r="H195" t="str">
        <f>"ACCT#0102120801 / 09012018"</f>
        <v>ACCT#0102120801 / 09012018</v>
      </c>
    </row>
    <row r="196" spans="1:8" x14ac:dyDescent="0.25">
      <c r="E196" t="str">
        <f>"201809073556"</f>
        <v>201809073556</v>
      </c>
      <c r="F196" t="str">
        <f>"ACCT#0201855301 / 09012018"</f>
        <v>ACCT#0201855301 / 09012018</v>
      </c>
      <c r="G196" s="2">
        <v>35.729999999999997</v>
      </c>
      <c r="H196" t="str">
        <f>"ACCT#0201855301 / 09012018"</f>
        <v>ACCT#0201855301 / 09012018</v>
      </c>
    </row>
    <row r="197" spans="1:8" x14ac:dyDescent="0.25">
      <c r="E197" t="str">
        <f>"201809073557"</f>
        <v>201809073557</v>
      </c>
      <c r="F197" t="str">
        <f>"ACCT#0201891401 / 09012018"</f>
        <v>ACCT#0201891401 / 09012018</v>
      </c>
      <c r="G197" s="2">
        <v>31.08</v>
      </c>
      <c r="H197" t="str">
        <f>"ACCT#0201891401 / 09012018"</f>
        <v>ACCT#0201891401 / 09012018</v>
      </c>
    </row>
    <row r="198" spans="1:8" x14ac:dyDescent="0.25">
      <c r="E198" t="str">
        <f>"201809073558"</f>
        <v>201809073558</v>
      </c>
      <c r="F198" t="str">
        <f>"ACCT#0400785803 / 09012018"</f>
        <v>ACCT#0400785803 / 09012018</v>
      </c>
      <c r="G198" s="2">
        <v>118.68</v>
      </c>
      <c r="H198" t="str">
        <f>"ACCT#0400785803 / 09012018"</f>
        <v>ACCT#0400785803 / 09012018</v>
      </c>
    </row>
    <row r="199" spans="1:8" x14ac:dyDescent="0.25">
      <c r="E199" t="str">
        <f>"201809073559"</f>
        <v>201809073559</v>
      </c>
      <c r="F199" t="str">
        <f>"ACCT#0401408501 / 09012018"</f>
        <v>ACCT#0401408501 / 09012018</v>
      </c>
      <c r="G199" s="2">
        <v>714.39</v>
      </c>
      <c r="H199" t="str">
        <f>"ACCT#0401408501 / 09012018"</f>
        <v>ACCT#0401408501 / 09012018</v>
      </c>
    </row>
    <row r="200" spans="1:8" x14ac:dyDescent="0.25">
      <c r="E200" t="str">
        <f>"201809073560"</f>
        <v>201809073560</v>
      </c>
      <c r="F200" t="str">
        <f>"ACCT#0800042801 / 09012018"</f>
        <v>ACCT#0800042801 / 09012018</v>
      </c>
      <c r="G200" s="2">
        <v>40.75</v>
      </c>
      <c r="H200" t="str">
        <f>"ACCT#0800042801 / 09012018"</f>
        <v>ACCT#0800042801 / 09012018</v>
      </c>
    </row>
    <row r="201" spans="1:8" x14ac:dyDescent="0.25">
      <c r="A201" t="s">
        <v>66</v>
      </c>
      <c r="B201">
        <v>78497</v>
      </c>
      <c r="C201" s="3">
        <v>14100</v>
      </c>
      <c r="D201" s="1">
        <v>43353</v>
      </c>
      <c r="E201" t="str">
        <f>"1814.02  1814.03"</f>
        <v>1814.02  1814.03</v>
      </c>
      <c r="F201" t="str">
        <f>"Inv# 1814.02 &amp; 1814.03"</f>
        <v>Inv# 1814.02 &amp; 1814.03</v>
      </c>
      <c r="G201" s="2">
        <v>14100</v>
      </c>
      <c r="H201" t="str">
        <f>"Inv# 1814.02"</f>
        <v>Inv# 1814.02</v>
      </c>
    </row>
    <row r="202" spans="1:8" x14ac:dyDescent="0.25">
      <c r="E202" t="str">
        <f>""</f>
        <v/>
      </c>
      <c r="F202" t="str">
        <f>""</f>
        <v/>
      </c>
      <c r="H202" t="str">
        <f>"Inv# 1814.03"</f>
        <v>Inv# 1814.03</v>
      </c>
    </row>
    <row r="203" spans="1:8" x14ac:dyDescent="0.25">
      <c r="A203" t="s">
        <v>67</v>
      </c>
      <c r="B203">
        <v>999999</v>
      </c>
      <c r="C203" s="3">
        <v>5865.98</v>
      </c>
      <c r="D203" s="1">
        <v>43368</v>
      </c>
      <c r="E203" t="str">
        <f>"14734"</f>
        <v>14734</v>
      </c>
      <c r="F203" t="str">
        <f>"PROJ NAME:BC ADV AUGUST"</f>
        <v>PROJ NAME:BC ADV AUGUST</v>
      </c>
      <c r="G203" s="2">
        <v>4515.9799999999996</v>
      </c>
      <c r="H203" t="str">
        <f>"SOCIAL MEDIA MANAGEMENT-AUGUST"</f>
        <v>SOCIAL MEDIA MANAGEMENT-AUGUST</v>
      </c>
    </row>
    <row r="204" spans="1:8" x14ac:dyDescent="0.25">
      <c r="E204" t="str">
        <f>"14735"</f>
        <v>14735</v>
      </c>
      <c r="F204" t="str">
        <f>"PROJ NAME:BC PRO/SERV AUGUST"</f>
        <v>PROJ NAME:BC PRO/SERV AUGUST</v>
      </c>
      <c r="G204" s="2">
        <v>1350</v>
      </c>
      <c r="H204" t="str">
        <f>"PROJ NAME:BC PRO/SERV AUGUST"</f>
        <v>PROJ NAME:BC PRO/SERV AUGUST</v>
      </c>
    </row>
    <row r="205" spans="1:8" x14ac:dyDescent="0.25">
      <c r="A205" t="s">
        <v>68</v>
      </c>
      <c r="B205">
        <v>78699</v>
      </c>
      <c r="C205" s="3">
        <v>582.5</v>
      </c>
      <c r="D205" s="1">
        <v>43367</v>
      </c>
      <c r="E205" t="str">
        <f>"201809193859"</f>
        <v>201809193859</v>
      </c>
      <c r="F205" t="str">
        <f>"REIMBURSE-MEDICATION FOR DOG"</f>
        <v>REIMBURSE-MEDICATION FOR DOG</v>
      </c>
      <c r="G205" s="2">
        <v>4.5</v>
      </c>
      <c r="H205" t="str">
        <f>"REIMBURSE-MEDICATION FOR DOG"</f>
        <v>REIMBURSE-MEDICATION FOR DOG</v>
      </c>
    </row>
    <row r="206" spans="1:8" x14ac:dyDescent="0.25">
      <c r="E206" t="str">
        <f>"201809193860"</f>
        <v>201809193860</v>
      </c>
      <c r="F206" t="str">
        <f>"REIMBURSE-2 SINKS FOR EX ROOM"</f>
        <v>REIMBURSE-2 SINKS FOR EX ROOM</v>
      </c>
      <c r="G206" s="2">
        <v>578</v>
      </c>
      <c r="H206" t="str">
        <f>"REIMBURSE-2 SINKS FOR EX ROOM"</f>
        <v>REIMBURSE-2 SINKS FOR EX ROOM</v>
      </c>
    </row>
    <row r="207" spans="1:8" x14ac:dyDescent="0.25">
      <c r="A207" t="s">
        <v>27</v>
      </c>
      <c r="B207">
        <v>78498</v>
      </c>
      <c r="C207" s="3">
        <v>5239.63</v>
      </c>
      <c r="D207" s="1">
        <v>43353</v>
      </c>
      <c r="E207" t="str">
        <f>"201809053413"</f>
        <v>201809053413</v>
      </c>
      <c r="F207" t="str">
        <f>"ACCT#512A49-0048 193 3"</f>
        <v>ACCT#512A49-0048 193 3</v>
      </c>
      <c r="G207" s="2">
        <v>5239.63</v>
      </c>
      <c r="H207" t="str">
        <f>"ACCT#512A49-0048 193 3"</f>
        <v>ACCT#512A49-0048 193 3</v>
      </c>
    </row>
    <row r="208" spans="1:8" x14ac:dyDescent="0.25">
      <c r="E208" t="str">
        <f>""</f>
        <v/>
      </c>
      <c r="F208" t="str">
        <f>""</f>
        <v/>
      </c>
      <c r="H208" t="str">
        <f>"ACCT#512A49-0048 193 3"</f>
        <v>ACCT#512A49-0048 193 3</v>
      </c>
    </row>
    <row r="209" spans="1:8" x14ac:dyDescent="0.25">
      <c r="E209" t="str">
        <f>""</f>
        <v/>
      </c>
      <c r="F209" t="str">
        <f>""</f>
        <v/>
      </c>
      <c r="H209" t="str">
        <f>"ACCT#512A49-0048 193 3"</f>
        <v>ACCT#512A49-0048 193 3</v>
      </c>
    </row>
    <row r="210" spans="1:8" x14ac:dyDescent="0.25">
      <c r="E210" t="str">
        <f>""</f>
        <v/>
      </c>
      <c r="F210" t="str">
        <f>""</f>
        <v/>
      </c>
      <c r="H210" t="str">
        <f>"ACCT#512A49-0048 193 3"</f>
        <v>ACCT#512A49-0048 193 3</v>
      </c>
    </row>
    <row r="211" spans="1:8" x14ac:dyDescent="0.25">
      <c r="E211" t="str">
        <f>""</f>
        <v/>
      </c>
      <c r="F211" t="str">
        <f>""</f>
        <v/>
      </c>
      <c r="H211" t="str">
        <f>"ACCT#512A49-0048 193 3"</f>
        <v>ACCT#512A49-0048 193 3</v>
      </c>
    </row>
    <row r="212" spans="1:8" x14ac:dyDescent="0.25">
      <c r="A212" t="s">
        <v>69</v>
      </c>
      <c r="B212">
        <v>78700</v>
      </c>
      <c r="C212" s="3">
        <v>70</v>
      </c>
      <c r="D212" s="1">
        <v>43367</v>
      </c>
      <c r="E212" t="str">
        <f>"288308"</f>
        <v>288308</v>
      </c>
      <c r="F212" t="str">
        <f>"INV 288308"</f>
        <v>INV 288308</v>
      </c>
      <c r="G212" s="2">
        <v>70</v>
      </c>
      <c r="H212" t="str">
        <f>"INV 288308"</f>
        <v>INV 288308</v>
      </c>
    </row>
    <row r="213" spans="1:8" x14ac:dyDescent="0.25">
      <c r="A213" t="s">
        <v>69</v>
      </c>
      <c r="B213">
        <v>78701</v>
      </c>
      <c r="C213" s="3">
        <v>5198.47</v>
      </c>
      <c r="D213" s="1">
        <v>43367</v>
      </c>
      <c r="E213" t="str">
        <f>"1161914400"</f>
        <v>1161914400</v>
      </c>
      <c r="F213" t="str">
        <f>"ACCT#831-000-7919 623"</f>
        <v>ACCT#831-000-7919 623</v>
      </c>
      <c r="G213" s="2">
        <v>2712.94</v>
      </c>
      <c r="H213" t="str">
        <f>"ACCT#831-000-7919 623"</f>
        <v>ACCT#831-000-7919 623</v>
      </c>
    </row>
    <row r="214" spans="1:8" x14ac:dyDescent="0.25">
      <c r="E214" t="str">
        <f>"1428014400"</f>
        <v>1428014400</v>
      </c>
      <c r="F214" t="str">
        <f>"ACCT#831-000 -6084 095"</f>
        <v>ACCT#831-000 -6084 095</v>
      </c>
      <c r="G214" s="2">
        <v>1663.84</v>
      </c>
      <c r="H214" t="str">
        <f>"ACCT#831-000 -6084 095"</f>
        <v>ACCT#831-000 -6084 095</v>
      </c>
    </row>
    <row r="215" spans="1:8" x14ac:dyDescent="0.25">
      <c r="E215" t="str">
        <f>"4851693400"</f>
        <v>4851693400</v>
      </c>
      <c r="F215" t="str">
        <f>"ACCT#831-000-7218 923"</f>
        <v>ACCT#831-000-7218 923</v>
      </c>
      <c r="G215" s="2">
        <v>821.69</v>
      </c>
      <c r="H215" t="str">
        <f>"ACCT#831-000-7218 923"</f>
        <v>ACCT#831-000-7218 923</v>
      </c>
    </row>
    <row r="216" spans="1:8" x14ac:dyDescent="0.25">
      <c r="A216" t="s">
        <v>69</v>
      </c>
      <c r="B216">
        <v>78702</v>
      </c>
      <c r="C216" s="3">
        <v>1799.31</v>
      </c>
      <c r="D216" s="1">
        <v>43367</v>
      </c>
      <c r="E216" t="str">
        <f>"201809183830"</f>
        <v>201809183830</v>
      </c>
      <c r="F216" t="str">
        <f>"512-303-1080 238 5"</f>
        <v>512-303-1080 238 5</v>
      </c>
      <c r="G216" s="2">
        <v>1799.31</v>
      </c>
      <c r="H216" t="str">
        <f>"512-303-1080 238 5"</f>
        <v>512-303-1080 238 5</v>
      </c>
    </row>
    <row r="217" spans="1:8" x14ac:dyDescent="0.25">
      <c r="A217" t="s">
        <v>70</v>
      </c>
      <c r="B217">
        <v>78703</v>
      </c>
      <c r="C217" s="3">
        <v>3922.86</v>
      </c>
      <c r="D217" s="1">
        <v>43367</v>
      </c>
      <c r="E217" t="str">
        <f>"201809113652"</f>
        <v>201809113652</v>
      </c>
      <c r="F217" t="str">
        <f>"ACCT#287263291654"</f>
        <v>ACCT#287263291654</v>
      </c>
      <c r="G217" s="2">
        <v>37.99</v>
      </c>
      <c r="H217" t="str">
        <f t="shared" ref="H217:H232" si="1">"ACCT#287263291654"</f>
        <v>ACCT#287263291654</v>
      </c>
    </row>
    <row r="218" spans="1:8" x14ac:dyDescent="0.25">
      <c r="E218" t="str">
        <f>"201809113673"</f>
        <v>201809113673</v>
      </c>
      <c r="F218" t="str">
        <f>"ACCT#287263291654"</f>
        <v>ACCT#287263291654</v>
      </c>
      <c r="G218" s="2">
        <v>1481.69</v>
      </c>
      <c r="H218" t="str">
        <f t="shared" si="1"/>
        <v>ACCT#287263291654</v>
      </c>
    </row>
    <row r="219" spans="1:8" x14ac:dyDescent="0.25">
      <c r="E219" t="str">
        <f>""</f>
        <v/>
      </c>
      <c r="F219" t="str">
        <f>""</f>
        <v/>
      </c>
      <c r="H219" t="str">
        <f t="shared" si="1"/>
        <v>ACCT#287263291654</v>
      </c>
    </row>
    <row r="220" spans="1:8" x14ac:dyDescent="0.25">
      <c r="E220" t="str">
        <f>""</f>
        <v/>
      </c>
      <c r="F220" t="str">
        <f>""</f>
        <v/>
      </c>
      <c r="H220" t="str">
        <f t="shared" si="1"/>
        <v>ACCT#287263291654</v>
      </c>
    </row>
    <row r="221" spans="1:8" x14ac:dyDescent="0.25">
      <c r="E221" t="str">
        <f>""</f>
        <v/>
      </c>
      <c r="F221" t="str">
        <f>""</f>
        <v/>
      </c>
      <c r="H221" t="str">
        <f t="shared" si="1"/>
        <v>ACCT#287263291654</v>
      </c>
    </row>
    <row r="222" spans="1:8" x14ac:dyDescent="0.25">
      <c r="E222" t="str">
        <f>""</f>
        <v/>
      </c>
      <c r="F222" t="str">
        <f>""</f>
        <v/>
      </c>
      <c r="H222" t="str">
        <f t="shared" si="1"/>
        <v>ACCT#287263291654</v>
      </c>
    </row>
    <row r="223" spans="1:8" x14ac:dyDescent="0.25">
      <c r="E223" t="str">
        <f>""</f>
        <v/>
      </c>
      <c r="F223" t="str">
        <f>""</f>
        <v/>
      </c>
      <c r="H223" t="str">
        <f t="shared" si="1"/>
        <v>ACCT#287263291654</v>
      </c>
    </row>
    <row r="224" spans="1:8" x14ac:dyDescent="0.25">
      <c r="E224" t="str">
        <f>""</f>
        <v/>
      </c>
      <c r="F224" t="str">
        <f>""</f>
        <v/>
      </c>
      <c r="H224" t="str">
        <f t="shared" si="1"/>
        <v>ACCT#287263291654</v>
      </c>
    </row>
    <row r="225" spans="5:8" x14ac:dyDescent="0.25">
      <c r="E225" t="str">
        <f>""</f>
        <v/>
      </c>
      <c r="F225" t="str">
        <f>""</f>
        <v/>
      </c>
      <c r="H225" t="str">
        <f t="shared" si="1"/>
        <v>ACCT#287263291654</v>
      </c>
    </row>
    <row r="226" spans="5:8" x14ac:dyDescent="0.25">
      <c r="E226" t="str">
        <f>""</f>
        <v/>
      </c>
      <c r="F226" t="str">
        <f>""</f>
        <v/>
      </c>
      <c r="H226" t="str">
        <f t="shared" si="1"/>
        <v>ACCT#287263291654</v>
      </c>
    </row>
    <row r="227" spans="5:8" x14ac:dyDescent="0.25">
      <c r="E227" t="str">
        <f>""</f>
        <v/>
      </c>
      <c r="F227" t="str">
        <f>""</f>
        <v/>
      </c>
      <c r="H227" t="str">
        <f t="shared" si="1"/>
        <v>ACCT#287263291654</v>
      </c>
    </row>
    <row r="228" spans="5:8" x14ac:dyDescent="0.25">
      <c r="E228" t="str">
        <f>""</f>
        <v/>
      </c>
      <c r="F228" t="str">
        <f>""</f>
        <v/>
      </c>
      <c r="H228" t="str">
        <f t="shared" si="1"/>
        <v>ACCT#287263291654</v>
      </c>
    </row>
    <row r="229" spans="5:8" x14ac:dyDescent="0.25">
      <c r="E229" t="str">
        <f>""</f>
        <v/>
      </c>
      <c r="F229" t="str">
        <f>""</f>
        <v/>
      </c>
      <c r="H229" t="str">
        <f t="shared" si="1"/>
        <v>ACCT#287263291654</v>
      </c>
    </row>
    <row r="230" spans="5:8" x14ac:dyDescent="0.25">
      <c r="E230" t="str">
        <f>""</f>
        <v/>
      </c>
      <c r="F230" t="str">
        <f>""</f>
        <v/>
      </c>
      <c r="H230" t="str">
        <f t="shared" si="1"/>
        <v>ACCT#287263291654</v>
      </c>
    </row>
    <row r="231" spans="5:8" x14ac:dyDescent="0.25">
      <c r="E231" t="str">
        <f>""</f>
        <v/>
      </c>
      <c r="F231" t="str">
        <f>""</f>
        <v/>
      </c>
      <c r="H231" t="str">
        <f t="shared" si="1"/>
        <v>ACCT#287263291654</v>
      </c>
    </row>
    <row r="232" spans="5:8" x14ac:dyDescent="0.25">
      <c r="E232" t="str">
        <f>""</f>
        <v/>
      </c>
      <c r="F232" t="str">
        <f>""</f>
        <v/>
      </c>
      <c r="H232" t="str">
        <f t="shared" si="1"/>
        <v>ACCT#287263291654</v>
      </c>
    </row>
    <row r="233" spans="5:8" x14ac:dyDescent="0.25">
      <c r="E233" t="str">
        <f>"201809113680"</f>
        <v>201809113680</v>
      </c>
      <c r="F233" t="str">
        <f>"ACCT#287263291654/PCT#2"</f>
        <v>ACCT#287263291654/PCT#2</v>
      </c>
      <c r="G233" s="2">
        <v>170.69</v>
      </c>
      <c r="H233" t="str">
        <f>"ACCT#287263291654/PCT#2"</f>
        <v>ACCT#287263291654/PCT#2</v>
      </c>
    </row>
    <row r="234" spans="5:8" x14ac:dyDescent="0.25">
      <c r="E234" t="str">
        <f>"201809113684"</f>
        <v>201809113684</v>
      </c>
      <c r="F234" t="str">
        <f>"ACCT#287263291654"</f>
        <v>ACCT#287263291654</v>
      </c>
      <c r="G234" s="2">
        <v>866.59</v>
      </c>
      <c r="H234" t="str">
        <f>"ACCT#287263291654"</f>
        <v>ACCT#287263291654</v>
      </c>
    </row>
    <row r="235" spans="5:8" x14ac:dyDescent="0.25">
      <c r="E235" t="str">
        <f>""</f>
        <v/>
      </c>
      <c r="F235" t="str">
        <f>""</f>
        <v/>
      </c>
      <c r="H235" t="str">
        <f>"ACCT#287263291654"</f>
        <v>ACCT#287263291654</v>
      </c>
    </row>
    <row r="236" spans="5:8" x14ac:dyDescent="0.25">
      <c r="E236" t="str">
        <f>"287263291654X09202"</f>
        <v>287263291654X09202</v>
      </c>
      <c r="F236" t="str">
        <f>"ACCT#287263291654/FAN06062279"</f>
        <v>ACCT#287263291654/FAN06062279</v>
      </c>
      <c r="G236" s="2">
        <v>1365.9</v>
      </c>
      <c r="H236" t="str">
        <f t="shared" ref="H236:H253" si="2">"ACCT#287263291654/FAN06062279"</f>
        <v>ACCT#287263291654/FAN06062279</v>
      </c>
    </row>
    <row r="237" spans="5:8" x14ac:dyDescent="0.25">
      <c r="E237" t="str">
        <f>""</f>
        <v/>
      </c>
      <c r="F237" t="str">
        <f>""</f>
        <v/>
      </c>
      <c r="H237" t="str">
        <f t="shared" si="2"/>
        <v>ACCT#287263291654/FAN06062279</v>
      </c>
    </row>
    <row r="238" spans="5:8" x14ac:dyDescent="0.25">
      <c r="E238" t="str">
        <f>""</f>
        <v/>
      </c>
      <c r="F238" t="str">
        <f>""</f>
        <v/>
      </c>
      <c r="H238" t="str">
        <f t="shared" si="2"/>
        <v>ACCT#287263291654/FAN06062279</v>
      </c>
    </row>
    <row r="239" spans="5:8" x14ac:dyDescent="0.25">
      <c r="E239" t="str">
        <f>""</f>
        <v/>
      </c>
      <c r="F239" t="str">
        <f>""</f>
        <v/>
      </c>
      <c r="H239" t="str">
        <f t="shared" si="2"/>
        <v>ACCT#287263291654/FAN06062279</v>
      </c>
    </row>
    <row r="240" spans="5:8" x14ac:dyDescent="0.25">
      <c r="E240" t="str">
        <f>""</f>
        <v/>
      </c>
      <c r="F240" t="str">
        <f>""</f>
        <v/>
      </c>
      <c r="H240" t="str">
        <f t="shared" si="2"/>
        <v>ACCT#287263291654/FAN06062279</v>
      </c>
    </row>
    <row r="241" spans="1:8" x14ac:dyDescent="0.25">
      <c r="E241" t="str">
        <f>""</f>
        <v/>
      </c>
      <c r="F241" t="str">
        <f>""</f>
        <v/>
      </c>
      <c r="H241" t="str">
        <f t="shared" si="2"/>
        <v>ACCT#287263291654/FAN06062279</v>
      </c>
    </row>
    <row r="242" spans="1:8" x14ac:dyDescent="0.25">
      <c r="E242" t="str">
        <f>""</f>
        <v/>
      </c>
      <c r="F242" t="str">
        <f>""</f>
        <v/>
      </c>
      <c r="H242" t="str">
        <f t="shared" si="2"/>
        <v>ACCT#287263291654/FAN06062279</v>
      </c>
    </row>
    <row r="243" spans="1:8" x14ac:dyDescent="0.25">
      <c r="E243" t="str">
        <f>""</f>
        <v/>
      </c>
      <c r="F243" t="str">
        <f>""</f>
        <v/>
      </c>
      <c r="H243" t="str">
        <f t="shared" si="2"/>
        <v>ACCT#287263291654/FAN06062279</v>
      </c>
    </row>
    <row r="244" spans="1:8" x14ac:dyDescent="0.25">
      <c r="E244" t="str">
        <f>""</f>
        <v/>
      </c>
      <c r="F244" t="str">
        <f>""</f>
        <v/>
      </c>
      <c r="H244" t="str">
        <f t="shared" si="2"/>
        <v>ACCT#287263291654/FAN06062279</v>
      </c>
    </row>
    <row r="245" spans="1:8" x14ac:dyDescent="0.25">
      <c r="E245" t="str">
        <f>""</f>
        <v/>
      </c>
      <c r="F245" t="str">
        <f>""</f>
        <v/>
      </c>
      <c r="H245" t="str">
        <f t="shared" si="2"/>
        <v>ACCT#287263291654/FAN06062279</v>
      </c>
    </row>
    <row r="246" spans="1:8" x14ac:dyDescent="0.25">
      <c r="E246" t="str">
        <f>""</f>
        <v/>
      </c>
      <c r="F246" t="str">
        <f>""</f>
        <v/>
      </c>
      <c r="H246" t="str">
        <f t="shared" si="2"/>
        <v>ACCT#287263291654/FAN06062279</v>
      </c>
    </row>
    <row r="247" spans="1:8" x14ac:dyDescent="0.25">
      <c r="E247" t="str">
        <f>""</f>
        <v/>
      </c>
      <c r="F247" t="str">
        <f>""</f>
        <v/>
      </c>
      <c r="H247" t="str">
        <f t="shared" si="2"/>
        <v>ACCT#287263291654/FAN06062279</v>
      </c>
    </row>
    <row r="248" spans="1:8" x14ac:dyDescent="0.25">
      <c r="E248" t="str">
        <f>""</f>
        <v/>
      </c>
      <c r="F248" t="str">
        <f>""</f>
        <v/>
      </c>
      <c r="H248" t="str">
        <f t="shared" si="2"/>
        <v>ACCT#287263291654/FAN06062279</v>
      </c>
    </row>
    <row r="249" spans="1:8" x14ac:dyDescent="0.25">
      <c r="E249" t="str">
        <f>""</f>
        <v/>
      </c>
      <c r="F249" t="str">
        <f>""</f>
        <v/>
      </c>
      <c r="H249" t="str">
        <f t="shared" si="2"/>
        <v>ACCT#287263291654/FAN06062279</v>
      </c>
    </row>
    <row r="250" spans="1:8" x14ac:dyDescent="0.25">
      <c r="E250" t="str">
        <f>""</f>
        <v/>
      </c>
      <c r="F250" t="str">
        <f>""</f>
        <v/>
      </c>
      <c r="H250" t="str">
        <f t="shared" si="2"/>
        <v>ACCT#287263291654/FAN06062279</v>
      </c>
    </row>
    <row r="251" spans="1:8" x14ac:dyDescent="0.25">
      <c r="E251" t="str">
        <f>""</f>
        <v/>
      </c>
      <c r="F251" t="str">
        <f>""</f>
        <v/>
      </c>
      <c r="H251" t="str">
        <f t="shared" si="2"/>
        <v>ACCT#287263291654/FAN06062279</v>
      </c>
    </row>
    <row r="252" spans="1:8" x14ac:dyDescent="0.25">
      <c r="E252" t="str">
        <f>""</f>
        <v/>
      </c>
      <c r="F252" t="str">
        <f>""</f>
        <v/>
      </c>
      <c r="H252" t="str">
        <f t="shared" si="2"/>
        <v>ACCT#287263291654/FAN06062279</v>
      </c>
    </row>
    <row r="253" spans="1:8" x14ac:dyDescent="0.25">
      <c r="E253" t="str">
        <f>""</f>
        <v/>
      </c>
      <c r="F253" t="str">
        <f>""</f>
        <v/>
      </c>
      <c r="H253" t="str">
        <f t="shared" si="2"/>
        <v>ACCT#287263291654/FAN06062279</v>
      </c>
    </row>
    <row r="254" spans="1:8" x14ac:dyDescent="0.25">
      <c r="A254" t="s">
        <v>71</v>
      </c>
      <c r="B254">
        <v>78704</v>
      </c>
      <c r="C254" s="3">
        <v>200.57</v>
      </c>
      <c r="D254" s="1">
        <v>43367</v>
      </c>
      <c r="E254" t="str">
        <f>"201809123732"</f>
        <v>201809123732</v>
      </c>
      <c r="F254" t="str">
        <f>"ACCT#826392401/DPS"</f>
        <v>ACCT#826392401/DPS</v>
      </c>
      <c r="G254" s="2">
        <v>200.57</v>
      </c>
      <c r="H254" t="str">
        <f>"ACCT#826392401/DPS"</f>
        <v>ACCT#826392401/DPS</v>
      </c>
    </row>
    <row r="255" spans="1:8" x14ac:dyDescent="0.25">
      <c r="A255" t="s">
        <v>72</v>
      </c>
      <c r="B255">
        <v>78499</v>
      </c>
      <c r="C255" s="3">
        <v>40.56</v>
      </c>
      <c r="D255" s="1">
        <v>43353</v>
      </c>
      <c r="E255" t="str">
        <f>"193475"</f>
        <v>193475</v>
      </c>
      <c r="F255" t="str">
        <f>"INV 193475"</f>
        <v>INV 193475</v>
      </c>
      <c r="G255" s="2">
        <v>40.56</v>
      </c>
      <c r="H255" t="str">
        <f>"INV 193475"</f>
        <v>INV 193475</v>
      </c>
    </row>
    <row r="256" spans="1:8" x14ac:dyDescent="0.25">
      <c r="A256" t="s">
        <v>73</v>
      </c>
      <c r="B256">
        <v>78705</v>
      </c>
      <c r="C256" s="3">
        <v>143.91</v>
      </c>
      <c r="D256" s="1">
        <v>43367</v>
      </c>
      <c r="E256" t="str">
        <f>"92358"</f>
        <v>92358</v>
      </c>
      <c r="F256" t="str">
        <f>"WORK ORD#16392/PCT#2"</f>
        <v>WORK ORD#16392/PCT#2</v>
      </c>
      <c r="G256" s="2">
        <v>143.91</v>
      </c>
      <c r="H256" t="str">
        <f>"WORK ORD#16392/PCT#2"</f>
        <v>WORK ORD#16392/PCT#2</v>
      </c>
    </row>
    <row r="257" spans="1:8" x14ac:dyDescent="0.25">
      <c r="A257" t="s">
        <v>74</v>
      </c>
      <c r="B257">
        <v>78500</v>
      </c>
      <c r="C257" s="3">
        <v>1575</v>
      </c>
      <c r="D257" s="1">
        <v>43353</v>
      </c>
      <c r="E257" t="str">
        <f>"9407"</f>
        <v>9407</v>
      </c>
      <c r="F257" t="str">
        <f>"3-30 YD CONTAINERS/PCT#3"</f>
        <v>3-30 YD CONTAINERS/PCT#3</v>
      </c>
      <c r="G257" s="2">
        <v>1575</v>
      </c>
      <c r="H257" t="str">
        <f>"3-30 YD CONTAINERS/PCT#3"</f>
        <v>3-30 YD CONTAINERS/PCT#3</v>
      </c>
    </row>
    <row r="258" spans="1:8" x14ac:dyDescent="0.25">
      <c r="A258" t="s">
        <v>75</v>
      </c>
      <c r="B258">
        <v>999999</v>
      </c>
      <c r="C258" s="3">
        <v>1527.69</v>
      </c>
      <c r="D258" s="1">
        <v>43354</v>
      </c>
      <c r="E258" t="str">
        <f>"408820 407912 4088"</f>
        <v>408820 407912 4088</v>
      </c>
      <c r="F258" t="str">
        <f>"AD#408820  407912  408822"</f>
        <v>AD#408820  407912  408822</v>
      </c>
      <c r="G258" s="2">
        <v>1074.5</v>
      </c>
      <c r="H258" t="str">
        <f>"AD#408820"</f>
        <v>AD#408820</v>
      </c>
    </row>
    <row r="259" spans="1:8" x14ac:dyDescent="0.25">
      <c r="E259" t="str">
        <f>""</f>
        <v/>
      </c>
      <c r="F259" t="str">
        <f>""</f>
        <v/>
      </c>
      <c r="H259" t="str">
        <f>"AD#407912"</f>
        <v>AD#407912</v>
      </c>
    </row>
    <row r="260" spans="1:8" x14ac:dyDescent="0.25">
      <c r="E260" t="str">
        <f>""</f>
        <v/>
      </c>
      <c r="F260" t="str">
        <f>""</f>
        <v/>
      </c>
      <c r="H260" t="str">
        <f>"AD#408822"</f>
        <v>AD#408822</v>
      </c>
    </row>
    <row r="261" spans="1:8" x14ac:dyDescent="0.25">
      <c r="E261" t="str">
        <f>"408892"</f>
        <v>408892</v>
      </c>
      <c r="F261" t="str">
        <f>"Ad# 408892"</f>
        <v>Ad# 408892</v>
      </c>
      <c r="G261" s="2">
        <v>276.48</v>
      </c>
      <c r="H261" t="str">
        <f>"Ad# 408892"</f>
        <v>Ad# 408892</v>
      </c>
    </row>
    <row r="262" spans="1:8" x14ac:dyDescent="0.25">
      <c r="E262" t="str">
        <f>"AD#412469"</f>
        <v>AD#412469</v>
      </c>
      <c r="F262" t="str">
        <f>"Ad# 412469"</f>
        <v>Ad# 412469</v>
      </c>
      <c r="G262" s="2">
        <v>176.71</v>
      </c>
      <c r="H262" t="str">
        <f>"Ad# 412469"</f>
        <v>Ad# 412469</v>
      </c>
    </row>
    <row r="263" spans="1:8" x14ac:dyDescent="0.25">
      <c r="A263" t="s">
        <v>75</v>
      </c>
      <c r="B263">
        <v>999999</v>
      </c>
      <c r="C263" s="3">
        <v>115.08</v>
      </c>
      <c r="D263" s="1">
        <v>43368</v>
      </c>
      <c r="E263" t="str">
        <f>"0000409730"</f>
        <v>0000409730</v>
      </c>
      <c r="F263" t="str">
        <f>"Ad# 409730"</f>
        <v>Ad# 409730</v>
      </c>
      <c r="G263" s="2">
        <v>115.08</v>
      </c>
      <c r="H263" t="str">
        <f>"Ad# 409730"</f>
        <v>Ad# 409730</v>
      </c>
    </row>
    <row r="264" spans="1:8" x14ac:dyDescent="0.25">
      <c r="A264" t="s">
        <v>76</v>
      </c>
      <c r="B264">
        <v>78706</v>
      </c>
      <c r="C264" s="3">
        <v>222.8</v>
      </c>
      <c r="D264" s="1">
        <v>43367</v>
      </c>
      <c r="E264" t="str">
        <f>"710072"</f>
        <v>710072</v>
      </c>
      <c r="F264" t="str">
        <f>"TRANSLATION SVCS"</f>
        <v>TRANSLATION SVCS</v>
      </c>
      <c r="G264" s="2">
        <v>222.8</v>
      </c>
      <c r="H264" t="str">
        <f>"TRANSLATION SVCS"</f>
        <v>TRANSLATION SVCS</v>
      </c>
    </row>
    <row r="265" spans="1:8" x14ac:dyDescent="0.25">
      <c r="A265" t="s">
        <v>77</v>
      </c>
      <c r="B265">
        <v>78707</v>
      </c>
      <c r="C265" s="3">
        <v>157.27000000000001</v>
      </c>
      <c r="D265" s="1">
        <v>43367</v>
      </c>
      <c r="E265" t="str">
        <f>"201809193865"</f>
        <v>201809193865</v>
      </c>
      <c r="F265" t="str">
        <f>"INDIGENT HEALTH"</f>
        <v>INDIGENT HEALTH</v>
      </c>
      <c r="G265" s="2">
        <v>157.27000000000001</v>
      </c>
      <c r="H265" t="str">
        <f>"INDIGENT HEALTH"</f>
        <v>INDIGENT HEALTH</v>
      </c>
    </row>
    <row r="266" spans="1:8" x14ac:dyDescent="0.25">
      <c r="A266" t="s">
        <v>78</v>
      </c>
      <c r="B266">
        <v>78501</v>
      </c>
      <c r="C266" s="3">
        <v>230</v>
      </c>
      <c r="D266" s="1">
        <v>43353</v>
      </c>
      <c r="E266" t="str">
        <f>"201506"</f>
        <v>201506</v>
      </c>
      <c r="F266" t="str">
        <f>"Inv# 201506"</f>
        <v>Inv# 201506</v>
      </c>
      <c r="G266" s="2">
        <v>230</v>
      </c>
      <c r="H266" t="str">
        <f>"Inv# 201506"</f>
        <v>Inv# 201506</v>
      </c>
    </row>
    <row r="267" spans="1:8" x14ac:dyDescent="0.25">
      <c r="A267" t="s">
        <v>79</v>
      </c>
      <c r="B267">
        <v>78502</v>
      </c>
      <c r="C267" s="3">
        <v>35</v>
      </c>
      <c r="D267" s="1">
        <v>43353</v>
      </c>
      <c r="E267" t="str">
        <f>"249221"</f>
        <v>249221</v>
      </c>
      <c r="F267" t="str">
        <f>"REF#279045/LABOR/PCT#4"</f>
        <v>REF#279045/LABOR/PCT#4</v>
      </c>
      <c r="G267" s="2">
        <v>35</v>
      </c>
      <c r="H267" t="str">
        <f>"REF#279045/LABOR/PCT#4"</f>
        <v>REF#279045/LABOR/PCT#4</v>
      </c>
    </row>
    <row r="268" spans="1:8" x14ac:dyDescent="0.25">
      <c r="A268" t="s">
        <v>80</v>
      </c>
      <c r="B268">
        <v>78503</v>
      </c>
      <c r="C268" s="3">
        <v>110.4</v>
      </c>
      <c r="D268" s="1">
        <v>43353</v>
      </c>
      <c r="E268" t="str">
        <f>"201809063436"</f>
        <v>201809063436</v>
      </c>
      <c r="F268" t="str">
        <f>"INDIGENT HEALTH"</f>
        <v>INDIGENT HEALTH</v>
      </c>
      <c r="G268" s="2">
        <v>110.4</v>
      </c>
      <c r="H268" t="str">
        <f>"INDIGENT HEALTH"</f>
        <v>INDIGENT HEALTH</v>
      </c>
    </row>
    <row r="269" spans="1:8" x14ac:dyDescent="0.25">
      <c r="A269" t="s">
        <v>80</v>
      </c>
      <c r="B269">
        <v>78708</v>
      </c>
      <c r="C269" s="3">
        <v>149.96</v>
      </c>
      <c r="D269" s="1">
        <v>43367</v>
      </c>
      <c r="E269" t="str">
        <f>"201809193866"</f>
        <v>201809193866</v>
      </c>
      <c r="F269" t="str">
        <f>"INDIGENT HEALTH"</f>
        <v>INDIGENT HEALTH</v>
      </c>
      <c r="G269" s="2">
        <v>149.96</v>
      </c>
      <c r="H269" t="str">
        <f>"INDIGENT HEALTH"</f>
        <v>INDIGENT HEALTH</v>
      </c>
    </row>
    <row r="270" spans="1:8" x14ac:dyDescent="0.25">
      <c r="A270" t="s">
        <v>81</v>
      </c>
      <c r="B270">
        <v>78504</v>
      </c>
      <c r="C270" s="3">
        <v>350</v>
      </c>
      <c r="D270" s="1">
        <v>43353</v>
      </c>
      <c r="E270" t="str">
        <f>"201809053296"</f>
        <v>201809053296</v>
      </c>
      <c r="F270" t="str">
        <f>"COURT REPORTER SVCS-8/29/18"</f>
        <v>COURT REPORTER SVCS-8/29/18</v>
      </c>
      <c r="G270" s="2">
        <v>350</v>
      </c>
      <c r="H270" t="str">
        <f>"COURT REPORTER SVCS-8/29/18"</f>
        <v>COURT REPORTER SVCS-8/29/18</v>
      </c>
    </row>
    <row r="271" spans="1:8" x14ac:dyDescent="0.25">
      <c r="A271" t="s">
        <v>82</v>
      </c>
      <c r="B271">
        <v>999999</v>
      </c>
      <c r="C271" s="3">
        <v>1646.29</v>
      </c>
      <c r="D271" s="1">
        <v>43368</v>
      </c>
      <c r="E271" t="str">
        <f>"645"</f>
        <v>645</v>
      </c>
      <c r="F271" t="str">
        <f>"BFF55/PUMP UP SPRAYER/FREIGHT"</f>
        <v>BFF55/PUMP UP SPRAYER/FREIGHT</v>
      </c>
      <c r="G271" s="2">
        <v>1646.29</v>
      </c>
      <c r="H271" t="str">
        <f>"BFF55/PUMP UP SPRAYER/FREIGHT"</f>
        <v>BFF55/PUMP UP SPRAYER/FREIGHT</v>
      </c>
    </row>
    <row r="272" spans="1:8" x14ac:dyDescent="0.25">
      <c r="A272" t="s">
        <v>83</v>
      </c>
      <c r="B272">
        <v>999999</v>
      </c>
      <c r="C272" s="3">
        <v>513.99</v>
      </c>
      <c r="D272" s="1">
        <v>43354</v>
      </c>
      <c r="E272" t="str">
        <f>"201809043274"</f>
        <v>201809043274</v>
      </c>
      <c r="F272" t="str">
        <f>"352984/352999/353626/#0011/P3"</f>
        <v>352984/352999/353626/#0011/P3</v>
      </c>
      <c r="G272" s="2">
        <v>125</v>
      </c>
      <c r="H272" t="str">
        <f>"352984/352999/353626/#0011/P3"</f>
        <v>352984/352999/353626/#0011/P3</v>
      </c>
    </row>
    <row r="273" spans="1:9" x14ac:dyDescent="0.25">
      <c r="E273" t="str">
        <f>"353234 &amp; 353514"</f>
        <v>353234 &amp; 353514</v>
      </c>
      <c r="F273" t="str">
        <f>"CUST ID:0009"</f>
        <v>CUST ID:0009</v>
      </c>
      <c r="G273" s="2">
        <v>212.49</v>
      </c>
      <c r="H273" t="str">
        <f>"CUST ID:0009"</f>
        <v>CUST ID:0009</v>
      </c>
    </row>
    <row r="274" spans="1:9" x14ac:dyDescent="0.25">
      <c r="E274" t="str">
        <f>"353310"</f>
        <v>353310</v>
      </c>
      <c r="F274" t="str">
        <f>"CUST#0010/PCT#2"</f>
        <v>CUST#0010/PCT#2</v>
      </c>
      <c r="G274" s="2">
        <v>176.5</v>
      </c>
      <c r="H274" t="str">
        <f>"CUST#0010/PCT#2"</f>
        <v>CUST#0010/PCT#2</v>
      </c>
    </row>
    <row r="275" spans="1:9" x14ac:dyDescent="0.25">
      <c r="A275" t="s">
        <v>84</v>
      </c>
      <c r="B275">
        <v>78709</v>
      </c>
      <c r="C275" s="3">
        <v>3000</v>
      </c>
      <c r="D275" s="1">
        <v>43367</v>
      </c>
      <c r="E275" t="str">
        <f>"1533 P2"</f>
        <v>1533 P2</v>
      </c>
      <c r="F275" t="str">
        <f>"TREE REMOVALE/PCT#2"</f>
        <v>TREE REMOVALE/PCT#2</v>
      </c>
      <c r="G275" s="2">
        <v>3000</v>
      </c>
      <c r="H275" t="str">
        <f>"TREE REMOVALE/PCT#2"</f>
        <v>TREE REMOVALE/PCT#2</v>
      </c>
    </row>
    <row r="276" spans="1:9" x14ac:dyDescent="0.25">
      <c r="A276" t="s">
        <v>85</v>
      </c>
      <c r="B276">
        <v>78710</v>
      </c>
      <c r="C276" s="3">
        <v>4814.29</v>
      </c>
      <c r="D276" s="1">
        <v>43367</v>
      </c>
      <c r="E276" t="str">
        <f>"15775"</f>
        <v>15775</v>
      </c>
      <c r="F276" t="str">
        <f>"LABOR/ENVIRONMENTAL FEE"</f>
        <v>LABOR/ENVIRONMENTAL FEE</v>
      </c>
      <c r="G276" s="2">
        <v>180</v>
      </c>
      <c r="H276" t="str">
        <f>"LABOR/ENVIRONMENTAL FEE"</f>
        <v>LABOR/ENVIRONMENTAL FEE</v>
      </c>
    </row>
    <row r="277" spans="1:9" x14ac:dyDescent="0.25">
      <c r="E277" t="str">
        <f>"15804"</f>
        <v>15804</v>
      </c>
      <c r="F277" t="str">
        <f>"MATERIALS AND LABOR"</f>
        <v>MATERIALS AND LABOR</v>
      </c>
      <c r="G277" s="2">
        <v>4634.29</v>
      </c>
      <c r="H277" t="str">
        <f>"MATERIALS AND LABOR"</f>
        <v>MATERIALS AND LABOR</v>
      </c>
    </row>
    <row r="278" spans="1:9" x14ac:dyDescent="0.25">
      <c r="A278" t="s">
        <v>86</v>
      </c>
      <c r="B278">
        <v>78711</v>
      </c>
      <c r="C278" s="3">
        <v>250</v>
      </c>
      <c r="D278" s="1">
        <v>43367</v>
      </c>
      <c r="E278" t="str">
        <f>"201809173780"</f>
        <v>201809173780</v>
      </c>
      <c r="F278" t="str">
        <f>"BASTROPOLY-SPONSORSHIP"</f>
        <v>BASTROPOLY-SPONSORSHIP</v>
      </c>
      <c r="G278" s="2">
        <v>250</v>
      </c>
      <c r="H278" t="str">
        <f>"BASTROPOLY-SPONSORSHIP"</f>
        <v>BASTROPOLY-SPONSORSHIP</v>
      </c>
    </row>
    <row r="279" spans="1:9" x14ac:dyDescent="0.25">
      <c r="A279" t="s">
        <v>87</v>
      </c>
      <c r="B279">
        <v>78505</v>
      </c>
      <c r="C279" s="3">
        <v>240</v>
      </c>
      <c r="D279" s="1">
        <v>43353</v>
      </c>
      <c r="E279" t="str">
        <f>"12086  07/31/18"</f>
        <v>12086  07/31/18</v>
      </c>
      <c r="F279" t="str">
        <f>"SERVICE"</f>
        <v>SERVICE</v>
      </c>
      <c r="G279" s="2">
        <v>75</v>
      </c>
      <c r="H279" t="str">
        <f>"SERVICE"</f>
        <v>SERVICE</v>
      </c>
    </row>
    <row r="280" spans="1:9" x14ac:dyDescent="0.25">
      <c r="E280" t="str">
        <f>"12883"</f>
        <v>12883</v>
      </c>
      <c r="F280" t="str">
        <f>"SERVICE"</f>
        <v>SERVICE</v>
      </c>
      <c r="G280" s="2">
        <v>75</v>
      </c>
      <c r="H280" t="str">
        <f>"SERVICE"</f>
        <v>SERVICE</v>
      </c>
    </row>
    <row r="281" spans="1:9" x14ac:dyDescent="0.25">
      <c r="E281" t="str">
        <f>"12969"</f>
        <v>12969</v>
      </c>
      <c r="F281" t="str">
        <f>"SERVICE"</f>
        <v>SERVICE</v>
      </c>
      <c r="G281" s="2">
        <v>75</v>
      </c>
      <c r="H281" t="str">
        <f>"SERVICE"</f>
        <v>SERVICE</v>
      </c>
    </row>
    <row r="282" spans="1:9" x14ac:dyDescent="0.25">
      <c r="E282" t="s">
        <v>88</v>
      </c>
      <c r="F282" t="s">
        <v>89</v>
      </c>
      <c r="G282" s="2" t="str">
        <f>"RESTITUTION-B. HOWARD"</f>
        <v>RESTITUTION-B. HOWARD</v>
      </c>
      <c r="H282" t="str">
        <f>"210-0000"</f>
        <v>210-0000</v>
      </c>
      <c r="I282" t="str">
        <f>""</f>
        <v/>
      </c>
    </row>
    <row r="283" spans="1:9" x14ac:dyDescent="0.25">
      <c r="A283" t="s">
        <v>87</v>
      </c>
      <c r="B283">
        <v>78712</v>
      </c>
      <c r="C283" s="3">
        <v>75</v>
      </c>
      <c r="D283" s="1">
        <v>43367</v>
      </c>
      <c r="E283" t="str">
        <f>"11314"</f>
        <v>11314</v>
      </c>
      <c r="F283" t="str">
        <f>"SERVICE"</f>
        <v>SERVICE</v>
      </c>
      <c r="G283" s="2">
        <v>75</v>
      </c>
      <c r="H283" t="str">
        <f>"SERVICE"</f>
        <v>SERVICE</v>
      </c>
    </row>
    <row r="284" spans="1:9" x14ac:dyDescent="0.25">
      <c r="A284" t="s">
        <v>90</v>
      </c>
      <c r="B284">
        <v>78713</v>
      </c>
      <c r="C284" s="3">
        <v>830.95</v>
      </c>
      <c r="D284" s="1">
        <v>43367</v>
      </c>
      <c r="E284" t="str">
        <f>"17344"</f>
        <v>17344</v>
      </c>
      <c r="F284" t="str">
        <f>"ACCT#BC01/PCT#3"</f>
        <v>ACCT#BC01/PCT#3</v>
      </c>
      <c r="G284" s="2">
        <v>29.8</v>
      </c>
      <c r="H284" t="str">
        <f>"ACCT#BC01/PCT#3"</f>
        <v>ACCT#BC01/PCT#3</v>
      </c>
    </row>
    <row r="285" spans="1:9" x14ac:dyDescent="0.25">
      <c r="E285" t="str">
        <f>"201809113675"</f>
        <v>201809113675</v>
      </c>
      <c r="F285" t="str">
        <f>"ACCT#BC01"</f>
        <v>ACCT#BC01</v>
      </c>
      <c r="G285" s="2">
        <v>801.15</v>
      </c>
      <c r="H285" t="str">
        <f t="shared" ref="H285:H292" si="3">"ACCT#BC01"</f>
        <v>ACCT#BC01</v>
      </c>
    </row>
    <row r="286" spans="1:9" x14ac:dyDescent="0.25">
      <c r="E286" t="str">
        <f>""</f>
        <v/>
      </c>
      <c r="F286" t="str">
        <f>""</f>
        <v/>
      </c>
      <c r="H286" t="str">
        <f t="shared" si="3"/>
        <v>ACCT#BC01</v>
      </c>
    </row>
    <row r="287" spans="1:9" x14ac:dyDescent="0.25">
      <c r="E287" t="str">
        <f>""</f>
        <v/>
      </c>
      <c r="F287" t="str">
        <f>""</f>
        <v/>
      </c>
      <c r="H287" t="str">
        <f t="shared" si="3"/>
        <v>ACCT#BC01</v>
      </c>
    </row>
    <row r="288" spans="1:9" x14ac:dyDescent="0.25">
      <c r="E288" t="str">
        <f>""</f>
        <v/>
      </c>
      <c r="F288" t="str">
        <f>""</f>
        <v/>
      </c>
      <c r="H288" t="str">
        <f t="shared" si="3"/>
        <v>ACCT#BC01</v>
      </c>
    </row>
    <row r="289" spans="1:8" x14ac:dyDescent="0.25">
      <c r="E289" t="str">
        <f>""</f>
        <v/>
      </c>
      <c r="F289" t="str">
        <f>""</f>
        <v/>
      </c>
      <c r="H289" t="str">
        <f t="shared" si="3"/>
        <v>ACCT#BC01</v>
      </c>
    </row>
    <row r="290" spans="1:8" x14ac:dyDescent="0.25">
      <c r="E290" t="str">
        <f>""</f>
        <v/>
      </c>
      <c r="F290" t="str">
        <f>""</f>
        <v/>
      </c>
      <c r="H290" t="str">
        <f t="shared" si="3"/>
        <v>ACCT#BC01</v>
      </c>
    </row>
    <row r="291" spans="1:8" x14ac:dyDescent="0.25">
      <c r="E291" t="str">
        <f>""</f>
        <v/>
      </c>
      <c r="F291" t="str">
        <f>""</f>
        <v/>
      </c>
      <c r="H291" t="str">
        <f t="shared" si="3"/>
        <v>ACCT#BC01</v>
      </c>
    </row>
    <row r="292" spans="1:8" x14ac:dyDescent="0.25">
      <c r="E292" t="str">
        <f>""</f>
        <v/>
      </c>
      <c r="F292" t="str">
        <f>""</f>
        <v/>
      </c>
      <c r="H292" t="str">
        <f t="shared" si="3"/>
        <v>ACCT#BC01</v>
      </c>
    </row>
    <row r="293" spans="1:8" x14ac:dyDescent="0.25">
      <c r="A293" t="s">
        <v>91</v>
      </c>
      <c r="B293">
        <v>78506</v>
      </c>
      <c r="C293" s="3">
        <v>74704.5</v>
      </c>
      <c r="D293" s="1">
        <v>43353</v>
      </c>
      <c r="E293" t="str">
        <f>"4TH QTR FY'18"</f>
        <v>4TH QTR FY'18</v>
      </c>
      <c r="F293" t="str">
        <f>"REVENUE BASTROP"</f>
        <v>REVENUE BASTROP</v>
      </c>
      <c r="G293" s="2">
        <v>74704.5</v>
      </c>
      <c r="H293" t="str">
        <f>"REVENUE BASTROP"</f>
        <v>REVENUE BASTROP</v>
      </c>
    </row>
    <row r="294" spans="1:8" x14ac:dyDescent="0.25">
      <c r="A294" t="s">
        <v>92</v>
      </c>
      <c r="B294">
        <v>78714</v>
      </c>
      <c r="C294" s="3">
        <v>2500</v>
      </c>
      <c r="D294" s="1">
        <v>43367</v>
      </c>
      <c r="E294" t="str">
        <f>"201809193861"</f>
        <v>201809193861</v>
      </c>
      <c r="F294" t="str">
        <f>"FOSTER CARE/SCHOOL SUPPLIES"</f>
        <v>FOSTER CARE/SCHOOL SUPPLIES</v>
      </c>
      <c r="G294" s="2">
        <v>2500</v>
      </c>
      <c r="H294" t="str">
        <f>"FOSTER CARE/SCHOOL SUPPLIES"</f>
        <v>FOSTER CARE/SCHOOL SUPPLIES</v>
      </c>
    </row>
    <row r="295" spans="1:8" x14ac:dyDescent="0.25">
      <c r="A295" t="s">
        <v>93</v>
      </c>
      <c r="B295">
        <v>999999</v>
      </c>
      <c r="C295" s="3">
        <v>32341.19</v>
      </c>
      <c r="D295" s="1">
        <v>43368</v>
      </c>
      <c r="E295" t="str">
        <f>"201809123729"</f>
        <v>201809123729</v>
      </c>
      <c r="F295" t="str">
        <f>"GRANT REIMBURSEMENT-SEPT 2018"</f>
        <v>GRANT REIMBURSEMENT-SEPT 2018</v>
      </c>
      <c r="G295" s="2">
        <v>10217.92</v>
      </c>
      <c r="H295" t="str">
        <f>"GRANT REIMBURSEMENT-SEPT 2018"</f>
        <v>GRANT REIMBURSEMENT-SEPT 2018</v>
      </c>
    </row>
    <row r="296" spans="1:8" x14ac:dyDescent="0.25">
      <c r="E296" t="str">
        <f>"201809133758"</f>
        <v>201809133758</v>
      </c>
      <c r="F296" t="str">
        <f>"GRANT REIMBURSEMENT"</f>
        <v>GRANT REIMBURSEMENT</v>
      </c>
      <c r="G296" s="2">
        <v>22123.27</v>
      </c>
      <c r="H296" t="str">
        <f>"GRANT REIMBURSEMENT"</f>
        <v>GRANT REIMBURSEMENT</v>
      </c>
    </row>
    <row r="297" spans="1:8" x14ac:dyDescent="0.25">
      <c r="A297" t="s">
        <v>94</v>
      </c>
      <c r="B297">
        <v>999999</v>
      </c>
      <c r="C297" s="3">
        <v>102.49</v>
      </c>
      <c r="D297" s="1">
        <v>43354</v>
      </c>
      <c r="E297" t="str">
        <f>"201809063437"</f>
        <v>201809063437</v>
      </c>
      <c r="F297" t="str">
        <f>"INDIGENT HEALTH"</f>
        <v>INDIGENT HEALTH</v>
      </c>
      <c r="G297" s="2">
        <v>102.49</v>
      </c>
      <c r="H297" t="str">
        <f>"INDIGENT HEALTH"</f>
        <v>INDIGENT HEALTH</v>
      </c>
    </row>
    <row r="298" spans="1:8" x14ac:dyDescent="0.25">
      <c r="E298" t="str">
        <f>""</f>
        <v/>
      </c>
      <c r="F298" t="str">
        <f>""</f>
        <v/>
      </c>
      <c r="H298" t="str">
        <f>"INDIGENT HEALTH"</f>
        <v>INDIGENT HEALTH</v>
      </c>
    </row>
    <row r="299" spans="1:8" x14ac:dyDescent="0.25">
      <c r="A299" t="s">
        <v>95</v>
      </c>
      <c r="B299">
        <v>78507</v>
      </c>
      <c r="C299" s="3">
        <v>10.25</v>
      </c>
      <c r="D299" s="1">
        <v>43353</v>
      </c>
      <c r="E299" t="str">
        <f>"6178"</f>
        <v>6178</v>
      </c>
      <c r="F299" t="str">
        <f>"2 PACER 694876/PCT#3"</f>
        <v>2 PACER 694876/PCT#3</v>
      </c>
      <c r="G299" s="2">
        <v>10.25</v>
      </c>
      <c r="H299" t="str">
        <f>"2 PACER 694876/PCT#3"</f>
        <v>2 PACER 694876/PCT#3</v>
      </c>
    </row>
    <row r="300" spans="1:8" x14ac:dyDescent="0.25">
      <c r="A300" t="s">
        <v>96</v>
      </c>
      <c r="B300">
        <v>999999</v>
      </c>
      <c r="C300" s="3">
        <v>695</v>
      </c>
      <c r="D300" s="1">
        <v>43354</v>
      </c>
      <c r="E300" t="str">
        <f>"2018105"</f>
        <v>2018105</v>
      </c>
      <c r="F300" t="str">
        <f>"TRANSPORT-B. FLEMING"</f>
        <v>TRANSPORT-B. FLEMING</v>
      </c>
      <c r="G300" s="2">
        <v>695</v>
      </c>
      <c r="H300" t="str">
        <f>"TRANSPORT-B. FLEMING"</f>
        <v>TRANSPORT-B. FLEMING</v>
      </c>
    </row>
    <row r="301" spans="1:8" x14ac:dyDescent="0.25">
      <c r="A301" t="s">
        <v>96</v>
      </c>
      <c r="B301">
        <v>999999</v>
      </c>
      <c r="C301" s="3">
        <v>3675</v>
      </c>
      <c r="D301" s="1">
        <v>43368</v>
      </c>
      <c r="E301" t="str">
        <f>"2018073"</f>
        <v>2018073</v>
      </c>
      <c r="F301" t="str">
        <f>"TRANSPORT-S.J. LASSITER"</f>
        <v>TRANSPORT-S.J. LASSITER</v>
      </c>
      <c r="G301" s="2">
        <v>695</v>
      </c>
      <c r="H301" t="str">
        <f>"TRANSPORT-S.J. LASSITER"</f>
        <v>TRANSPORT-S.J. LASSITER</v>
      </c>
    </row>
    <row r="302" spans="1:8" x14ac:dyDescent="0.25">
      <c r="E302" t="str">
        <f>"2018089"</f>
        <v>2018089</v>
      </c>
      <c r="F302" t="str">
        <f>"TRANSPORT-S. HAZELTON"</f>
        <v>TRANSPORT-S. HAZELTON</v>
      </c>
      <c r="G302" s="2">
        <v>695</v>
      </c>
      <c r="H302" t="str">
        <f>"TRANSPORT-S. HAZELTON"</f>
        <v>TRANSPORT-S. HAZELTON</v>
      </c>
    </row>
    <row r="303" spans="1:8" x14ac:dyDescent="0.25">
      <c r="E303" t="str">
        <f>"2018102"</f>
        <v>2018102</v>
      </c>
      <c r="F303" t="str">
        <f>"TRANSPORT-R. VAN KOMEN"</f>
        <v>TRANSPORT-R. VAN KOMEN</v>
      </c>
      <c r="G303" s="2">
        <v>400</v>
      </c>
      <c r="H303" t="str">
        <f>"TRANSPORT-R. VAN KOMEN"</f>
        <v>TRANSPORT-R. VAN KOMEN</v>
      </c>
    </row>
    <row r="304" spans="1:8" x14ac:dyDescent="0.25">
      <c r="E304" t="str">
        <f>"2018104"</f>
        <v>2018104</v>
      </c>
      <c r="F304" t="str">
        <f>"TRANSPORT-D. SMITH"</f>
        <v>TRANSPORT-D. SMITH</v>
      </c>
      <c r="G304" s="2">
        <v>400</v>
      </c>
      <c r="H304" t="str">
        <f>"TRANSPORT-D. SMITH"</f>
        <v>TRANSPORT-D. SMITH</v>
      </c>
    </row>
    <row r="305" spans="1:8" x14ac:dyDescent="0.25">
      <c r="E305" t="str">
        <f>"2018113"</f>
        <v>2018113</v>
      </c>
      <c r="F305" t="str">
        <f>"TRANSPORT-A. HENDERSON"</f>
        <v>TRANSPORT-A. HENDERSON</v>
      </c>
      <c r="G305" s="2">
        <v>295</v>
      </c>
      <c r="H305" t="str">
        <f>"TRANSPORT-A. HENDERSON"</f>
        <v>TRANSPORT-A. HENDERSON</v>
      </c>
    </row>
    <row r="306" spans="1:8" x14ac:dyDescent="0.25">
      <c r="E306" t="str">
        <f>"2018114"</f>
        <v>2018114</v>
      </c>
      <c r="F306" t="str">
        <f>"TRANSPORT-L. JUAREZ"</f>
        <v>TRANSPORT-L. JUAREZ</v>
      </c>
      <c r="G306" s="2">
        <v>495</v>
      </c>
      <c r="H306" t="str">
        <f>"TRANSPORT-L. JUAREZ"</f>
        <v>TRANSPORT-L. JUAREZ</v>
      </c>
    </row>
    <row r="307" spans="1:8" x14ac:dyDescent="0.25">
      <c r="E307" t="str">
        <f>"2018117"</f>
        <v>2018117</v>
      </c>
      <c r="F307" t="str">
        <f>"TRANSPORT-R.E. LOCKE JR"</f>
        <v>TRANSPORT-R.E. LOCKE JR</v>
      </c>
      <c r="G307" s="2">
        <v>695</v>
      </c>
      <c r="H307" t="str">
        <f>"TRANSPORT-R.E. LOCKE JR"</f>
        <v>TRANSPORT-R.E. LOCKE JR</v>
      </c>
    </row>
    <row r="308" spans="1:8" x14ac:dyDescent="0.25">
      <c r="A308" t="s">
        <v>97</v>
      </c>
      <c r="B308">
        <v>78715</v>
      </c>
      <c r="C308" s="3">
        <v>437.45</v>
      </c>
      <c r="D308" s="1">
        <v>43367</v>
      </c>
      <c r="E308" t="str">
        <f>"1115926"</f>
        <v>1115926</v>
      </c>
      <c r="F308" t="str">
        <f>"INV 1115926"</f>
        <v>INV 1115926</v>
      </c>
      <c r="G308" s="2">
        <v>181.5</v>
      </c>
      <c r="H308" t="str">
        <f>"INV 1115926"</f>
        <v>INV 1115926</v>
      </c>
    </row>
    <row r="309" spans="1:8" x14ac:dyDescent="0.25">
      <c r="E309" t="str">
        <f>"1116460"</f>
        <v>1116460</v>
      </c>
      <c r="F309" t="str">
        <f>"CLIENT ID:5495160A/ANIMAL SERV"</f>
        <v>CLIENT ID:5495160A/ANIMAL SERV</v>
      </c>
      <c r="G309" s="2">
        <v>255.95</v>
      </c>
      <c r="H309" t="str">
        <f>"CLIENT ID:5495160A/ANIMAL SERV"</f>
        <v>CLIENT ID:5495160A/ANIMAL SERV</v>
      </c>
    </row>
    <row r="310" spans="1:8" x14ac:dyDescent="0.25">
      <c r="A310" t="s">
        <v>98</v>
      </c>
      <c r="B310">
        <v>999999</v>
      </c>
      <c r="C310" s="3">
        <v>54.81</v>
      </c>
      <c r="D310" s="1">
        <v>43368</v>
      </c>
      <c r="E310" t="str">
        <f>"6006649669"</f>
        <v>6006649669</v>
      </c>
      <c r="F310" t="str">
        <f>"ACCT#3422853//CORNEAL REP GEL"</f>
        <v>ACCT#3422853//CORNEAL REP GEL</v>
      </c>
      <c r="G310" s="2">
        <v>54.81</v>
      </c>
      <c r="H310" t="str">
        <f>"ACCT#3422853//CORNEAL REP GEL"</f>
        <v>ACCT#3422853//CORNEAL REP GEL</v>
      </c>
    </row>
    <row r="311" spans="1:8" x14ac:dyDescent="0.25">
      <c r="A311" t="s">
        <v>99</v>
      </c>
      <c r="B311">
        <v>999999</v>
      </c>
      <c r="C311" s="3">
        <v>245</v>
      </c>
      <c r="D311" s="1">
        <v>43354</v>
      </c>
      <c r="E311" t="str">
        <f>"201809043270"</f>
        <v>201809043270</v>
      </c>
      <c r="F311" t="str">
        <f>"SERVICES PROVIDED-AUGUST 2018"</f>
        <v>SERVICES PROVIDED-AUGUST 2018</v>
      </c>
      <c r="G311" s="2">
        <v>245</v>
      </c>
      <c r="H311" t="str">
        <f>"SERVICES PROVIDED-AUGUST 2018"</f>
        <v>SERVICES PROVIDED-AUGUST 2018</v>
      </c>
    </row>
    <row r="312" spans="1:8" x14ac:dyDescent="0.25">
      <c r="A312" t="s">
        <v>100</v>
      </c>
      <c r="B312">
        <v>78716</v>
      </c>
      <c r="C312" s="3">
        <v>1725</v>
      </c>
      <c r="D312" s="1">
        <v>43367</v>
      </c>
      <c r="E312" t="str">
        <f>"18302119-01"</f>
        <v>18302119-01</v>
      </c>
      <c r="F312" t="str">
        <f>"INV 18302119-01"</f>
        <v>INV 18302119-01</v>
      </c>
      <c r="G312" s="2">
        <v>725</v>
      </c>
      <c r="H312" t="str">
        <f>"INV 18302119-01"</f>
        <v>INV 18302119-01</v>
      </c>
    </row>
    <row r="313" spans="1:8" x14ac:dyDescent="0.25">
      <c r="E313" t="str">
        <f>"18302121-01"</f>
        <v>18302121-01</v>
      </c>
      <c r="F313" t="str">
        <f>"INV 18302121-01"</f>
        <v>INV 18302121-01</v>
      </c>
      <c r="G313" s="2">
        <v>1000</v>
      </c>
      <c r="H313" t="str">
        <f>"INV 18302121-01"</f>
        <v>INV 18302121-01</v>
      </c>
    </row>
    <row r="314" spans="1:8" x14ac:dyDescent="0.25">
      <c r="A314" t="s">
        <v>101</v>
      </c>
      <c r="B314">
        <v>78508</v>
      </c>
      <c r="C314" s="3">
        <v>2340.2600000000002</v>
      </c>
      <c r="D314" s="1">
        <v>43353</v>
      </c>
      <c r="E314" t="str">
        <f>"74785929 74793495"</f>
        <v>74785929 74793495</v>
      </c>
      <c r="F314" t="str">
        <f>"INV 74785929/74793495"</f>
        <v>INV 74785929/74793495</v>
      </c>
      <c r="G314" s="2">
        <v>2340.2600000000002</v>
      </c>
      <c r="H314" t="str">
        <f>"INV 74785929"</f>
        <v>INV 74785929</v>
      </c>
    </row>
    <row r="315" spans="1:8" x14ac:dyDescent="0.25">
      <c r="E315" t="str">
        <f>""</f>
        <v/>
      </c>
      <c r="F315" t="str">
        <f>""</f>
        <v/>
      </c>
      <c r="H315" t="str">
        <f>"INV 74793495"</f>
        <v>INV 74793495</v>
      </c>
    </row>
    <row r="316" spans="1:8" x14ac:dyDescent="0.25">
      <c r="A316" t="s">
        <v>101</v>
      </c>
      <c r="B316">
        <v>78717</v>
      </c>
      <c r="C316" s="3">
        <v>2718.15</v>
      </c>
      <c r="D316" s="1">
        <v>43367</v>
      </c>
      <c r="E316" t="str">
        <f>"201809183831"</f>
        <v>201809183831</v>
      </c>
      <c r="F316" t="str">
        <f>"INV 74778324"</f>
        <v>INV 74778324</v>
      </c>
      <c r="G316" s="2">
        <v>2718.15</v>
      </c>
      <c r="H316" t="str">
        <f>"INV 74778324"</f>
        <v>INV 74778324</v>
      </c>
    </row>
    <row r="317" spans="1:8" x14ac:dyDescent="0.25">
      <c r="E317" t="str">
        <f>""</f>
        <v/>
      </c>
      <c r="F317" t="str">
        <f>""</f>
        <v/>
      </c>
      <c r="H317" t="str">
        <f>"INV 74800871"</f>
        <v>INV 74800871</v>
      </c>
    </row>
    <row r="318" spans="1:8" x14ac:dyDescent="0.25">
      <c r="E318" t="str">
        <f>""</f>
        <v/>
      </c>
      <c r="F318" t="str">
        <f>""</f>
        <v/>
      </c>
      <c r="H318" t="str">
        <f>"INV 74808256"</f>
        <v>INV 74808256</v>
      </c>
    </row>
    <row r="319" spans="1:8" x14ac:dyDescent="0.25">
      <c r="E319" t="str">
        <f>""</f>
        <v/>
      </c>
      <c r="F319" t="str">
        <f>""</f>
        <v/>
      </c>
      <c r="H319" t="str">
        <f>"INV 74815763"</f>
        <v>INV 74815763</v>
      </c>
    </row>
    <row r="320" spans="1:8" x14ac:dyDescent="0.25">
      <c r="A320" t="s">
        <v>102</v>
      </c>
      <c r="B320">
        <v>78718</v>
      </c>
      <c r="C320" s="3">
        <v>180</v>
      </c>
      <c r="D320" s="1">
        <v>43367</v>
      </c>
      <c r="E320" t="str">
        <f>"823183"</f>
        <v>823183</v>
      </c>
      <c r="F320" t="str">
        <f>"INV 823183"</f>
        <v>INV 823183</v>
      </c>
      <c r="G320" s="2">
        <v>180</v>
      </c>
      <c r="H320" t="str">
        <f>"INV 823183"</f>
        <v>INV 823183</v>
      </c>
    </row>
    <row r="321" spans="1:8" x14ac:dyDescent="0.25">
      <c r="A321" t="s">
        <v>103</v>
      </c>
      <c r="B321">
        <v>999999</v>
      </c>
      <c r="C321" s="3">
        <v>3628.36</v>
      </c>
      <c r="D321" s="1">
        <v>43368</v>
      </c>
      <c r="E321" t="str">
        <f>"241731-00"</f>
        <v>241731-00</v>
      </c>
      <c r="F321" t="str">
        <f>"INV 241731-00"</f>
        <v>INV 241731-00</v>
      </c>
      <c r="G321" s="2">
        <v>3628.36</v>
      </c>
      <c r="H321" t="str">
        <f>"INV 241731-00"</f>
        <v>INV 241731-00</v>
      </c>
    </row>
    <row r="322" spans="1:8" x14ac:dyDescent="0.25">
      <c r="A322" t="s">
        <v>104</v>
      </c>
      <c r="B322">
        <v>78719</v>
      </c>
      <c r="C322" s="3">
        <v>141.97</v>
      </c>
      <c r="D322" s="1">
        <v>43367</v>
      </c>
      <c r="E322" t="str">
        <f>"3377276"</f>
        <v>3377276</v>
      </c>
      <c r="F322" t="str">
        <f>"INV 3377276"</f>
        <v>INV 3377276</v>
      </c>
      <c r="G322" s="2">
        <v>141.97</v>
      </c>
      <c r="H322" t="str">
        <f>"INV 3377276"</f>
        <v>INV 3377276</v>
      </c>
    </row>
    <row r="323" spans="1:8" x14ac:dyDescent="0.25">
      <c r="A323" t="s">
        <v>105</v>
      </c>
      <c r="B323">
        <v>78509</v>
      </c>
      <c r="C323" s="3">
        <v>3338.37</v>
      </c>
      <c r="D323" s="1">
        <v>43353</v>
      </c>
      <c r="E323" t="str">
        <f>"23888"</f>
        <v>23888</v>
      </c>
      <c r="F323" t="str">
        <f>"INV 23888"</f>
        <v>INV 23888</v>
      </c>
      <c r="G323" s="2">
        <v>3338.37</v>
      </c>
      <c r="H323" t="str">
        <f>"INV 23888"</f>
        <v>INV 23888</v>
      </c>
    </row>
    <row r="324" spans="1:8" x14ac:dyDescent="0.25">
      <c r="A324" t="s">
        <v>106</v>
      </c>
      <c r="B324">
        <v>78720</v>
      </c>
      <c r="C324" s="3">
        <v>75</v>
      </c>
      <c r="D324" s="1">
        <v>43367</v>
      </c>
      <c r="E324" t="str">
        <f>"12997"</f>
        <v>12997</v>
      </c>
      <c r="F324" t="str">
        <f>"SERVICE"</f>
        <v>SERVICE</v>
      </c>
      <c r="G324" s="2">
        <v>75</v>
      </c>
      <c r="H324" t="str">
        <f>"SERVICE"</f>
        <v>SERVICE</v>
      </c>
    </row>
    <row r="325" spans="1:8" x14ac:dyDescent="0.25">
      <c r="A325" t="s">
        <v>107</v>
      </c>
      <c r="B325">
        <v>999999</v>
      </c>
      <c r="C325" s="3">
        <v>840</v>
      </c>
      <c r="D325" s="1">
        <v>43368</v>
      </c>
      <c r="E325" t="str">
        <f>"107431"</f>
        <v>107431</v>
      </c>
      <c r="F325" t="str">
        <f>"CLIENT:001309/MATTER:000028"</f>
        <v>CLIENT:001309/MATTER:000028</v>
      </c>
      <c r="G325" s="2">
        <v>840</v>
      </c>
      <c r="H325" t="str">
        <f>"CLIENT:001309/MATTER:000028"</f>
        <v>CLIENT:001309/MATTER:000028</v>
      </c>
    </row>
    <row r="326" spans="1:8" x14ac:dyDescent="0.25">
      <c r="A326" t="s">
        <v>108</v>
      </c>
      <c r="B326">
        <v>999999</v>
      </c>
      <c r="C326" s="3">
        <v>181.07</v>
      </c>
      <c r="D326" s="1">
        <v>43354</v>
      </c>
      <c r="E326" t="str">
        <f>"201809053297"</f>
        <v>201809053297</v>
      </c>
      <c r="F326" t="str">
        <f>"MORNING DOCKET 08/27/18"</f>
        <v>MORNING DOCKET 08/27/18</v>
      </c>
      <c r="G326" s="2">
        <v>181.07</v>
      </c>
      <c r="H326" t="str">
        <f>"MORNING DOCKET 08/27/18"</f>
        <v>MORNING DOCKET 08/27/18</v>
      </c>
    </row>
    <row r="327" spans="1:8" x14ac:dyDescent="0.25">
      <c r="A327" t="s">
        <v>109</v>
      </c>
      <c r="B327">
        <v>78510</v>
      </c>
      <c r="C327" s="3">
        <v>1063.76</v>
      </c>
      <c r="D327" s="1">
        <v>43353</v>
      </c>
      <c r="E327" t="str">
        <f>"84078934217/95/66"</f>
        <v>84078934217/95/66</v>
      </c>
      <c r="F327" t="str">
        <f>"INV 84078934217/840789..."</f>
        <v>INV 84078934217/840789...</v>
      </c>
      <c r="G327" s="2">
        <v>1063.76</v>
      </c>
      <c r="H327" t="str">
        <f>"INV 84078934217"</f>
        <v>INV 84078934217</v>
      </c>
    </row>
    <row r="328" spans="1:8" x14ac:dyDescent="0.25">
      <c r="E328" t="str">
        <f>""</f>
        <v/>
      </c>
      <c r="F328" t="str">
        <f>""</f>
        <v/>
      </c>
      <c r="H328" t="str">
        <f>"INV 84078934295"</f>
        <v>INV 84078934295</v>
      </c>
    </row>
    <row r="329" spans="1:8" x14ac:dyDescent="0.25">
      <c r="E329" t="str">
        <f>""</f>
        <v/>
      </c>
      <c r="F329" t="str">
        <f>""</f>
        <v/>
      </c>
      <c r="H329" t="str">
        <f>"INV 84078934266"</f>
        <v>INV 84078934266</v>
      </c>
    </row>
    <row r="330" spans="1:8" x14ac:dyDescent="0.25">
      <c r="A330" t="s">
        <v>109</v>
      </c>
      <c r="B330">
        <v>78721</v>
      </c>
      <c r="C330" s="3">
        <v>521.04</v>
      </c>
      <c r="D330" s="1">
        <v>43367</v>
      </c>
      <c r="E330" t="str">
        <f>"084078934378 84078"</f>
        <v>084078934378 84078</v>
      </c>
      <c r="F330" t="str">
        <f>"INV 084078934378"</f>
        <v>INV 084078934378</v>
      </c>
      <c r="G330" s="2">
        <v>521.04</v>
      </c>
      <c r="H330" t="str">
        <f>"INV 084078934378"</f>
        <v>INV 084078934378</v>
      </c>
    </row>
    <row r="331" spans="1:8" x14ac:dyDescent="0.25">
      <c r="E331" t="str">
        <f>""</f>
        <v/>
      </c>
      <c r="F331" t="str">
        <f>""</f>
        <v/>
      </c>
      <c r="H331" t="str">
        <f>"INV 84078934462"</f>
        <v>INV 84078934462</v>
      </c>
    </row>
    <row r="332" spans="1:8" x14ac:dyDescent="0.25">
      <c r="A332" t="s">
        <v>110</v>
      </c>
      <c r="B332">
        <v>999999</v>
      </c>
      <c r="C332" s="3">
        <v>750</v>
      </c>
      <c r="D332" s="1">
        <v>43354</v>
      </c>
      <c r="E332" t="str">
        <f>"201809053351"</f>
        <v>201809053351</v>
      </c>
      <c r="F332" t="str">
        <f>"52 355"</f>
        <v>52 355</v>
      </c>
      <c r="G332" s="2">
        <v>250</v>
      </c>
      <c r="H332" t="str">
        <f>"52 355"</f>
        <v>52 355</v>
      </c>
    </row>
    <row r="333" spans="1:8" x14ac:dyDescent="0.25">
      <c r="E333" t="str">
        <f>"201809053352"</f>
        <v>201809053352</v>
      </c>
      <c r="F333" t="str">
        <f>"56 355"</f>
        <v>56 355</v>
      </c>
      <c r="G333" s="2">
        <v>250</v>
      </c>
      <c r="H333" t="str">
        <f>"56 355"</f>
        <v>56 355</v>
      </c>
    </row>
    <row r="334" spans="1:8" x14ac:dyDescent="0.25">
      <c r="E334" t="str">
        <f>"201809053353"</f>
        <v>201809053353</v>
      </c>
      <c r="F334" t="str">
        <f>"304020188 929-349-1655 A001"</f>
        <v>304020188 929-349-1655 A001</v>
      </c>
      <c r="G334" s="2">
        <v>250</v>
      </c>
      <c r="H334" t="str">
        <f>"304020188 929-349-1655 A001"</f>
        <v>304020188 929-349-1655 A001</v>
      </c>
    </row>
    <row r="335" spans="1:8" x14ac:dyDescent="0.25">
      <c r="A335" t="s">
        <v>110</v>
      </c>
      <c r="B335">
        <v>999999</v>
      </c>
      <c r="C335" s="3">
        <v>1613.9</v>
      </c>
      <c r="D335" s="1">
        <v>43368</v>
      </c>
      <c r="E335" t="str">
        <f>"201809123706"</f>
        <v>201809123706</v>
      </c>
      <c r="F335" t="str">
        <f>"18-19166"</f>
        <v>18-19166</v>
      </c>
      <c r="G335" s="2">
        <v>202.52</v>
      </c>
      <c r="H335" t="str">
        <f>"18-19166"</f>
        <v>18-19166</v>
      </c>
    </row>
    <row r="336" spans="1:8" x14ac:dyDescent="0.25">
      <c r="E336" t="str">
        <f>"201809123707"</f>
        <v>201809123707</v>
      </c>
      <c r="F336" t="str">
        <f>"18-19235"</f>
        <v>18-19235</v>
      </c>
      <c r="G336" s="2">
        <v>100</v>
      </c>
      <c r="H336" t="str">
        <f>"18-19235"</f>
        <v>18-19235</v>
      </c>
    </row>
    <row r="337" spans="1:9" x14ac:dyDescent="0.25">
      <c r="E337" t="str">
        <f>"201809183843"</f>
        <v>201809183843</v>
      </c>
      <c r="F337" t="str">
        <f>"423-5075"</f>
        <v>423-5075</v>
      </c>
      <c r="G337" s="2">
        <v>1311.38</v>
      </c>
      <c r="H337" t="str">
        <f>"423-5075"</f>
        <v>423-5075</v>
      </c>
    </row>
    <row r="338" spans="1:9" x14ac:dyDescent="0.25">
      <c r="A338" t="s">
        <v>111</v>
      </c>
      <c r="B338">
        <v>78722</v>
      </c>
      <c r="C338" s="3">
        <v>360.16</v>
      </c>
      <c r="D338" s="1">
        <v>43367</v>
      </c>
      <c r="E338" t="str">
        <f>"201809123698"</f>
        <v>201809123698</v>
      </c>
      <c r="F338" t="str">
        <f>"CRIME STOPPERS FEES AUGUST 18"</f>
        <v>CRIME STOPPERS FEES AUGUST 18</v>
      </c>
      <c r="G338" s="2">
        <v>360.16</v>
      </c>
      <c r="H338" t="str">
        <f>"CRIME STOPPERS FEES AUGUST 18"</f>
        <v>CRIME STOPPERS FEES AUGUST 18</v>
      </c>
    </row>
    <row r="339" spans="1:9" x14ac:dyDescent="0.25">
      <c r="A339" t="s">
        <v>112</v>
      </c>
      <c r="B339">
        <v>78511</v>
      </c>
      <c r="C339" s="3">
        <v>300</v>
      </c>
      <c r="D339" s="1">
        <v>43353</v>
      </c>
      <c r="E339" t="s">
        <v>52</v>
      </c>
      <c r="F339" t="s">
        <v>113</v>
      </c>
      <c r="G339" s="2" t="str">
        <f>"RESTITUTION-P. BOATMAN"</f>
        <v>RESTITUTION-P. BOATMAN</v>
      </c>
      <c r="H339" t="str">
        <f>"210-0000"</f>
        <v>210-0000</v>
      </c>
      <c r="I339" t="str">
        <f>""</f>
        <v/>
      </c>
    </row>
    <row r="340" spans="1:9" x14ac:dyDescent="0.25">
      <c r="A340" t="s">
        <v>114</v>
      </c>
      <c r="B340">
        <v>78679</v>
      </c>
      <c r="C340" s="3">
        <v>3801.47</v>
      </c>
      <c r="D340" s="1">
        <v>43356</v>
      </c>
      <c r="E340" t="str">
        <f>"201809133752"</f>
        <v>201809133752</v>
      </c>
      <c r="F340" t="str">
        <f>"ACCT#5000057374 / 09042018"</f>
        <v>ACCT#5000057374 / 09042018</v>
      </c>
      <c r="G340" s="2">
        <v>3801.47</v>
      </c>
      <c r="H340" t="str">
        <f>"ACCT#5000057374 / 09042018"</f>
        <v>ACCT#5000057374 / 09042018</v>
      </c>
    </row>
    <row r="341" spans="1:9" x14ac:dyDescent="0.25">
      <c r="E341" t="str">
        <f>""</f>
        <v/>
      </c>
      <c r="F341" t="str">
        <f>""</f>
        <v/>
      </c>
      <c r="H341" t="str">
        <f>"ACCT#5000057374 / 09042018"</f>
        <v>ACCT#5000057374 / 09042018</v>
      </c>
    </row>
    <row r="342" spans="1:9" x14ac:dyDescent="0.25">
      <c r="E342" t="str">
        <f>""</f>
        <v/>
      </c>
      <c r="F342" t="str">
        <f>""</f>
        <v/>
      </c>
      <c r="H342" t="str">
        <f>"ACCT#5000057374 / 09042018"</f>
        <v>ACCT#5000057374 / 09042018</v>
      </c>
    </row>
    <row r="343" spans="1:9" x14ac:dyDescent="0.25">
      <c r="E343" t="str">
        <f>""</f>
        <v/>
      </c>
      <c r="F343" t="str">
        <f>""</f>
        <v/>
      </c>
      <c r="H343" t="str">
        <f>"ACCT#5000057374 / 09042018"</f>
        <v>ACCT#5000057374 / 09042018</v>
      </c>
    </row>
    <row r="344" spans="1:9" x14ac:dyDescent="0.25">
      <c r="A344" t="s">
        <v>115</v>
      </c>
      <c r="B344">
        <v>999999</v>
      </c>
      <c r="C344" s="3">
        <v>20106.46</v>
      </c>
      <c r="D344" s="1">
        <v>43368</v>
      </c>
      <c r="E344" t="str">
        <f>"201809133757"</f>
        <v>201809133757</v>
      </c>
      <c r="F344" t="str">
        <f>"GRANT REIMBURSEMENT"</f>
        <v>GRANT REIMBURSEMENT</v>
      </c>
      <c r="G344" s="2">
        <v>19031.46</v>
      </c>
      <c r="H344" t="str">
        <f>"GRANT REIMBURSEMENT"</f>
        <v>GRANT REIMBURSEMENT</v>
      </c>
    </row>
    <row r="345" spans="1:9" x14ac:dyDescent="0.25">
      <c r="E345" t="str">
        <f>"25-08-2018"</f>
        <v>25-08-2018</v>
      </c>
      <c r="F345" t="str">
        <f>"INV 25-08-2018"</f>
        <v>INV 25-08-2018</v>
      </c>
      <c r="G345" s="2">
        <v>1075</v>
      </c>
      <c r="H345" t="str">
        <f>"INV 25-08-2018"</f>
        <v>INV 25-08-2018</v>
      </c>
    </row>
    <row r="346" spans="1:9" x14ac:dyDescent="0.25">
      <c r="A346" t="s">
        <v>116</v>
      </c>
      <c r="B346">
        <v>78512</v>
      </c>
      <c r="C346" s="3">
        <v>4447.04</v>
      </c>
      <c r="D346" s="1">
        <v>43353</v>
      </c>
      <c r="E346" t="str">
        <f>"201809053405"</f>
        <v>201809053405</v>
      </c>
      <c r="F346" t="str">
        <f>"INV 8559 / UNIT 7280"</f>
        <v>INV 8559 / UNIT 7280</v>
      </c>
      <c r="G346" s="2">
        <v>1119.1199999999999</v>
      </c>
      <c r="H346" t="str">
        <f>"INV 8559 / UNIT 7280"</f>
        <v>INV 8559 / UNIT 7280</v>
      </c>
    </row>
    <row r="347" spans="1:9" x14ac:dyDescent="0.25">
      <c r="E347" t="str">
        <f>""</f>
        <v/>
      </c>
      <c r="F347" t="str">
        <f>""</f>
        <v/>
      </c>
      <c r="H347" t="str">
        <f>"INV 8560 / UNIT 4045"</f>
        <v>INV 8560 / UNIT 4045</v>
      </c>
    </row>
    <row r="348" spans="1:9" x14ac:dyDescent="0.25">
      <c r="E348" t="str">
        <f>""</f>
        <v/>
      </c>
      <c r="F348" t="str">
        <f>""</f>
        <v/>
      </c>
      <c r="H348" t="str">
        <f>"INV 8561 / UNIT 4717"</f>
        <v>INV 8561 / UNIT 4717</v>
      </c>
    </row>
    <row r="349" spans="1:9" x14ac:dyDescent="0.25">
      <c r="E349" t="str">
        <f>""</f>
        <v/>
      </c>
      <c r="F349" t="str">
        <f>""</f>
        <v/>
      </c>
      <c r="H349" t="str">
        <f>"INV 8564 / UNIT 4111"</f>
        <v>INV 8564 / UNIT 4111</v>
      </c>
    </row>
    <row r="350" spans="1:9" x14ac:dyDescent="0.25">
      <c r="E350" t="str">
        <f>""</f>
        <v/>
      </c>
      <c r="F350" t="str">
        <f>""</f>
        <v/>
      </c>
      <c r="H350" t="str">
        <f>"INV 8566 / UNIT 1079"</f>
        <v>INV 8566 / UNIT 1079</v>
      </c>
    </row>
    <row r="351" spans="1:9" x14ac:dyDescent="0.25">
      <c r="E351" t="str">
        <f>""</f>
        <v/>
      </c>
      <c r="F351" t="str">
        <f>""</f>
        <v/>
      </c>
      <c r="H351" t="str">
        <f>"INV 8572 / UNIT 6492"</f>
        <v>INV 8572 / UNIT 6492</v>
      </c>
    </row>
    <row r="352" spans="1:9" x14ac:dyDescent="0.25">
      <c r="E352" t="str">
        <f>""</f>
        <v/>
      </c>
      <c r="F352" t="str">
        <f>""</f>
        <v/>
      </c>
      <c r="H352" t="str">
        <f>"INV 8583 / UNIT 6556"</f>
        <v>INV 8583 / UNIT 6556</v>
      </c>
    </row>
    <row r="353" spans="5:8" x14ac:dyDescent="0.25">
      <c r="E353" t="str">
        <f>""</f>
        <v/>
      </c>
      <c r="F353" t="str">
        <f>""</f>
        <v/>
      </c>
      <c r="H353" t="str">
        <f>"INV 8594 / UNIT 6554"</f>
        <v>INV 8594 / UNIT 6554</v>
      </c>
    </row>
    <row r="354" spans="5:8" x14ac:dyDescent="0.25">
      <c r="E354" t="str">
        <f>""</f>
        <v/>
      </c>
      <c r="F354" t="str">
        <f>""</f>
        <v/>
      </c>
      <c r="H354" t="str">
        <f>"INV 8603 / UNIT 4362"</f>
        <v>INV 8603 / UNIT 4362</v>
      </c>
    </row>
    <row r="355" spans="5:8" x14ac:dyDescent="0.25">
      <c r="E355" t="str">
        <f>""</f>
        <v/>
      </c>
      <c r="F355" t="str">
        <f>""</f>
        <v/>
      </c>
      <c r="H355" t="str">
        <f>"INV 8610 / UNIT 0417"</f>
        <v>INV 8610 / UNIT 0417</v>
      </c>
    </row>
    <row r="356" spans="5:8" x14ac:dyDescent="0.25">
      <c r="E356" t="str">
        <f>""</f>
        <v/>
      </c>
      <c r="F356" t="str">
        <f>""</f>
        <v/>
      </c>
      <c r="H356" t="str">
        <f>"INV 8625 / UNIT 0117"</f>
        <v>INV 8625 / UNIT 0117</v>
      </c>
    </row>
    <row r="357" spans="5:8" x14ac:dyDescent="0.25">
      <c r="E357" t="str">
        <f>""</f>
        <v/>
      </c>
      <c r="F357" t="str">
        <f>""</f>
        <v/>
      </c>
      <c r="H357" t="str">
        <f>"INV 8635 / UNIT 80"</f>
        <v>INV 8635 / UNIT 80</v>
      </c>
    </row>
    <row r="358" spans="5:8" x14ac:dyDescent="0.25">
      <c r="E358" t="str">
        <f>""</f>
        <v/>
      </c>
      <c r="F358" t="str">
        <f>""</f>
        <v/>
      </c>
      <c r="H358" t="str">
        <f>"INV 8653 / UNIT 1665"</f>
        <v>INV 8653 / UNIT 1665</v>
      </c>
    </row>
    <row r="359" spans="5:8" x14ac:dyDescent="0.25">
      <c r="E359" t="str">
        <f>""</f>
        <v/>
      </c>
      <c r="F359" t="str">
        <f>""</f>
        <v/>
      </c>
      <c r="H359" t="str">
        <f>"INV 8656 / UNIT 9458"</f>
        <v>INV 8656 / UNIT 9458</v>
      </c>
    </row>
    <row r="360" spans="5:8" x14ac:dyDescent="0.25">
      <c r="E360" t="str">
        <f>""</f>
        <v/>
      </c>
      <c r="F360" t="str">
        <f>""</f>
        <v/>
      </c>
      <c r="H360" t="str">
        <f>"INV 8663 / UNIT 6557"</f>
        <v>INV 8663 / UNIT 6557</v>
      </c>
    </row>
    <row r="361" spans="5:8" x14ac:dyDescent="0.25">
      <c r="E361" t="str">
        <f>""</f>
        <v/>
      </c>
      <c r="F361" t="str">
        <f>""</f>
        <v/>
      </c>
      <c r="H361" t="str">
        <f>"INV 8682 / UNIT 6486"</f>
        <v>INV 8682 / UNIT 6486</v>
      </c>
    </row>
    <row r="362" spans="5:8" x14ac:dyDescent="0.25">
      <c r="E362" t="str">
        <f>""</f>
        <v/>
      </c>
      <c r="F362" t="str">
        <f>""</f>
        <v/>
      </c>
      <c r="H362" t="str">
        <f>"INV 8685 / UNIT 4718"</f>
        <v>INV 8685 / UNIT 4718</v>
      </c>
    </row>
    <row r="363" spans="5:8" x14ac:dyDescent="0.25">
      <c r="E363" t="str">
        <f>""</f>
        <v/>
      </c>
      <c r="F363" t="str">
        <f>""</f>
        <v/>
      </c>
      <c r="H363" t="str">
        <f>"INV 8697 / UNIT 1630"</f>
        <v>INV 8697 / UNIT 1630</v>
      </c>
    </row>
    <row r="364" spans="5:8" x14ac:dyDescent="0.25">
      <c r="E364" t="str">
        <f>""</f>
        <v/>
      </c>
      <c r="F364" t="str">
        <f>""</f>
        <v/>
      </c>
      <c r="H364" t="str">
        <f>"INV 8708 / UNIT 125"</f>
        <v>INV 8708 / UNIT 125</v>
      </c>
    </row>
    <row r="365" spans="5:8" x14ac:dyDescent="0.25">
      <c r="E365" t="str">
        <f>""</f>
        <v/>
      </c>
      <c r="F365" t="str">
        <f>""</f>
        <v/>
      </c>
      <c r="H365" t="str">
        <f>"INV 8714 / UNIT 119"</f>
        <v>INV 8714 / UNIT 119</v>
      </c>
    </row>
    <row r="366" spans="5:8" x14ac:dyDescent="0.25">
      <c r="E366" t="str">
        <f>""</f>
        <v/>
      </c>
      <c r="F366" t="str">
        <f>""</f>
        <v/>
      </c>
      <c r="H366" t="str">
        <f>"INV 8719 / UNIT 1663"</f>
        <v>INV 8719 / UNIT 1663</v>
      </c>
    </row>
    <row r="367" spans="5:8" x14ac:dyDescent="0.25">
      <c r="E367" t="str">
        <f>""</f>
        <v/>
      </c>
      <c r="F367" t="str">
        <f>""</f>
        <v/>
      </c>
      <c r="H367" t="str">
        <f>"INV 4354 / UNIT 8968"</f>
        <v>INV 4354 / UNIT 8968</v>
      </c>
    </row>
    <row r="368" spans="5:8" x14ac:dyDescent="0.25">
      <c r="E368" t="str">
        <f>"725288"</f>
        <v>725288</v>
      </c>
      <c r="F368" t="str">
        <f>"INV 725288 / UNIT 4111"</f>
        <v>INV 725288 / UNIT 4111</v>
      </c>
      <c r="G368" s="2">
        <v>171.1</v>
      </c>
      <c r="H368" t="str">
        <f>"INV 725288 / UNIT 4111"</f>
        <v>INV 725288 / UNIT 4111</v>
      </c>
    </row>
    <row r="369" spans="1:8" x14ac:dyDescent="0.25">
      <c r="E369" t="str">
        <f>"8575"</f>
        <v>8575</v>
      </c>
      <c r="F369" t="str">
        <f>"INV 8575 / UNIT 0117"</f>
        <v>INV 8575 / UNIT 0117</v>
      </c>
      <c r="G369" s="2">
        <v>495.4</v>
      </c>
      <c r="H369" t="str">
        <f>"INV 8575 / UNIT 0117"</f>
        <v>INV 8575 / UNIT 0117</v>
      </c>
    </row>
    <row r="370" spans="1:8" x14ac:dyDescent="0.25">
      <c r="E370" t="str">
        <f>"8614/UNIT 0118"</f>
        <v>8614/UNIT 0118</v>
      </c>
      <c r="F370" t="str">
        <f>"INV 8614 / UNIT 0118"</f>
        <v>INV 8614 / UNIT 0118</v>
      </c>
      <c r="G370" s="2">
        <v>1044.06</v>
      </c>
      <c r="H370" t="str">
        <f>"INV 8614 / UNIT 0118"</f>
        <v>INV 8614 / UNIT 0118</v>
      </c>
    </row>
    <row r="371" spans="1:8" x14ac:dyDescent="0.25">
      <c r="E371" t="str">
        <f>"8634"</f>
        <v>8634</v>
      </c>
      <c r="F371" t="str">
        <f>"INV 8634 / UNIT 6424"</f>
        <v>INV 8634 / UNIT 6424</v>
      </c>
      <c r="G371" s="2">
        <v>71.88</v>
      </c>
      <c r="H371" t="str">
        <f>"INV 8634 / UNIT 6424"</f>
        <v>INV 8634 / UNIT 6424</v>
      </c>
    </row>
    <row r="372" spans="1:8" x14ac:dyDescent="0.25">
      <c r="E372" t="str">
        <f>"8646"</f>
        <v>8646</v>
      </c>
      <c r="F372" t="str">
        <f>"INV 8646 / UNIT 4719"</f>
        <v>INV 8646 / UNIT 4719</v>
      </c>
      <c r="G372" s="2">
        <v>437.75</v>
      </c>
      <c r="H372" t="str">
        <f>"INV 8646 / UNIT 4719"</f>
        <v>INV 8646 / UNIT 4719</v>
      </c>
    </row>
    <row r="373" spans="1:8" x14ac:dyDescent="0.25">
      <c r="E373" t="str">
        <f>"8695"</f>
        <v>8695</v>
      </c>
      <c r="F373" t="str">
        <f>"INV 8695 / UNIT 81"</f>
        <v>INV 8695 / UNIT 81</v>
      </c>
      <c r="G373" s="2">
        <v>247.2</v>
      </c>
      <c r="H373" t="str">
        <f>"INV 8695 / UNIT 81"</f>
        <v>INV 8695 / UNIT 81</v>
      </c>
    </row>
    <row r="374" spans="1:8" x14ac:dyDescent="0.25">
      <c r="E374" t="str">
        <f>"8700"</f>
        <v>8700</v>
      </c>
      <c r="F374" t="str">
        <f>"INV 8700 / UNIT 6550"</f>
        <v>INV 8700 / UNIT 6550</v>
      </c>
      <c r="G374" s="2">
        <v>729.95</v>
      </c>
      <c r="H374" t="str">
        <f>"INV 8700 / UNIT 6550"</f>
        <v>INV 8700 / UNIT 6550</v>
      </c>
    </row>
    <row r="375" spans="1:8" x14ac:dyDescent="0.25">
      <c r="E375" t="str">
        <f>"8713"</f>
        <v>8713</v>
      </c>
      <c r="F375" t="str">
        <f>"INV 8713 / UNIT 119"</f>
        <v>INV 8713 / UNIT 119</v>
      </c>
      <c r="G375" s="2">
        <v>130.58000000000001</v>
      </c>
      <c r="H375" t="str">
        <f>"INV 8713 / UNIT 119"</f>
        <v>INV 8713 / UNIT 119</v>
      </c>
    </row>
    <row r="376" spans="1:8" x14ac:dyDescent="0.25">
      <c r="A376" t="s">
        <v>116</v>
      </c>
      <c r="B376">
        <v>78723</v>
      </c>
      <c r="C376" s="3">
        <v>1313.44</v>
      </c>
      <c r="D376" s="1">
        <v>43367</v>
      </c>
      <c r="E376" t="str">
        <f>"8481"</f>
        <v>8481</v>
      </c>
      <c r="F376" t="str">
        <f>"2014 FORD/GEN SVCS"</f>
        <v>2014 FORD/GEN SVCS</v>
      </c>
      <c r="G376" s="2">
        <v>238.75</v>
      </c>
      <c r="H376" t="str">
        <f>"2014 FORD/GEN SVCS"</f>
        <v>2014 FORD/GEN SVCS</v>
      </c>
    </row>
    <row r="377" spans="1:8" x14ac:dyDescent="0.25">
      <c r="E377" t="str">
        <f>"8701"</f>
        <v>8701</v>
      </c>
      <c r="F377" t="str">
        <f>"INV 8701 / UNIT 1629"</f>
        <v>INV 8701 / UNIT 1629</v>
      </c>
      <c r="G377" s="2">
        <v>522.16</v>
      </c>
      <c r="H377" t="str">
        <f>"INV 8701 / UNIT 1629"</f>
        <v>INV 8701 / UNIT 1629</v>
      </c>
    </row>
    <row r="378" spans="1:8" x14ac:dyDescent="0.25">
      <c r="E378" t="str">
        <f>"8761"</f>
        <v>8761</v>
      </c>
      <c r="F378" t="str">
        <f>"2015 FORD F250 BRAKES/OIL CHNG"</f>
        <v>2015 FORD F250 BRAKES/OIL CHNG</v>
      </c>
      <c r="G378" s="2">
        <v>552.53</v>
      </c>
      <c r="H378" t="str">
        <f>"2015 FORD F250 BRAKES/OIL CHNG"</f>
        <v>2015 FORD F250 BRAKES/OIL CHNG</v>
      </c>
    </row>
    <row r="379" spans="1:8" x14ac:dyDescent="0.25">
      <c r="A379" t="s">
        <v>117</v>
      </c>
      <c r="B379">
        <v>78513</v>
      </c>
      <c r="C379" s="3">
        <v>52733.7</v>
      </c>
      <c r="D379" s="1">
        <v>43353</v>
      </c>
      <c r="E379" t="str">
        <f>"95899"</f>
        <v>95899</v>
      </c>
      <c r="F379" t="str">
        <f>"ACCT#1268/PCT#3"</f>
        <v>ACCT#1268/PCT#3</v>
      </c>
      <c r="G379" s="2">
        <v>39917.919999999998</v>
      </c>
      <c r="H379" t="str">
        <f>"ACCT#1268/PCT#3"</f>
        <v>ACCT#1268/PCT#3</v>
      </c>
    </row>
    <row r="380" spans="1:8" x14ac:dyDescent="0.25">
      <c r="E380" t="str">
        <f>"95900"</f>
        <v>95900</v>
      </c>
      <c r="F380" t="str">
        <f>"ACCT#1268/PCT#3"</f>
        <v>ACCT#1268/PCT#3</v>
      </c>
      <c r="G380" s="2">
        <v>12815.78</v>
      </c>
      <c r="H380" t="str">
        <f>"ACCT#1268/PCT#3"</f>
        <v>ACCT#1268/PCT#3</v>
      </c>
    </row>
    <row r="381" spans="1:8" x14ac:dyDescent="0.25">
      <c r="A381" t="s">
        <v>117</v>
      </c>
      <c r="B381">
        <v>78724</v>
      </c>
      <c r="C381" s="3">
        <v>47763.91</v>
      </c>
      <c r="D381" s="1">
        <v>43367</v>
      </c>
      <c r="E381" t="str">
        <f>"96042"</f>
        <v>96042</v>
      </c>
      <c r="F381" t="str">
        <f>"ACCT#1268/PCT#3"</f>
        <v>ACCT#1268/PCT#3</v>
      </c>
      <c r="G381" s="2">
        <v>47763.91</v>
      </c>
      <c r="H381" t="str">
        <f>"ACCT#1268/PCT#3"</f>
        <v>ACCT#1268/PCT#3</v>
      </c>
    </row>
    <row r="382" spans="1:8" x14ac:dyDescent="0.25">
      <c r="A382" t="s">
        <v>118</v>
      </c>
      <c r="B382">
        <v>999999</v>
      </c>
      <c r="C382" s="3">
        <v>292.77999999999997</v>
      </c>
      <c r="D382" s="1">
        <v>43354</v>
      </c>
      <c r="E382" t="str">
        <f>"201809053414"</f>
        <v>201809053414</v>
      </c>
      <c r="F382" t="str">
        <f>"REIMBURSEMENT-T SHIRTS"</f>
        <v>REIMBURSEMENT-T SHIRTS</v>
      </c>
      <c r="G382" s="2">
        <v>70.959999999999994</v>
      </c>
      <c r="H382" t="str">
        <f>"REIMBURSEMENT-T SHIRTS"</f>
        <v>REIMBURSEMENT-T SHIRTS</v>
      </c>
    </row>
    <row r="383" spans="1:8" x14ac:dyDescent="0.25">
      <c r="E383" t="str">
        <f>"201809053415"</f>
        <v>201809053415</v>
      </c>
      <c r="F383" t="str">
        <f>"REIMBURSE FOOD/CAR RENTAL"</f>
        <v>REIMBURSE FOOD/CAR RENTAL</v>
      </c>
      <c r="G383" s="2">
        <v>221.82</v>
      </c>
      <c r="H383" t="str">
        <f>"REIMBURSE FOOD/CAR RENTAL"</f>
        <v>REIMBURSE FOOD/CAR RENTAL</v>
      </c>
    </row>
    <row r="384" spans="1:8" x14ac:dyDescent="0.25">
      <c r="A384" t="s">
        <v>119</v>
      </c>
      <c r="B384">
        <v>78514</v>
      </c>
      <c r="C384" s="3">
        <v>135</v>
      </c>
      <c r="D384" s="1">
        <v>43353</v>
      </c>
      <c r="E384" t="str">
        <f>"201808303143"</f>
        <v>201808303143</v>
      </c>
      <c r="F384" t="str">
        <f>"TRAVEL ADVANCE-PER DIEM"</f>
        <v>TRAVEL ADVANCE-PER DIEM</v>
      </c>
      <c r="G384" s="2">
        <v>135</v>
      </c>
      <c r="H384" t="str">
        <f>"TRAVEL ADVANCE-PER DIEM"</f>
        <v>TRAVEL ADVANCE-PER DIEM</v>
      </c>
    </row>
    <row r="385" spans="1:8" x14ac:dyDescent="0.25">
      <c r="A385" t="s">
        <v>120</v>
      </c>
      <c r="B385">
        <v>78515</v>
      </c>
      <c r="C385" s="3">
        <v>2000</v>
      </c>
      <c r="D385" s="1">
        <v>43353</v>
      </c>
      <c r="E385" t="str">
        <f>"201809053348"</f>
        <v>201809053348</v>
      </c>
      <c r="F385" t="str">
        <f>"55 815"</f>
        <v>55 815</v>
      </c>
      <c r="G385" s="2">
        <v>250</v>
      </c>
      <c r="H385" t="str">
        <f>"55 815"</f>
        <v>55 815</v>
      </c>
    </row>
    <row r="386" spans="1:8" x14ac:dyDescent="0.25">
      <c r="E386" t="str">
        <f>"201809053349"</f>
        <v>201809053349</v>
      </c>
      <c r="F386" t="str">
        <f>"56 191"</f>
        <v>56 191</v>
      </c>
      <c r="G386" s="2">
        <v>250</v>
      </c>
      <c r="H386" t="str">
        <f>"56 191"</f>
        <v>56 191</v>
      </c>
    </row>
    <row r="387" spans="1:8" x14ac:dyDescent="0.25">
      <c r="E387" t="str">
        <f>"201809053350"</f>
        <v>201809053350</v>
      </c>
      <c r="F387" t="str">
        <f>"55 808"</f>
        <v>55 808</v>
      </c>
      <c r="G387" s="2">
        <v>250</v>
      </c>
      <c r="H387" t="str">
        <f>"55 808"</f>
        <v>55 808</v>
      </c>
    </row>
    <row r="388" spans="1:8" x14ac:dyDescent="0.25">
      <c r="E388" t="str">
        <f>"201809053361"</f>
        <v>201809053361</v>
      </c>
      <c r="F388" t="str">
        <f>"54 569"</f>
        <v>54 569</v>
      </c>
      <c r="G388" s="2">
        <v>250</v>
      </c>
      <c r="H388" t="str">
        <f>"54 569"</f>
        <v>54 569</v>
      </c>
    </row>
    <row r="389" spans="1:8" x14ac:dyDescent="0.25">
      <c r="E389" t="str">
        <f>"201809053367"</f>
        <v>201809053367</v>
      </c>
      <c r="F389" t="str">
        <f>"3060520176"</f>
        <v>3060520176</v>
      </c>
      <c r="G389" s="2">
        <v>250</v>
      </c>
      <c r="H389" t="str">
        <f>"3060520176"</f>
        <v>3060520176</v>
      </c>
    </row>
    <row r="390" spans="1:8" x14ac:dyDescent="0.25">
      <c r="E390" t="str">
        <f>"201809053368"</f>
        <v>201809053368</v>
      </c>
      <c r="F390" t="str">
        <f>"55 643  20170188A"</f>
        <v>55 643  20170188A</v>
      </c>
      <c r="G390" s="2">
        <v>375</v>
      </c>
      <c r="H390" t="str">
        <f>"55 643  20170188A"</f>
        <v>55 643  20170188A</v>
      </c>
    </row>
    <row r="391" spans="1:8" x14ac:dyDescent="0.25">
      <c r="E391" t="str">
        <f>"201809053369"</f>
        <v>201809053369</v>
      </c>
      <c r="F391" t="str">
        <f>"CH20180629  CH201805011  07/26"</f>
        <v>CH20180629  CH201805011  07/26</v>
      </c>
      <c r="G391" s="2">
        <v>375</v>
      </c>
      <c r="H391" t="str">
        <f>"CH20180629  CH201805011  07/26"</f>
        <v>CH20180629  CH201805011  07/26</v>
      </c>
    </row>
    <row r="392" spans="1:8" x14ac:dyDescent="0.25">
      <c r="A392" t="s">
        <v>121</v>
      </c>
      <c r="B392">
        <v>78516</v>
      </c>
      <c r="C392" s="3">
        <v>30</v>
      </c>
      <c r="D392" s="1">
        <v>43353</v>
      </c>
      <c r="E392" t="str">
        <f>"18-19198"</f>
        <v>18-19198</v>
      </c>
      <c r="F392" t="str">
        <f>"CENTRAL ADOPTION REGISTRY FUND"</f>
        <v>CENTRAL ADOPTION REGISTRY FUND</v>
      </c>
      <c r="G392" s="2">
        <v>15</v>
      </c>
      <c r="H392" t="str">
        <f>"CENTRAL ADOPTION REGISTRY FUND"</f>
        <v>CENTRAL ADOPTION REGISTRY FUND</v>
      </c>
    </row>
    <row r="393" spans="1:8" x14ac:dyDescent="0.25">
      <c r="E393" t="str">
        <f>"18-19203"</f>
        <v>18-19203</v>
      </c>
      <c r="F393" t="str">
        <f>"CENTRAL ADOPTION REGISTRY FUND"</f>
        <v>CENTRAL ADOPTION REGISTRY FUND</v>
      </c>
      <c r="G393" s="2">
        <v>15</v>
      </c>
      <c r="H393" t="str">
        <f>"CENTRAL ADOPTION REGISTRY FUND"</f>
        <v>CENTRAL ADOPTION REGISTRY FUND</v>
      </c>
    </row>
    <row r="394" spans="1:8" x14ac:dyDescent="0.25">
      <c r="A394" t="s">
        <v>122</v>
      </c>
      <c r="B394">
        <v>78517</v>
      </c>
      <c r="C394" s="3">
        <v>97.36</v>
      </c>
      <c r="D394" s="1">
        <v>43353</v>
      </c>
      <c r="E394" t="str">
        <f>"201808303141"</f>
        <v>201808303141</v>
      </c>
      <c r="F394" t="str">
        <f>"REIMBURSE-MAILBOX DAMAGE/P4"</f>
        <v>REIMBURSE-MAILBOX DAMAGE/P4</v>
      </c>
      <c r="G394" s="2">
        <v>97.36</v>
      </c>
      <c r="H394" t="str">
        <f>"REIMBURSE-MAILBOX DAMAGE/P4"</f>
        <v>REIMBURSE-MAILBOX DAMAGE/P4</v>
      </c>
    </row>
    <row r="395" spans="1:8" x14ac:dyDescent="0.25">
      <c r="A395" t="s">
        <v>123</v>
      </c>
      <c r="B395">
        <v>999999</v>
      </c>
      <c r="C395" s="3">
        <v>99.24</v>
      </c>
      <c r="D395" s="1">
        <v>43368</v>
      </c>
      <c r="E395" t="str">
        <f>"1620923"</f>
        <v>1620923</v>
      </c>
      <c r="F395" t="str">
        <f>"ACCT#000690/ORD#01372934/PCT#4"</f>
        <v>ACCT#000690/ORD#01372934/PCT#4</v>
      </c>
      <c r="G395" s="2">
        <v>99.24</v>
      </c>
      <c r="H395" t="str">
        <f>"ACCT#000690/ORD#01372934/PCT#4"</f>
        <v>ACCT#000690/ORD#01372934/PCT#4</v>
      </c>
    </row>
    <row r="396" spans="1:8" x14ac:dyDescent="0.25">
      <c r="A396" t="s">
        <v>124</v>
      </c>
      <c r="B396">
        <v>0</v>
      </c>
      <c r="C396" s="3">
        <v>3296</v>
      </c>
      <c r="D396" s="1">
        <v>43353</v>
      </c>
      <c r="E396" t="str">
        <f>"201808313203"</f>
        <v>201808313203</v>
      </c>
      <c r="F396" t="str">
        <f>"07/23/2018 to 08/22/2018"</f>
        <v>07/23/2018 to 08/22/2018</v>
      </c>
      <c r="G396" s="2">
        <v>3296</v>
      </c>
      <c r="H396" t="str">
        <f>"Wheel Barrings"</f>
        <v>Wheel Barrings</v>
      </c>
    </row>
    <row r="397" spans="1:8" x14ac:dyDescent="0.25">
      <c r="E397" t="str">
        <f>""</f>
        <v/>
      </c>
      <c r="F397" t="str">
        <f>""</f>
        <v/>
      </c>
      <c r="H397" t="str">
        <f>"VistaPrint"</f>
        <v>VistaPrint</v>
      </c>
    </row>
    <row r="398" spans="1:8" x14ac:dyDescent="0.25">
      <c r="E398" t="str">
        <f>""</f>
        <v/>
      </c>
      <c r="F398" t="str">
        <f>""</f>
        <v/>
      </c>
      <c r="H398" t="str">
        <f>"PayPal Mediators"</f>
        <v>PayPal Mediators</v>
      </c>
    </row>
    <row r="399" spans="1:8" x14ac:dyDescent="0.25">
      <c r="E399" t="str">
        <f>""</f>
        <v/>
      </c>
      <c r="F399" t="str">
        <f>""</f>
        <v/>
      </c>
      <c r="H399" t="str">
        <f>"NENA"</f>
        <v>NENA</v>
      </c>
    </row>
    <row r="400" spans="1:8" x14ac:dyDescent="0.25">
      <c r="E400" t="str">
        <f>""</f>
        <v/>
      </c>
      <c r="F400" t="str">
        <f>""</f>
        <v/>
      </c>
      <c r="H400" t="str">
        <f>"SEARS"</f>
        <v>SEARS</v>
      </c>
    </row>
    <row r="401" spans="5:8" x14ac:dyDescent="0.25">
      <c r="E401" t="str">
        <f>""</f>
        <v/>
      </c>
      <c r="F401" t="str">
        <f>""</f>
        <v/>
      </c>
      <c r="H401" t="str">
        <f>"ID Wholesaler"</f>
        <v>ID Wholesaler</v>
      </c>
    </row>
    <row r="402" spans="5:8" x14ac:dyDescent="0.25">
      <c r="E402" t="str">
        <f>""</f>
        <v/>
      </c>
      <c r="F402" t="str">
        <f>""</f>
        <v/>
      </c>
      <c r="H402" t="str">
        <f>"Google"</f>
        <v>Google</v>
      </c>
    </row>
    <row r="403" spans="5:8" x14ac:dyDescent="0.25">
      <c r="E403" t="str">
        <f>""</f>
        <v/>
      </c>
      <c r="F403" t="str">
        <f>""</f>
        <v/>
      </c>
      <c r="H403" t="str">
        <f>"GoDaddy"</f>
        <v>GoDaddy</v>
      </c>
    </row>
    <row r="404" spans="5:8" x14ac:dyDescent="0.25">
      <c r="E404" t="str">
        <f>""</f>
        <v/>
      </c>
      <c r="F404" t="str">
        <f>""</f>
        <v/>
      </c>
      <c r="H404" t="str">
        <f>"TxDMV"</f>
        <v>TxDMV</v>
      </c>
    </row>
    <row r="405" spans="5:8" x14ac:dyDescent="0.25">
      <c r="E405" t="str">
        <f>""</f>
        <v/>
      </c>
      <c r="F405" t="str">
        <f>""</f>
        <v/>
      </c>
      <c r="H405" t="str">
        <f>"Sprinkler Warehouse"</f>
        <v>Sprinkler Warehouse</v>
      </c>
    </row>
    <row r="406" spans="5:8" x14ac:dyDescent="0.25">
      <c r="E406" t="str">
        <f>""</f>
        <v/>
      </c>
      <c r="F406" t="str">
        <f>""</f>
        <v/>
      </c>
      <c r="H406" t="str">
        <f>"MCCOY"</f>
        <v>MCCOY</v>
      </c>
    </row>
    <row r="407" spans="5:8" x14ac:dyDescent="0.25">
      <c r="E407" t="str">
        <f>""</f>
        <v/>
      </c>
      <c r="F407" t="str">
        <f>""</f>
        <v/>
      </c>
      <c r="H407" t="str">
        <f>"Sprinkler Warehouse"</f>
        <v>Sprinkler Warehouse</v>
      </c>
    </row>
    <row r="408" spans="5:8" x14ac:dyDescent="0.25">
      <c r="E408" t="str">
        <f>""</f>
        <v/>
      </c>
      <c r="F408" t="str">
        <f>""</f>
        <v/>
      </c>
      <c r="H408" t="str">
        <f>"TxTag"</f>
        <v>TxTag</v>
      </c>
    </row>
    <row r="409" spans="5:8" x14ac:dyDescent="0.25">
      <c r="E409" t="str">
        <f>""</f>
        <v/>
      </c>
      <c r="F409" t="str">
        <f>""</f>
        <v/>
      </c>
      <c r="H409" t="str">
        <f>"TxTag"</f>
        <v>TxTag</v>
      </c>
    </row>
    <row r="410" spans="5:8" x14ac:dyDescent="0.25">
      <c r="E410" t="str">
        <f>""</f>
        <v/>
      </c>
      <c r="F410" t="str">
        <f>""</f>
        <v/>
      </c>
      <c r="H410" t="str">
        <f>"TxTag"</f>
        <v>TxTag</v>
      </c>
    </row>
    <row r="411" spans="5:8" x14ac:dyDescent="0.25">
      <c r="E411" t="str">
        <f>""</f>
        <v/>
      </c>
      <c r="F411" t="str">
        <f>""</f>
        <v/>
      </c>
      <c r="H411" t="str">
        <f>"Erika DeJesus"</f>
        <v>Erika DeJesus</v>
      </c>
    </row>
    <row r="412" spans="5:8" x14ac:dyDescent="0.25">
      <c r="E412" t="str">
        <f>""</f>
        <v/>
      </c>
      <c r="F412" t="str">
        <f>""</f>
        <v/>
      </c>
      <c r="H412" t="str">
        <f>"Rosanna Garza"</f>
        <v>Rosanna Garza</v>
      </c>
    </row>
    <row r="413" spans="5:8" x14ac:dyDescent="0.25">
      <c r="E413" t="str">
        <f>""</f>
        <v/>
      </c>
      <c r="F413" t="str">
        <f>""</f>
        <v/>
      </c>
      <c r="H413" t="str">
        <f>"Robert Bennett"</f>
        <v>Robert Bennett</v>
      </c>
    </row>
    <row r="414" spans="5:8" x14ac:dyDescent="0.25">
      <c r="E414" t="str">
        <f>""</f>
        <v/>
      </c>
      <c r="F414" t="str">
        <f>""</f>
        <v/>
      </c>
      <c r="H414" t="str">
        <f>"Annette Murley"</f>
        <v>Annette Murley</v>
      </c>
    </row>
    <row r="415" spans="5:8" x14ac:dyDescent="0.25">
      <c r="E415" t="str">
        <f>""</f>
        <v/>
      </c>
      <c r="F415" t="str">
        <f>""</f>
        <v/>
      </c>
      <c r="H415" t="str">
        <f>"Kenneth Leatherwood"</f>
        <v>Kenneth Leatherwood</v>
      </c>
    </row>
    <row r="416" spans="5:8" x14ac:dyDescent="0.25">
      <c r="E416" t="str">
        <f>""</f>
        <v/>
      </c>
      <c r="F416" t="str">
        <f>""</f>
        <v/>
      </c>
      <c r="H416" t="str">
        <f>"TxTag"</f>
        <v>TxTag</v>
      </c>
    </row>
    <row r="417" spans="1:8" x14ac:dyDescent="0.25">
      <c r="E417" t="str">
        <f>""</f>
        <v/>
      </c>
      <c r="F417" t="str">
        <f>""</f>
        <v/>
      </c>
      <c r="H417" t="str">
        <f>"TxTag"</f>
        <v>TxTag</v>
      </c>
    </row>
    <row r="418" spans="1:8" x14ac:dyDescent="0.25">
      <c r="E418" t="str">
        <f>""</f>
        <v/>
      </c>
      <c r="F418" t="str">
        <f>""</f>
        <v/>
      </c>
      <c r="H418" t="str">
        <f>"TxTag"</f>
        <v>TxTag</v>
      </c>
    </row>
    <row r="419" spans="1:8" x14ac:dyDescent="0.25">
      <c r="E419" t="str">
        <f>""</f>
        <v/>
      </c>
      <c r="F419" t="str">
        <f>""</f>
        <v/>
      </c>
      <c r="H419" t="str">
        <f>"TxTag"</f>
        <v>TxTag</v>
      </c>
    </row>
    <row r="420" spans="1:8" x14ac:dyDescent="0.25">
      <c r="E420" t="str">
        <f>""</f>
        <v/>
      </c>
      <c r="F420" t="str">
        <f>""</f>
        <v/>
      </c>
      <c r="H420" t="str">
        <f>"USPS"</f>
        <v>USPS</v>
      </c>
    </row>
    <row r="421" spans="1:8" x14ac:dyDescent="0.25">
      <c r="E421" t="str">
        <f>""</f>
        <v/>
      </c>
      <c r="F421" t="str">
        <f>""</f>
        <v/>
      </c>
      <c r="H421" t="str">
        <f>"HEB"</f>
        <v>HEB</v>
      </c>
    </row>
    <row r="422" spans="1:8" x14ac:dyDescent="0.25">
      <c r="E422" t="str">
        <f>""</f>
        <v/>
      </c>
      <c r="F422" t="str">
        <f>""</f>
        <v/>
      </c>
      <c r="H422" t="str">
        <f>"HEB"</f>
        <v>HEB</v>
      </c>
    </row>
    <row r="423" spans="1:8" x14ac:dyDescent="0.25">
      <c r="E423" t="str">
        <f>""</f>
        <v/>
      </c>
      <c r="F423" t="str">
        <f>""</f>
        <v/>
      </c>
      <c r="H423" t="str">
        <f>"VistaPrint"</f>
        <v>VistaPrint</v>
      </c>
    </row>
    <row r="424" spans="1:8" x14ac:dyDescent="0.25">
      <c r="E424" t="str">
        <f>""</f>
        <v/>
      </c>
      <c r="F424" t="str">
        <f>""</f>
        <v/>
      </c>
      <c r="H424" t="str">
        <f>"TxTag"</f>
        <v>TxTag</v>
      </c>
    </row>
    <row r="425" spans="1:8" x14ac:dyDescent="0.25">
      <c r="E425" t="str">
        <f>""</f>
        <v/>
      </c>
      <c r="F425" t="str">
        <f>""</f>
        <v/>
      </c>
      <c r="H425" t="str">
        <f>"TxTag"</f>
        <v>TxTag</v>
      </c>
    </row>
    <row r="426" spans="1:8" x14ac:dyDescent="0.25">
      <c r="E426" t="str">
        <f>""</f>
        <v/>
      </c>
      <c r="F426" t="str">
        <f>""</f>
        <v/>
      </c>
      <c r="H426" t="str">
        <f>"TxTag"</f>
        <v>TxTag</v>
      </c>
    </row>
    <row r="427" spans="1:8" x14ac:dyDescent="0.25">
      <c r="A427" t="s">
        <v>124</v>
      </c>
      <c r="B427">
        <v>0</v>
      </c>
      <c r="C427" s="3">
        <v>1446.29</v>
      </c>
      <c r="D427" s="1">
        <v>43353</v>
      </c>
      <c r="E427" t="str">
        <f>"201809053406"</f>
        <v>201809053406</v>
      </c>
      <c r="F427" t="str">
        <f>"STATEMENT 07/24-08/23"</f>
        <v>STATEMENT 07/24-08/23</v>
      </c>
      <c r="G427" s="2">
        <v>1446.29</v>
      </c>
      <c r="H427" t="str">
        <f>"UT PARKING"</f>
        <v>UT PARKING</v>
      </c>
    </row>
    <row r="428" spans="1:8" x14ac:dyDescent="0.25">
      <c r="E428" t="str">
        <f>""</f>
        <v/>
      </c>
      <c r="F428" t="str">
        <f>""</f>
        <v/>
      </c>
      <c r="H428" t="str">
        <f>"UT PARKING"</f>
        <v>UT PARKING</v>
      </c>
    </row>
    <row r="429" spans="1:8" x14ac:dyDescent="0.25">
      <c r="E429" t="str">
        <f>""</f>
        <v/>
      </c>
      <c r="F429" t="str">
        <f>""</f>
        <v/>
      </c>
      <c r="H429" t="str">
        <f>"UT PARKING"</f>
        <v>UT PARKING</v>
      </c>
    </row>
    <row r="430" spans="1:8" x14ac:dyDescent="0.25">
      <c r="E430" t="str">
        <f>""</f>
        <v/>
      </c>
      <c r="F430" t="str">
        <f>""</f>
        <v/>
      </c>
      <c r="H430" t="str">
        <f>"BEST WESTERN"</f>
        <v>BEST WESTERN</v>
      </c>
    </row>
    <row r="431" spans="1:8" x14ac:dyDescent="0.25">
      <c r="E431" t="str">
        <f>""</f>
        <v/>
      </c>
      <c r="F431" t="str">
        <f>""</f>
        <v/>
      </c>
      <c r="H431" t="str">
        <f>"AMERICAN AIRLINES"</f>
        <v>AMERICAN AIRLINES</v>
      </c>
    </row>
    <row r="432" spans="1:8" x14ac:dyDescent="0.25">
      <c r="E432" t="str">
        <f>""</f>
        <v/>
      </c>
      <c r="F432" t="str">
        <f>""</f>
        <v/>
      </c>
      <c r="H432" t="str">
        <f>"CAMBRIA HOTEL"</f>
        <v>CAMBRIA HOTEL</v>
      </c>
    </row>
    <row r="433" spans="1:8" x14ac:dyDescent="0.25">
      <c r="E433" t="str">
        <f>""</f>
        <v/>
      </c>
      <c r="F433" t="str">
        <f>""</f>
        <v/>
      </c>
      <c r="H433" t="str">
        <f>"AMERICAN AIRLINES"</f>
        <v>AMERICAN AIRLINES</v>
      </c>
    </row>
    <row r="434" spans="1:8" x14ac:dyDescent="0.25">
      <c r="E434" t="str">
        <f>""</f>
        <v/>
      </c>
      <c r="F434" t="str">
        <f>""</f>
        <v/>
      </c>
      <c r="H434" t="str">
        <f>"LA QUINTA"</f>
        <v>LA QUINTA</v>
      </c>
    </row>
    <row r="435" spans="1:8" x14ac:dyDescent="0.25">
      <c r="E435" t="str">
        <f>""</f>
        <v/>
      </c>
      <c r="F435" t="str">
        <f>""</f>
        <v/>
      </c>
      <c r="H435" t="str">
        <f>"WALMART"</f>
        <v>WALMART</v>
      </c>
    </row>
    <row r="436" spans="1:8" x14ac:dyDescent="0.25">
      <c r="E436" t="str">
        <f>""</f>
        <v/>
      </c>
      <c r="F436" t="str">
        <f>""</f>
        <v/>
      </c>
      <c r="H436" t="str">
        <f>"MARATHON ENGINEERING"</f>
        <v>MARATHON ENGINEERING</v>
      </c>
    </row>
    <row r="437" spans="1:8" x14ac:dyDescent="0.25">
      <c r="E437" t="str">
        <f>""</f>
        <v/>
      </c>
      <c r="F437" t="str">
        <f>""</f>
        <v/>
      </c>
      <c r="H437" t="str">
        <f>"US POSTAL SERVICE"</f>
        <v>US POSTAL SERVICE</v>
      </c>
    </row>
    <row r="438" spans="1:8" x14ac:dyDescent="0.25">
      <c r="A438" t="s">
        <v>125</v>
      </c>
      <c r="B438">
        <v>999999</v>
      </c>
      <c r="C438" s="3">
        <v>68.92</v>
      </c>
      <c r="D438" s="1">
        <v>43368</v>
      </c>
      <c r="E438" t="str">
        <f>"PCW8768"</f>
        <v>PCW8768</v>
      </c>
      <c r="F438" t="str">
        <f>"2 KVM switches"</f>
        <v>2 KVM switches</v>
      </c>
      <c r="G438" s="2">
        <v>68.92</v>
      </c>
      <c r="H438" t="str">
        <f>"2 KVM switches"</f>
        <v>2 KVM switches</v>
      </c>
    </row>
    <row r="439" spans="1:8" x14ac:dyDescent="0.25">
      <c r="A439" t="s">
        <v>126</v>
      </c>
      <c r="B439">
        <v>999999</v>
      </c>
      <c r="C439" s="3">
        <v>11662.5</v>
      </c>
      <c r="D439" s="1">
        <v>43354</v>
      </c>
      <c r="E439" t="str">
        <f>"201809043268"</f>
        <v>201809043268</v>
      </c>
      <c r="F439" t="str">
        <f>"15 914"</f>
        <v>15 914</v>
      </c>
      <c r="G439" s="2">
        <v>11662.5</v>
      </c>
      <c r="H439" t="str">
        <f>"15 914"</f>
        <v>15 914</v>
      </c>
    </row>
    <row r="440" spans="1:8" x14ac:dyDescent="0.25">
      <c r="A440" t="s">
        <v>127</v>
      </c>
      <c r="B440">
        <v>78725</v>
      </c>
      <c r="C440" s="3">
        <v>1168.83</v>
      </c>
      <c r="D440" s="1">
        <v>43367</v>
      </c>
      <c r="E440" t="str">
        <f>"30128135"</f>
        <v>30128135</v>
      </c>
      <c r="F440" t="str">
        <f>"CUST#BASPCT4/ORD#37-19552"</f>
        <v>CUST#BASPCT4/ORD#37-19552</v>
      </c>
      <c r="G440" s="2">
        <v>392.09</v>
      </c>
      <c r="H440" t="str">
        <f>"CUST#BASPCT4/ORD#37-19552"</f>
        <v>CUST#BASPCT4/ORD#37-19552</v>
      </c>
    </row>
    <row r="441" spans="1:8" x14ac:dyDescent="0.25">
      <c r="E441" t="str">
        <f>"30128170"</f>
        <v>30128170</v>
      </c>
      <c r="F441" t="str">
        <f>"CUST#BASPCT4/ORD#37-19552/P4"</f>
        <v>CUST#BASPCT4/ORD#37-19552/P4</v>
      </c>
      <c r="G441" s="2">
        <v>776.74</v>
      </c>
      <c r="H441" t="str">
        <f>"CUST#BASPCT4/ORD#37-19552/P4"</f>
        <v>CUST#BASPCT4/ORD#37-19552/P4</v>
      </c>
    </row>
    <row r="442" spans="1:8" x14ac:dyDescent="0.25">
      <c r="A442" t="s">
        <v>128</v>
      </c>
      <c r="B442">
        <v>999999</v>
      </c>
      <c r="C442" s="3">
        <v>966.48</v>
      </c>
      <c r="D442" s="1">
        <v>43354</v>
      </c>
      <c r="E442" t="str">
        <f>"0000049686"</f>
        <v>0000049686</v>
      </c>
      <c r="F442" t="str">
        <f>"SERVICE CALL"</f>
        <v>SERVICE CALL</v>
      </c>
      <c r="G442" s="2">
        <v>966.48</v>
      </c>
      <c r="H442" t="str">
        <f>"SERVICE CALL"</f>
        <v>SERVICE CALL</v>
      </c>
    </row>
    <row r="443" spans="1:8" x14ac:dyDescent="0.25">
      <c r="A443" t="s">
        <v>128</v>
      </c>
      <c r="B443">
        <v>999999</v>
      </c>
      <c r="C443" s="3">
        <v>1850</v>
      </c>
      <c r="D443" s="1">
        <v>43368</v>
      </c>
      <c r="E443" t="str">
        <f>"0000049880"</f>
        <v>0000049880</v>
      </c>
      <c r="F443" t="str">
        <f>"REPLACE EXISTING WATER SOURCE"</f>
        <v>REPLACE EXISTING WATER SOURCE</v>
      </c>
      <c r="G443" s="2">
        <v>1850</v>
      </c>
      <c r="H443" t="str">
        <f>"REPLACE EXISTING WATER SOURCE"</f>
        <v>REPLACE EXISTING WATER SOURCE</v>
      </c>
    </row>
    <row r="444" spans="1:8" x14ac:dyDescent="0.25">
      <c r="A444" t="s">
        <v>129</v>
      </c>
      <c r="B444">
        <v>78726</v>
      </c>
      <c r="C444" s="3">
        <v>195</v>
      </c>
      <c r="D444" s="1">
        <v>43367</v>
      </c>
      <c r="E444" t="str">
        <f>"BC2#014"</f>
        <v>BC2#014</v>
      </c>
      <c r="F444" t="str">
        <f>"RENTAL DATES AUG28-SEPT28/P2"</f>
        <v>RENTAL DATES AUG28-SEPT28/P2</v>
      </c>
      <c r="G444" s="2">
        <v>195</v>
      </c>
      <c r="H444" t="str">
        <f>"RENTAL DATES AUG28-SEPT28/P2"</f>
        <v>RENTAL DATES AUG28-SEPT28/P2</v>
      </c>
    </row>
    <row r="445" spans="1:8" x14ac:dyDescent="0.25">
      <c r="A445" t="s">
        <v>130</v>
      </c>
      <c r="B445">
        <v>78727</v>
      </c>
      <c r="C445" s="3">
        <v>2100</v>
      </c>
      <c r="D445" s="1">
        <v>43367</v>
      </c>
      <c r="E445" t="str">
        <f>"12472"</f>
        <v>12472</v>
      </c>
      <c r="F445" t="str">
        <f>"CTA 019-18 - D.M. JONES"</f>
        <v>CTA 019-18 - D.M. JONES</v>
      </c>
      <c r="G445" s="2">
        <v>2100</v>
      </c>
      <c r="H445" t="str">
        <f>"CTA 019-18 - D.M. JONES"</f>
        <v>CTA 019-18 - D.M. JONES</v>
      </c>
    </row>
    <row r="446" spans="1:8" x14ac:dyDescent="0.25">
      <c r="A446" t="s">
        <v>131</v>
      </c>
      <c r="B446">
        <v>78518</v>
      </c>
      <c r="C446" s="3">
        <v>243.03</v>
      </c>
      <c r="D446" s="1">
        <v>43353</v>
      </c>
      <c r="E446" t="str">
        <f>"3247515"</f>
        <v>3247515</v>
      </c>
      <c r="F446" t="str">
        <f>"CUST#271202/ORD#3558160/P2"</f>
        <v>CUST#271202/ORD#3558160/P2</v>
      </c>
      <c r="G446" s="2">
        <v>243.03</v>
      </c>
      <c r="H446" t="str">
        <f>"CUST#271202/ORD#3558160/P2"</f>
        <v>CUST#271202/ORD#3558160/P2</v>
      </c>
    </row>
    <row r="447" spans="1:8" x14ac:dyDescent="0.25">
      <c r="A447" t="s">
        <v>132</v>
      </c>
      <c r="B447">
        <v>78519</v>
      </c>
      <c r="C447" s="3">
        <v>400</v>
      </c>
      <c r="D447" s="1">
        <v>43353</v>
      </c>
      <c r="E447" t="str">
        <f>"201809053313"</f>
        <v>201809053313</v>
      </c>
      <c r="F447" t="str">
        <f>"18-18960"</f>
        <v>18-18960</v>
      </c>
      <c r="G447" s="2">
        <v>300</v>
      </c>
      <c r="H447" t="str">
        <f>"18-18960"</f>
        <v>18-18960</v>
      </c>
    </row>
    <row r="448" spans="1:8" x14ac:dyDescent="0.25">
      <c r="E448" t="str">
        <f>"201809053335"</f>
        <v>201809053335</v>
      </c>
      <c r="F448" t="str">
        <f>"17-18119"</f>
        <v>17-18119</v>
      </c>
      <c r="G448" s="2">
        <v>100</v>
      </c>
      <c r="H448" t="str">
        <f>"17-18119"</f>
        <v>17-18119</v>
      </c>
    </row>
    <row r="449" spans="1:8" x14ac:dyDescent="0.25">
      <c r="A449" t="s">
        <v>132</v>
      </c>
      <c r="B449">
        <v>78728</v>
      </c>
      <c r="C449" s="3">
        <v>350</v>
      </c>
      <c r="D449" s="1">
        <v>43367</v>
      </c>
      <c r="E449" t="str">
        <f>"201809183790"</f>
        <v>201809183790</v>
      </c>
      <c r="F449" t="str">
        <f>"02-0621-1"</f>
        <v>02-0621-1</v>
      </c>
      <c r="G449" s="2">
        <v>250</v>
      </c>
      <c r="H449" t="str">
        <f>"02-0621-1"</f>
        <v>02-0621-1</v>
      </c>
    </row>
    <row r="450" spans="1:8" x14ac:dyDescent="0.25">
      <c r="E450" t="str">
        <f>"201809183814"</f>
        <v>201809183814</v>
      </c>
      <c r="F450" t="str">
        <f>"18-18941"</f>
        <v>18-18941</v>
      </c>
      <c r="G450" s="2">
        <v>100</v>
      </c>
      <c r="H450" t="str">
        <f>"18-18941"</f>
        <v>18-18941</v>
      </c>
    </row>
    <row r="451" spans="1:8" x14ac:dyDescent="0.25">
      <c r="A451" t="s">
        <v>133</v>
      </c>
      <c r="B451">
        <v>999999</v>
      </c>
      <c r="C451" s="3">
        <v>4175</v>
      </c>
      <c r="D451" s="1">
        <v>43354</v>
      </c>
      <c r="E451" t="str">
        <f>"201808303157"</f>
        <v>201808303157</v>
      </c>
      <c r="F451" t="str">
        <f>"303082018H"</f>
        <v>303082018H</v>
      </c>
      <c r="G451" s="2">
        <v>400</v>
      </c>
      <c r="H451" t="str">
        <f>"303082018H"</f>
        <v>303082018H</v>
      </c>
    </row>
    <row r="452" spans="1:8" x14ac:dyDescent="0.25">
      <c r="E452" t="str">
        <f>"201808303158"</f>
        <v>201808303158</v>
      </c>
      <c r="F452" t="str">
        <f>"BC20180304"</f>
        <v>BC20180304</v>
      </c>
      <c r="G452" s="2">
        <v>400</v>
      </c>
      <c r="H452" t="str">
        <f>"BC20180304"</f>
        <v>BC20180304</v>
      </c>
    </row>
    <row r="453" spans="1:8" x14ac:dyDescent="0.25">
      <c r="E453" t="str">
        <f>"201808303159"</f>
        <v>201808303159</v>
      </c>
      <c r="F453" t="str">
        <f>"838-21/423-5877-423-5878"</f>
        <v>838-21/423-5877-423-5878</v>
      </c>
      <c r="G453" s="2">
        <v>300</v>
      </c>
      <c r="H453" t="str">
        <f>"838-21/423-5877-423-5878"</f>
        <v>838-21/423-5877-423-5878</v>
      </c>
    </row>
    <row r="454" spans="1:8" x14ac:dyDescent="0.25">
      <c r="E454" t="str">
        <f>"201808303160"</f>
        <v>201808303160</v>
      </c>
      <c r="F454" t="str">
        <f>"423-5876"</f>
        <v>423-5876</v>
      </c>
      <c r="G454" s="2">
        <v>100</v>
      </c>
      <c r="H454" t="str">
        <f>"423-5876"</f>
        <v>423-5876</v>
      </c>
    </row>
    <row r="455" spans="1:8" x14ac:dyDescent="0.25">
      <c r="E455" t="str">
        <f>"201808313186"</f>
        <v>201808313186</v>
      </c>
      <c r="F455" t="str">
        <f>"16 540"</f>
        <v>16 540</v>
      </c>
      <c r="G455" s="2">
        <v>400</v>
      </c>
      <c r="H455" t="str">
        <f>"16 540"</f>
        <v>16 540</v>
      </c>
    </row>
    <row r="456" spans="1:8" x14ac:dyDescent="0.25">
      <c r="E456" t="str">
        <f>"201808313187"</f>
        <v>201808313187</v>
      </c>
      <c r="F456" t="str">
        <f>"16 312 DCPC-18-137 AC-2018-081"</f>
        <v>16 312 DCPC-18-137 AC-2018-081</v>
      </c>
      <c r="G456" s="2">
        <v>1400</v>
      </c>
      <c r="H456" t="str">
        <f>"16 312 DCPC-18-137 AC-2018-081"</f>
        <v>16 312 DCPC-18-137 AC-2018-081</v>
      </c>
    </row>
    <row r="457" spans="1:8" x14ac:dyDescent="0.25">
      <c r="E457" t="str">
        <f>"201809053320"</f>
        <v>201809053320</v>
      </c>
      <c r="F457" t="str">
        <f>"18-18854"</f>
        <v>18-18854</v>
      </c>
      <c r="G457" s="2">
        <v>175</v>
      </c>
      <c r="H457" t="str">
        <f>"18-18854"</f>
        <v>18-18854</v>
      </c>
    </row>
    <row r="458" spans="1:8" x14ac:dyDescent="0.25">
      <c r="E458" t="str">
        <f>"201809053347"</f>
        <v>201809053347</v>
      </c>
      <c r="F458" t="str">
        <f>"55 848"</f>
        <v>55 848</v>
      </c>
      <c r="G458" s="2">
        <v>250</v>
      </c>
      <c r="H458" t="str">
        <f>"55 848"</f>
        <v>55 848</v>
      </c>
    </row>
    <row r="459" spans="1:8" x14ac:dyDescent="0.25">
      <c r="E459" t="str">
        <f>"201809053358"</f>
        <v>201809053358</v>
      </c>
      <c r="F459" t="str">
        <f>"55 723"</f>
        <v>55 723</v>
      </c>
      <c r="G459" s="2">
        <v>250</v>
      </c>
      <c r="H459" t="str">
        <f>"55 723"</f>
        <v>55 723</v>
      </c>
    </row>
    <row r="460" spans="1:8" x14ac:dyDescent="0.25">
      <c r="E460" t="str">
        <f>"201809053359"</f>
        <v>201809053359</v>
      </c>
      <c r="F460" t="str">
        <f>"AC-2017-1224A"</f>
        <v>AC-2017-1224A</v>
      </c>
      <c r="G460" s="2">
        <v>250</v>
      </c>
      <c r="H460" t="str">
        <f>"AC-2017-1224A"</f>
        <v>AC-2017-1224A</v>
      </c>
    </row>
    <row r="461" spans="1:8" x14ac:dyDescent="0.25">
      <c r="E461" t="str">
        <f>"201809053360"</f>
        <v>201809053360</v>
      </c>
      <c r="F461" t="str">
        <f>"02-0308-9"</f>
        <v>02-0308-9</v>
      </c>
      <c r="G461" s="2">
        <v>250</v>
      </c>
      <c r="H461" t="str">
        <f>"02-0308-9"</f>
        <v>02-0308-9</v>
      </c>
    </row>
    <row r="462" spans="1:8" x14ac:dyDescent="0.25">
      <c r="A462" t="s">
        <v>133</v>
      </c>
      <c r="B462">
        <v>999999</v>
      </c>
      <c r="C462" s="3">
        <v>4225</v>
      </c>
      <c r="D462" s="1">
        <v>43368</v>
      </c>
      <c r="E462" t="str">
        <f>"201809113650"</f>
        <v>201809113650</v>
      </c>
      <c r="F462" t="str">
        <f>"16 430"</f>
        <v>16 430</v>
      </c>
      <c r="G462" s="2">
        <v>400</v>
      </c>
      <c r="H462" t="str">
        <f>"16 430"</f>
        <v>16 430</v>
      </c>
    </row>
    <row r="463" spans="1:8" x14ac:dyDescent="0.25">
      <c r="E463" t="str">
        <f>"201809123712"</f>
        <v>201809123712</v>
      </c>
      <c r="F463" t="str">
        <f>"18-19130"</f>
        <v>18-19130</v>
      </c>
      <c r="G463" s="2">
        <v>175</v>
      </c>
      <c r="H463" t="str">
        <f>"18-19130"</f>
        <v>18-19130</v>
      </c>
    </row>
    <row r="464" spans="1:8" x14ac:dyDescent="0.25">
      <c r="E464" t="str">
        <f>"201809133760"</f>
        <v>201809133760</v>
      </c>
      <c r="F464" t="str">
        <f>"16 446"</f>
        <v>16 446</v>
      </c>
      <c r="G464" s="2">
        <v>900</v>
      </c>
      <c r="H464" t="str">
        <f>"16 446"</f>
        <v>16 446</v>
      </c>
    </row>
    <row r="465" spans="1:9" x14ac:dyDescent="0.25">
      <c r="E465" t="str">
        <f>"201809133761"</f>
        <v>201809133761</v>
      </c>
      <c r="F465" t="str">
        <f>"16 568"</f>
        <v>16 568</v>
      </c>
      <c r="G465" s="2">
        <v>1000</v>
      </c>
      <c r="H465" t="str">
        <f>"16 568"</f>
        <v>16 568</v>
      </c>
    </row>
    <row r="466" spans="1:9" x14ac:dyDescent="0.25">
      <c r="E466" t="str">
        <f>"201809183808"</f>
        <v>201809183808</v>
      </c>
      <c r="F466" t="str">
        <f>"55169  56276"</f>
        <v>55169  56276</v>
      </c>
      <c r="G466" s="2">
        <v>375</v>
      </c>
      <c r="H466" t="str">
        <f>"55169  56276"</f>
        <v>55169  56276</v>
      </c>
    </row>
    <row r="467" spans="1:9" x14ac:dyDescent="0.25">
      <c r="E467" t="str">
        <f>"201809183809"</f>
        <v>201809183809</v>
      </c>
      <c r="F467" t="str">
        <f>"55 974"</f>
        <v>55 974</v>
      </c>
      <c r="G467" s="2">
        <v>250</v>
      </c>
      <c r="H467" t="str">
        <f>"55 974"</f>
        <v>55 974</v>
      </c>
    </row>
    <row r="468" spans="1:9" x14ac:dyDescent="0.25">
      <c r="E468" t="str">
        <f>"201809183810"</f>
        <v>201809183810</v>
      </c>
      <c r="F468" t="str">
        <f>"02-114-3"</f>
        <v>02-114-3</v>
      </c>
      <c r="G468" s="2">
        <v>250</v>
      </c>
      <c r="H468" t="str">
        <f>"02-114-3"</f>
        <v>02-114-3</v>
      </c>
    </row>
    <row r="469" spans="1:9" x14ac:dyDescent="0.25">
      <c r="E469" t="str">
        <f>"201809183811"</f>
        <v>201809183811</v>
      </c>
      <c r="F469" t="str">
        <f>"02.0411.2   02.0411.1"</f>
        <v>02.0411.2   02.0411.1</v>
      </c>
      <c r="G469" s="2">
        <v>375</v>
      </c>
      <c r="H469" t="str">
        <f>"02.0411.2   02.0411.1"</f>
        <v>02.0411.2   02.0411.1</v>
      </c>
    </row>
    <row r="470" spans="1:9" x14ac:dyDescent="0.25">
      <c r="E470" t="str">
        <f>"201809183847"</f>
        <v>201809183847</v>
      </c>
      <c r="F470" t="str">
        <f>"56 208 55 458 55 459"</f>
        <v>56 208 55 458 55 459</v>
      </c>
      <c r="G470" s="2">
        <v>500</v>
      </c>
      <c r="H470" t="str">
        <f>"56 208 55 458 55 459"</f>
        <v>56 208 55 458 55 459</v>
      </c>
    </row>
    <row r="471" spans="1:9" x14ac:dyDescent="0.25">
      <c r="A471" t="s">
        <v>134</v>
      </c>
      <c r="B471">
        <v>78520</v>
      </c>
      <c r="C471" s="3">
        <v>115.16</v>
      </c>
      <c r="D471" s="1">
        <v>43353</v>
      </c>
      <c r="E471" t="str">
        <f>"5011595532"</f>
        <v>5011595532</v>
      </c>
      <c r="F471" t="str">
        <f>"CUST#0011167190/PCT#1"</f>
        <v>CUST#0011167190/PCT#1</v>
      </c>
      <c r="G471" s="2">
        <v>115.16</v>
      </c>
      <c r="H471" t="str">
        <f>"CUST#0011167190/PCT#1"</f>
        <v>CUST#0011167190/PCT#1</v>
      </c>
    </row>
    <row r="472" spans="1:9" x14ac:dyDescent="0.25">
      <c r="A472" t="s">
        <v>135</v>
      </c>
      <c r="B472">
        <v>78729</v>
      </c>
      <c r="C472" s="3">
        <v>4719.32</v>
      </c>
      <c r="D472" s="1">
        <v>43367</v>
      </c>
      <c r="E472" t="str">
        <f>"201809123733"</f>
        <v>201809123733</v>
      </c>
      <c r="F472" t="str">
        <f>"PAYER#13242108/SIGN SHOP"</f>
        <v>PAYER#13242108/SIGN SHOP</v>
      </c>
      <c r="G472" s="2">
        <v>48.68</v>
      </c>
      <c r="H472" t="str">
        <f>"PAYER#13242108/ANIMAL SHELTER"</f>
        <v>PAYER#13242108/ANIMAL SHELTER</v>
      </c>
    </row>
    <row r="473" spans="1:9" x14ac:dyDescent="0.25">
      <c r="E473" t="str">
        <f>"201809123734"</f>
        <v>201809123734</v>
      </c>
      <c r="F473" t="str">
        <f>"PAYER#13242108/GEN SVCS"</f>
        <v>PAYER#13242108/GEN SVCS</v>
      </c>
      <c r="G473" s="2">
        <v>879.75</v>
      </c>
      <c r="H473" t="str">
        <f>"PAYER#13242108/GEN SVCS"</f>
        <v>PAYER#13242108/GEN SVCS</v>
      </c>
    </row>
    <row r="474" spans="1:9" x14ac:dyDescent="0.25">
      <c r="E474" t="str">
        <f>"201809123735"</f>
        <v>201809123735</v>
      </c>
      <c r="F474" t="str">
        <f>"PAYER#13242108/ANIMAL SHELTER"</f>
        <v>PAYER#13242108/ANIMAL SHELTER</v>
      </c>
      <c r="G474" s="2">
        <v>211.14</v>
      </c>
      <c r="H474" t="str">
        <f>"PAYER#13242108/ANIMAL SHELTER"</f>
        <v>PAYER#13242108/ANIMAL SHELTER</v>
      </c>
    </row>
    <row r="475" spans="1:9" x14ac:dyDescent="0.25">
      <c r="E475" t="str">
        <f>"201809123736"</f>
        <v>201809123736</v>
      </c>
      <c r="F475" t="str">
        <f>"PAYER#13242108/PCT#1"</f>
        <v>PAYER#13242108/PCT#1</v>
      </c>
      <c r="G475" s="2">
        <v>780.98</v>
      </c>
      <c r="H475" t="str">
        <f>"PAYER#13242108/PCT#1"</f>
        <v>PAYER#13242108/PCT#1</v>
      </c>
    </row>
    <row r="476" spans="1:9" x14ac:dyDescent="0.25">
      <c r="E476" t="str">
        <f>"201809123737"</f>
        <v>201809123737</v>
      </c>
      <c r="F476" t="str">
        <f>"PAYER#13242108/PCT#2"</f>
        <v>PAYER#13242108/PCT#2</v>
      </c>
      <c r="G476" s="2">
        <v>893.52</v>
      </c>
      <c r="H476" t="str">
        <f>"PAYER#13242108/PCT#2"</f>
        <v>PAYER#13242108/PCT#2</v>
      </c>
    </row>
    <row r="477" spans="1:9" x14ac:dyDescent="0.25">
      <c r="E477" t="str">
        <f>"201809133738"</f>
        <v>201809133738</v>
      </c>
      <c r="F477" t="str">
        <f>"PAYER#13242108/PCT#4"</f>
        <v>PAYER#13242108/PCT#4</v>
      </c>
      <c r="G477" s="2">
        <v>1451.86</v>
      </c>
      <c r="H477" t="str">
        <f>"PAYER#13242108/PCT#4"</f>
        <v>PAYER#13242108/PCT#4</v>
      </c>
    </row>
    <row r="478" spans="1:9" x14ac:dyDescent="0.25">
      <c r="E478" t="str">
        <f>"210-225-3381"</f>
        <v>210-225-3381</v>
      </c>
      <c r="F478" t="str">
        <f>"PAYER#13034093/PCT#3"</f>
        <v>PAYER#13034093/PCT#3</v>
      </c>
      <c r="G478" s="2">
        <v>453.39</v>
      </c>
      <c r="H478" t="str">
        <f>"PAYER#13034093/PCT#3"</f>
        <v>PAYER#13034093/PCT#3</v>
      </c>
    </row>
    <row r="479" spans="1:9" x14ac:dyDescent="0.25">
      <c r="A479" t="s">
        <v>136</v>
      </c>
      <c r="B479">
        <v>999999</v>
      </c>
      <c r="C479" s="3">
        <v>1000</v>
      </c>
      <c r="D479" s="1">
        <v>43368</v>
      </c>
      <c r="E479" t="str">
        <f>"201809183826"</f>
        <v>201809183826</v>
      </c>
      <c r="F479" t="str">
        <f>"Used Chem. Storage Build"</f>
        <v>Used Chem. Storage Build</v>
      </c>
      <c r="G479" s="2">
        <v>1000</v>
      </c>
      <c r="H479" t="str">
        <f>"Used Chem. Storage Build"</f>
        <v>Used Chem. Storage Build</v>
      </c>
    </row>
    <row r="480" spans="1:9" x14ac:dyDescent="0.25">
      <c r="A480" t="s">
        <v>137</v>
      </c>
      <c r="B480">
        <v>78521</v>
      </c>
      <c r="C480" s="3">
        <v>150</v>
      </c>
      <c r="D480" s="1">
        <v>43353</v>
      </c>
      <c r="E480" t="s">
        <v>138</v>
      </c>
      <c r="F480" t="s">
        <v>139</v>
      </c>
      <c r="G480" s="2" t="str">
        <f>"RESTITUTION-A.M. LAWRENCE"</f>
        <v>RESTITUTION-A.M. LAWRENCE</v>
      </c>
      <c r="H480" t="str">
        <f>"210-0000"</f>
        <v>210-0000</v>
      </c>
      <c r="I480" t="str">
        <f>""</f>
        <v/>
      </c>
    </row>
    <row r="481" spans="1:9" x14ac:dyDescent="0.25">
      <c r="E481" t="s">
        <v>138</v>
      </c>
      <c r="F481" t="s">
        <v>140</v>
      </c>
      <c r="G481" s="2" t="str">
        <f>"RESTITUTION-A.M. LAWRENCE"</f>
        <v>RESTITUTION-A.M. LAWRENCE</v>
      </c>
      <c r="H481" t="str">
        <f>"210-0000"</f>
        <v>210-0000</v>
      </c>
      <c r="I481" t="str">
        <f>""</f>
        <v/>
      </c>
    </row>
    <row r="482" spans="1:9" x14ac:dyDescent="0.25">
      <c r="A482" t="s">
        <v>137</v>
      </c>
      <c r="B482">
        <v>78680</v>
      </c>
      <c r="C482" s="3">
        <v>54206.76</v>
      </c>
      <c r="D482" s="1">
        <v>43356</v>
      </c>
      <c r="E482" t="str">
        <f>"201809133740"</f>
        <v>201809133740</v>
      </c>
      <c r="F482" t="str">
        <f>"ACCT#02-2083-04 / 08292018"</f>
        <v>ACCT#02-2083-04 / 08292018</v>
      </c>
      <c r="G482" s="2">
        <v>1720.95</v>
      </c>
      <c r="H482" t="str">
        <f>"ACCT#02-2083-04 / 08292018"</f>
        <v>ACCT#02-2083-04 / 08292018</v>
      </c>
    </row>
    <row r="483" spans="1:9" x14ac:dyDescent="0.25">
      <c r="E483" t="str">
        <f>"201809133741"</f>
        <v>201809133741</v>
      </c>
      <c r="F483" t="str">
        <f>"COUNTY DEVELOPMENT CENTER"</f>
        <v>COUNTY DEVELOPMENT CENTER</v>
      </c>
      <c r="G483" s="2">
        <v>2722.56</v>
      </c>
      <c r="H483" t="str">
        <f>"COUNTY DEVELOPMENT CENTER"</f>
        <v>COUNTY DEVELOPMENT CENTER</v>
      </c>
    </row>
    <row r="484" spans="1:9" x14ac:dyDescent="0.25">
      <c r="E484" t="str">
        <f>"201809133742"</f>
        <v>201809133742</v>
      </c>
      <c r="F484" t="str">
        <f>"LAW ENFORCEMENT CENTER"</f>
        <v>LAW ENFORCEMENT CENTER</v>
      </c>
      <c r="G484" s="2">
        <v>32005.86</v>
      </c>
      <c r="H484" t="str">
        <f>"LAW ENFORCEMENT CENTER"</f>
        <v>LAW ENFORCEMENT CENTER</v>
      </c>
    </row>
    <row r="485" spans="1:9" x14ac:dyDescent="0.25">
      <c r="E485" t="str">
        <f>"201809133743"</f>
        <v>201809133743</v>
      </c>
      <c r="F485" t="str">
        <f>"BASTROP COUNTY COURTHOUSE"</f>
        <v>BASTROP COUNTY COURTHOUSE</v>
      </c>
      <c r="G485" s="2">
        <v>17757.39</v>
      </c>
      <c r="H485" t="str">
        <f>"BASTROP COUNTY COURTHOUSE"</f>
        <v>BASTROP COUNTY COURTHOUSE</v>
      </c>
    </row>
    <row r="486" spans="1:9" x14ac:dyDescent="0.25">
      <c r="A486" t="s">
        <v>137</v>
      </c>
      <c r="B486">
        <v>78730</v>
      </c>
      <c r="C486" s="3">
        <v>500</v>
      </c>
      <c r="D486" s="1">
        <v>43367</v>
      </c>
      <c r="E486" t="str">
        <f>"201809113654"</f>
        <v>201809113654</v>
      </c>
      <c r="F486" t="str">
        <f>"RENTAL-PARKING LOT"</f>
        <v>RENTAL-PARKING LOT</v>
      </c>
      <c r="G486" s="2">
        <v>500</v>
      </c>
      <c r="H486" t="str">
        <f>"RENTAL-PARKING LOT"</f>
        <v>RENTAL-PARKING LOT</v>
      </c>
    </row>
    <row r="487" spans="1:9" x14ac:dyDescent="0.25">
      <c r="A487" t="s">
        <v>141</v>
      </c>
      <c r="B487">
        <v>78485</v>
      </c>
      <c r="C487" s="3">
        <v>1844.78</v>
      </c>
      <c r="D487" s="1">
        <v>43350</v>
      </c>
      <c r="E487" t="str">
        <f>"201809073562"</f>
        <v>201809073562</v>
      </c>
      <c r="F487" t="str">
        <f>"ACCT#007-0000388-000/08242018"</f>
        <v>ACCT#007-0000388-000/08242018</v>
      </c>
      <c r="G487" s="2">
        <v>797.58</v>
      </c>
      <c r="H487" t="str">
        <f>"ACCT#007-0000388-000/08242018"</f>
        <v>ACCT#007-0000388-000/08242018</v>
      </c>
    </row>
    <row r="488" spans="1:9" x14ac:dyDescent="0.25">
      <c r="E488" t="str">
        <f>"201809073563"</f>
        <v>201809073563</v>
      </c>
      <c r="F488" t="str">
        <f>"ACCT#007-0000389-000/08242018"</f>
        <v>ACCT#007-0000389-000/08242018</v>
      </c>
      <c r="G488" s="2">
        <v>48.42</v>
      </c>
      <c r="H488" t="str">
        <f>"ACCT#007-0000389-000/08242018"</f>
        <v>ACCT#007-0000389-000/08242018</v>
      </c>
    </row>
    <row r="489" spans="1:9" x14ac:dyDescent="0.25">
      <c r="E489" t="str">
        <f>"201809073564"</f>
        <v>201809073564</v>
      </c>
      <c r="F489" t="str">
        <f>"ACCT#044-0001240-000/08242018"</f>
        <v>ACCT#044-0001240-000/08242018</v>
      </c>
      <c r="G489" s="2">
        <v>447.29</v>
      </c>
      <c r="H489" t="str">
        <f>"ACCT#044-0001240-000/08242018"</f>
        <v>ACCT#044-0001240-000/08242018</v>
      </c>
    </row>
    <row r="490" spans="1:9" x14ac:dyDescent="0.25">
      <c r="E490" t="str">
        <f>"201809073565"</f>
        <v>201809073565</v>
      </c>
      <c r="F490" t="str">
        <f>"ACCT#044-0001250-000/08242018"</f>
        <v>ACCT#044-0001250-000/08242018</v>
      </c>
      <c r="G490" s="2">
        <v>42.39</v>
      </c>
      <c r="H490" t="str">
        <f>"ACCT#044-0001250-000/08242018"</f>
        <v>ACCT#044-0001250-000/08242018</v>
      </c>
    </row>
    <row r="491" spans="1:9" x14ac:dyDescent="0.25">
      <c r="E491" t="str">
        <f>"201809073566"</f>
        <v>201809073566</v>
      </c>
      <c r="F491" t="str">
        <f>"ACCT#044-0001252-000/08242018"</f>
        <v>ACCT#044-0001252-000/08242018</v>
      </c>
      <c r="G491" s="2">
        <v>495.02</v>
      </c>
      <c r="H491" t="str">
        <f>"ACCT#044-0001252-000/08242018"</f>
        <v>ACCT#044-0001252-000/08242018</v>
      </c>
    </row>
    <row r="492" spans="1:9" x14ac:dyDescent="0.25">
      <c r="E492" t="str">
        <f>"201809073567"</f>
        <v>201809073567</v>
      </c>
      <c r="F492" t="str">
        <f>"ACCT#044-0001253-000/08242018"</f>
        <v>ACCT#044-0001253-000/08242018</v>
      </c>
      <c r="G492" s="2">
        <v>14.08</v>
      </c>
      <c r="H492" t="str">
        <f>"ACCT#044-0001253-000/08242018"</f>
        <v>ACCT#044-0001253-000/08242018</v>
      </c>
    </row>
    <row r="493" spans="1:9" x14ac:dyDescent="0.25">
      <c r="A493" t="s">
        <v>142</v>
      </c>
      <c r="B493">
        <v>999999</v>
      </c>
      <c r="C493" s="3">
        <v>3917.97</v>
      </c>
      <c r="D493" s="1">
        <v>43368</v>
      </c>
      <c r="E493" t="str">
        <f>"SVC-0073493 PMA-00"</f>
        <v>SVC-0073493 PMA-00</v>
      </c>
      <c r="F493" t="str">
        <f>"INV SVC-0073493"</f>
        <v>INV SVC-0073493</v>
      </c>
      <c r="G493" s="2">
        <v>3917.97</v>
      </c>
      <c r="H493" t="str">
        <f>"INV SVC-0073493"</f>
        <v>INV SVC-0073493</v>
      </c>
    </row>
    <row r="494" spans="1:9" x14ac:dyDescent="0.25">
      <c r="E494" t="str">
        <f>""</f>
        <v/>
      </c>
      <c r="F494" t="str">
        <f>""</f>
        <v/>
      </c>
      <c r="H494" t="str">
        <f>"INV PMA-0042671"</f>
        <v>INV PMA-0042671</v>
      </c>
    </row>
    <row r="495" spans="1:9" x14ac:dyDescent="0.25">
      <c r="A495" t="s">
        <v>143</v>
      </c>
      <c r="B495">
        <v>999999</v>
      </c>
      <c r="C495" s="3">
        <v>150.21</v>
      </c>
      <c r="D495" s="1">
        <v>43354</v>
      </c>
      <c r="E495" t="str">
        <f>"201809063438"</f>
        <v>201809063438</v>
      </c>
      <c r="F495" t="str">
        <f>"INDIGENT HEALTH"</f>
        <v>INDIGENT HEALTH</v>
      </c>
      <c r="G495" s="2">
        <v>150.21</v>
      </c>
      <c r="H495" t="str">
        <f>"INDIGENT HEALTH"</f>
        <v>INDIGENT HEALTH</v>
      </c>
    </row>
    <row r="496" spans="1:9" x14ac:dyDescent="0.25">
      <c r="E496" t="str">
        <f>""</f>
        <v/>
      </c>
      <c r="F496" t="str">
        <f>""</f>
        <v/>
      </c>
      <c r="H496" t="str">
        <f>"INDIGENT HEALTH"</f>
        <v>INDIGENT HEALTH</v>
      </c>
    </row>
    <row r="497" spans="1:9" x14ac:dyDescent="0.25">
      <c r="A497" t="s">
        <v>143</v>
      </c>
      <c r="B497">
        <v>999999</v>
      </c>
      <c r="C497" s="3">
        <v>967.49</v>
      </c>
      <c r="D497" s="1">
        <v>43368</v>
      </c>
      <c r="E497" t="str">
        <f>"201806-0/07-0/08-0"</f>
        <v>201806-0/07-0/08-0</v>
      </c>
      <c r="F497" t="str">
        <f>"INV 201808-0"</f>
        <v>INV 201808-0</v>
      </c>
      <c r="G497" s="2">
        <v>541.87</v>
      </c>
      <c r="H497" t="str">
        <f>"INV 201808-0"</f>
        <v>INV 201808-0</v>
      </c>
    </row>
    <row r="498" spans="1:9" x14ac:dyDescent="0.25">
      <c r="E498" t="str">
        <f>""</f>
        <v/>
      </c>
      <c r="F498" t="str">
        <f>""</f>
        <v/>
      </c>
      <c r="H498" t="str">
        <f>"INV 201807-0"</f>
        <v>INV 201807-0</v>
      </c>
    </row>
    <row r="499" spans="1:9" x14ac:dyDescent="0.25">
      <c r="E499" t="str">
        <f>""</f>
        <v/>
      </c>
      <c r="F499" t="str">
        <f>""</f>
        <v/>
      </c>
      <c r="H499" t="str">
        <f>"INV 201806-0"</f>
        <v>INV 201806-0</v>
      </c>
    </row>
    <row r="500" spans="1:9" x14ac:dyDescent="0.25">
      <c r="E500" t="str">
        <f>"201809193867"</f>
        <v>201809193867</v>
      </c>
      <c r="F500" t="str">
        <f>"INDIGENT HEALTH"</f>
        <v>INDIGENT HEALTH</v>
      </c>
      <c r="G500" s="2">
        <v>425.62</v>
      </c>
      <c r="H500" t="str">
        <f>"INDIGENT HEALTH"</f>
        <v>INDIGENT HEALTH</v>
      </c>
    </row>
    <row r="501" spans="1:9" x14ac:dyDescent="0.25">
      <c r="E501" t="str">
        <f>""</f>
        <v/>
      </c>
      <c r="F501" t="str">
        <f>""</f>
        <v/>
      </c>
      <c r="H501" t="str">
        <f>"INDIGENT HEALTH"</f>
        <v>INDIGENT HEALTH</v>
      </c>
    </row>
    <row r="502" spans="1:9" x14ac:dyDescent="0.25">
      <c r="A502" t="s">
        <v>144</v>
      </c>
      <c r="B502">
        <v>999999</v>
      </c>
      <c r="C502" s="3">
        <v>626</v>
      </c>
      <c r="D502" s="1">
        <v>43368</v>
      </c>
      <c r="E502" t="str">
        <f>"12457824808"</f>
        <v>12457824808</v>
      </c>
      <c r="F502" t="str">
        <f>"INV 12457824808"</f>
        <v>INV 12457824808</v>
      </c>
      <c r="G502" s="2">
        <v>626</v>
      </c>
      <c r="H502" t="str">
        <f>"INV 12457824808"</f>
        <v>INV 12457824808</v>
      </c>
    </row>
    <row r="503" spans="1:9" x14ac:dyDescent="0.25">
      <c r="A503" t="s">
        <v>145</v>
      </c>
      <c r="B503">
        <v>999999</v>
      </c>
      <c r="C503" s="3">
        <v>574.63</v>
      </c>
      <c r="D503" s="1">
        <v>43368</v>
      </c>
      <c r="E503" t="str">
        <f>"201809193868"</f>
        <v>201809193868</v>
      </c>
      <c r="F503" t="str">
        <f>"INDIGENT HEALTH"</f>
        <v>INDIGENT HEALTH</v>
      </c>
      <c r="G503" s="2">
        <v>574.63</v>
      </c>
      <c r="H503" t="str">
        <f>"INDIGENT HEALTH"</f>
        <v>INDIGENT HEALTH</v>
      </c>
    </row>
    <row r="504" spans="1:9" x14ac:dyDescent="0.25">
      <c r="E504" t="str">
        <f>""</f>
        <v/>
      </c>
      <c r="F504" t="str">
        <f>""</f>
        <v/>
      </c>
      <c r="H504" t="str">
        <f>"INDIGENT HEALTH"</f>
        <v>INDIGENT HEALTH</v>
      </c>
    </row>
    <row r="505" spans="1:9" x14ac:dyDescent="0.25">
      <c r="A505" t="s">
        <v>146</v>
      </c>
      <c r="B505">
        <v>78522</v>
      </c>
      <c r="C505" s="3">
        <v>149.88</v>
      </c>
      <c r="D505" s="1">
        <v>43353</v>
      </c>
      <c r="E505" t="str">
        <f>"201808303149"</f>
        <v>201808303149</v>
      </c>
      <c r="F505" t="str">
        <f>"MILEAGE REIMBURSEMENT"</f>
        <v>MILEAGE REIMBURSEMENT</v>
      </c>
      <c r="G505" s="2">
        <v>149.88</v>
      </c>
      <c r="H505" t="str">
        <f>"MILEAGE REIMBURSEMENT"</f>
        <v>MILEAGE REIMBURSEMENT</v>
      </c>
    </row>
    <row r="506" spans="1:9" x14ac:dyDescent="0.25">
      <c r="A506" t="s">
        <v>147</v>
      </c>
      <c r="B506">
        <v>78523</v>
      </c>
      <c r="C506" s="3">
        <v>25</v>
      </c>
      <c r="D506" s="1">
        <v>43353</v>
      </c>
      <c r="E506" t="s">
        <v>88</v>
      </c>
      <c r="F506" t="s">
        <v>148</v>
      </c>
      <c r="G506" s="2" t="str">
        <f>"RESTITUTION-K. PURCELL"</f>
        <v>RESTITUTION-K. PURCELL</v>
      </c>
      <c r="H506" t="str">
        <f>"210-0000"</f>
        <v>210-0000</v>
      </c>
      <c r="I506" t="str">
        <f>""</f>
        <v/>
      </c>
    </row>
    <row r="507" spans="1:9" x14ac:dyDescent="0.25">
      <c r="E507" t="s">
        <v>88</v>
      </c>
      <c r="F507" t="s">
        <v>149</v>
      </c>
      <c r="G507" s="2" t="str">
        <f>"RESTITUTION-K. PURCELL"</f>
        <v>RESTITUTION-K. PURCELL</v>
      </c>
      <c r="H507" t="str">
        <f>"210-0000"</f>
        <v>210-0000</v>
      </c>
      <c r="I507" t="str">
        <f>""</f>
        <v/>
      </c>
    </row>
    <row r="508" spans="1:9" x14ac:dyDescent="0.25">
      <c r="A508" t="s">
        <v>150</v>
      </c>
      <c r="B508">
        <v>78731</v>
      </c>
      <c r="C508" s="3">
        <v>481.25</v>
      </c>
      <c r="D508" s="1">
        <v>43367</v>
      </c>
      <c r="E508" t="str">
        <f>"0236-453102"</f>
        <v>0236-453102</v>
      </c>
      <c r="F508" t="str">
        <f>"INV 0236-453102"</f>
        <v>INV 0236-453102</v>
      </c>
      <c r="G508" s="2">
        <v>481.25</v>
      </c>
      <c r="H508" t="str">
        <f>"INV 0236-453102"</f>
        <v>INV 0236-453102</v>
      </c>
    </row>
    <row r="509" spans="1:9" x14ac:dyDescent="0.25">
      <c r="A509" t="s">
        <v>151</v>
      </c>
      <c r="B509">
        <v>78732</v>
      </c>
      <c r="C509" s="3">
        <v>14553.52</v>
      </c>
      <c r="D509" s="1">
        <v>43367</v>
      </c>
      <c r="E509" t="str">
        <f>"17198049"</f>
        <v>17198049</v>
      </c>
      <c r="F509" t="str">
        <f>"ACCT#434304/PCT#4"</f>
        <v>ACCT#434304/PCT#4</v>
      </c>
      <c r="G509" s="2">
        <v>1307.98</v>
      </c>
      <c r="H509" t="str">
        <f>"ACCT#434304/PCT#4"</f>
        <v>ACCT#434304/PCT#4</v>
      </c>
    </row>
    <row r="510" spans="1:9" x14ac:dyDescent="0.25">
      <c r="E510" t="str">
        <f>"17198050"</f>
        <v>17198050</v>
      </c>
      <c r="F510" t="str">
        <f>"ACCT#434304/PCT#4"</f>
        <v>ACCT#434304/PCT#4</v>
      </c>
      <c r="G510" s="2">
        <v>3531.42</v>
      </c>
      <c r="H510" t="str">
        <f>"ACCT#434304/PCT#4"</f>
        <v>ACCT#434304/PCT#4</v>
      </c>
    </row>
    <row r="511" spans="1:9" x14ac:dyDescent="0.25">
      <c r="E511" t="str">
        <f>"17222748"</f>
        <v>17222748</v>
      </c>
      <c r="F511" t="str">
        <f>"ACCT#434304/PCT#3"</f>
        <v>ACCT#434304/PCT#3</v>
      </c>
      <c r="G511" s="2">
        <v>6628.44</v>
      </c>
      <c r="H511" t="str">
        <f>"ACCT#434304/PCT#3"</f>
        <v>ACCT#434304/PCT#3</v>
      </c>
    </row>
    <row r="512" spans="1:9" x14ac:dyDescent="0.25">
      <c r="E512" t="str">
        <f>"17256727"</f>
        <v>17256727</v>
      </c>
      <c r="F512" t="str">
        <f>"ACCT#434304/PCT#4"</f>
        <v>ACCT#434304/PCT#4</v>
      </c>
      <c r="G512" s="2">
        <v>2980.8</v>
      </c>
      <c r="H512" t="str">
        <f>"ACCT#434304/PCT#4"</f>
        <v>ACCT#434304/PCT#4</v>
      </c>
    </row>
    <row r="513" spans="1:8" x14ac:dyDescent="0.25">
      <c r="E513" t="str">
        <f>"17279536"</f>
        <v>17279536</v>
      </c>
      <c r="F513" t="str">
        <f>"ACCT#434304/PCT#4"</f>
        <v>ACCT#434304/PCT#4</v>
      </c>
      <c r="G513" s="2">
        <v>104.88</v>
      </c>
      <c r="H513" t="str">
        <f>"ACCT#434304/PCT#4"</f>
        <v>ACCT#434304/PCT#4</v>
      </c>
    </row>
    <row r="514" spans="1:8" x14ac:dyDescent="0.25">
      <c r="A514" t="s">
        <v>152</v>
      </c>
      <c r="B514">
        <v>78524</v>
      </c>
      <c r="C514" s="3">
        <v>8111</v>
      </c>
      <c r="D514" s="1">
        <v>43353</v>
      </c>
      <c r="E514" t="str">
        <f>"19618 &amp; 19878"</f>
        <v>19618 &amp; 19878</v>
      </c>
      <c r="F514" t="str">
        <f>"Inv# 19618 &amp; 19878"</f>
        <v>Inv# 19618 &amp; 19878</v>
      </c>
      <c r="G514" s="2">
        <v>8111</v>
      </c>
      <c r="H514" t="str">
        <f>"Inv# 19618"</f>
        <v>Inv# 19618</v>
      </c>
    </row>
    <row r="515" spans="1:8" x14ac:dyDescent="0.25">
      <c r="E515" t="str">
        <f>""</f>
        <v/>
      </c>
      <c r="F515" t="str">
        <f>""</f>
        <v/>
      </c>
      <c r="H515" t="str">
        <f>"Inv# 19878"</f>
        <v>Inv# 19878</v>
      </c>
    </row>
    <row r="516" spans="1:8" x14ac:dyDescent="0.25">
      <c r="A516" t="s">
        <v>153</v>
      </c>
      <c r="B516">
        <v>999999</v>
      </c>
      <c r="C516" s="3">
        <v>348.89</v>
      </c>
      <c r="D516" s="1">
        <v>43354</v>
      </c>
      <c r="E516" t="str">
        <f>"IN47346"</f>
        <v>IN47346</v>
      </c>
      <c r="F516" t="str">
        <f>"ACCT#353/MAC VLV/PCT#2"</f>
        <v>ACCT#353/MAC VLV/PCT#2</v>
      </c>
      <c r="G516" s="2">
        <v>348.89</v>
      </c>
      <c r="H516" t="str">
        <f>"ACCT#353/MAC VLV/PCT#2"</f>
        <v>ACCT#353/MAC VLV/PCT#2</v>
      </c>
    </row>
    <row r="517" spans="1:8" x14ac:dyDescent="0.25">
      <c r="A517" t="s">
        <v>153</v>
      </c>
      <c r="B517">
        <v>999999</v>
      </c>
      <c r="C517" s="3">
        <v>4595.17</v>
      </c>
      <c r="D517" s="1">
        <v>43368</v>
      </c>
      <c r="E517" t="str">
        <f>"IN47376"</f>
        <v>IN47376</v>
      </c>
      <c r="F517" t="str">
        <f>"ACCT#353/FUSE BLOCK/FREIGHT/P2"</f>
        <v>ACCT#353/FUSE BLOCK/FREIGHT/P2</v>
      </c>
      <c r="G517" s="2">
        <v>195.03</v>
      </c>
      <c r="H517" t="str">
        <f>"ACCT#353/FUSE BLOCK/FREIGHT/P2"</f>
        <v>ACCT#353/FUSE BLOCK/FREIGHT/P2</v>
      </c>
    </row>
    <row r="518" spans="1:8" x14ac:dyDescent="0.25">
      <c r="E518" t="str">
        <f>"IN47421"</f>
        <v>IN47421</v>
      </c>
      <c r="F518" t="str">
        <f>"ACCT#353/PCT#1"</f>
        <v>ACCT#353/PCT#1</v>
      </c>
      <c r="G518" s="2">
        <v>274.82</v>
      </c>
      <c r="H518" t="str">
        <f>"ACCT#353/PCT#1"</f>
        <v>ACCT#353/PCT#1</v>
      </c>
    </row>
    <row r="519" spans="1:8" x14ac:dyDescent="0.25">
      <c r="E519" t="str">
        <f>"IN47464"</f>
        <v>IN47464</v>
      </c>
      <c r="F519" t="str">
        <f>"ACCT#353/PCT#1"</f>
        <v>ACCT#353/PCT#1</v>
      </c>
      <c r="G519" s="2">
        <v>467.79</v>
      </c>
      <c r="H519" t="str">
        <f>"ACCT#353/PCT#1"</f>
        <v>ACCT#353/PCT#1</v>
      </c>
    </row>
    <row r="520" spans="1:8" x14ac:dyDescent="0.25">
      <c r="E520" t="str">
        <f>"WS18472"</f>
        <v>WS18472</v>
      </c>
      <c r="F520" t="str">
        <f>"ACCT#353/PCT#4"</f>
        <v>ACCT#353/PCT#4</v>
      </c>
      <c r="G520" s="2">
        <v>2512.2800000000002</v>
      </c>
      <c r="H520" t="str">
        <f>"ACCT#353/PCT#4"</f>
        <v>ACCT#353/PCT#4</v>
      </c>
    </row>
    <row r="521" spans="1:8" x14ac:dyDescent="0.25">
      <c r="E521" t="str">
        <f>"WS18636"</f>
        <v>WS18636</v>
      </c>
      <c r="F521" t="str">
        <f>"ACCT#353/PCT#3"</f>
        <v>ACCT#353/PCT#3</v>
      </c>
      <c r="G521" s="2">
        <v>1145.25</v>
      </c>
      <c r="H521" t="str">
        <f>"ACCT#353/PCT#3"</f>
        <v>ACCT#353/PCT#3</v>
      </c>
    </row>
    <row r="522" spans="1:8" x14ac:dyDescent="0.25">
      <c r="A522" t="s">
        <v>154</v>
      </c>
      <c r="B522">
        <v>78733</v>
      </c>
      <c r="C522" s="3">
        <v>2687</v>
      </c>
      <c r="D522" s="1">
        <v>43367</v>
      </c>
      <c r="E522" t="str">
        <f>"JCW-30209-01"</f>
        <v>JCW-30209-01</v>
      </c>
      <c r="F522" t="str">
        <f>"Key Card Reader"</f>
        <v>Key Card Reader</v>
      </c>
      <c r="G522" s="2">
        <v>2687</v>
      </c>
      <c r="H522" t="str">
        <f>"NSC-100 IP-Based Net"</f>
        <v>NSC-100 IP-Based Net</v>
      </c>
    </row>
    <row r="523" spans="1:8" x14ac:dyDescent="0.25">
      <c r="E523" t="str">
        <f>""</f>
        <v/>
      </c>
      <c r="F523" t="str">
        <f>""</f>
        <v/>
      </c>
      <c r="H523" t="str">
        <f>"SE RPK40 MultiCLASS"</f>
        <v>SE RPK40 MultiCLASS</v>
      </c>
    </row>
    <row r="524" spans="1:8" x14ac:dyDescent="0.25">
      <c r="E524" t="str">
        <f>""</f>
        <v/>
      </c>
      <c r="F524" t="str">
        <f>""</f>
        <v/>
      </c>
      <c r="H524" t="str">
        <f>"HES1500C Electric St"</f>
        <v>HES1500C Electric St</v>
      </c>
    </row>
    <row r="525" spans="1:8" x14ac:dyDescent="0.25">
      <c r="E525" t="str">
        <f>""</f>
        <v/>
      </c>
      <c r="F525" t="str">
        <f>""</f>
        <v/>
      </c>
      <c r="H525" t="str">
        <f>"AL624ET Access power"</f>
        <v>AL624ET Access power</v>
      </c>
    </row>
    <row r="526" spans="1:8" x14ac:dyDescent="0.25">
      <c r="E526" t="str">
        <f>""</f>
        <v/>
      </c>
      <c r="F526" t="str">
        <f>""</f>
        <v/>
      </c>
      <c r="H526" t="str">
        <f>"DXR-701 Wireless Rec"</f>
        <v>DXR-701 Wireless Rec</v>
      </c>
    </row>
    <row r="527" spans="1:8" x14ac:dyDescent="0.25">
      <c r="E527" t="str">
        <f>""</f>
        <v/>
      </c>
      <c r="F527" t="str">
        <f>""</f>
        <v/>
      </c>
      <c r="H527" t="str">
        <f>"DXT-21 Handheld Wire"</f>
        <v>DXT-21 Handheld Wire</v>
      </c>
    </row>
    <row r="528" spans="1:8" x14ac:dyDescent="0.25">
      <c r="E528" t="str">
        <f>""</f>
        <v/>
      </c>
      <c r="F528" t="str">
        <f>""</f>
        <v/>
      </c>
      <c r="H528" t="str">
        <f>"Wire  misc. material"</f>
        <v>Wire  misc. material</v>
      </c>
    </row>
    <row r="529" spans="1:8" x14ac:dyDescent="0.25">
      <c r="E529" t="str">
        <f>""</f>
        <v/>
      </c>
      <c r="F529" t="str">
        <f>""</f>
        <v/>
      </c>
      <c r="H529" t="str">
        <f>"Installation"</f>
        <v>Installation</v>
      </c>
    </row>
    <row r="530" spans="1:8" x14ac:dyDescent="0.25">
      <c r="A530" t="s">
        <v>155</v>
      </c>
      <c r="B530">
        <v>999999</v>
      </c>
      <c r="C530" s="3">
        <v>53.57</v>
      </c>
      <c r="D530" s="1">
        <v>43368</v>
      </c>
      <c r="E530" t="str">
        <f>"231489"</f>
        <v>231489</v>
      </c>
      <c r="F530" t="str">
        <f>"CUST#4011/PCT#3"</f>
        <v>CUST#4011/PCT#3</v>
      </c>
      <c r="G530" s="2">
        <v>53.57</v>
      </c>
      <c r="H530" t="str">
        <f>"CUST#4011/PCT#3"</f>
        <v>CUST#4011/PCT#3</v>
      </c>
    </row>
    <row r="531" spans="1:8" x14ac:dyDescent="0.25">
      <c r="A531" t="s">
        <v>156</v>
      </c>
      <c r="B531">
        <v>78525</v>
      </c>
      <c r="C531" s="3">
        <v>1000</v>
      </c>
      <c r="D531" s="1">
        <v>43353</v>
      </c>
      <c r="E531" t="str">
        <f>"201809053295"</f>
        <v>201809053295</v>
      </c>
      <c r="F531" t="str">
        <f>"AUGUST INVOICE"</f>
        <v>AUGUST INVOICE</v>
      </c>
      <c r="G531" s="2">
        <v>1000</v>
      </c>
      <c r="H531" t="str">
        <f>"AUGUST INVOICE"</f>
        <v>AUGUST INVOICE</v>
      </c>
    </row>
    <row r="532" spans="1:8" x14ac:dyDescent="0.25">
      <c r="A532" t="s">
        <v>157</v>
      </c>
      <c r="B532">
        <v>78526</v>
      </c>
      <c r="C532" s="3">
        <v>450</v>
      </c>
      <c r="D532" s="1">
        <v>43353</v>
      </c>
      <c r="E532" t="str">
        <f>"201808313194"</f>
        <v>201808313194</v>
      </c>
      <c r="F532" t="str">
        <f>"423-5817"</f>
        <v>423-5817</v>
      </c>
      <c r="G532" s="2">
        <v>450</v>
      </c>
      <c r="H532" t="str">
        <f>"423-5817"</f>
        <v>423-5817</v>
      </c>
    </row>
    <row r="533" spans="1:8" x14ac:dyDescent="0.25">
      <c r="A533" t="s">
        <v>158</v>
      </c>
      <c r="B533">
        <v>78738</v>
      </c>
      <c r="C533" s="3">
        <v>489.64</v>
      </c>
      <c r="D533" s="1">
        <v>43367</v>
      </c>
      <c r="E533" t="str">
        <f>"522006013"</f>
        <v>522006013</v>
      </c>
      <c r="F533" t="str">
        <f>"inv# 522006013"</f>
        <v>inv# 522006013</v>
      </c>
      <c r="G533" s="2">
        <v>489.64</v>
      </c>
      <c r="H533" t="str">
        <f>"Payment"</f>
        <v>Payment</v>
      </c>
    </row>
    <row r="534" spans="1:8" x14ac:dyDescent="0.25">
      <c r="A534" t="s">
        <v>159</v>
      </c>
      <c r="B534">
        <v>78527</v>
      </c>
      <c r="C534" s="3">
        <v>150</v>
      </c>
      <c r="D534" s="1">
        <v>43353</v>
      </c>
      <c r="E534" t="str">
        <f>"201809053422"</f>
        <v>201809053422</v>
      </c>
      <c r="F534" t="str">
        <f>"CLEANING SVCS 08/10 &amp; 8/24"</f>
        <v>CLEANING SVCS 08/10 &amp; 8/24</v>
      </c>
      <c r="G534" s="2">
        <v>150</v>
      </c>
      <c r="H534" t="str">
        <f>"CLEANING SVCS 08/10 &amp; 8/24"</f>
        <v>CLEANING SVCS 08/10 &amp; 8/24</v>
      </c>
    </row>
    <row r="535" spans="1:8" x14ac:dyDescent="0.25">
      <c r="A535" t="s">
        <v>160</v>
      </c>
      <c r="B535">
        <v>78528</v>
      </c>
      <c r="C535" s="3">
        <v>98.66</v>
      </c>
      <c r="D535" s="1">
        <v>43353</v>
      </c>
      <c r="E535" t="str">
        <f>"IN1748274"</f>
        <v>IN1748274</v>
      </c>
      <c r="F535" t="str">
        <f>"ACCT#CO150:40G634/CN35646-01"</f>
        <v>ACCT#CO150:40G634/CN35646-01</v>
      </c>
      <c r="G535" s="2">
        <v>98.66</v>
      </c>
      <c r="H535" t="str">
        <f>"ACCT#CO150:40G634/CN35646-01"</f>
        <v>ACCT#CO150:40G634/CN35646-01</v>
      </c>
    </row>
    <row r="536" spans="1:8" x14ac:dyDescent="0.25">
      <c r="A536" t="s">
        <v>161</v>
      </c>
      <c r="B536">
        <v>78529</v>
      </c>
      <c r="C536" s="3">
        <v>160</v>
      </c>
      <c r="D536" s="1">
        <v>43353</v>
      </c>
      <c r="E536" t="str">
        <f>"12883"</f>
        <v>12883</v>
      </c>
      <c r="F536" t="str">
        <f>"SERVICE"</f>
        <v>SERVICE</v>
      </c>
      <c r="G536" s="2">
        <v>80</v>
      </c>
      <c r="H536" t="str">
        <f>"SERVICE"</f>
        <v>SERVICE</v>
      </c>
    </row>
    <row r="537" spans="1:8" x14ac:dyDescent="0.25">
      <c r="E537" t="str">
        <f>"12969"</f>
        <v>12969</v>
      </c>
      <c r="F537" t="str">
        <f>"SERVICE"</f>
        <v>SERVICE</v>
      </c>
      <c r="G537" s="2">
        <v>80</v>
      </c>
      <c r="H537" t="str">
        <f>"SERVICE"</f>
        <v>SERVICE</v>
      </c>
    </row>
    <row r="538" spans="1:8" x14ac:dyDescent="0.25">
      <c r="A538" t="s">
        <v>161</v>
      </c>
      <c r="B538">
        <v>78734</v>
      </c>
      <c r="C538" s="3">
        <v>80</v>
      </c>
      <c r="D538" s="1">
        <v>43367</v>
      </c>
      <c r="E538" t="str">
        <f>"12997"</f>
        <v>12997</v>
      </c>
      <c r="F538" t="str">
        <f>"SERVICE"</f>
        <v>SERVICE</v>
      </c>
      <c r="G538" s="2">
        <v>80</v>
      </c>
      <c r="H538" t="str">
        <f>"SERVICE"</f>
        <v>SERVICE</v>
      </c>
    </row>
    <row r="539" spans="1:8" x14ac:dyDescent="0.25">
      <c r="A539" t="s">
        <v>162</v>
      </c>
      <c r="B539">
        <v>78735</v>
      </c>
      <c r="C539" s="3">
        <v>449</v>
      </c>
      <c r="D539" s="1">
        <v>43367</v>
      </c>
      <c r="E539" t="str">
        <f>"6238"</f>
        <v>6238</v>
      </c>
      <c r="F539" t="str">
        <f>"INITIAL YEAR SETUP-COUNTY"</f>
        <v>INITIAL YEAR SETUP-COUNTY</v>
      </c>
      <c r="G539" s="2">
        <v>449</v>
      </c>
      <c r="H539" t="str">
        <f>"INITIAL YEAR SETUP-COUNTY"</f>
        <v>INITIAL YEAR SETUP-COUNTY</v>
      </c>
    </row>
    <row r="540" spans="1:8" x14ac:dyDescent="0.25">
      <c r="A540" t="s">
        <v>163</v>
      </c>
      <c r="B540">
        <v>78530</v>
      </c>
      <c r="C540" s="3">
        <v>100</v>
      </c>
      <c r="D540" s="1">
        <v>43353</v>
      </c>
      <c r="E540" t="str">
        <f>"201809053421"</f>
        <v>201809053421</v>
      </c>
      <c r="F540" t="str">
        <f>"LEGAL CONSULT SVCS AUGUST 2018"</f>
        <v>LEGAL CONSULT SVCS AUGUST 2018</v>
      </c>
      <c r="G540" s="2">
        <v>100</v>
      </c>
      <c r="H540" t="str">
        <f>"LEGAL CONSULT SVCS AUGUST 2018"</f>
        <v>LEGAL CONSULT SVCS AUGUST 2018</v>
      </c>
    </row>
    <row r="541" spans="1:8" x14ac:dyDescent="0.25">
      <c r="A541" t="s">
        <v>164</v>
      </c>
      <c r="B541">
        <v>78531</v>
      </c>
      <c r="C541" s="3">
        <v>135</v>
      </c>
      <c r="D541" s="1">
        <v>43353</v>
      </c>
      <c r="E541" t="str">
        <f>"201808303144"</f>
        <v>201808303144</v>
      </c>
      <c r="F541" t="str">
        <f>"TRAVEL ADVANCE-PER DIEM"</f>
        <v>TRAVEL ADVANCE-PER DIEM</v>
      </c>
      <c r="G541" s="2">
        <v>135</v>
      </c>
      <c r="H541" t="str">
        <f>"TRAVEL ADVANCE-PER DIEM"</f>
        <v>TRAVEL ADVANCE-PER DIEM</v>
      </c>
    </row>
    <row r="542" spans="1:8" x14ac:dyDescent="0.25">
      <c r="A542" t="s">
        <v>165</v>
      </c>
      <c r="B542">
        <v>999999</v>
      </c>
      <c r="C542" s="3">
        <v>1647.5</v>
      </c>
      <c r="D542" s="1">
        <v>43354</v>
      </c>
      <c r="E542" t="str">
        <f>"201809053303"</f>
        <v>201809053303</v>
      </c>
      <c r="F542" t="str">
        <f>"J-3148"</f>
        <v>J-3148</v>
      </c>
      <c r="G542" s="2">
        <v>250</v>
      </c>
      <c r="H542" t="str">
        <f>"J-3148"</f>
        <v>J-3148</v>
      </c>
    </row>
    <row r="543" spans="1:8" x14ac:dyDescent="0.25">
      <c r="E543" t="str">
        <f>"201809053304"</f>
        <v>201809053304</v>
      </c>
      <c r="F543" t="str">
        <f>"18-18864"</f>
        <v>18-18864</v>
      </c>
      <c r="G543" s="2">
        <v>100</v>
      </c>
      <c r="H543" t="str">
        <f>"18-18864"</f>
        <v>18-18864</v>
      </c>
    </row>
    <row r="544" spans="1:8" x14ac:dyDescent="0.25">
      <c r="E544" t="str">
        <f>"201809053305"</f>
        <v>201809053305</v>
      </c>
      <c r="F544" t="str">
        <f>"16-18043"</f>
        <v>16-18043</v>
      </c>
      <c r="G544" s="2">
        <v>430</v>
      </c>
      <c r="H544" t="str">
        <f>"16-18043"</f>
        <v>16-18043</v>
      </c>
    </row>
    <row r="545" spans="1:8" x14ac:dyDescent="0.25">
      <c r="E545" t="str">
        <f>"201809053306"</f>
        <v>201809053306</v>
      </c>
      <c r="F545" t="str">
        <f>"17-18637"</f>
        <v>17-18637</v>
      </c>
      <c r="G545" s="2">
        <v>460</v>
      </c>
      <c r="H545" t="str">
        <f>"17-18637"</f>
        <v>17-18637</v>
      </c>
    </row>
    <row r="546" spans="1:8" x14ac:dyDescent="0.25">
      <c r="E546" t="str">
        <f>"201809053314"</f>
        <v>201809053314</v>
      </c>
      <c r="F546" t="str">
        <f>"17-18754"</f>
        <v>17-18754</v>
      </c>
      <c r="G546" s="2">
        <v>150</v>
      </c>
      <c r="H546" t="str">
        <f>"17-18754"</f>
        <v>17-18754</v>
      </c>
    </row>
    <row r="547" spans="1:8" x14ac:dyDescent="0.25">
      <c r="E547" t="str">
        <f>"201809053315"</f>
        <v>201809053315</v>
      </c>
      <c r="F547" t="str">
        <f>"17-18636"</f>
        <v>17-18636</v>
      </c>
      <c r="G547" s="2">
        <v>137.5</v>
      </c>
      <c r="H547" t="str">
        <f>"17-18636"</f>
        <v>17-18636</v>
      </c>
    </row>
    <row r="548" spans="1:8" x14ac:dyDescent="0.25">
      <c r="E548" t="str">
        <f>"201809053336"</f>
        <v>201809053336</v>
      </c>
      <c r="F548" t="str">
        <f>"18-18877"</f>
        <v>18-18877</v>
      </c>
      <c r="G548" s="2">
        <v>120</v>
      </c>
      <c r="H548" t="str">
        <f>"18-18877"</f>
        <v>18-18877</v>
      </c>
    </row>
    <row r="549" spans="1:8" x14ac:dyDescent="0.25">
      <c r="A549" t="s">
        <v>166</v>
      </c>
      <c r="B549">
        <v>78532</v>
      </c>
      <c r="C549" s="3">
        <v>61</v>
      </c>
      <c r="D549" s="1">
        <v>43353</v>
      </c>
      <c r="E549" t="str">
        <f>"201808293115"</f>
        <v>201808293115</v>
      </c>
      <c r="F549" t="str">
        <f>"LICENSE RENEWAL REIMBURSEMENT"</f>
        <v>LICENSE RENEWAL REIMBURSEMENT</v>
      </c>
      <c r="G549" s="2">
        <v>61</v>
      </c>
      <c r="H549" t="str">
        <f>"LICENSE RENEWAL REIMBURSEMENT"</f>
        <v>LICENSE RENEWAL REIMBURSEMENT</v>
      </c>
    </row>
    <row r="550" spans="1:8" x14ac:dyDescent="0.25">
      <c r="A550" t="s">
        <v>167</v>
      </c>
      <c r="B550">
        <v>78533</v>
      </c>
      <c r="C550" s="3">
        <v>326.45999999999998</v>
      </c>
      <c r="D550" s="1">
        <v>43353</v>
      </c>
      <c r="E550" t="str">
        <f>"10263125245"</f>
        <v>10263125245</v>
      </c>
      <c r="F550" t="str">
        <f>"SSD Drive"</f>
        <v>SSD Drive</v>
      </c>
      <c r="G550" s="2">
        <v>326.45999999999998</v>
      </c>
      <c r="H550" t="str">
        <f>"256GB 7mm SATA III"</f>
        <v>256GB 7mm SATA III</v>
      </c>
    </row>
    <row r="551" spans="1:8" x14ac:dyDescent="0.25">
      <c r="A551" t="s">
        <v>167</v>
      </c>
      <c r="B551">
        <v>78736</v>
      </c>
      <c r="C551" s="3">
        <v>1128</v>
      </c>
      <c r="D551" s="1">
        <v>43367</v>
      </c>
      <c r="E551" t="str">
        <f>"10266461613"</f>
        <v>10266461613</v>
      </c>
      <c r="F551" t="str">
        <f>"DELL"</f>
        <v>DELL</v>
      </c>
      <c r="G551" s="2">
        <v>94</v>
      </c>
      <c r="H551" t="str">
        <f>"DELL PRIMARY BATTERY"</f>
        <v>DELL PRIMARY BATTERY</v>
      </c>
    </row>
    <row r="552" spans="1:8" x14ac:dyDescent="0.25">
      <c r="E552" t="str">
        <f>"10266475374"</f>
        <v>10266475374</v>
      </c>
      <c r="F552" t="str">
        <f>"Dell Monitor"</f>
        <v>Dell Monitor</v>
      </c>
      <c r="G552" s="2">
        <v>209</v>
      </c>
      <c r="H552" t="str">
        <f>"Dell 24 Monitor – P2"</f>
        <v>Dell 24 Monitor – P2</v>
      </c>
    </row>
    <row r="553" spans="1:8" x14ac:dyDescent="0.25">
      <c r="E553" t="str">
        <f>""</f>
        <v/>
      </c>
      <c r="F553" t="str">
        <f>""</f>
        <v/>
      </c>
      <c r="H553" t="str">
        <f>"Discount"</f>
        <v>Discount</v>
      </c>
    </row>
    <row r="554" spans="1:8" x14ac:dyDescent="0.25">
      <c r="E554" t="str">
        <f>"10266904420"</f>
        <v>10266904420</v>
      </c>
      <c r="F554" t="str">
        <f>"DELL"</f>
        <v>DELL</v>
      </c>
      <c r="G554" s="2">
        <v>825</v>
      </c>
      <c r="H554" t="str">
        <f>"Dell Lattitude 5590"</f>
        <v>Dell Lattitude 5590</v>
      </c>
    </row>
    <row r="555" spans="1:8" x14ac:dyDescent="0.25">
      <c r="A555" t="s">
        <v>168</v>
      </c>
      <c r="B555">
        <v>78737</v>
      </c>
      <c r="C555" s="3">
        <v>2000</v>
      </c>
      <c r="D555" s="1">
        <v>43367</v>
      </c>
      <c r="E555" t="str">
        <f>"201809183835"</f>
        <v>201809183835</v>
      </c>
      <c r="F555" t="str">
        <f>"SANE EXAM - 18-S-04480"</f>
        <v>SANE EXAM - 18-S-04480</v>
      </c>
      <c r="G555" s="2">
        <v>1000</v>
      </c>
      <c r="H555" t="str">
        <f>"SANE EXAM - 18-S-04480"</f>
        <v>SANE EXAM - 18-S-04480</v>
      </c>
    </row>
    <row r="556" spans="1:8" x14ac:dyDescent="0.25">
      <c r="E556" t="str">
        <f>"201809183836"</f>
        <v>201809183836</v>
      </c>
      <c r="F556" t="str">
        <f>"SANE EXAM - 18-S-04483"</f>
        <v>SANE EXAM - 18-S-04483</v>
      </c>
      <c r="G556" s="2">
        <v>1000</v>
      </c>
      <c r="H556" t="str">
        <f>"SANE EXAM - 18-S-04483"</f>
        <v>SANE EXAM - 18-S-04483</v>
      </c>
    </row>
    <row r="557" spans="1:8" x14ac:dyDescent="0.25">
      <c r="A557" t="s">
        <v>169</v>
      </c>
      <c r="B557">
        <v>999999</v>
      </c>
      <c r="C557" s="3">
        <v>2005</v>
      </c>
      <c r="D557" s="1">
        <v>43368</v>
      </c>
      <c r="E557" t="str">
        <f>"BATX015603"</f>
        <v>BATX015603</v>
      </c>
      <c r="F557" t="str">
        <f>"INV BATX015603"</f>
        <v>INV BATX015603</v>
      </c>
      <c r="G557" s="2">
        <v>2005</v>
      </c>
      <c r="H557" t="str">
        <f>"INV BATX015603"</f>
        <v>INV BATX015603</v>
      </c>
    </row>
    <row r="558" spans="1:8" x14ac:dyDescent="0.25">
      <c r="A558" t="s">
        <v>170</v>
      </c>
      <c r="B558">
        <v>78739</v>
      </c>
      <c r="C558" s="3">
        <v>65</v>
      </c>
      <c r="D558" s="1">
        <v>43367</v>
      </c>
      <c r="E558" t="str">
        <f>"24780"</f>
        <v>24780</v>
      </c>
      <c r="F558" t="str">
        <f>"INV 24780"</f>
        <v>INV 24780</v>
      </c>
      <c r="G558" s="2">
        <v>65</v>
      </c>
      <c r="H558" t="str">
        <f>"INV 24780"</f>
        <v>INV 24780</v>
      </c>
    </row>
    <row r="559" spans="1:8" x14ac:dyDescent="0.25">
      <c r="A559" t="s">
        <v>171</v>
      </c>
      <c r="B559">
        <v>999999</v>
      </c>
      <c r="C559" s="3">
        <v>7850</v>
      </c>
      <c r="D559" s="1">
        <v>43354</v>
      </c>
      <c r="E559" t="str">
        <f>"201808303126"</f>
        <v>201808303126</v>
      </c>
      <c r="F559" t="str">
        <f>"16357"</f>
        <v>16357</v>
      </c>
      <c r="G559" s="2">
        <v>400</v>
      </c>
      <c r="H559" t="str">
        <f>"16357"</f>
        <v>16357</v>
      </c>
    </row>
    <row r="560" spans="1:8" x14ac:dyDescent="0.25">
      <c r="E560" t="str">
        <f>"201808303127"</f>
        <v>201808303127</v>
      </c>
      <c r="F560" t="str">
        <f>"16080"</f>
        <v>16080</v>
      </c>
      <c r="G560" s="2">
        <v>400</v>
      </c>
      <c r="H560" t="str">
        <f>"16080"</f>
        <v>16080</v>
      </c>
    </row>
    <row r="561" spans="5:8" x14ac:dyDescent="0.25">
      <c r="E561" t="str">
        <f>"201808303153"</f>
        <v>201808303153</v>
      </c>
      <c r="F561" t="str">
        <f>"16056"</f>
        <v>16056</v>
      </c>
      <c r="G561" s="2">
        <v>400</v>
      </c>
      <c r="H561" t="str">
        <f>"16056"</f>
        <v>16056</v>
      </c>
    </row>
    <row r="562" spans="5:8" x14ac:dyDescent="0.25">
      <c r="E562" t="str">
        <f>"201808303154"</f>
        <v>201808303154</v>
      </c>
      <c r="F562" t="str">
        <f>"DCPC-17-045"</f>
        <v>DCPC-17-045</v>
      </c>
      <c r="G562" s="2">
        <v>150</v>
      </c>
      <c r="H562" t="str">
        <f>"DCPC-17-045"</f>
        <v>DCPC-17-045</v>
      </c>
    </row>
    <row r="563" spans="5:8" x14ac:dyDescent="0.25">
      <c r="E563" t="str">
        <f>"201808303155"</f>
        <v>201808303155</v>
      </c>
      <c r="F563" t="str">
        <f>"02-0521-3"</f>
        <v>02-0521-3</v>
      </c>
      <c r="G563" s="2">
        <v>400</v>
      </c>
      <c r="H563" t="str">
        <f>"02-0521-3"</f>
        <v>02-0521-3</v>
      </c>
    </row>
    <row r="564" spans="5:8" x14ac:dyDescent="0.25">
      <c r="E564" t="str">
        <f>"201808303156"</f>
        <v>201808303156</v>
      </c>
      <c r="F564" t="str">
        <f>"306032018C"</f>
        <v>306032018C</v>
      </c>
      <c r="G564" s="2">
        <v>100</v>
      </c>
      <c r="H564" t="str">
        <f>"306032018C"</f>
        <v>306032018C</v>
      </c>
    </row>
    <row r="565" spans="5:8" x14ac:dyDescent="0.25">
      <c r="E565" t="str">
        <f>"201808313180"</f>
        <v>201808313180</v>
      </c>
      <c r="F565" t="str">
        <f>"423-2529"</f>
        <v>423-2529</v>
      </c>
      <c r="G565" s="2">
        <v>100</v>
      </c>
      <c r="H565" t="str">
        <f>"423-2529"</f>
        <v>423-2529</v>
      </c>
    </row>
    <row r="566" spans="5:8" x14ac:dyDescent="0.25">
      <c r="E566" t="str">
        <f>"201808313181"</f>
        <v>201808313181</v>
      </c>
      <c r="F566" t="str">
        <f>"16473  CH-20170809-B"</f>
        <v>16473  CH-20170809-B</v>
      </c>
      <c r="G566" s="2">
        <v>1200</v>
      </c>
      <c r="H566" t="str">
        <f>"16473  CH-20170809-B"</f>
        <v>16473  CH-20170809-B</v>
      </c>
    </row>
    <row r="567" spans="5:8" x14ac:dyDescent="0.25">
      <c r="E567" t="str">
        <f>"201808313182"</f>
        <v>201808313182</v>
      </c>
      <c r="F567" t="str">
        <f>"17-S-03909"</f>
        <v>17-S-03909</v>
      </c>
      <c r="G567" s="2">
        <v>150</v>
      </c>
      <c r="H567" t="str">
        <f>"17-S-03909"</f>
        <v>17-S-03909</v>
      </c>
    </row>
    <row r="568" spans="5:8" x14ac:dyDescent="0.25">
      <c r="E568" t="str">
        <f>"201808313191"</f>
        <v>201808313191</v>
      </c>
      <c r="F568" t="str">
        <f>"16591  C180058 C180065"</f>
        <v>16591  C180058 C180065</v>
      </c>
      <c r="G568" s="2">
        <v>800</v>
      </c>
      <c r="H568" t="str">
        <f>"16591  C180058 C180065"</f>
        <v>16591  C180058 C180065</v>
      </c>
    </row>
    <row r="569" spans="5:8" x14ac:dyDescent="0.25">
      <c r="E569" t="str">
        <f>"201809053321"</f>
        <v>201809053321</v>
      </c>
      <c r="F569" t="str">
        <f>"17-18617"</f>
        <v>17-18617</v>
      </c>
      <c r="G569" s="2">
        <v>100</v>
      </c>
      <c r="H569" t="str">
        <f>"17-18617"</f>
        <v>17-18617</v>
      </c>
    </row>
    <row r="570" spans="5:8" x14ac:dyDescent="0.25">
      <c r="E570" t="str">
        <f>"201809053322"</f>
        <v>201809053322</v>
      </c>
      <c r="F570" t="str">
        <f>"17-18119"</f>
        <v>17-18119</v>
      </c>
      <c r="G570" s="2">
        <v>175</v>
      </c>
      <c r="H570" t="str">
        <f>"17-18119"</f>
        <v>17-18119</v>
      </c>
    </row>
    <row r="571" spans="5:8" x14ac:dyDescent="0.25">
      <c r="E571" t="str">
        <f>"201809053323"</f>
        <v>201809053323</v>
      </c>
      <c r="F571" t="str">
        <f>"18-18854"</f>
        <v>18-18854</v>
      </c>
      <c r="G571" s="2">
        <v>250</v>
      </c>
      <c r="H571" t="str">
        <f>"18-18854"</f>
        <v>18-18854</v>
      </c>
    </row>
    <row r="572" spans="5:8" x14ac:dyDescent="0.25">
      <c r="E572" t="str">
        <f>"201809053345"</f>
        <v>201809053345</v>
      </c>
      <c r="F572" t="str">
        <f>"18-19224"</f>
        <v>18-19224</v>
      </c>
      <c r="G572" s="2">
        <v>100</v>
      </c>
      <c r="H572" t="str">
        <f>"18-19224"</f>
        <v>18-19224</v>
      </c>
    </row>
    <row r="573" spans="5:8" x14ac:dyDescent="0.25">
      <c r="E573" t="str">
        <f>"201809053354"</f>
        <v>201809053354</v>
      </c>
      <c r="F573" t="str">
        <f>"56283  20170440A"</f>
        <v>56283  20170440A</v>
      </c>
      <c r="G573" s="2">
        <v>375</v>
      </c>
      <c r="H573" t="str">
        <f>"56283  20170440A"</f>
        <v>56283  20170440A</v>
      </c>
    </row>
    <row r="574" spans="5:8" x14ac:dyDescent="0.25">
      <c r="E574" t="str">
        <f>"201809053355"</f>
        <v>201809053355</v>
      </c>
      <c r="F574" t="str">
        <f>"CH-20170809A CH-20171110-B/C"</f>
        <v>CH-20170809A CH-20171110-B/C</v>
      </c>
      <c r="G574" s="2">
        <v>500</v>
      </c>
      <c r="H574" t="str">
        <f>"CH-20170809A CH-20171110-B/C"</f>
        <v>CH-20170809A CH-20171110-B/C</v>
      </c>
    </row>
    <row r="575" spans="5:8" x14ac:dyDescent="0.25">
      <c r="E575" t="str">
        <f>"201809053356"</f>
        <v>201809053356</v>
      </c>
      <c r="F575" t="str">
        <f>"56326"</f>
        <v>56326</v>
      </c>
      <c r="G575" s="2">
        <v>250</v>
      </c>
      <c r="H575" t="str">
        <f>"56326"</f>
        <v>56326</v>
      </c>
    </row>
    <row r="576" spans="5:8" x14ac:dyDescent="0.25">
      <c r="E576" t="str">
        <f>"201809053371"</f>
        <v>201809053371</v>
      </c>
      <c r="F576" t="str">
        <f>"56347"</f>
        <v>56347</v>
      </c>
      <c r="G576" s="2">
        <v>250</v>
      </c>
      <c r="H576" t="str">
        <f>"56347"</f>
        <v>56347</v>
      </c>
    </row>
    <row r="577" spans="1:8" x14ac:dyDescent="0.25">
      <c r="E577" t="str">
        <f>"201809053372"</f>
        <v>201809053372</v>
      </c>
      <c r="F577" t="str">
        <f>"56384"</f>
        <v>56384</v>
      </c>
      <c r="G577" s="2">
        <v>250</v>
      </c>
      <c r="H577" t="str">
        <f>"56384"</f>
        <v>56384</v>
      </c>
    </row>
    <row r="578" spans="1:8" x14ac:dyDescent="0.25">
      <c r="E578" t="str">
        <f>"201809053373"</f>
        <v>201809053373</v>
      </c>
      <c r="F578" t="str">
        <f>"54720"</f>
        <v>54720</v>
      </c>
      <c r="G578" s="2">
        <v>250</v>
      </c>
      <c r="H578" t="str">
        <f>"54720"</f>
        <v>54720</v>
      </c>
    </row>
    <row r="579" spans="1:8" x14ac:dyDescent="0.25">
      <c r="E579" t="str">
        <f>"201809053392"</f>
        <v>201809053392</v>
      </c>
      <c r="F579" t="str">
        <f>"56218"</f>
        <v>56218</v>
      </c>
      <c r="G579" s="2">
        <v>500</v>
      </c>
      <c r="H579" t="str">
        <f>"56218"</f>
        <v>56218</v>
      </c>
    </row>
    <row r="580" spans="1:8" x14ac:dyDescent="0.25">
      <c r="E580" t="str">
        <f>"201809053393"</f>
        <v>201809053393</v>
      </c>
      <c r="F580" t="str">
        <f>"56386  02-0521-1"</f>
        <v>56386  02-0521-1</v>
      </c>
      <c r="G580" s="2">
        <v>375</v>
      </c>
      <c r="H580" t="str">
        <f>"56386  02-0521-1"</f>
        <v>56386  02-0521-1</v>
      </c>
    </row>
    <row r="581" spans="1:8" x14ac:dyDescent="0.25">
      <c r="E581" t="str">
        <f>"201809053394"</f>
        <v>201809053394</v>
      </c>
      <c r="F581" t="str">
        <f>"56345 303092018D"</f>
        <v>56345 303092018D</v>
      </c>
      <c r="G581" s="2">
        <v>375</v>
      </c>
      <c r="H581" t="str">
        <f>"56345 303092018D"</f>
        <v>56345 303092018D</v>
      </c>
    </row>
    <row r="582" spans="1:8" x14ac:dyDescent="0.25">
      <c r="A582" t="s">
        <v>171</v>
      </c>
      <c r="B582">
        <v>999999</v>
      </c>
      <c r="C582" s="3">
        <v>4887</v>
      </c>
      <c r="D582" s="1">
        <v>43368</v>
      </c>
      <c r="E582" t="str">
        <f>"17-18579"</f>
        <v>17-18579</v>
      </c>
      <c r="F582" t="str">
        <f>"17-18579  06/26/18"</f>
        <v>17-18579  06/26/18</v>
      </c>
      <c r="G582" s="2">
        <v>437.5</v>
      </c>
      <c r="H582" t="str">
        <f>"17-18579"</f>
        <v>17-18579</v>
      </c>
    </row>
    <row r="583" spans="1:8" x14ac:dyDescent="0.25">
      <c r="E583" t="str">
        <f>"201809123715"</f>
        <v>201809123715</v>
      </c>
      <c r="F583" t="str">
        <f>"18-19166"</f>
        <v>18-19166</v>
      </c>
      <c r="G583" s="2">
        <v>175</v>
      </c>
      <c r="H583" t="str">
        <f>"18-19166"</f>
        <v>18-19166</v>
      </c>
    </row>
    <row r="584" spans="1:8" x14ac:dyDescent="0.25">
      <c r="E584" t="str">
        <f>"201809123716"</f>
        <v>201809123716</v>
      </c>
      <c r="F584" t="str">
        <f>"20180294B/WRIT NO. 18-19230"</f>
        <v>20180294B/WRIT NO. 18-19230</v>
      </c>
      <c r="G584" s="2">
        <v>100</v>
      </c>
      <c r="H584" t="str">
        <f>"20180294B/WRIT NO. 18-19230"</f>
        <v>20180294B/WRIT NO. 18-19230</v>
      </c>
    </row>
    <row r="585" spans="1:8" x14ac:dyDescent="0.25">
      <c r="E585" t="str">
        <f>"201809123717"</f>
        <v>201809123717</v>
      </c>
      <c r="F585" t="str">
        <f>"AC-2018-0802/WRIT NO. 18-19231"</f>
        <v>AC-2018-0802/WRIT NO. 18-19231</v>
      </c>
      <c r="G585" s="2">
        <v>100</v>
      </c>
      <c r="H585" t="str">
        <f>"AC-2018-0802/WRIT NO. 18-19231"</f>
        <v>AC-2018-0802/WRIT NO. 18-19231</v>
      </c>
    </row>
    <row r="586" spans="1:8" x14ac:dyDescent="0.25">
      <c r="E586" t="str">
        <f>"201809123718"</f>
        <v>201809123718</v>
      </c>
      <c r="F586" t="str">
        <f>"1JP7918C/WRIT NO. 18-19232"</f>
        <v>1JP7918C/WRIT NO. 18-19232</v>
      </c>
      <c r="G586" s="2">
        <v>100</v>
      </c>
      <c r="H586" t="str">
        <f>"1JP7918C/WRIT NO. 18-19232"</f>
        <v>1JP7918C/WRIT NO. 18-19232</v>
      </c>
    </row>
    <row r="587" spans="1:8" x14ac:dyDescent="0.25">
      <c r="E587" t="str">
        <f>"201809123719"</f>
        <v>201809123719</v>
      </c>
      <c r="F587" t="str">
        <f>"17-18579  04/30/18"</f>
        <v>17-18579  04/30/18</v>
      </c>
      <c r="G587" s="2">
        <v>225</v>
      </c>
      <c r="H587" t="str">
        <f>"17-18579"</f>
        <v>17-18579</v>
      </c>
    </row>
    <row r="588" spans="1:8" x14ac:dyDescent="0.25">
      <c r="E588" t="str">
        <f>"201809123720"</f>
        <v>201809123720</v>
      </c>
      <c r="F588" t="str">
        <f>"17-18579  07/03/18"</f>
        <v>17-18579  07/03/18</v>
      </c>
      <c r="G588" s="2">
        <v>362.5</v>
      </c>
      <c r="H588" t="str">
        <f>"17-18579"</f>
        <v>17-18579</v>
      </c>
    </row>
    <row r="589" spans="1:8" x14ac:dyDescent="0.25">
      <c r="E589" t="str">
        <f>"201809123721"</f>
        <v>201809123721</v>
      </c>
      <c r="F589" t="str">
        <f>"17-18579  02/20/18"</f>
        <v>17-18579  02/20/18</v>
      </c>
      <c r="G589" s="2">
        <v>400</v>
      </c>
      <c r="H589" t="str">
        <f>"17-18579"</f>
        <v>17-18579</v>
      </c>
    </row>
    <row r="590" spans="1:8" x14ac:dyDescent="0.25">
      <c r="E590" t="str">
        <f>"201809123724"</f>
        <v>201809123724</v>
      </c>
      <c r="F590" t="str">
        <f>"20151126  54748"</f>
        <v>20151126  54748</v>
      </c>
      <c r="G590" s="2">
        <v>375</v>
      </c>
      <c r="H590" t="str">
        <f>"20151126  54748"</f>
        <v>20151126  54748</v>
      </c>
    </row>
    <row r="591" spans="1:8" x14ac:dyDescent="0.25">
      <c r="E591" t="str">
        <f>"201809123725"</f>
        <v>201809123725</v>
      </c>
      <c r="F591" t="str">
        <f>"CH-2017119B"</f>
        <v>CH-2017119B</v>
      </c>
      <c r="G591" s="2">
        <v>250</v>
      </c>
      <c r="H591" t="str">
        <f>"CH-2017119B"</f>
        <v>CH-2017119B</v>
      </c>
    </row>
    <row r="592" spans="1:8" x14ac:dyDescent="0.25">
      <c r="E592" t="str">
        <f>"201809133762"</f>
        <v>201809133762</v>
      </c>
      <c r="F592" t="str">
        <f>"1JP7918A/WRIT NO.423-5989"</f>
        <v>1JP7918A/WRIT NO.423-5989</v>
      </c>
      <c r="G592" s="2">
        <v>100</v>
      </c>
      <c r="H592" t="str">
        <f>"1JP7918A/WRIT NO.423-5989"</f>
        <v>1JP7918A/WRIT NO.423-5989</v>
      </c>
    </row>
    <row r="593" spans="1:8" x14ac:dyDescent="0.25">
      <c r="E593" t="str">
        <f>"201809133763"</f>
        <v>201809133763</v>
      </c>
      <c r="F593" t="str">
        <f>"AC-2018-0417/WRIT NO. 423-5988"</f>
        <v>AC-2018-0417/WRIT NO. 423-5988</v>
      </c>
      <c r="G593" s="2">
        <v>100</v>
      </c>
      <c r="H593" t="str">
        <f>"AC-2018-0417/WRIT NO. 423-5988"</f>
        <v>AC-2018-0417/WRIT NO. 423-5988</v>
      </c>
    </row>
    <row r="594" spans="1:8" x14ac:dyDescent="0.25">
      <c r="E594" t="str">
        <f>"201809133764"</f>
        <v>201809133764</v>
      </c>
      <c r="F594" t="str">
        <f>"AC-2018-0802A/WRIT NO.898-21"</f>
        <v>AC-2018-0802A/WRIT NO.898-21</v>
      </c>
      <c r="G594" s="2">
        <v>100</v>
      </c>
      <c r="H594" t="str">
        <f>"AC-2018-0802A/WRIT NO.898-21"</f>
        <v>AC-2018-0802A/WRIT NO.898-21</v>
      </c>
    </row>
    <row r="595" spans="1:8" x14ac:dyDescent="0.25">
      <c r="E595" t="str">
        <f>"201809133765"</f>
        <v>201809133765</v>
      </c>
      <c r="F595" t="str">
        <f>"14925"</f>
        <v>14925</v>
      </c>
      <c r="G595" s="2">
        <v>400</v>
      </c>
      <c r="H595" t="str">
        <f>"14925"</f>
        <v>14925</v>
      </c>
    </row>
    <row r="596" spans="1:8" x14ac:dyDescent="0.25">
      <c r="E596" t="str">
        <f>"201809133769"</f>
        <v>201809133769</v>
      </c>
      <c r="F596" t="str">
        <f>"16555"</f>
        <v>16555</v>
      </c>
      <c r="G596" s="2">
        <v>400</v>
      </c>
      <c r="H596" t="str">
        <f>"16555"</f>
        <v>16555</v>
      </c>
    </row>
    <row r="597" spans="1:8" x14ac:dyDescent="0.25">
      <c r="E597" t="str">
        <f>"201809183797"</f>
        <v>201809183797</v>
      </c>
      <c r="F597" t="str">
        <f>"56015  BC20180825C"</f>
        <v>56015  BC20180825C</v>
      </c>
      <c r="G597" s="2">
        <v>375</v>
      </c>
      <c r="H597" t="str">
        <f>"56015  BC20180825C"</f>
        <v>56015  BC20180825C</v>
      </c>
    </row>
    <row r="598" spans="1:8" x14ac:dyDescent="0.25">
      <c r="E598" t="str">
        <f>"201809183804"</f>
        <v>201809183804</v>
      </c>
      <c r="F598" t="str">
        <f>"409096-8M"</f>
        <v>409096-8M</v>
      </c>
      <c r="G598" s="2">
        <v>250</v>
      </c>
      <c r="H598" t="str">
        <f>"409096-8M"</f>
        <v>409096-8M</v>
      </c>
    </row>
    <row r="599" spans="1:8" x14ac:dyDescent="0.25">
      <c r="E599" t="str">
        <f>"201809183805"</f>
        <v>201809183805</v>
      </c>
      <c r="F599" t="str">
        <f>"02-0903-5"</f>
        <v>02-0903-5</v>
      </c>
      <c r="G599" s="2">
        <v>250</v>
      </c>
      <c r="H599" t="str">
        <f>"02-0903-5"</f>
        <v>02-0903-5</v>
      </c>
    </row>
    <row r="600" spans="1:8" x14ac:dyDescent="0.25">
      <c r="E600" t="str">
        <f>"201809183844"</f>
        <v>201809183844</v>
      </c>
      <c r="F600" t="str">
        <f>"005785"</f>
        <v>005785</v>
      </c>
      <c r="G600" s="2">
        <v>175</v>
      </c>
      <c r="H600" t="str">
        <f>"005785"</f>
        <v>005785</v>
      </c>
    </row>
    <row r="601" spans="1:8" x14ac:dyDescent="0.25">
      <c r="E601" t="str">
        <f>"201809183846"</f>
        <v>201809183846</v>
      </c>
      <c r="F601" t="str">
        <f>"07-12097"</f>
        <v>07-12097</v>
      </c>
      <c r="G601" s="2">
        <v>212</v>
      </c>
      <c r="H601" t="str">
        <f>"07-12097"</f>
        <v>07-12097</v>
      </c>
    </row>
    <row r="602" spans="1:8" x14ac:dyDescent="0.25">
      <c r="A602" t="s">
        <v>172</v>
      </c>
      <c r="B602">
        <v>78534</v>
      </c>
      <c r="C602" s="3">
        <v>1464</v>
      </c>
      <c r="D602" s="1">
        <v>43353</v>
      </c>
      <c r="E602" t="str">
        <f>"15-1285"</f>
        <v>15-1285</v>
      </c>
      <c r="F602" t="str">
        <f>"SCREENED BASE/PCT#3"</f>
        <v>SCREENED BASE/PCT#3</v>
      </c>
      <c r="G602" s="2">
        <v>1464</v>
      </c>
      <c r="H602" t="str">
        <f>"SCREENED BASE/PCT#3"</f>
        <v>SCREENED BASE/PCT#3</v>
      </c>
    </row>
    <row r="603" spans="1:8" x14ac:dyDescent="0.25">
      <c r="A603" t="s">
        <v>173</v>
      </c>
      <c r="B603">
        <v>999999</v>
      </c>
      <c r="C603" s="3">
        <v>921.2</v>
      </c>
      <c r="D603" s="1">
        <v>43354</v>
      </c>
      <c r="E603" t="str">
        <f>"0621702"</f>
        <v>0621702</v>
      </c>
      <c r="F603" t="str">
        <f>"INV 0621702"</f>
        <v>INV 0621702</v>
      </c>
      <c r="G603" s="2">
        <v>921.2</v>
      </c>
      <c r="H603" t="str">
        <f>"INV 0621702"</f>
        <v>INV 0621702</v>
      </c>
    </row>
    <row r="604" spans="1:8" x14ac:dyDescent="0.25">
      <c r="A604" t="s">
        <v>174</v>
      </c>
      <c r="B604">
        <v>999999</v>
      </c>
      <c r="C604" s="3">
        <v>108</v>
      </c>
      <c r="D604" s="1">
        <v>43368</v>
      </c>
      <c r="E604" t="str">
        <f>"52421-13717"</f>
        <v>52421-13717</v>
      </c>
      <c r="F604" t="str">
        <f>"Inv#52421-13717"</f>
        <v>Inv#52421-13717</v>
      </c>
      <c r="G604" s="2">
        <v>108</v>
      </c>
      <c r="H604" t="str">
        <f>"Payment"</f>
        <v>Payment</v>
      </c>
    </row>
    <row r="605" spans="1:8" x14ac:dyDescent="0.25">
      <c r="A605" t="s">
        <v>175</v>
      </c>
      <c r="B605">
        <v>78740</v>
      </c>
      <c r="C605" s="3">
        <v>399.94</v>
      </c>
      <c r="D605" s="1">
        <v>43367</v>
      </c>
      <c r="E605" t="str">
        <f>"201809113681"</f>
        <v>201809113681</v>
      </c>
      <c r="F605" t="str">
        <f>"STATEMENT#11799/PCT#4"</f>
        <v>STATEMENT#11799/PCT#4</v>
      </c>
      <c r="G605" s="2">
        <v>399.94</v>
      </c>
      <c r="H605" t="str">
        <f>"STATEMENT#11799/PCT#4"</f>
        <v>STATEMENT#11799/PCT#4</v>
      </c>
    </row>
    <row r="606" spans="1:8" x14ac:dyDescent="0.25">
      <c r="A606" t="s">
        <v>176</v>
      </c>
      <c r="B606">
        <v>78681</v>
      </c>
      <c r="C606" s="3">
        <v>1601.57</v>
      </c>
      <c r="D606" s="1">
        <v>43356</v>
      </c>
      <c r="E606" t="str">
        <f>"201809133744"</f>
        <v>201809133744</v>
      </c>
      <c r="F606" t="str">
        <f>"ACCT#007-0008410-002/08312018"</f>
        <v>ACCT#007-0008410-002/08312018</v>
      </c>
      <c r="G606" s="2">
        <v>277.43</v>
      </c>
      <c r="H606" t="str">
        <f>"ACCT#007-0008410-002/08312018"</f>
        <v>ACCT#007-0008410-002/08312018</v>
      </c>
    </row>
    <row r="607" spans="1:8" x14ac:dyDescent="0.25">
      <c r="E607" t="str">
        <f>"201809133745"</f>
        <v>201809133745</v>
      </c>
      <c r="F607" t="str">
        <f>"ACCT#007-0011501-000/08312018"</f>
        <v>ACCT#007-0011501-000/08312018</v>
      </c>
      <c r="G607" s="2">
        <v>120.4</v>
      </c>
      <c r="H607" t="str">
        <f>"ACCT#007-0011501-000/08312018"</f>
        <v>ACCT#007-0011501-000/08312018</v>
      </c>
    </row>
    <row r="608" spans="1:8" x14ac:dyDescent="0.25">
      <c r="E608" t="str">
        <f>"201809133746"</f>
        <v>201809133746</v>
      </c>
      <c r="F608" t="str">
        <f>"ACCT#007-0011510-000/08312018"</f>
        <v>ACCT#007-0011510-000/08312018</v>
      </c>
      <c r="G608" s="2">
        <v>284.27</v>
      </c>
      <c r="H608" t="str">
        <f>"ACCT#007-0011510-000/08312018"</f>
        <v>ACCT#007-0011510-000/08312018</v>
      </c>
    </row>
    <row r="609" spans="1:8" x14ac:dyDescent="0.25">
      <c r="E609" t="str">
        <f>"201809133747"</f>
        <v>201809133747</v>
      </c>
      <c r="F609" t="str">
        <f>"ACCT#007-0011530-000"</f>
        <v>ACCT#007-0011530-000</v>
      </c>
      <c r="G609" s="2">
        <v>97.4</v>
      </c>
      <c r="H609" t="str">
        <f>"ACCT#007-0011530-000"</f>
        <v>ACCT#007-0011530-000</v>
      </c>
    </row>
    <row r="610" spans="1:8" x14ac:dyDescent="0.25">
      <c r="E610" t="str">
        <f>"201809133748"</f>
        <v>201809133748</v>
      </c>
      <c r="F610" t="str">
        <f>"ACCT#007-0011534-001/08312018"</f>
        <v>ACCT#007-0011534-001/08312018</v>
      </c>
      <c r="G610" s="2">
        <v>156.88</v>
      </c>
      <c r="H610" t="str">
        <f>"ACCT#007-0011534-001/08312018"</f>
        <v>ACCT#007-0011534-001/08312018</v>
      </c>
    </row>
    <row r="611" spans="1:8" x14ac:dyDescent="0.25">
      <c r="E611" t="str">
        <f>"201809133749"</f>
        <v>201809133749</v>
      </c>
      <c r="F611" t="str">
        <f>"ACCT#007-0011535-000/08312018"</f>
        <v>ACCT#007-0011535-000/08312018</v>
      </c>
      <c r="G611" s="2">
        <v>184.66</v>
      </c>
      <c r="H611" t="str">
        <f>"ACCT#007-0011535-000/08312018"</f>
        <v>ACCT#007-0011535-000/08312018</v>
      </c>
    </row>
    <row r="612" spans="1:8" x14ac:dyDescent="0.25">
      <c r="E612" t="str">
        <f>"201809133750"</f>
        <v>201809133750</v>
      </c>
      <c r="F612" t="str">
        <f>"ACCT#007-0011544-001/08312018"</f>
        <v>ACCT#007-0011544-001/08312018</v>
      </c>
      <c r="G612" s="2">
        <v>111.49</v>
      </c>
      <c r="H612" t="str">
        <f>"ACCT#007-0011544-001/08312018"</f>
        <v>ACCT#007-0011544-001/08312018</v>
      </c>
    </row>
    <row r="613" spans="1:8" x14ac:dyDescent="0.25">
      <c r="E613" t="str">
        <f>"201809133751"</f>
        <v>201809133751</v>
      </c>
      <c r="F613" t="str">
        <f>"ACCT#007-0071128-001/08312018"</f>
        <v>ACCT#007-0071128-001/08312018</v>
      </c>
      <c r="G613" s="2">
        <v>369.04</v>
      </c>
      <c r="H613" t="str">
        <f>"ACCT#007-0071128-001/08312018"</f>
        <v>ACCT#007-0071128-001/08312018</v>
      </c>
    </row>
    <row r="614" spans="1:8" x14ac:dyDescent="0.25">
      <c r="A614" t="s">
        <v>177</v>
      </c>
      <c r="B614">
        <v>78535</v>
      </c>
      <c r="C614" s="3">
        <v>311.58999999999997</v>
      </c>
      <c r="D614" s="1">
        <v>43353</v>
      </c>
      <c r="E614" t="str">
        <f>"201809043271"</f>
        <v>201809043271</v>
      </c>
      <c r="F614" t="str">
        <f>"CUST ID:0888336"</f>
        <v>CUST ID:0888336</v>
      </c>
      <c r="G614" s="2">
        <v>311.58999999999997</v>
      </c>
      <c r="H614" t="str">
        <f>"CUST ID:0888336"</f>
        <v>CUST ID:0888336</v>
      </c>
    </row>
    <row r="615" spans="1:8" x14ac:dyDescent="0.25">
      <c r="A615" t="s">
        <v>178</v>
      </c>
      <c r="B615">
        <v>78536</v>
      </c>
      <c r="C615" s="3">
        <v>660</v>
      </c>
      <c r="D615" s="1">
        <v>43353</v>
      </c>
      <c r="E615" t="str">
        <f>"9401903165"</f>
        <v>9401903165</v>
      </c>
      <c r="F615" t="str">
        <f>"ACCT#912897/DEMURRAGE/PCT#3"</f>
        <v>ACCT#912897/DEMURRAGE/PCT#3</v>
      </c>
      <c r="G615" s="2">
        <v>300</v>
      </c>
      <c r="H615" t="str">
        <f>"ACCT#912897/DEMURRAGE/PCT#3"</f>
        <v>ACCT#912897/DEMURRAGE/PCT#3</v>
      </c>
    </row>
    <row r="616" spans="1:8" x14ac:dyDescent="0.25">
      <c r="E616" t="str">
        <f>"9401905139"</f>
        <v>9401905139</v>
      </c>
      <c r="F616" t="str">
        <f>"ACCT#912897/DEMURRAGE/PCT#3"</f>
        <v>ACCT#912897/DEMURRAGE/PCT#3</v>
      </c>
      <c r="G616" s="2">
        <v>120</v>
      </c>
      <c r="H616" t="str">
        <f>"ACCT#912897/DEMURRAGE/PCT#3"</f>
        <v>ACCT#912897/DEMURRAGE/PCT#3</v>
      </c>
    </row>
    <row r="617" spans="1:8" x14ac:dyDescent="0.25">
      <c r="E617" t="str">
        <f>"9401905140"</f>
        <v>9401905140</v>
      </c>
      <c r="F617" t="str">
        <f>"ACCT#912897/DEMURRAGE/PCT#3"</f>
        <v>ACCT#912897/DEMURRAGE/PCT#3</v>
      </c>
      <c r="G617" s="2">
        <v>240</v>
      </c>
      <c r="H617" t="str">
        <f>"ACCT#912897/DEMURRAGE/PCT#3"</f>
        <v>ACCT#912897/DEMURRAGE/PCT#3</v>
      </c>
    </row>
    <row r="618" spans="1:8" x14ac:dyDescent="0.25">
      <c r="A618" t="s">
        <v>179</v>
      </c>
      <c r="B618">
        <v>78741</v>
      </c>
      <c r="C618" s="3">
        <v>61.58</v>
      </c>
      <c r="D618" s="1">
        <v>43367</v>
      </c>
      <c r="E618" t="str">
        <f>"201809133774"</f>
        <v>201809133774</v>
      </c>
      <c r="F618" t="str">
        <f>"MILEAGE REIMBURSEMENT"</f>
        <v>MILEAGE REIMBURSEMENT</v>
      </c>
      <c r="G618" s="2">
        <v>61.58</v>
      </c>
      <c r="H618" t="str">
        <f>"MILEAGE REIMBURSEMENT"</f>
        <v>MILEAGE REIMBURSEMENT</v>
      </c>
    </row>
    <row r="619" spans="1:8" x14ac:dyDescent="0.25">
      <c r="A619" t="s">
        <v>180</v>
      </c>
      <c r="B619">
        <v>78537</v>
      </c>
      <c r="C619" s="3">
        <v>3453</v>
      </c>
      <c r="D619" s="1">
        <v>43353</v>
      </c>
      <c r="E619" t="str">
        <f>"201808313205"</f>
        <v>201808313205</v>
      </c>
      <c r="F619" t="str">
        <f>"HID Evolution order"</f>
        <v>HID Evolution order</v>
      </c>
      <c r="G619" s="2">
        <v>3453</v>
      </c>
      <c r="H619" t="str">
        <f>"Custom Built MSI"</f>
        <v>Custom Built MSI</v>
      </c>
    </row>
    <row r="620" spans="1:8" x14ac:dyDescent="0.25">
      <c r="A620" t="s">
        <v>181</v>
      </c>
      <c r="B620">
        <v>78538</v>
      </c>
      <c r="C620" s="3">
        <v>75881.279999999999</v>
      </c>
      <c r="D620" s="1">
        <v>43353</v>
      </c>
      <c r="E620" t="str">
        <f>"201808293109"</f>
        <v>201808293109</v>
      </c>
      <c r="F620" t="str">
        <f>"GRANT REIMBURSE-2017WEAX0047"</f>
        <v>GRANT REIMBURSE-2017WEAX0047</v>
      </c>
      <c r="G620" s="2">
        <v>75881.279999999999</v>
      </c>
      <c r="H620" t="str">
        <f>"GRANT REIMBURSE-2017WEAX0047"</f>
        <v>GRANT REIMBURSE-2017WEAX0047</v>
      </c>
    </row>
    <row r="621" spans="1:8" x14ac:dyDescent="0.25">
      <c r="A621" t="s">
        <v>181</v>
      </c>
      <c r="B621">
        <v>78742</v>
      </c>
      <c r="C621" s="3">
        <v>489</v>
      </c>
      <c r="D621" s="1">
        <v>43367</v>
      </c>
      <c r="E621" t="str">
        <f>"201809183834"</f>
        <v>201809183834</v>
      </c>
      <c r="F621" t="str">
        <f>"SANE EXAM - 18-S-04365"</f>
        <v>SANE EXAM - 18-S-04365</v>
      </c>
      <c r="G621" s="2">
        <v>489</v>
      </c>
      <c r="H621" t="str">
        <f>"SANE EXAM - 18-S-04365"</f>
        <v>SANE EXAM - 18-S-04365</v>
      </c>
    </row>
    <row r="622" spans="1:8" x14ac:dyDescent="0.25">
      <c r="A622" t="s">
        <v>182</v>
      </c>
      <c r="B622">
        <v>78539</v>
      </c>
      <c r="C622" s="3">
        <v>136.80000000000001</v>
      </c>
      <c r="D622" s="1">
        <v>43353</v>
      </c>
      <c r="E622" t="str">
        <f>"201809063439"</f>
        <v>201809063439</v>
      </c>
      <c r="F622" t="str">
        <f>"INDIGENT HEALTH"</f>
        <v>INDIGENT HEALTH</v>
      </c>
      <c r="G622" s="2">
        <v>136.80000000000001</v>
      </c>
      <c r="H622" t="str">
        <f>"INDIGENT HEALTH"</f>
        <v>INDIGENT HEALTH</v>
      </c>
    </row>
    <row r="623" spans="1:8" x14ac:dyDescent="0.25">
      <c r="E623" t="str">
        <f>""</f>
        <v/>
      </c>
      <c r="F623" t="str">
        <f>""</f>
        <v/>
      </c>
      <c r="H623" t="str">
        <f>"INDIGENT HEALTH"</f>
        <v>INDIGENT HEALTH</v>
      </c>
    </row>
    <row r="624" spans="1:8" x14ac:dyDescent="0.25">
      <c r="A624" t="s">
        <v>182</v>
      </c>
      <c r="B624">
        <v>78743</v>
      </c>
      <c r="C624" s="3">
        <v>103.53</v>
      </c>
      <c r="D624" s="1">
        <v>43367</v>
      </c>
      <c r="E624" t="str">
        <f>"201809193869"</f>
        <v>201809193869</v>
      </c>
      <c r="F624" t="str">
        <f>"INDIGENT HEALTH"</f>
        <v>INDIGENT HEALTH</v>
      </c>
      <c r="G624" s="2">
        <v>103.53</v>
      </c>
      <c r="H624" t="str">
        <f>"INDIGENT HEALTH"</f>
        <v>INDIGENT HEALTH</v>
      </c>
    </row>
    <row r="625" spans="1:9" x14ac:dyDescent="0.25">
      <c r="E625" t="str">
        <f>""</f>
        <v/>
      </c>
      <c r="F625" t="str">
        <f>""</f>
        <v/>
      </c>
      <c r="H625" t="str">
        <f>"INDIGENT HEALTH"</f>
        <v>INDIGENT HEALTH</v>
      </c>
    </row>
    <row r="626" spans="1:9" x14ac:dyDescent="0.25">
      <c r="A626" t="s">
        <v>183</v>
      </c>
      <c r="B626">
        <v>78540</v>
      </c>
      <c r="C626" s="3">
        <v>25</v>
      </c>
      <c r="D626" s="1">
        <v>43353</v>
      </c>
      <c r="E626" t="s">
        <v>184</v>
      </c>
      <c r="F626" t="s">
        <v>185</v>
      </c>
      <c r="G626" s="2" t="str">
        <f>"RESTITUTION-K. PURCELL"</f>
        <v>RESTITUTION-K. PURCELL</v>
      </c>
      <c r="H626" t="str">
        <f>"210-0000"</f>
        <v>210-0000</v>
      </c>
      <c r="I626" t="str">
        <f>""</f>
        <v/>
      </c>
    </row>
    <row r="627" spans="1:9" x14ac:dyDescent="0.25">
      <c r="E627" t="s">
        <v>184</v>
      </c>
      <c r="F627" t="s">
        <v>186</v>
      </c>
      <c r="G627" s="2" t="str">
        <f>"RESTITUTION-K. PURCELL"</f>
        <v>RESTITUTION-K. PURCELL</v>
      </c>
      <c r="H627" t="str">
        <f>"210-0000"</f>
        <v>210-0000</v>
      </c>
      <c r="I627" t="str">
        <f>""</f>
        <v/>
      </c>
    </row>
    <row r="628" spans="1:9" x14ac:dyDescent="0.25">
      <c r="A628" t="s">
        <v>187</v>
      </c>
      <c r="B628">
        <v>78541</v>
      </c>
      <c r="C628" s="3">
        <v>14680.71</v>
      </c>
      <c r="D628" s="1">
        <v>43353</v>
      </c>
      <c r="E628" t="str">
        <f>"NP54022005"</f>
        <v>NP54022005</v>
      </c>
      <c r="F628" t="str">
        <f>"INV NP54022005"</f>
        <v>INV NP54022005</v>
      </c>
      <c r="G628" s="2">
        <v>14680.71</v>
      </c>
      <c r="H628" t="str">
        <f>"INV NP54022005"</f>
        <v>INV NP54022005</v>
      </c>
    </row>
    <row r="629" spans="1:9" x14ac:dyDescent="0.25">
      <c r="A629" t="s">
        <v>187</v>
      </c>
      <c r="B629">
        <v>78744</v>
      </c>
      <c r="C629" s="3">
        <v>13662.24</v>
      </c>
      <c r="D629" s="1">
        <v>43367</v>
      </c>
      <c r="E629" t="str">
        <f>"NP54175105"</f>
        <v>NP54175105</v>
      </c>
      <c r="F629" t="str">
        <f>"INV NP54175105"</f>
        <v>INV NP54175105</v>
      </c>
      <c r="G629" s="2">
        <v>13662.24</v>
      </c>
      <c r="H629" t="str">
        <f>"INV NP54175105"</f>
        <v>INV NP54175105</v>
      </c>
    </row>
    <row r="630" spans="1:9" x14ac:dyDescent="0.25">
      <c r="A630" t="s">
        <v>188</v>
      </c>
      <c r="B630">
        <v>78542</v>
      </c>
      <c r="C630" s="3">
        <v>217.21</v>
      </c>
      <c r="D630" s="1">
        <v>43353</v>
      </c>
      <c r="E630" t="str">
        <f>"8944795"</f>
        <v>8944795</v>
      </c>
      <c r="F630" t="str">
        <f>"ACCT#80975-001/PCT#3"</f>
        <v>ACCT#80975-001/PCT#3</v>
      </c>
      <c r="G630" s="2">
        <v>217.21</v>
      </c>
      <c r="H630" t="str">
        <f>"ACCT#80975-001/PCT#3"</f>
        <v>ACCT#80975-001/PCT#3</v>
      </c>
    </row>
    <row r="631" spans="1:9" x14ac:dyDescent="0.25">
      <c r="A631" t="s">
        <v>188</v>
      </c>
      <c r="B631">
        <v>78745</v>
      </c>
      <c r="C631" s="3">
        <v>388.7</v>
      </c>
      <c r="D631" s="1">
        <v>43367</v>
      </c>
      <c r="E631" t="str">
        <f>"9258641"</f>
        <v>9258641</v>
      </c>
      <c r="F631" t="str">
        <f>"ACCT#80975-002/PCT#4"</f>
        <v>ACCT#80975-002/PCT#4</v>
      </c>
      <c r="G631" s="2">
        <v>146.66</v>
      </c>
      <c r="H631" t="str">
        <f>"ACCT#80975-002/PCT#4"</f>
        <v>ACCT#80975-002/PCT#4</v>
      </c>
    </row>
    <row r="632" spans="1:9" x14ac:dyDescent="0.25">
      <c r="E632" t="str">
        <f>"9279943"</f>
        <v>9279943</v>
      </c>
      <c r="F632" t="str">
        <f>"ACCT#80975-001/PCT#2"</f>
        <v>ACCT#80975-001/PCT#2</v>
      </c>
      <c r="G632" s="2">
        <v>191.94</v>
      </c>
      <c r="H632" t="str">
        <f>"ACCT#80975-001/PCT#2"</f>
        <v>ACCT#80975-001/PCT#2</v>
      </c>
    </row>
    <row r="633" spans="1:9" x14ac:dyDescent="0.25">
      <c r="E633" t="str">
        <f>"9311843"</f>
        <v>9311843</v>
      </c>
      <c r="F633" t="str">
        <f>"ACCT#80975-001/PCT#2"</f>
        <v>ACCT#80975-001/PCT#2</v>
      </c>
      <c r="G633" s="2">
        <v>50.1</v>
      </c>
      <c r="H633" t="str">
        <f>"ACCT#80975-001/PCT#2"</f>
        <v>ACCT#80975-001/PCT#2</v>
      </c>
    </row>
    <row r="634" spans="1:9" x14ac:dyDescent="0.25">
      <c r="A634" t="s">
        <v>189</v>
      </c>
      <c r="B634">
        <v>999999</v>
      </c>
      <c r="C634" s="3">
        <v>90</v>
      </c>
      <c r="D634" s="1">
        <v>43368</v>
      </c>
      <c r="E634" t="str">
        <f>"201809123700"</f>
        <v>201809123700</v>
      </c>
      <c r="F634" t="str">
        <f>"REFUND COUPONS"</f>
        <v>REFUND COUPONS</v>
      </c>
      <c r="G634" s="2">
        <v>90</v>
      </c>
      <c r="H634" t="str">
        <f>"REFUND COUPONS"</f>
        <v>REFUND COUPONS</v>
      </c>
    </row>
    <row r="635" spans="1:9" x14ac:dyDescent="0.25">
      <c r="A635" t="s">
        <v>190</v>
      </c>
      <c r="B635">
        <v>78543</v>
      </c>
      <c r="C635" s="3">
        <v>100</v>
      </c>
      <c r="D635" s="1">
        <v>43353</v>
      </c>
      <c r="E635" t="s">
        <v>52</v>
      </c>
      <c r="F635" t="s">
        <v>191</v>
      </c>
      <c r="G635" s="2" t="str">
        <f>"RESTITUTION-D. CORKILL"</f>
        <v>RESTITUTION-D. CORKILL</v>
      </c>
      <c r="H635" t="str">
        <f>"210-0000"</f>
        <v>210-0000</v>
      </c>
      <c r="I635" t="str">
        <f>""</f>
        <v/>
      </c>
    </row>
    <row r="636" spans="1:9" x14ac:dyDescent="0.25">
      <c r="E636" t="s">
        <v>52</v>
      </c>
      <c r="F636" t="s">
        <v>192</v>
      </c>
      <c r="G636" s="2" t="str">
        <f>"RESTITUTION-D. CORKILL"</f>
        <v>RESTITUTION-D. CORKILL</v>
      </c>
      <c r="H636" t="str">
        <f>"210-0000"</f>
        <v>210-0000</v>
      </c>
      <c r="I636" t="str">
        <f>""</f>
        <v/>
      </c>
    </row>
    <row r="637" spans="1:9" x14ac:dyDescent="0.25">
      <c r="A637" t="s">
        <v>193</v>
      </c>
      <c r="B637">
        <v>999999</v>
      </c>
      <c r="C637" s="3">
        <v>2575</v>
      </c>
      <c r="D637" s="1">
        <v>43354</v>
      </c>
      <c r="E637" t="str">
        <f>"201808293108"</f>
        <v>201808293108</v>
      </c>
      <c r="F637" t="str">
        <f>"13 981"</f>
        <v>13 981</v>
      </c>
      <c r="G637" s="2">
        <v>825</v>
      </c>
      <c r="H637" t="str">
        <f>"13 981"</f>
        <v>13 981</v>
      </c>
    </row>
    <row r="638" spans="1:9" x14ac:dyDescent="0.25">
      <c r="E638" t="str">
        <f>"201808303129"</f>
        <v>201808303129</v>
      </c>
      <c r="F638" t="str">
        <f>"16 170"</f>
        <v>16 170</v>
      </c>
      <c r="G638" s="2">
        <v>400</v>
      </c>
      <c r="H638" t="str">
        <f>"16 170"</f>
        <v>16 170</v>
      </c>
    </row>
    <row r="639" spans="1:9" x14ac:dyDescent="0.25">
      <c r="E639" t="str">
        <f>"201809043207"</f>
        <v>201809043207</v>
      </c>
      <c r="F639" t="str">
        <f>"16 277  N/A UNINDICTED"</f>
        <v>16 277  N/A UNINDICTED</v>
      </c>
      <c r="G639" s="2">
        <v>600</v>
      </c>
      <c r="H639" t="str">
        <f>"16 277  N/A UNINDICTED"</f>
        <v>16 277  N/A UNINDICTED</v>
      </c>
    </row>
    <row r="640" spans="1:9" x14ac:dyDescent="0.25">
      <c r="E640" t="str">
        <f>"201809053398"</f>
        <v>201809053398</v>
      </c>
      <c r="F640" t="str">
        <f>"55 507"</f>
        <v>55 507</v>
      </c>
      <c r="G640" s="2">
        <v>250</v>
      </c>
      <c r="H640" t="str">
        <f>"55 507"</f>
        <v>55 507</v>
      </c>
    </row>
    <row r="641" spans="1:8" x14ac:dyDescent="0.25">
      <c r="E641" t="str">
        <f>"201809053401"</f>
        <v>201809053401</v>
      </c>
      <c r="F641" t="str">
        <f>"55 366"</f>
        <v>55 366</v>
      </c>
      <c r="G641" s="2">
        <v>250</v>
      </c>
      <c r="H641" t="str">
        <f>"55 366"</f>
        <v>55 366</v>
      </c>
    </row>
    <row r="642" spans="1:8" x14ac:dyDescent="0.25">
      <c r="E642" t="str">
        <f>"201809053402"</f>
        <v>201809053402</v>
      </c>
      <c r="F642" t="str">
        <f>"54 345"</f>
        <v>54 345</v>
      </c>
      <c r="G642" s="2">
        <v>250</v>
      </c>
      <c r="H642" t="str">
        <f>"54 345"</f>
        <v>54 345</v>
      </c>
    </row>
    <row r="643" spans="1:8" x14ac:dyDescent="0.25">
      <c r="A643" t="s">
        <v>193</v>
      </c>
      <c r="B643">
        <v>999999</v>
      </c>
      <c r="C643" s="3">
        <v>900</v>
      </c>
      <c r="D643" s="1">
        <v>43368</v>
      </c>
      <c r="E643" t="str">
        <f>"201809123726"</f>
        <v>201809123726</v>
      </c>
      <c r="F643" t="str">
        <f>"UNFILED"</f>
        <v>UNFILED</v>
      </c>
      <c r="G643" s="2">
        <v>250</v>
      </c>
      <c r="H643" t="str">
        <f>"UNFILED"</f>
        <v>UNFILED</v>
      </c>
    </row>
    <row r="644" spans="1:8" x14ac:dyDescent="0.25">
      <c r="E644" t="str">
        <f>"201809133771"</f>
        <v>201809133771</v>
      </c>
      <c r="F644" t="str">
        <f>"16 422"</f>
        <v>16 422</v>
      </c>
      <c r="G644" s="2">
        <v>400</v>
      </c>
      <c r="H644" t="str">
        <f>"16 422"</f>
        <v>16 422</v>
      </c>
    </row>
    <row r="645" spans="1:8" x14ac:dyDescent="0.25">
      <c r="E645" t="str">
        <f>"201809183798"</f>
        <v>201809183798</v>
      </c>
      <c r="F645" t="str">
        <f>"54 482"</f>
        <v>54 482</v>
      </c>
      <c r="G645" s="2">
        <v>250</v>
      </c>
      <c r="H645" t="str">
        <f>"54 482"</f>
        <v>54 482</v>
      </c>
    </row>
    <row r="646" spans="1:8" x14ac:dyDescent="0.25">
      <c r="A646" t="s">
        <v>194</v>
      </c>
      <c r="B646">
        <v>78544</v>
      </c>
      <c r="C646" s="3">
        <v>1500</v>
      </c>
      <c r="D646" s="1">
        <v>43353</v>
      </c>
      <c r="E646" t="str">
        <f>"BASCO1002_FM"</f>
        <v>BASCO1002_FM</v>
      </c>
      <c r="F646" t="str">
        <f>"RESEARCH VAC HOMES/STAYS"</f>
        <v>RESEARCH VAC HOMES/STAYS</v>
      </c>
      <c r="G646" s="2">
        <v>1500</v>
      </c>
      <c r="H646" t="str">
        <f>"RESEARCH VAC HOMES/STAYS"</f>
        <v>RESEARCH VAC HOMES/STAYS</v>
      </c>
    </row>
    <row r="647" spans="1:8" x14ac:dyDescent="0.25">
      <c r="A647" t="s">
        <v>195</v>
      </c>
      <c r="B647">
        <v>999999</v>
      </c>
      <c r="C647" s="3">
        <v>2243.75</v>
      </c>
      <c r="D647" s="1">
        <v>43368</v>
      </c>
      <c r="E647" t="str">
        <f>"AP380819"</f>
        <v>AP380819</v>
      </c>
      <c r="F647" t="str">
        <f>"ACCT#3326/PCT#4"</f>
        <v>ACCT#3326/PCT#4</v>
      </c>
      <c r="G647" s="2">
        <v>143.84</v>
      </c>
      <c r="H647" t="str">
        <f>"ACCT#3326/PCT#4"</f>
        <v>ACCT#3326/PCT#4</v>
      </c>
    </row>
    <row r="648" spans="1:8" x14ac:dyDescent="0.25">
      <c r="E648" t="str">
        <f>"AP380928"</f>
        <v>AP380928</v>
      </c>
      <c r="F648" t="str">
        <f>"ACCT#3325/PCT#2"</f>
        <v>ACCT#3325/PCT#2</v>
      </c>
      <c r="G648" s="2">
        <v>824.11</v>
      </c>
      <c r="H648" t="str">
        <f>"ACCT#3325/PCT#2"</f>
        <v>ACCT#3325/PCT#2</v>
      </c>
    </row>
    <row r="649" spans="1:8" x14ac:dyDescent="0.25">
      <c r="E649" t="str">
        <f>"AS73772"</f>
        <v>AS73772</v>
      </c>
      <c r="F649" t="str">
        <f>"2017 FRT/PCT#2"</f>
        <v>2017 FRT/PCT#2</v>
      </c>
      <c r="G649" s="2">
        <v>1247.24</v>
      </c>
      <c r="H649" t="str">
        <f>"2017 FRT/PCT#2"</f>
        <v>2017 FRT/PCT#2</v>
      </c>
    </row>
    <row r="650" spans="1:8" x14ac:dyDescent="0.25">
      <c r="E650" t="str">
        <f>"AS74051"</f>
        <v>AS74051</v>
      </c>
      <c r="F650" t="str">
        <f>"2012 FRHT/PCT#2"</f>
        <v>2012 FRHT/PCT#2</v>
      </c>
      <c r="G650" s="2">
        <v>28.56</v>
      </c>
      <c r="H650" t="str">
        <f>"2012 FRHT/PCT#2"</f>
        <v>2012 FRHT/PCT#2</v>
      </c>
    </row>
    <row r="651" spans="1:8" x14ac:dyDescent="0.25">
      <c r="A651" t="s">
        <v>196</v>
      </c>
      <c r="B651">
        <v>999999</v>
      </c>
      <c r="C651" s="3">
        <v>527.17999999999995</v>
      </c>
      <c r="D651" s="1">
        <v>43354</v>
      </c>
      <c r="E651" t="str">
        <f>"106139"</f>
        <v>106139</v>
      </c>
      <c r="F651" t="str">
        <f>"CASE REGISTER"</f>
        <v>CASE REGISTER</v>
      </c>
      <c r="G651" s="2">
        <v>66.22</v>
      </c>
      <c r="H651" t="str">
        <f>"CASE REGISTER"</f>
        <v>CASE REGISTER</v>
      </c>
    </row>
    <row r="652" spans="1:8" x14ac:dyDescent="0.25">
      <c r="E652" t="str">
        <f>"106351"</f>
        <v>106351</v>
      </c>
      <c r="F652" t="str">
        <f>"INV GC 106351"</f>
        <v>INV GC 106351</v>
      </c>
      <c r="G652" s="2">
        <v>420</v>
      </c>
      <c r="H652" t="str">
        <f>"INV GC 106351"</f>
        <v>INV GC 106351</v>
      </c>
    </row>
    <row r="653" spans="1:8" x14ac:dyDescent="0.25">
      <c r="E653" t="str">
        <f>"106434"</f>
        <v>106434</v>
      </c>
      <c r="F653" t="str">
        <f>"INV GC 106434"</f>
        <v>INV GC 106434</v>
      </c>
      <c r="G653" s="2">
        <v>40.96</v>
      </c>
      <c r="H653" t="str">
        <f>"INV GC 106434"</f>
        <v>INV GC 106434</v>
      </c>
    </row>
    <row r="654" spans="1:8" x14ac:dyDescent="0.25">
      <c r="A654" t="s">
        <v>196</v>
      </c>
      <c r="B654">
        <v>999999</v>
      </c>
      <c r="C654" s="3">
        <v>681.32</v>
      </c>
      <c r="D654" s="1">
        <v>43368</v>
      </c>
      <c r="E654" t="str">
        <f>"106509"</f>
        <v>106509</v>
      </c>
      <c r="F654" t="str">
        <f>"INV GC 106509"</f>
        <v>INV GC 106509</v>
      </c>
      <c r="G654" s="2">
        <v>49.96</v>
      </c>
      <c r="H654" t="str">
        <f>"INV GC 106509"</f>
        <v>INV GC 106509</v>
      </c>
    </row>
    <row r="655" spans="1:8" x14ac:dyDescent="0.25">
      <c r="E655" t="str">
        <f>"106524"</f>
        <v>106524</v>
      </c>
      <c r="F655" t="str">
        <f>"RESET/SCHEDULING ORDER"</f>
        <v>RESET/SCHEDULING ORDER</v>
      </c>
      <c r="G655" s="2">
        <v>415.68</v>
      </c>
      <c r="H655" t="str">
        <f>"RESET/SCHEDULING ORDER"</f>
        <v>RESET/SCHEDULING ORDER</v>
      </c>
    </row>
    <row r="656" spans="1:8" x14ac:dyDescent="0.25">
      <c r="E656" t="str">
        <f>"106576"</f>
        <v>106576</v>
      </c>
      <c r="F656" t="str">
        <f>"POSTERS/FLYERS/3 PART CLAIM FO"</f>
        <v>POSTERS/FLYERS/3 PART CLAIM FO</v>
      </c>
      <c r="G656" s="2">
        <v>215.68</v>
      </c>
      <c r="H656" t="str">
        <f>"POSTERS/FLYERS/3 PART CLAIM FO"</f>
        <v>POSTERS/FLYERS/3 PART CLAIM FO</v>
      </c>
    </row>
    <row r="657" spans="1:8" x14ac:dyDescent="0.25">
      <c r="A657" t="s">
        <v>197</v>
      </c>
      <c r="B657">
        <v>78545</v>
      </c>
      <c r="C657" s="3">
        <v>1404.73</v>
      </c>
      <c r="D657" s="1">
        <v>43353</v>
      </c>
      <c r="E657" t="str">
        <f>"201809053291"</f>
        <v>201809053291</v>
      </c>
      <c r="F657" t="str">
        <f>"VEHICLE MAINTENANCE"</f>
        <v>VEHICLE MAINTENANCE</v>
      </c>
      <c r="G657" s="2">
        <v>306.16000000000003</v>
      </c>
      <c r="H657" t="str">
        <f>"MAINTENANCE UNIT 117"</f>
        <v>MAINTENANCE UNIT 117</v>
      </c>
    </row>
    <row r="658" spans="1:8" x14ac:dyDescent="0.25">
      <c r="E658" t="str">
        <f>""</f>
        <v/>
      </c>
      <c r="F658" t="str">
        <f>""</f>
        <v/>
      </c>
      <c r="H658" t="str">
        <f>"MAINTENANCE UNIT 117"</f>
        <v>MAINTENANCE UNIT 117</v>
      </c>
    </row>
    <row r="659" spans="1:8" x14ac:dyDescent="0.25">
      <c r="E659" t="str">
        <f>""</f>
        <v/>
      </c>
      <c r="F659" t="str">
        <f>""</f>
        <v/>
      </c>
      <c r="H659" t="str">
        <f>"MAINTENANCE UNIT 799"</f>
        <v>MAINTENANCE UNIT 799</v>
      </c>
    </row>
    <row r="660" spans="1:8" x14ac:dyDescent="0.25">
      <c r="E660" t="str">
        <f>""</f>
        <v/>
      </c>
      <c r="F660" t="str">
        <f>""</f>
        <v/>
      </c>
      <c r="H660" t="str">
        <f>"MAINTENANCE UNIT 77"</f>
        <v>MAINTENANCE UNIT 77</v>
      </c>
    </row>
    <row r="661" spans="1:8" x14ac:dyDescent="0.25">
      <c r="E661" t="str">
        <f>"201809053292"</f>
        <v>201809053292</v>
      </c>
      <c r="F661" t="str">
        <f>"VEHICLE MAINTENANCE"</f>
        <v>VEHICLE MAINTENANCE</v>
      </c>
      <c r="G661" s="2">
        <v>1098.57</v>
      </c>
      <c r="H661" t="str">
        <f>"VEHICLE MAINTENANCE"</f>
        <v>VEHICLE MAINTENANCE</v>
      </c>
    </row>
    <row r="662" spans="1:8" x14ac:dyDescent="0.25">
      <c r="A662" t="s">
        <v>198</v>
      </c>
      <c r="B662">
        <v>999999</v>
      </c>
      <c r="C662" s="3">
        <v>45.03</v>
      </c>
      <c r="D662" s="1">
        <v>43354</v>
      </c>
      <c r="E662" t="str">
        <f>"N54105A"</f>
        <v>N54105A</v>
      </c>
      <c r="F662" t="str">
        <f>"CUST#02260/ANIMAL SHELTER"</f>
        <v>CUST#02260/ANIMAL SHELTER</v>
      </c>
      <c r="G662" s="2">
        <v>45.03</v>
      </c>
      <c r="H662" t="str">
        <f>"CUST#02260/ANIMAL SHELTER"</f>
        <v>CUST#02260/ANIMAL SHELTER</v>
      </c>
    </row>
    <row r="663" spans="1:8" x14ac:dyDescent="0.25">
      <c r="A663" t="s">
        <v>198</v>
      </c>
      <c r="B663">
        <v>999999</v>
      </c>
      <c r="C663" s="3">
        <v>607.51</v>
      </c>
      <c r="D663" s="1">
        <v>43368</v>
      </c>
      <c r="E663" t="str">
        <f>"53089 53155 54495"</f>
        <v>53089 53155 54495</v>
      </c>
      <c r="F663" t="str">
        <f>"53089  53155 54495  54301"</f>
        <v>53089  53155 54495  54301</v>
      </c>
      <c r="G663" s="2">
        <v>607.51</v>
      </c>
      <c r="H663" t="str">
        <f>"53089"</f>
        <v>53089</v>
      </c>
    </row>
    <row r="664" spans="1:8" x14ac:dyDescent="0.25">
      <c r="E664" t="str">
        <f>""</f>
        <v/>
      </c>
      <c r="F664" t="str">
        <f>""</f>
        <v/>
      </c>
      <c r="H664" t="str">
        <f>"53155"</f>
        <v>53155</v>
      </c>
    </row>
    <row r="665" spans="1:8" x14ac:dyDescent="0.25">
      <c r="E665" t="str">
        <f>""</f>
        <v/>
      </c>
      <c r="F665" t="str">
        <f>""</f>
        <v/>
      </c>
      <c r="H665" t="str">
        <f>"54495"</f>
        <v>54495</v>
      </c>
    </row>
    <row r="666" spans="1:8" x14ac:dyDescent="0.25">
      <c r="E666" t="str">
        <f>""</f>
        <v/>
      </c>
      <c r="F666" t="str">
        <f>""</f>
        <v/>
      </c>
      <c r="H666" t="str">
        <f>"54301"</f>
        <v>54301</v>
      </c>
    </row>
    <row r="667" spans="1:8" x14ac:dyDescent="0.25">
      <c r="A667" t="s">
        <v>199</v>
      </c>
      <c r="B667">
        <v>78546</v>
      </c>
      <c r="C667" s="3">
        <v>425</v>
      </c>
      <c r="D667" s="1">
        <v>43353</v>
      </c>
      <c r="E667" t="str">
        <f>"1031"</f>
        <v>1031</v>
      </c>
      <c r="F667" t="str">
        <f>"TRANSPORT-J. MENDEZ"</f>
        <v>TRANSPORT-J. MENDEZ</v>
      </c>
      <c r="G667" s="2">
        <v>425</v>
      </c>
      <c r="H667" t="str">
        <f>"TRANSPORT-J. MENDEZ"</f>
        <v>TRANSPORT-J. MENDEZ</v>
      </c>
    </row>
    <row r="668" spans="1:8" x14ac:dyDescent="0.25">
      <c r="A668" t="s">
        <v>199</v>
      </c>
      <c r="B668">
        <v>78746</v>
      </c>
      <c r="C668" s="3">
        <v>400</v>
      </c>
      <c r="D668" s="1">
        <v>43367</v>
      </c>
      <c r="E668" t="str">
        <f>"1032"</f>
        <v>1032</v>
      </c>
      <c r="F668" t="str">
        <f>"TRANSPORT-R.A. HORTON"</f>
        <v>TRANSPORT-R.A. HORTON</v>
      </c>
      <c r="G668" s="2">
        <v>400</v>
      </c>
      <c r="H668" t="str">
        <f>"TRANSPORT-R.A. HORTON"</f>
        <v>TRANSPORT-R.A. HORTON</v>
      </c>
    </row>
    <row r="669" spans="1:8" x14ac:dyDescent="0.25">
      <c r="A669" t="s">
        <v>200</v>
      </c>
      <c r="B669">
        <v>999999</v>
      </c>
      <c r="C669" s="3">
        <v>299.94</v>
      </c>
      <c r="D669" s="1">
        <v>43354</v>
      </c>
      <c r="E669" t="str">
        <f>"0674484"</f>
        <v>0674484</v>
      </c>
      <c r="F669" t="str">
        <f>"INV 0674484"</f>
        <v>INV 0674484</v>
      </c>
      <c r="G669" s="2">
        <v>299.94</v>
      </c>
      <c r="H669" t="str">
        <f>"INV 0674484"</f>
        <v>INV 0674484</v>
      </c>
    </row>
    <row r="670" spans="1:8" x14ac:dyDescent="0.25">
      <c r="A670" t="s">
        <v>200</v>
      </c>
      <c r="B670">
        <v>999999</v>
      </c>
      <c r="C670" s="3">
        <v>14.5</v>
      </c>
      <c r="D670" s="1">
        <v>43368</v>
      </c>
      <c r="E670" t="str">
        <f>"0674779"</f>
        <v>0674779</v>
      </c>
      <c r="F670" t="str">
        <f>"INV 0674779"</f>
        <v>INV 0674779</v>
      </c>
      <c r="G670" s="2">
        <v>14.5</v>
      </c>
      <c r="H670" t="str">
        <f>"INV 0674779"</f>
        <v>INV 0674779</v>
      </c>
    </row>
    <row r="671" spans="1:8" x14ac:dyDescent="0.25">
      <c r="A671" t="s">
        <v>201</v>
      </c>
      <c r="B671">
        <v>999999</v>
      </c>
      <c r="C671" s="3">
        <v>193.4</v>
      </c>
      <c r="D671" s="1">
        <v>43354</v>
      </c>
      <c r="E671" t="str">
        <f>"1546485"</f>
        <v>1546485</v>
      </c>
      <c r="F671" t="str">
        <f>"CUST#0007014928/GEN SVCS"</f>
        <v>CUST#0007014928/GEN SVCS</v>
      </c>
      <c r="G671" s="2">
        <v>193.4</v>
      </c>
      <c r="H671" t="str">
        <f>"CUST#0007014928/GEN SVCS"</f>
        <v>CUST#0007014928/GEN SVCS</v>
      </c>
    </row>
    <row r="672" spans="1:8" x14ac:dyDescent="0.25">
      <c r="A672" t="s">
        <v>202</v>
      </c>
      <c r="B672">
        <v>78747</v>
      </c>
      <c r="C672" s="3">
        <v>198.6</v>
      </c>
      <c r="D672" s="1">
        <v>43367</v>
      </c>
      <c r="E672" t="str">
        <f>"219596"</f>
        <v>219596</v>
      </c>
      <c r="F672" t="str">
        <f>"ORDER #219596"</f>
        <v>ORDER #219596</v>
      </c>
      <c r="G672" s="2">
        <v>198.6</v>
      </c>
      <c r="H672" t="str">
        <f>"ORDER #219596"</f>
        <v>ORDER #219596</v>
      </c>
    </row>
    <row r="673" spans="1:9" x14ac:dyDescent="0.25">
      <c r="A673" t="s">
        <v>203</v>
      </c>
      <c r="B673">
        <v>78748</v>
      </c>
      <c r="C673" s="3">
        <v>2000</v>
      </c>
      <c r="D673" s="1">
        <v>43367</v>
      </c>
      <c r="E673" t="str">
        <f>"201809113688"</f>
        <v>201809113688</v>
      </c>
      <c r="F673" t="str">
        <f>"17-18637-FULL DAY MEDIATION"</f>
        <v>17-18637-FULL DAY MEDIATION</v>
      </c>
      <c r="G673" s="2">
        <v>2000</v>
      </c>
      <c r="H673" t="str">
        <f>"17-18637-FULL DAY MEDIATION"</f>
        <v>17-18637-FULL DAY MEDIATION</v>
      </c>
    </row>
    <row r="674" spans="1:9" x14ac:dyDescent="0.25">
      <c r="A674" t="s">
        <v>204</v>
      </c>
      <c r="B674">
        <v>78547</v>
      </c>
      <c r="C674" s="3">
        <v>61.32</v>
      </c>
      <c r="D674" s="1">
        <v>43353</v>
      </c>
      <c r="E674" t="s">
        <v>205</v>
      </c>
      <c r="F674" t="s">
        <v>206</v>
      </c>
      <c r="G674" s="2" t="str">
        <f>"RESTITUTION-R. WRIGHT"</f>
        <v>RESTITUTION-R. WRIGHT</v>
      </c>
      <c r="H674" t="str">
        <f>"210-0000"</f>
        <v>210-0000</v>
      </c>
      <c r="I674" t="str">
        <f>""</f>
        <v/>
      </c>
    </row>
    <row r="675" spans="1:9" x14ac:dyDescent="0.25">
      <c r="E675" t="s">
        <v>205</v>
      </c>
      <c r="F675" t="s">
        <v>207</v>
      </c>
      <c r="G675" s="2" t="str">
        <f>"RESTITUTION-R. WRIGHT"</f>
        <v>RESTITUTION-R. WRIGHT</v>
      </c>
      <c r="H675" t="str">
        <f>"210-0000"</f>
        <v>210-0000</v>
      </c>
      <c r="I675" t="str">
        <f>""</f>
        <v/>
      </c>
    </row>
    <row r="676" spans="1:9" x14ac:dyDescent="0.25">
      <c r="A676" t="s">
        <v>208</v>
      </c>
      <c r="B676">
        <v>78548</v>
      </c>
      <c r="C676" s="3">
        <v>807</v>
      </c>
      <c r="D676" s="1">
        <v>43353</v>
      </c>
      <c r="E676" t="str">
        <f>"041628"</f>
        <v>041628</v>
      </c>
      <c r="F676" t="str">
        <f>"SELF INKING STAMPS"</f>
        <v>SELF INKING STAMPS</v>
      </c>
      <c r="G676" s="2">
        <v>21</v>
      </c>
      <c r="H676" t="str">
        <f>"SELF INKING STAMPS"</f>
        <v>SELF INKING STAMPS</v>
      </c>
    </row>
    <row r="677" spans="1:9" x14ac:dyDescent="0.25">
      <c r="E677" t="str">
        <f>"041713"</f>
        <v>041713</v>
      </c>
      <c r="F677" t="str">
        <f>"SCHEDULE OF FINES/TICKET#98937"</f>
        <v>SCHEDULE OF FINES/TICKET#98937</v>
      </c>
      <c r="G677" s="2">
        <v>396</v>
      </c>
      <c r="H677" t="str">
        <f>"SCHEDULE OF FINES/TICKET#98937"</f>
        <v>SCHEDULE OF FINES/TICKET#98937</v>
      </c>
    </row>
    <row r="678" spans="1:9" x14ac:dyDescent="0.25">
      <c r="E678" t="str">
        <f>""</f>
        <v/>
      </c>
      <c r="F678" t="str">
        <f>""</f>
        <v/>
      </c>
      <c r="H678" t="str">
        <f>"SCHEDULE OF FINES/TICKET#98937"</f>
        <v>SCHEDULE OF FINES/TICKET#98937</v>
      </c>
    </row>
    <row r="679" spans="1:9" x14ac:dyDescent="0.25">
      <c r="E679" t="str">
        <f>""</f>
        <v/>
      </c>
      <c r="F679" t="str">
        <f>""</f>
        <v/>
      </c>
      <c r="H679" t="str">
        <f>"SCHEDULE OF FINES/TICKET#98937"</f>
        <v>SCHEDULE OF FINES/TICKET#98937</v>
      </c>
    </row>
    <row r="680" spans="1:9" x14ac:dyDescent="0.25">
      <c r="E680" t="str">
        <f>""</f>
        <v/>
      </c>
      <c r="F680" t="str">
        <f>""</f>
        <v/>
      </c>
      <c r="H680" t="str">
        <f>"SCHEDULE OF FINES/TICKET#98937"</f>
        <v>SCHEDULE OF FINES/TICKET#98937</v>
      </c>
    </row>
    <row r="681" spans="1:9" x14ac:dyDescent="0.25">
      <c r="E681" t="str">
        <f>"041719"</f>
        <v>041719</v>
      </c>
      <c r="F681" t="str">
        <f>"TICK#97893/DOCKET ENVELOPES"</f>
        <v>TICK#97893/DOCKET ENVELOPES</v>
      </c>
      <c r="G681" s="2">
        <v>390</v>
      </c>
      <c r="H681" t="str">
        <f>"TICK#97893/DOCKET ENVELOPES"</f>
        <v>TICK#97893/DOCKET ENVELOPES</v>
      </c>
    </row>
    <row r="682" spans="1:9" x14ac:dyDescent="0.25">
      <c r="A682" t="s">
        <v>209</v>
      </c>
      <c r="B682">
        <v>78549</v>
      </c>
      <c r="C682" s="3">
        <v>400.8</v>
      </c>
      <c r="D682" s="1">
        <v>43353</v>
      </c>
      <c r="E682" t="str">
        <f>"PA42918"</f>
        <v>PA42918</v>
      </c>
      <c r="F682" t="str">
        <f>"ACCT#68930/ANIMAL SERVICES"</f>
        <v>ACCT#68930/ANIMAL SERVICES</v>
      </c>
      <c r="G682" s="2">
        <v>184.08</v>
      </c>
      <c r="H682" t="str">
        <f>"ACCT#68930/ANIMAL SERVICES"</f>
        <v>ACCT#68930/ANIMAL SERVICES</v>
      </c>
    </row>
    <row r="683" spans="1:9" x14ac:dyDescent="0.25">
      <c r="E683" t="str">
        <f>""</f>
        <v/>
      </c>
      <c r="F683" t="str">
        <f>""</f>
        <v/>
      </c>
      <c r="H683" t="str">
        <f>"ACCT#68930/ANIMAL SERVICES"</f>
        <v>ACCT#68930/ANIMAL SERVICES</v>
      </c>
    </row>
    <row r="684" spans="1:9" x14ac:dyDescent="0.25">
      <c r="E684" t="str">
        <f>"PA70253"</f>
        <v>PA70253</v>
      </c>
      <c r="F684" t="str">
        <f>"ACCT#68930/ANIMAL SERVICES"</f>
        <v>ACCT#68930/ANIMAL SERVICES</v>
      </c>
      <c r="G684" s="2">
        <v>216.72</v>
      </c>
      <c r="H684" t="str">
        <f>"ACCT#68930/ANIMAL SERVICES"</f>
        <v>ACCT#68930/ANIMAL SERVICES</v>
      </c>
    </row>
    <row r="685" spans="1:9" x14ac:dyDescent="0.25">
      <c r="A685" t="s">
        <v>209</v>
      </c>
      <c r="B685">
        <v>78749</v>
      </c>
      <c r="C685" s="3">
        <v>444.04</v>
      </c>
      <c r="D685" s="1">
        <v>43367</v>
      </c>
      <c r="E685" t="str">
        <f>"PB40875"</f>
        <v>PB40875</v>
      </c>
      <c r="F685" t="str">
        <f>"ACCT#68930/ANIMAL SVCS"</f>
        <v>ACCT#68930/ANIMAL SVCS</v>
      </c>
      <c r="G685" s="2">
        <v>12.6</v>
      </c>
      <c r="H685" t="str">
        <f>"ACCT#68930/ANIMAL SVCS"</f>
        <v>ACCT#68930/ANIMAL SVCS</v>
      </c>
    </row>
    <row r="686" spans="1:9" x14ac:dyDescent="0.25">
      <c r="E686" t="str">
        <f>"PB82094"</f>
        <v>PB82094</v>
      </c>
      <c r="F686" t="str">
        <f>"ACCT#68930/ANIMAL SVCS"</f>
        <v>ACCT#68930/ANIMAL SVCS</v>
      </c>
      <c r="G686" s="2">
        <v>134.34</v>
      </c>
      <c r="H686" t="str">
        <f>"ACCT#68930/ANIMAL SVCS"</f>
        <v>ACCT#68930/ANIMAL SVCS</v>
      </c>
    </row>
    <row r="687" spans="1:9" x14ac:dyDescent="0.25">
      <c r="E687" t="str">
        <f>"PC10913"</f>
        <v>PC10913</v>
      </c>
      <c r="F687" t="str">
        <f>"ACCT#68930/ANIMAL SVCS"</f>
        <v>ACCT#68930/ANIMAL SVCS</v>
      </c>
      <c r="G687" s="2">
        <v>297.10000000000002</v>
      </c>
      <c r="H687" t="str">
        <f>"ACCT#68930/ANIMAL SVCS"</f>
        <v>ACCT#68930/ANIMAL SVCS</v>
      </c>
    </row>
    <row r="688" spans="1:9" x14ac:dyDescent="0.25">
      <c r="A688" t="s">
        <v>210</v>
      </c>
      <c r="B688">
        <v>78550</v>
      </c>
      <c r="C688" s="3">
        <v>192.94</v>
      </c>
      <c r="D688" s="1">
        <v>43353</v>
      </c>
      <c r="E688" t="str">
        <f>"0005173414-IN"</f>
        <v>0005173414-IN</v>
      </c>
      <c r="F688" t="str">
        <f>"INV 0005173414-IN"</f>
        <v>INV 0005173414-IN</v>
      </c>
      <c r="G688" s="2">
        <v>192.94</v>
      </c>
      <c r="H688" t="str">
        <f>"INV 0005173414-IN"</f>
        <v>INV 0005173414-IN</v>
      </c>
    </row>
    <row r="689" spans="1:9" x14ac:dyDescent="0.25">
      <c r="A689" t="s">
        <v>211</v>
      </c>
      <c r="B689">
        <v>78551</v>
      </c>
      <c r="C689" s="3">
        <v>200</v>
      </c>
      <c r="D689" s="1">
        <v>43353</v>
      </c>
      <c r="E689" t="s">
        <v>205</v>
      </c>
      <c r="F689" t="s">
        <v>212</v>
      </c>
      <c r="G689" s="2" t="str">
        <f>"RESTITUTION-M. FELTS"</f>
        <v>RESTITUTION-M. FELTS</v>
      </c>
      <c r="H689" t="str">
        <f>"210-0000"</f>
        <v>210-0000</v>
      </c>
      <c r="I689" t="str">
        <f>""</f>
        <v/>
      </c>
    </row>
    <row r="690" spans="1:9" x14ac:dyDescent="0.25">
      <c r="E690" t="s">
        <v>205</v>
      </c>
      <c r="F690" t="s">
        <v>213</v>
      </c>
      <c r="G690" s="2" t="str">
        <f>"RESTITUTION-M. FELTS"</f>
        <v>RESTITUTION-M. FELTS</v>
      </c>
      <c r="H690" t="str">
        <f>"210-0000"</f>
        <v>210-0000</v>
      </c>
      <c r="I690" t="str">
        <f>""</f>
        <v/>
      </c>
    </row>
    <row r="691" spans="1:9" x14ac:dyDescent="0.25">
      <c r="A691" t="s">
        <v>214</v>
      </c>
      <c r="B691">
        <v>999999</v>
      </c>
      <c r="C691" s="3">
        <v>650</v>
      </c>
      <c r="D691" s="1">
        <v>43368</v>
      </c>
      <c r="E691" t="str">
        <f>"201809183833"</f>
        <v>201809183833</v>
      </c>
      <c r="F691" t="str">
        <f>"BASCOM L HODGES JR"</f>
        <v>BASCOM L HODGES JR</v>
      </c>
      <c r="G691" s="2">
        <v>650</v>
      </c>
      <c r="H691" t="str">
        <f>""</f>
        <v/>
      </c>
    </row>
    <row r="692" spans="1:9" x14ac:dyDescent="0.25">
      <c r="A692" t="s">
        <v>215</v>
      </c>
      <c r="B692">
        <v>78552</v>
      </c>
      <c r="C692" s="3">
        <v>1725</v>
      </c>
      <c r="D692" s="1">
        <v>43353</v>
      </c>
      <c r="E692" t="str">
        <f>"201808313183"</f>
        <v>201808313183</v>
      </c>
      <c r="F692" t="str">
        <f>"423-4129"</f>
        <v>423-4129</v>
      </c>
      <c r="G692" s="2">
        <v>100</v>
      </c>
      <c r="H692" t="str">
        <f>"423-4129"</f>
        <v>423-4129</v>
      </c>
    </row>
    <row r="693" spans="1:9" x14ac:dyDescent="0.25">
      <c r="E693" t="str">
        <f>"201808313184"</f>
        <v>201808313184</v>
      </c>
      <c r="F693" t="str">
        <f>"423-3004"</f>
        <v>423-3004</v>
      </c>
      <c r="G693" s="2">
        <v>100</v>
      </c>
      <c r="H693" t="str">
        <f>"423-3004"</f>
        <v>423-3004</v>
      </c>
    </row>
    <row r="694" spans="1:9" x14ac:dyDescent="0.25">
      <c r="E694" t="str">
        <f>"201809053307"</f>
        <v>201809053307</v>
      </c>
      <c r="F694" t="str">
        <f>"10-13687"</f>
        <v>10-13687</v>
      </c>
      <c r="G694" s="2">
        <v>100</v>
      </c>
      <c r="H694" t="str">
        <f>"10-13687"</f>
        <v>10-13687</v>
      </c>
    </row>
    <row r="695" spans="1:9" x14ac:dyDescent="0.25">
      <c r="E695" t="str">
        <f>"201809053308"</f>
        <v>201809053308</v>
      </c>
      <c r="F695" t="str">
        <f>"17-18637"</f>
        <v>17-18637</v>
      </c>
      <c r="G695" s="2">
        <v>850</v>
      </c>
      <c r="H695" t="str">
        <f>"17-18637"</f>
        <v>17-18637</v>
      </c>
    </row>
    <row r="696" spans="1:9" x14ac:dyDescent="0.25">
      <c r="E696" t="str">
        <f>"201809053332"</f>
        <v>201809053332</v>
      </c>
      <c r="F696" t="str">
        <f>"09-13482"</f>
        <v>09-13482</v>
      </c>
      <c r="G696" s="2">
        <v>100</v>
      </c>
      <c r="H696" t="str">
        <f>"09-13482"</f>
        <v>09-13482</v>
      </c>
    </row>
    <row r="697" spans="1:9" x14ac:dyDescent="0.25">
      <c r="E697" t="str">
        <f>"201809053333"</f>
        <v>201809053333</v>
      </c>
      <c r="F697" t="str">
        <f>"17-18687  08/17"</f>
        <v>17-18687  08/17</v>
      </c>
      <c r="G697" s="2">
        <v>225</v>
      </c>
      <c r="H697" t="str">
        <f>"17-18687"</f>
        <v>17-18687</v>
      </c>
    </row>
    <row r="698" spans="1:9" x14ac:dyDescent="0.25">
      <c r="E698" t="str">
        <f>"201809053357"</f>
        <v>201809053357</v>
      </c>
      <c r="F698" t="str">
        <f>"55947"</f>
        <v>55947</v>
      </c>
      <c r="G698" s="2">
        <v>250</v>
      </c>
      <c r="H698" t="str">
        <f>"55947"</f>
        <v>55947</v>
      </c>
    </row>
    <row r="699" spans="1:9" x14ac:dyDescent="0.25">
      <c r="A699" t="s">
        <v>215</v>
      </c>
      <c r="B699">
        <v>78750</v>
      </c>
      <c r="C699" s="3">
        <v>1025</v>
      </c>
      <c r="D699" s="1">
        <v>43367</v>
      </c>
      <c r="E699" t="str">
        <f>"201809123705"</f>
        <v>201809123705</v>
      </c>
      <c r="F699" t="str">
        <f>"17-186365"</f>
        <v>17-186365</v>
      </c>
      <c r="G699" s="2">
        <v>100</v>
      </c>
      <c r="H699" t="str">
        <f>"17-186365"</f>
        <v>17-186365</v>
      </c>
    </row>
    <row r="700" spans="1:9" x14ac:dyDescent="0.25">
      <c r="E700" t="str">
        <f>"201809183795"</f>
        <v>201809183795</v>
      </c>
      <c r="F700" t="str">
        <f>"56 357"</f>
        <v>56 357</v>
      </c>
      <c r="G700" s="2">
        <v>250</v>
      </c>
      <c r="H700" t="str">
        <f>"56 357"</f>
        <v>56 357</v>
      </c>
    </row>
    <row r="701" spans="1:9" x14ac:dyDescent="0.25">
      <c r="E701" t="str">
        <f>"201809183796"</f>
        <v>201809183796</v>
      </c>
      <c r="F701" t="str">
        <f>"56 215"</f>
        <v>56 215</v>
      </c>
      <c r="G701" s="2">
        <v>250</v>
      </c>
      <c r="H701" t="str">
        <f>"56 215"</f>
        <v>56 215</v>
      </c>
    </row>
    <row r="702" spans="1:9" x14ac:dyDescent="0.25">
      <c r="E702" t="str">
        <f>"201809183840"</f>
        <v>201809183840</v>
      </c>
      <c r="F702" t="str">
        <f>"423-4947"</f>
        <v>423-4947</v>
      </c>
      <c r="G702" s="2">
        <v>100</v>
      </c>
      <c r="H702" t="str">
        <f>"423-4947"</f>
        <v>423-4947</v>
      </c>
    </row>
    <row r="703" spans="1:9" x14ac:dyDescent="0.25">
      <c r="E703" t="str">
        <f>"201809183845"</f>
        <v>201809183845</v>
      </c>
      <c r="F703" t="str">
        <f>"06-11142"</f>
        <v>06-11142</v>
      </c>
      <c r="G703" s="2">
        <v>100</v>
      </c>
      <c r="H703" t="str">
        <f>"06-11142"</f>
        <v>06-11142</v>
      </c>
    </row>
    <row r="704" spans="1:9" x14ac:dyDescent="0.25">
      <c r="E704" t="str">
        <f>"201809183848"</f>
        <v>201809183848</v>
      </c>
      <c r="F704" t="str">
        <f>"17-18637"</f>
        <v>17-18637</v>
      </c>
      <c r="G704" s="2">
        <v>225</v>
      </c>
      <c r="H704" t="str">
        <f>"17-18637"</f>
        <v>17-18637</v>
      </c>
    </row>
    <row r="705" spans="1:8" x14ac:dyDescent="0.25">
      <c r="A705" t="s">
        <v>216</v>
      </c>
      <c r="B705">
        <v>78553</v>
      </c>
      <c r="C705" s="3">
        <v>384.99</v>
      </c>
      <c r="D705" s="1">
        <v>43353</v>
      </c>
      <c r="E705" t="str">
        <f>"201809053418"</f>
        <v>201809053418</v>
      </c>
      <c r="F705" t="str">
        <f>"REIMBURSE CONTIN ED/MILEAGE"</f>
        <v>REIMBURSE CONTIN ED/MILEAGE</v>
      </c>
      <c r="G705" s="2">
        <v>122.99</v>
      </c>
      <c r="H705" t="str">
        <f>"REIMBURSE CONTIN ED/MILEAGE"</f>
        <v>REIMBURSE CONTIN ED/MILEAGE</v>
      </c>
    </row>
    <row r="706" spans="1:8" x14ac:dyDescent="0.25">
      <c r="E706" t="str">
        <f>"201809053419"</f>
        <v>201809053419</v>
      </c>
      <c r="F706" t="str">
        <f>"REIMBURSE ECLIPSE MAINT AGREEM"</f>
        <v>REIMBURSE ECLIPSE MAINT AGREEM</v>
      </c>
      <c r="G706" s="2">
        <v>262</v>
      </c>
      <c r="H706" t="str">
        <f>"REIMBURSE ECLIPSE MAINT AGREEM"</f>
        <v>REIMBURSE ECLIPSE MAINT AGREEM</v>
      </c>
    </row>
    <row r="707" spans="1:8" x14ac:dyDescent="0.25">
      <c r="A707" t="s">
        <v>217</v>
      </c>
      <c r="B707">
        <v>78554</v>
      </c>
      <c r="C707" s="3">
        <v>3254.2</v>
      </c>
      <c r="D707" s="1">
        <v>43353</v>
      </c>
      <c r="E707" t="str">
        <f>"PIMA0292194"</f>
        <v>PIMA0292194</v>
      </c>
      <c r="F707" t="str">
        <f>"CUST#0129100/CUTTING EGDE/P3"</f>
        <v>CUST#0129100/CUTTING EGDE/P3</v>
      </c>
      <c r="G707" s="2">
        <v>1955.8</v>
      </c>
      <c r="H707" t="str">
        <f>"CUST#0129100/CUTTING EGDE/P3"</f>
        <v>CUST#0129100/CUTTING EGDE/P3</v>
      </c>
    </row>
    <row r="708" spans="1:8" x14ac:dyDescent="0.25">
      <c r="E708" t="str">
        <f>"PIMA0292998"</f>
        <v>PIMA0292998</v>
      </c>
      <c r="F708" t="str">
        <f>"CUST#0129150/PCT#3"</f>
        <v>CUST#0129150/PCT#3</v>
      </c>
      <c r="G708" s="2">
        <v>298.73</v>
      </c>
      <c r="H708" t="str">
        <f>"CUST#0129150/PCT#3"</f>
        <v>CUST#0129150/PCT#3</v>
      </c>
    </row>
    <row r="709" spans="1:8" x14ac:dyDescent="0.25">
      <c r="E709" t="str">
        <f>"PIMA0293161"</f>
        <v>PIMA0293161</v>
      </c>
      <c r="F709" t="str">
        <f>"CUST#0129100/PCT#3"</f>
        <v>CUST#0129100/PCT#3</v>
      </c>
      <c r="G709" s="2">
        <v>579.66999999999996</v>
      </c>
      <c r="H709" t="str">
        <f>"CUST#0129100/PCT#3"</f>
        <v>CUST#0129100/PCT#3</v>
      </c>
    </row>
    <row r="710" spans="1:8" x14ac:dyDescent="0.25">
      <c r="E710" t="str">
        <f>"WIMA0108420"</f>
        <v>WIMA0108420</v>
      </c>
      <c r="F710" t="str">
        <f>"CUST#0129150/PCT#3"</f>
        <v>CUST#0129150/PCT#3</v>
      </c>
      <c r="G710" s="2">
        <v>420</v>
      </c>
      <c r="H710" t="str">
        <f>"CUST#0129150/PCT#3"</f>
        <v>CUST#0129150/PCT#3</v>
      </c>
    </row>
    <row r="711" spans="1:8" x14ac:dyDescent="0.25">
      <c r="A711" t="s">
        <v>217</v>
      </c>
      <c r="B711">
        <v>78751</v>
      </c>
      <c r="C711" s="3">
        <v>359.53</v>
      </c>
      <c r="D711" s="1">
        <v>43367</v>
      </c>
      <c r="E711" t="str">
        <f>"PIKP0078563"</f>
        <v>PIKP0078563</v>
      </c>
      <c r="F711" t="str">
        <f>"CUST#0129100/PCT#4"</f>
        <v>CUST#0129100/PCT#4</v>
      </c>
      <c r="G711" s="2">
        <v>230.44</v>
      </c>
      <c r="H711" t="str">
        <f>"CUST#0129100/PCT#4"</f>
        <v>CUST#0129100/PCT#4</v>
      </c>
    </row>
    <row r="712" spans="1:8" x14ac:dyDescent="0.25">
      <c r="E712" t="str">
        <f>"PIMA0293456"</f>
        <v>PIMA0293456</v>
      </c>
      <c r="F712" t="str">
        <f>"CUST#0129150/PCT#3"</f>
        <v>CUST#0129150/PCT#3</v>
      </c>
      <c r="G712" s="2">
        <v>129.09</v>
      </c>
      <c r="H712" t="str">
        <f>"CUST#0129150/PCT#3"</f>
        <v>CUST#0129150/PCT#3</v>
      </c>
    </row>
    <row r="713" spans="1:8" x14ac:dyDescent="0.25">
      <c r="A713" t="s">
        <v>218</v>
      </c>
      <c r="B713">
        <v>78555</v>
      </c>
      <c r="C713" s="3">
        <v>2861.02</v>
      </c>
      <c r="D713" s="1">
        <v>43353</v>
      </c>
      <c r="E713" t="str">
        <f>"201809043286"</f>
        <v>201809043286</v>
      </c>
      <c r="F713" t="str">
        <f>"Acct# 3780"</f>
        <v>Acct# 3780</v>
      </c>
      <c r="G713" s="2">
        <v>2861.02</v>
      </c>
      <c r="H713" t="str">
        <f>"Inv# 4024068"</f>
        <v>Inv# 4024068</v>
      </c>
    </row>
    <row r="714" spans="1:8" x14ac:dyDescent="0.25">
      <c r="E714" t="str">
        <f>""</f>
        <v/>
      </c>
      <c r="F714" t="str">
        <f>""</f>
        <v/>
      </c>
      <c r="H714" t="str">
        <f>"Inv# 2025446"</f>
        <v>Inv# 2025446</v>
      </c>
    </row>
    <row r="715" spans="1:8" x14ac:dyDescent="0.25">
      <c r="E715" t="str">
        <f>""</f>
        <v/>
      </c>
      <c r="F715" t="str">
        <f>""</f>
        <v/>
      </c>
      <c r="H715" t="str">
        <f>"Inv# 51332"</f>
        <v>Inv# 51332</v>
      </c>
    </row>
    <row r="716" spans="1:8" x14ac:dyDescent="0.25">
      <c r="E716" t="str">
        <f>""</f>
        <v/>
      </c>
      <c r="F716" t="str">
        <f>""</f>
        <v/>
      </c>
      <c r="H716" t="str">
        <f>"Inv# 4593147"</f>
        <v>Inv# 4593147</v>
      </c>
    </row>
    <row r="717" spans="1:8" x14ac:dyDescent="0.25">
      <c r="E717" t="str">
        <f>""</f>
        <v/>
      </c>
      <c r="F717" t="str">
        <f>""</f>
        <v/>
      </c>
      <c r="H717" t="str">
        <f>"Inv# 9015851"</f>
        <v>Inv# 9015851</v>
      </c>
    </row>
    <row r="718" spans="1:8" x14ac:dyDescent="0.25">
      <c r="E718" t="str">
        <f>""</f>
        <v/>
      </c>
      <c r="F718" t="str">
        <f>""</f>
        <v/>
      </c>
      <c r="H718" t="str">
        <f>"Inv# 5017534"</f>
        <v>Inv# 5017534</v>
      </c>
    </row>
    <row r="719" spans="1:8" x14ac:dyDescent="0.25">
      <c r="E719" t="str">
        <f>""</f>
        <v/>
      </c>
      <c r="F719" t="str">
        <f>""</f>
        <v/>
      </c>
      <c r="H719" t="str">
        <f>"Inv# 7015979"</f>
        <v>Inv# 7015979</v>
      </c>
    </row>
    <row r="720" spans="1:8" x14ac:dyDescent="0.25">
      <c r="E720" t="str">
        <f>""</f>
        <v/>
      </c>
      <c r="F720" t="str">
        <f>""</f>
        <v/>
      </c>
      <c r="H720" t="str">
        <f>"Inv# 5023949"</f>
        <v>Inv# 5023949</v>
      </c>
    </row>
    <row r="721" spans="5:8" x14ac:dyDescent="0.25">
      <c r="E721" t="str">
        <f>""</f>
        <v/>
      </c>
      <c r="F721" t="str">
        <f>""</f>
        <v/>
      </c>
      <c r="H721" t="str">
        <f>"Inv# 3024217"</f>
        <v>Inv# 3024217</v>
      </c>
    </row>
    <row r="722" spans="5:8" x14ac:dyDescent="0.25">
      <c r="E722" t="str">
        <f>""</f>
        <v/>
      </c>
      <c r="F722" t="str">
        <f>""</f>
        <v/>
      </c>
      <c r="H722" t="str">
        <f>"Inv# 8024734"</f>
        <v>Inv# 8024734</v>
      </c>
    </row>
    <row r="723" spans="5:8" x14ac:dyDescent="0.25">
      <c r="E723" t="str">
        <f>""</f>
        <v/>
      </c>
      <c r="F723" t="str">
        <f>""</f>
        <v/>
      </c>
      <c r="H723" t="str">
        <f>"Inv# 8024746"</f>
        <v>Inv# 8024746</v>
      </c>
    </row>
    <row r="724" spans="5:8" x14ac:dyDescent="0.25">
      <c r="E724" t="str">
        <f>""</f>
        <v/>
      </c>
      <c r="F724" t="str">
        <f>""</f>
        <v/>
      </c>
      <c r="H724" t="str">
        <f>"Inv# 3025286"</f>
        <v>Inv# 3025286</v>
      </c>
    </row>
    <row r="725" spans="5:8" x14ac:dyDescent="0.25">
      <c r="E725" t="str">
        <f>""</f>
        <v/>
      </c>
      <c r="F725" t="str">
        <f>""</f>
        <v/>
      </c>
      <c r="H725" t="str">
        <f>"Inv# 1201683"</f>
        <v>Inv# 1201683</v>
      </c>
    </row>
    <row r="726" spans="5:8" x14ac:dyDescent="0.25">
      <c r="E726" t="str">
        <f>""</f>
        <v/>
      </c>
      <c r="F726" t="str">
        <f>""</f>
        <v/>
      </c>
      <c r="H726" t="str">
        <f>"Inv# 4026426"</f>
        <v>Inv# 4026426</v>
      </c>
    </row>
    <row r="727" spans="5:8" x14ac:dyDescent="0.25">
      <c r="E727" t="str">
        <f>""</f>
        <v/>
      </c>
      <c r="F727" t="str">
        <f>""</f>
        <v/>
      </c>
      <c r="H727" t="str">
        <f>"Inv# 3201726"</f>
        <v>Inv# 3201726</v>
      </c>
    </row>
    <row r="728" spans="5:8" x14ac:dyDescent="0.25">
      <c r="E728" t="str">
        <f>""</f>
        <v/>
      </c>
      <c r="F728" t="str">
        <f>""</f>
        <v/>
      </c>
      <c r="H728" t="str">
        <f>"Inv#3163000"</f>
        <v>Inv#3163000</v>
      </c>
    </row>
    <row r="729" spans="5:8" x14ac:dyDescent="0.25">
      <c r="E729" t="str">
        <f>""</f>
        <v/>
      </c>
      <c r="F729" t="str">
        <f>""</f>
        <v/>
      </c>
      <c r="H729" t="str">
        <f>"Inv# 1025546"</f>
        <v>Inv# 1025546</v>
      </c>
    </row>
    <row r="730" spans="5:8" x14ac:dyDescent="0.25">
      <c r="E730" t="str">
        <f>""</f>
        <v/>
      </c>
      <c r="F730" t="str">
        <f>""</f>
        <v/>
      </c>
      <c r="H730" t="str">
        <f>"Inv# 5016116"</f>
        <v>Inv# 5016116</v>
      </c>
    </row>
    <row r="731" spans="5:8" x14ac:dyDescent="0.25">
      <c r="E731" t="str">
        <f>""</f>
        <v/>
      </c>
      <c r="F731" t="str">
        <f>""</f>
        <v/>
      </c>
      <c r="H731" t="str">
        <f>"Inv# 8561128"</f>
        <v>Inv# 8561128</v>
      </c>
    </row>
    <row r="732" spans="5:8" x14ac:dyDescent="0.25">
      <c r="E732" t="str">
        <f>""</f>
        <v/>
      </c>
      <c r="F732" t="str">
        <f>""</f>
        <v/>
      </c>
      <c r="H732" t="str">
        <f>"Inv# 4024081"</f>
        <v>Inv# 4024081</v>
      </c>
    </row>
    <row r="733" spans="5:8" x14ac:dyDescent="0.25">
      <c r="E733" t="str">
        <f>""</f>
        <v/>
      </c>
      <c r="F733" t="str">
        <f>""</f>
        <v/>
      </c>
      <c r="H733" t="str">
        <f>"Inv# 5560618"</f>
        <v>Inv# 5560618</v>
      </c>
    </row>
    <row r="734" spans="5:8" x14ac:dyDescent="0.25">
      <c r="E734" t="str">
        <f>""</f>
        <v/>
      </c>
      <c r="F734" t="str">
        <f>""</f>
        <v/>
      </c>
      <c r="H734" t="str">
        <f>"Inv# 2580797"</f>
        <v>Inv# 2580797</v>
      </c>
    </row>
    <row r="735" spans="5:8" x14ac:dyDescent="0.25">
      <c r="E735" t="str">
        <f>""</f>
        <v/>
      </c>
      <c r="F735" t="str">
        <f>""</f>
        <v/>
      </c>
      <c r="H735" t="str">
        <f>"Inv# 6593910"</f>
        <v>Inv# 6593910</v>
      </c>
    </row>
    <row r="736" spans="5:8" x14ac:dyDescent="0.25">
      <c r="E736" t="str">
        <f>""</f>
        <v/>
      </c>
      <c r="F736" t="str">
        <f>""</f>
        <v/>
      </c>
      <c r="H736" t="str">
        <f>"Inv# 26959"</f>
        <v>Inv# 26959</v>
      </c>
    </row>
    <row r="737" spans="1:8" x14ac:dyDescent="0.25">
      <c r="E737" t="str">
        <f>""</f>
        <v/>
      </c>
      <c r="F737" t="str">
        <f>""</f>
        <v/>
      </c>
      <c r="H737" t="str">
        <f>"Inv# 9163238"</f>
        <v>Inv# 9163238</v>
      </c>
    </row>
    <row r="738" spans="1:8" x14ac:dyDescent="0.25">
      <c r="E738" t="str">
        <f>""</f>
        <v/>
      </c>
      <c r="F738" t="str">
        <f>""</f>
        <v/>
      </c>
      <c r="H738" t="str">
        <f>"Inv# 9024708"</f>
        <v>Inv# 9024708</v>
      </c>
    </row>
    <row r="739" spans="1:8" x14ac:dyDescent="0.25">
      <c r="E739" t="str">
        <f>""</f>
        <v/>
      </c>
      <c r="F739" t="str">
        <f>""</f>
        <v/>
      </c>
      <c r="H739" t="str">
        <f>"Inv# 9580296"</f>
        <v>Inv# 9580296</v>
      </c>
    </row>
    <row r="740" spans="1:8" x14ac:dyDescent="0.25">
      <c r="E740" t="str">
        <f>""</f>
        <v/>
      </c>
      <c r="F740" t="str">
        <f>""</f>
        <v/>
      </c>
      <c r="H740" t="str">
        <f>"Inv# 7024930"</f>
        <v>Inv# 7024930</v>
      </c>
    </row>
    <row r="741" spans="1:8" x14ac:dyDescent="0.25">
      <c r="E741" t="str">
        <f>""</f>
        <v/>
      </c>
      <c r="F741" t="str">
        <f>""</f>
        <v/>
      </c>
      <c r="H741" t="str">
        <f>"Inv# 2025533"</f>
        <v>Inv# 2025533</v>
      </c>
    </row>
    <row r="742" spans="1:8" x14ac:dyDescent="0.25">
      <c r="E742" t="str">
        <f>""</f>
        <v/>
      </c>
      <c r="F742" t="str">
        <f>""</f>
        <v/>
      </c>
      <c r="H742" t="str">
        <f>"Inv# 25697"</f>
        <v>Inv# 25697</v>
      </c>
    </row>
    <row r="743" spans="1:8" x14ac:dyDescent="0.25">
      <c r="A743" t="s">
        <v>219</v>
      </c>
      <c r="B743">
        <v>78682</v>
      </c>
      <c r="C743" s="3">
        <v>2323.08</v>
      </c>
      <c r="D743" s="1">
        <v>43356</v>
      </c>
      <c r="E743" t="str">
        <f>"S1809040002-00029"</f>
        <v>S1809040002-00029</v>
      </c>
      <c r="F743" t="str">
        <f>"ACCT#100402264 / 09042018"</f>
        <v>ACCT#100402264 / 09042018</v>
      </c>
      <c r="G743" s="2">
        <v>2323.08</v>
      </c>
      <c r="H743" t="str">
        <f>"ACCT#100402264 / 09042018"</f>
        <v>ACCT#100402264 / 09042018</v>
      </c>
    </row>
    <row r="744" spans="1:8" x14ac:dyDescent="0.25">
      <c r="E744" t="str">
        <f>""</f>
        <v/>
      </c>
      <c r="F744" t="str">
        <f>""</f>
        <v/>
      </c>
      <c r="H744" t="str">
        <f>"ACCT#100402264 / 09042018"</f>
        <v>ACCT#100402264 / 09042018</v>
      </c>
    </row>
    <row r="745" spans="1:8" x14ac:dyDescent="0.25">
      <c r="E745" t="str">
        <f>""</f>
        <v/>
      </c>
      <c r="F745" t="str">
        <f>""</f>
        <v/>
      </c>
      <c r="H745" t="str">
        <f>"ACCT#100402264 / 09042018"</f>
        <v>ACCT#100402264 / 09042018</v>
      </c>
    </row>
    <row r="746" spans="1:8" x14ac:dyDescent="0.25">
      <c r="A746" t="s">
        <v>220</v>
      </c>
      <c r="B746">
        <v>999999</v>
      </c>
      <c r="C746" s="3">
        <v>720.36</v>
      </c>
      <c r="D746" s="1">
        <v>43354</v>
      </c>
      <c r="E746" t="str">
        <f>"W2022200 W2022201"</f>
        <v>W2022200 W2022201</v>
      </c>
      <c r="F746" t="str">
        <f>"INV W2022200/W2022201"</f>
        <v>INV W2022200/W2022201</v>
      </c>
      <c r="G746" s="2">
        <v>720.36</v>
      </c>
      <c r="H746" t="str">
        <f>"INV W2022200"</f>
        <v>INV W2022200</v>
      </c>
    </row>
    <row r="747" spans="1:8" x14ac:dyDescent="0.25">
      <c r="E747" t="str">
        <f>""</f>
        <v/>
      </c>
      <c r="F747" t="str">
        <f>""</f>
        <v/>
      </c>
      <c r="H747" t="str">
        <f>"INV W2022201"</f>
        <v>INV W2022201</v>
      </c>
    </row>
    <row r="748" spans="1:8" x14ac:dyDescent="0.25">
      <c r="A748" t="s">
        <v>221</v>
      </c>
      <c r="B748">
        <v>999999</v>
      </c>
      <c r="C748" s="3">
        <v>2445</v>
      </c>
      <c r="D748" s="1">
        <v>43368</v>
      </c>
      <c r="E748" t="str">
        <f>"66507"</f>
        <v>66507</v>
      </c>
      <c r="F748" t="str">
        <f>"PROF SVCS-OCT 2018"</f>
        <v>PROF SVCS-OCT 2018</v>
      </c>
      <c r="G748" s="2">
        <v>2430</v>
      </c>
      <c r="H748" t="str">
        <f>"PROF SVCS-OCT 2018"</f>
        <v>PROF SVCS-OCT 2018</v>
      </c>
    </row>
    <row r="749" spans="1:8" x14ac:dyDescent="0.25">
      <c r="E749" t="str">
        <f>""</f>
        <v/>
      </c>
      <c r="F749" t="str">
        <f>""</f>
        <v/>
      </c>
      <c r="H749" t="str">
        <f>"PROF SVCS-OCT 2018"</f>
        <v>PROF SVCS-OCT 2018</v>
      </c>
    </row>
    <row r="750" spans="1:8" x14ac:dyDescent="0.25">
      <c r="E750" t="str">
        <f>"66632"</f>
        <v>66632</v>
      </c>
      <c r="F750" t="str">
        <f>"AUG 2018 POWER SEARCH SVCS"</f>
        <v>AUG 2018 POWER SEARCH SVCS</v>
      </c>
      <c r="G750" s="2">
        <v>15</v>
      </c>
      <c r="H750" t="str">
        <f>"AUG 2018 POWER SEARCH SVCS"</f>
        <v>AUG 2018 POWER SEARCH SVCS</v>
      </c>
    </row>
    <row r="751" spans="1:8" x14ac:dyDescent="0.25">
      <c r="A751" t="s">
        <v>222</v>
      </c>
      <c r="B751">
        <v>999999</v>
      </c>
      <c r="C751" s="3">
        <v>200</v>
      </c>
      <c r="D751" s="1">
        <v>43354</v>
      </c>
      <c r="E751" t="str">
        <f>"201809073554"</f>
        <v>201809073554</v>
      </c>
      <c r="F751" t="str">
        <f>"Conf. pymt for Cari Croft"</f>
        <v>Conf. pymt for Cari Croft</v>
      </c>
      <c r="G751" s="2">
        <v>200</v>
      </c>
      <c r="H751" t="str">
        <f>"Payment"</f>
        <v>Payment</v>
      </c>
    </row>
    <row r="752" spans="1:8" x14ac:dyDescent="0.25">
      <c r="A752" t="s">
        <v>223</v>
      </c>
      <c r="B752">
        <v>78752</v>
      </c>
      <c r="C752" s="3">
        <v>66.12</v>
      </c>
      <c r="D752" s="1">
        <v>43367</v>
      </c>
      <c r="E752" t="str">
        <f>"AEMG802"</f>
        <v>AEMG802</v>
      </c>
      <c r="F752" t="str">
        <f>"CUST ID:AX773/BASTROP CTY CLRK"</f>
        <v>CUST ID:AX773/BASTROP CTY CLRK</v>
      </c>
      <c r="G752" s="2">
        <v>66.12</v>
      </c>
      <c r="H752" t="str">
        <f>"CUST ID:AX773/BASTROP CTY CLRK"</f>
        <v>CUST ID:AX773/BASTROP CTY CLRK</v>
      </c>
    </row>
    <row r="753" spans="1:8" x14ac:dyDescent="0.25">
      <c r="A753" t="s">
        <v>224</v>
      </c>
      <c r="B753">
        <v>78753</v>
      </c>
      <c r="C753" s="3">
        <v>473.92</v>
      </c>
      <c r="D753" s="1">
        <v>43367</v>
      </c>
      <c r="E753" t="str">
        <f>"201809203883"</f>
        <v>201809203883</v>
      </c>
      <c r="F753" t="str">
        <f>"TRAVEL ADVANCE-MEALS/AIRLINE"</f>
        <v>TRAVEL ADVANCE-MEALS/AIRLINE</v>
      </c>
      <c r="G753" s="2">
        <v>473.92</v>
      </c>
      <c r="H753" t="str">
        <f>"TRAVEL ADVANCE-MEALS/AIRLINE"</f>
        <v>TRAVEL ADVANCE-MEALS/AIRLINE</v>
      </c>
    </row>
    <row r="754" spans="1:8" x14ac:dyDescent="0.25">
      <c r="A754" t="s">
        <v>225</v>
      </c>
      <c r="B754">
        <v>78556</v>
      </c>
      <c r="C754" s="3">
        <v>1250</v>
      </c>
      <c r="D754" s="1">
        <v>43353</v>
      </c>
      <c r="E754" t="str">
        <f>"201809053363"</f>
        <v>201809053363</v>
      </c>
      <c r="F754" t="str">
        <f>"55 430"</f>
        <v>55 430</v>
      </c>
      <c r="G754" s="2">
        <v>250</v>
      </c>
      <c r="H754" t="str">
        <f>"55 430"</f>
        <v>55 430</v>
      </c>
    </row>
    <row r="755" spans="1:8" x14ac:dyDescent="0.25">
      <c r="E755" t="str">
        <f>"201809053364"</f>
        <v>201809053364</v>
      </c>
      <c r="F755" t="str">
        <f>"55 335"</f>
        <v>55 335</v>
      </c>
      <c r="G755" s="2">
        <v>250</v>
      </c>
      <c r="H755" t="str">
        <f>"55 335"</f>
        <v>55 335</v>
      </c>
    </row>
    <row r="756" spans="1:8" x14ac:dyDescent="0.25">
      <c r="E756" t="str">
        <f>"201809053365"</f>
        <v>201809053365</v>
      </c>
      <c r="F756" t="str">
        <f>"54 368"</f>
        <v>54 368</v>
      </c>
      <c r="G756" s="2">
        <v>250</v>
      </c>
      <c r="H756" t="str">
        <f>"54 368"</f>
        <v>54 368</v>
      </c>
    </row>
    <row r="757" spans="1:8" x14ac:dyDescent="0.25">
      <c r="E757" t="str">
        <f>"201809053381"</f>
        <v>201809053381</v>
      </c>
      <c r="F757" t="str">
        <f>"55 381"</f>
        <v>55 381</v>
      </c>
      <c r="G757" s="2">
        <v>250</v>
      </c>
      <c r="H757" t="str">
        <f>"55 381"</f>
        <v>55 381</v>
      </c>
    </row>
    <row r="758" spans="1:8" x14ac:dyDescent="0.25">
      <c r="E758" t="str">
        <f>"201809053400"</f>
        <v>201809053400</v>
      </c>
      <c r="F758" t="str">
        <f>"53 509"</f>
        <v>53 509</v>
      </c>
      <c r="G758" s="2">
        <v>250</v>
      </c>
      <c r="H758" t="str">
        <f>"53 509"</f>
        <v>53 509</v>
      </c>
    </row>
    <row r="759" spans="1:8" x14ac:dyDescent="0.25">
      <c r="A759" t="s">
        <v>226</v>
      </c>
      <c r="B759">
        <v>78754</v>
      </c>
      <c r="C759" s="3">
        <v>61</v>
      </c>
      <c r="D759" s="1">
        <v>43367</v>
      </c>
      <c r="E759" t="str">
        <f>"59375"</f>
        <v>59375</v>
      </c>
      <c r="F759" t="str">
        <f>"REGISTRATION 2002 FORD"</f>
        <v>REGISTRATION 2002 FORD</v>
      </c>
      <c r="G759" s="2">
        <v>7</v>
      </c>
      <c r="H759" t="str">
        <f>"REGISTRATION 2002 FORD"</f>
        <v>REGISTRATION 2002 FORD</v>
      </c>
    </row>
    <row r="760" spans="1:8" x14ac:dyDescent="0.25">
      <c r="E760" t="str">
        <f>"59377"</f>
        <v>59377</v>
      </c>
      <c r="F760" t="str">
        <f>"INSPECTION 2008 CHEV/PCT#4"</f>
        <v>INSPECTION 2008 CHEV/PCT#4</v>
      </c>
      <c r="G760" s="2">
        <v>7</v>
      </c>
      <c r="H760" t="str">
        <f>"INSPECTION 2008 CHEV/PCT#4"</f>
        <v>INSPECTION 2008 CHEV/PCT#4</v>
      </c>
    </row>
    <row r="761" spans="1:8" x14ac:dyDescent="0.25">
      <c r="E761" t="str">
        <f>"59379"</f>
        <v>59379</v>
      </c>
      <c r="F761" t="str">
        <f>"2006 FORD/PCT#4"</f>
        <v>2006 FORD/PCT#4</v>
      </c>
      <c r="G761" s="2">
        <v>40</v>
      </c>
      <c r="H761" t="str">
        <f>"2006 FORD/PCT#4"</f>
        <v>2006 FORD/PCT#4</v>
      </c>
    </row>
    <row r="762" spans="1:8" x14ac:dyDescent="0.25">
      <c r="E762" t="str">
        <f>"59382"</f>
        <v>59382</v>
      </c>
      <c r="F762" t="str">
        <f>"INSPECTION 2003 FORD"</f>
        <v>INSPECTION 2003 FORD</v>
      </c>
      <c r="G762" s="2">
        <v>7</v>
      </c>
      <c r="H762" t="str">
        <f>"INSPECTION 2003 FORD"</f>
        <v>INSPECTION 2003 FORD</v>
      </c>
    </row>
    <row r="763" spans="1:8" x14ac:dyDescent="0.25">
      <c r="A763" t="s">
        <v>227</v>
      </c>
      <c r="B763">
        <v>999999</v>
      </c>
      <c r="C763" s="3">
        <v>1300</v>
      </c>
      <c r="D763" s="1">
        <v>43354</v>
      </c>
      <c r="E763" t="str">
        <f>"201808303165"</f>
        <v>201808303165</v>
      </c>
      <c r="F763" t="str">
        <f>"15-17088"</f>
        <v>15-17088</v>
      </c>
      <c r="G763" s="2">
        <v>100</v>
      </c>
      <c r="H763" t="str">
        <f>"15-17088"</f>
        <v>15-17088</v>
      </c>
    </row>
    <row r="764" spans="1:8" x14ac:dyDescent="0.25">
      <c r="E764" t="str">
        <f>"201809053302"</f>
        <v>201809053302</v>
      </c>
      <c r="F764" t="str">
        <f>"J-3145"</f>
        <v>J-3145</v>
      </c>
      <c r="G764" s="2">
        <v>250</v>
      </c>
      <c r="H764" t="str">
        <f>"J-3145"</f>
        <v>J-3145</v>
      </c>
    </row>
    <row r="765" spans="1:8" x14ac:dyDescent="0.25">
      <c r="E765" t="str">
        <f>"201809053324"</f>
        <v>201809053324</v>
      </c>
      <c r="F765" t="str">
        <f>"17-18119"</f>
        <v>17-18119</v>
      </c>
      <c r="G765" s="2">
        <v>100</v>
      </c>
      <c r="H765" t="str">
        <f>"17-18119"</f>
        <v>17-18119</v>
      </c>
    </row>
    <row r="766" spans="1:8" x14ac:dyDescent="0.25">
      <c r="E766" t="str">
        <f>"201809053326"</f>
        <v>201809053326</v>
      </c>
      <c r="F766" t="str">
        <f>"18-19190"</f>
        <v>18-19190</v>
      </c>
      <c r="G766" s="2">
        <v>100</v>
      </c>
      <c r="H766" t="str">
        <f>"18-19190"</f>
        <v>18-19190</v>
      </c>
    </row>
    <row r="767" spans="1:8" x14ac:dyDescent="0.25">
      <c r="E767" t="str">
        <f>"201809053370"</f>
        <v>201809053370</v>
      </c>
      <c r="F767" t="str">
        <f>"55 829"</f>
        <v>55 829</v>
      </c>
      <c r="G767" s="2">
        <v>250</v>
      </c>
      <c r="H767" t="str">
        <f>"55 829"</f>
        <v>55 829</v>
      </c>
    </row>
    <row r="768" spans="1:8" x14ac:dyDescent="0.25">
      <c r="E768" t="str">
        <f>"201809053396"</f>
        <v>201809053396</v>
      </c>
      <c r="F768" t="str">
        <f>"55 911  AC-2017-1223A-POCS 304"</f>
        <v>55 911  AC-2017-1223A-POCS 304</v>
      </c>
      <c r="G768" s="2">
        <v>500</v>
      </c>
      <c r="H768" t="str">
        <f>"55 911  AC-2017-1223A-POCS 304"</f>
        <v>55 911  AC-2017-1223A-POCS 304</v>
      </c>
    </row>
    <row r="769" spans="1:9" x14ac:dyDescent="0.25">
      <c r="A769" t="s">
        <v>227</v>
      </c>
      <c r="B769">
        <v>999999</v>
      </c>
      <c r="C769" s="3">
        <v>450</v>
      </c>
      <c r="D769" s="1">
        <v>43368</v>
      </c>
      <c r="E769" t="str">
        <f>"201809123709"</f>
        <v>201809123709</v>
      </c>
      <c r="F769" t="str">
        <f>"18-19156"</f>
        <v>18-19156</v>
      </c>
      <c r="G769" s="2">
        <v>100</v>
      </c>
      <c r="H769" t="str">
        <f>"18-19156"</f>
        <v>18-19156</v>
      </c>
    </row>
    <row r="770" spans="1:9" x14ac:dyDescent="0.25">
      <c r="E770" t="str">
        <f>"201809123710"</f>
        <v>201809123710</v>
      </c>
      <c r="F770" t="str">
        <f>"18-18941"</f>
        <v>18-18941</v>
      </c>
      <c r="G770" s="2">
        <v>100</v>
      </c>
      <c r="H770" t="str">
        <f>"18-18941"</f>
        <v>18-18941</v>
      </c>
    </row>
    <row r="771" spans="1:9" x14ac:dyDescent="0.25">
      <c r="E771" t="str">
        <f>"201809123727"</f>
        <v>201809123727</v>
      </c>
      <c r="F771" t="str">
        <f>"02.0413.1  9293489731 A001"</f>
        <v>02.0413.1  9293489731 A001</v>
      </c>
      <c r="G771" s="2">
        <v>250</v>
      </c>
      <c r="H771" t="str">
        <f>"02.0413.1  9293489731 A001"</f>
        <v>02.0413.1  9293489731 A001</v>
      </c>
    </row>
    <row r="772" spans="1:9" x14ac:dyDescent="0.25">
      <c r="A772" t="s">
        <v>228</v>
      </c>
      <c r="B772">
        <v>78557</v>
      </c>
      <c r="C772" s="3">
        <v>100</v>
      </c>
      <c r="D772" s="1">
        <v>43353</v>
      </c>
      <c r="E772" t="s">
        <v>184</v>
      </c>
      <c r="F772" t="s">
        <v>229</v>
      </c>
      <c r="G772" s="2" t="str">
        <f>"RESTITUTION-M. ALMS"</f>
        <v>RESTITUTION-M. ALMS</v>
      </c>
      <c r="H772" t="str">
        <f>"210-0000"</f>
        <v>210-0000</v>
      </c>
      <c r="I772" t="str">
        <f>""</f>
        <v/>
      </c>
    </row>
    <row r="773" spans="1:9" x14ac:dyDescent="0.25">
      <c r="E773" t="s">
        <v>184</v>
      </c>
      <c r="F773" t="s">
        <v>230</v>
      </c>
      <c r="G773" s="2" t="str">
        <f>"RESTITUTION-M. ALMS"</f>
        <v>RESTITUTION-M. ALMS</v>
      </c>
      <c r="H773" t="str">
        <f>"210-0000"</f>
        <v>210-0000</v>
      </c>
      <c r="I773" t="str">
        <f>""</f>
        <v/>
      </c>
    </row>
    <row r="774" spans="1:9" x14ac:dyDescent="0.25">
      <c r="A774" t="s">
        <v>231</v>
      </c>
      <c r="B774">
        <v>78558</v>
      </c>
      <c r="C774" s="3">
        <v>637.5</v>
      </c>
      <c r="D774" s="1">
        <v>43353</v>
      </c>
      <c r="E774" t="str">
        <f>"1073"</f>
        <v>1073</v>
      </c>
      <c r="F774" t="str">
        <f>"INV 1073 / UNIT 5564"</f>
        <v>INV 1073 / UNIT 5564</v>
      </c>
      <c r="G774" s="2">
        <v>637.5</v>
      </c>
      <c r="H774" t="str">
        <f>"INV 1073 / UNIT 5564"</f>
        <v>INV 1073 / UNIT 5564</v>
      </c>
    </row>
    <row r="775" spans="1:9" x14ac:dyDescent="0.25">
      <c r="A775" t="s">
        <v>232</v>
      </c>
      <c r="B775">
        <v>78559</v>
      </c>
      <c r="C775" s="3">
        <v>1977.82</v>
      </c>
      <c r="D775" s="1">
        <v>43353</v>
      </c>
      <c r="E775" t="str">
        <f>"W97636"</f>
        <v>W97636</v>
      </c>
      <c r="F775" t="str">
        <f>"ACCT#8850283308/PCT#4"</f>
        <v>ACCT#8850283308/PCT#4</v>
      </c>
      <c r="G775" s="2">
        <v>1977.82</v>
      </c>
      <c r="H775" t="str">
        <f>"ACCT#8850283308/PCT#4"</f>
        <v>ACCT#8850283308/PCT#4</v>
      </c>
    </row>
    <row r="776" spans="1:9" x14ac:dyDescent="0.25">
      <c r="A776" t="s">
        <v>233</v>
      </c>
      <c r="B776">
        <v>999999</v>
      </c>
      <c r="C776" s="3">
        <v>4000</v>
      </c>
      <c r="D776" s="1">
        <v>43354</v>
      </c>
      <c r="E776" t="str">
        <f>"201808303128"</f>
        <v>201808303128</v>
      </c>
      <c r="F776" t="str">
        <f>"15995"</f>
        <v>15995</v>
      </c>
      <c r="G776" s="2">
        <v>400</v>
      </c>
      <c r="H776" t="str">
        <f>"15995"</f>
        <v>15995</v>
      </c>
    </row>
    <row r="777" spans="1:9" x14ac:dyDescent="0.25">
      <c r="E777" t="str">
        <f>"201808303161"</f>
        <v>201808303161</v>
      </c>
      <c r="F777" t="str">
        <f>"16580"</f>
        <v>16580</v>
      </c>
      <c r="G777" s="2">
        <v>400</v>
      </c>
      <c r="H777" t="str">
        <f>"16580"</f>
        <v>16580</v>
      </c>
    </row>
    <row r="778" spans="1:9" x14ac:dyDescent="0.25">
      <c r="E778" t="str">
        <f>"201808303162"</f>
        <v>201808303162</v>
      </c>
      <c r="F778" t="str">
        <f>"423-2898"</f>
        <v>423-2898</v>
      </c>
      <c r="G778" s="2">
        <v>175</v>
      </c>
      <c r="H778" t="str">
        <f>"423-2898"</f>
        <v>423-2898</v>
      </c>
    </row>
    <row r="779" spans="1:9" x14ac:dyDescent="0.25">
      <c r="E779" t="str">
        <f>"201808303163"</f>
        <v>201808303163</v>
      </c>
      <c r="F779" t="str">
        <f>"15-17088"</f>
        <v>15-17088</v>
      </c>
      <c r="G779" s="2">
        <v>100</v>
      </c>
      <c r="H779" t="str">
        <f>"15-17088"</f>
        <v>15-17088</v>
      </c>
    </row>
    <row r="780" spans="1:9" x14ac:dyDescent="0.25">
      <c r="E780" t="str">
        <f>"201808303164"</f>
        <v>201808303164</v>
      </c>
      <c r="F780" t="str">
        <f>"16625"</f>
        <v>16625</v>
      </c>
      <c r="G780" s="2">
        <v>400</v>
      </c>
      <c r="H780" t="str">
        <f>"16625"</f>
        <v>16625</v>
      </c>
    </row>
    <row r="781" spans="1:9" x14ac:dyDescent="0.25">
      <c r="E781" t="str">
        <f>"201808313177"</f>
        <v>201808313177</v>
      </c>
      <c r="F781" t="str">
        <f>"15659"</f>
        <v>15659</v>
      </c>
      <c r="G781" s="2">
        <v>400</v>
      </c>
      <c r="H781" t="str">
        <f>"15659"</f>
        <v>15659</v>
      </c>
    </row>
    <row r="782" spans="1:9" x14ac:dyDescent="0.25">
      <c r="E782" t="str">
        <f>"201809053382"</f>
        <v>201809053382</v>
      </c>
      <c r="F782" t="str">
        <f>"55698  CH-20170714A"</f>
        <v>55698  CH-20170714A</v>
      </c>
      <c r="G782" s="2">
        <v>375</v>
      </c>
      <c r="H782" t="str">
        <f>"55698  CH-20170714A"</f>
        <v>55698  CH-20170714A</v>
      </c>
    </row>
    <row r="783" spans="1:9" x14ac:dyDescent="0.25">
      <c r="E783" t="str">
        <f>"201809053385"</f>
        <v>201809053385</v>
      </c>
      <c r="F783" t="str">
        <f>"56209"</f>
        <v>56209</v>
      </c>
      <c r="G783" s="2">
        <v>250</v>
      </c>
      <c r="H783" t="str">
        <f>"56209"</f>
        <v>56209</v>
      </c>
    </row>
    <row r="784" spans="1:9" x14ac:dyDescent="0.25">
      <c r="E784" t="str">
        <f>"201809053386"</f>
        <v>201809053386</v>
      </c>
      <c r="F784" t="str">
        <f>"4050986  08/21"</f>
        <v>4050986  08/21</v>
      </c>
      <c r="G784" s="2">
        <v>250</v>
      </c>
      <c r="H784" t="str">
        <f>"4050986  08/21"</f>
        <v>4050986  08/21</v>
      </c>
    </row>
    <row r="785" spans="1:9" x14ac:dyDescent="0.25">
      <c r="E785" t="str">
        <f>"201809053387"</f>
        <v>201809053387</v>
      </c>
      <c r="F785" t="str">
        <f>"55930"</f>
        <v>55930</v>
      </c>
      <c r="G785" s="2">
        <v>250</v>
      </c>
      <c r="H785" t="str">
        <f>"55930"</f>
        <v>55930</v>
      </c>
    </row>
    <row r="786" spans="1:9" x14ac:dyDescent="0.25">
      <c r="E786" t="str">
        <f>"201809053388"</f>
        <v>201809053388</v>
      </c>
      <c r="F786" t="str">
        <f>"56356"</f>
        <v>56356</v>
      </c>
      <c r="G786" s="2">
        <v>250</v>
      </c>
      <c r="H786" t="str">
        <f>"56356"</f>
        <v>56356</v>
      </c>
    </row>
    <row r="787" spans="1:9" x14ac:dyDescent="0.25">
      <c r="E787" t="str">
        <f>"201809053389"</f>
        <v>201809053389</v>
      </c>
      <c r="F787" t="str">
        <f>"56265"</f>
        <v>56265</v>
      </c>
      <c r="G787" s="2">
        <v>250</v>
      </c>
      <c r="H787" t="str">
        <f>"56265"</f>
        <v>56265</v>
      </c>
    </row>
    <row r="788" spans="1:9" x14ac:dyDescent="0.25">
      <c r="E788" t="str">
        <f>"201809053390"</f>
        <v>201809053390</v>
      </c>
      <c r="F788" t="str">
        <f>"55757"</f>
        <v>55757</v>
      </c>
      <c r="G788" s="2">
        <v>250</v>
      </c>
      <c r="H788" t="str">
        <f>"55757"</f>
        <v>55757</v>
      </c>
    </row>
    <row r="789" spans="1:9" x14ac:dyDescent="0.25">
      <c r="E789" t="str">
        <f>"201809053391"</f>
        <v>201809053391</v>
      </c>
      <c r="F789" t="str">
        <f>"54706"</f>
        <v>54706</v>
      </c>
      <c r="G789" s="2">
        <v>250</v>
      </c>
      <c r="H789" t="str">
        <f>"54706"</f>
        <v>54706</v>
      </c>
    </row>
    <row r="790" spans="1:9" x14ac:dyDescent="0.25">
      <c r="A790" t="s">
        <v>233</v>
      </c>
      <c r="B790">
        <v>999999</v>
      </c>
      <c r="C790" s="3">
        <v>3050</v>
      </c>
      <c r="D790" s="1">
        <v>43368</v>
      </c>
      <c r="E790" t="str">
        <f>"201809113647"</f>
        <v>201809113647</v>
      </c>
      <c r="F790" t="str">
        <f>"C18-0060"</f>
        <v>C18-0060</v>
      </c>
      <c r="G790" s="2">
        <v>400</v>
      </c>
      <c r="H790" t="str">
        <f>"C18-0060"</f>
        <v>C18-0060</v>
      </c>
    </row>
    <row r="791" spans="1:9" x14ac:dyDescent="0.25">
      <c r="E791" t="str">
        <f>"201809113648"</f>
        <v>201809113648</v>
      </c>
      <c r="F791" t="str">
        <f>"16478"</f>
        <v>16478</v>
      </c>
      <c r="G791" s="2">
        <v>400</v>
      </c>
      <c r="H791" t="str">
        <f>"16478"</f>
        <v>16478</v>
      </c>
    </row>
    <row r="792" spans="1:9" x14ac:dyDescent="0.25">
      <c r="E792" t="str">
        <f>"201809113649"</f>
        <v>201809113649</v>
      </c>
      <c r="F792" t="str">
        <f>"15714"</f>
        <v>15714</v>
      </c>
      <c r="G792" s="2">
        <v>400</v>
      </c>
      <c r="H792" t="str">
        <f>"15714"</f>
        <v>15714</v>
      </c>
    </row>
    <row r="793" spans="1:9" x14ac:dyDescent="0.25">
      <c r="E793" t="str">
        <f>"201809133766"</f>
        <v>201809133766</v>
      </c>
      <c r="F793" t="str">
        <f>"16406"</f>
        <v>16406</v>
      </c>
      <c r="G793" s="2">
        <v>400</v>
      </c>
      <c r="H793" t="str">
        <f>"16406"</f>
        <v>16406</v>
      </c>
    </row>
    <row r="794" spans="1:9" x14ac:dyDescent="0.25">
      <c r="E794" t="str">
        <f>"201809133767"</f>
        <v>201809133767</v>
      </c>
      <c r="F794" t="str">
        <f>"16489 20170434A 20170558"</f>
        <v>16489 20170434A 20170558</v>
      </c>
      <c r="G794" s="2">
        <v>800</v>
      </c>
      <c r="H794" t="str">
        <f>"16489 20170434A 20170558"</f>
        <v>16489 20170434A 20170558</v>
      </c>
    </row>
    <row r="795" spans="1:9" x14ac:dyDescent="0.25">
      <c r="E795" t="str">
        <f>"201809133768"</f>
        <v>201809133768</v>
      </c>
      <c r="F795" t="str">
        <f>"20180255A"</f>
        <v>20180255A</v>
      </c>
      <c r="G795" s="2">
        <v>400</v>
      </c>
      <c r="H795" t="str">
        <f>"20180255A"</f>
        <v>20180255A</v>
      </c>
    </row>
    <row r="796" spans="1:9" x14ac:dyDescent="0.25">
      <c r="E796" t="str">
        <f>"201809183789"</f>
        <v>201809183789</v>
      </c>
      <c r="F796" t="str">
        <f>"20170434"</f>
        <v>20170434</v>
      </c>
      <c r="G796" s="2">
        <v>250</v>
      </c>
      <c r="H796" t="str">
        <f>"20170434"</f>
        <v>20170434</v>
      </c>
    </row>
    <row r="797" spans="1:9" x14ac:dyDescent="0.25">
      <c r="A797" t="s">
        <v>234</v>
      </c>
      <c r="B797">
        <v>78560</v>
      </c>
      <c r="C797" s="3">
        <v>710.16</v>
      </c>
      <c r="D797" s="1">
        <v>43353</v>
      </c>
      <c r="E797" t="str">
        <f>"1314"</f>
        <v>1314</v>
      </c>
      <c r="F797" t="str">
        <f>"HAND SOAP/PCT#4"</f>
        <v>HAND SOAP/PCT#4</v>
      </c>
      <c r="G797" s="2">
        <v>281.18</v>
      </c>
      <c r="H797" t="str">
        <f>"HAND SOAP/PCT#4"</f>
        <v>HAND SOAP/PCT#4</v>
      </c>
    </row>
    <row r="798" spans="1:9" x14ac:dyDescent="0.25">
      <c r="E798" t="str">
        <f>"1492"</f>
        <v>1492</v>
      </c>
      <c r="F798" t="str">
        <f>"ORANGE BLAST/PCT#4"</f>
        <v>ORANGE BLAST/PCT#4</v>
      </c>
      <c r="G798" s="2">
        <v>428.98</v>
      </c>
      <c r="H798" t="str">
        <f>"ORANGE BLAST/PCT#4"</f>
        <v>ORANGE BLAST/PCT#4</v>
      </c>
    </row>
    <row r="799" spans="1:9" x14ac:dyDescent="0.25">
      <c r="A799" t="s">
        <v>235</v>
      </c>
      <c r="B799">
        <v>78561</v>
      </c>
      <c r="C799" s="3">
        <v>25</v>
      </c>
      <c r="D799" s="1">
        <v>43353</v>
      </c>
      <c r="E799" t="s">
        <v>236</v>
      </c>
      <c r="F799" t="s">
        <v>237</v>
      </c>
      <c r="G799" s="2" t="str">
        <f>"RESTITUTION-J. HOFFMAN"</f>
        <v>RESTITUTION-J. HOFFMAN</v>
      </c>
      <c r="H799" t="str">
        <f>"210-0000"</f>
        <v>210-0000</v>
      </c>
      <c r="I799" t="str">
        <f>""</f>
        <v/>
      </c>
    </row>
    <row r="800" spans="1:9" x14ac:dyDescent="0.25">
      <c r="A800" t="s">
        <v>238</v>
      </c>
      <c r="B800">
        <v>78562</v>
      </c>
      <c r="C800" s="3">
        <v>50</v>
      </c>
      <c r="D800" s="1">
        <v>43353</v>
      </c>
      <c r="E800" t="s">
        <v>205</v>
      </c>
      <c r="F800" t="s">
        <v>239</v>
      </c>
      <c r="G800" s="2" t="str">
        <f>"RESTITUTION-D. SPURK"</f>
        <v>RESTITUTION-D. SPURK</v>
      </c>
      <c r="H800" t="str">
        <f>"210-0000"</f>
        <v>210-0000</v>
      </c>
      <c r="I800" t="str">
        <f>""</f>
        <v/>
      </c>
    </row>
    <row r="801" spans="1:9" x14ac:dyDescent="0.25">
      <c r="E801" t="s">
        <v>205</v>
      </c>
      <c r="F801" t="s">
        <v>240</v>
      </c>
      <c r="G801" s="2" t="str">
        <f>"RESTITUTION-D. SPURK"</f>
        <v>RESTITUTION-D. SPURK</v>
      </c>
      <c r="H801" t="str">
        <f>"210-0000"</f>
        <v>210-0000</v>
      </c>
      <c r="I801" t="str">
        <f>""</f>
        <v/>
      </c>
    </row>
    <row r="802" spans="1:9" x14ac:dyDescent="0.25">
      <c r="A802" t="s">
        <v>241</v>
      </c>
      <c r="B802">
        <v>78755</v>
      </c>
      <c r="C802" s="3">
        <v>34593.75</v>
      </c>
      <c r="D802" s="1">
        <v>43367</v>
      </c>
      <c r="E802" t="str">
        <f>"201809113651"</f>
        <v>201809113651</v>
      </c>
      <c r="F802" t="str">
        <f>"15-914"</f>
        <v>15-914</v>
      </c>
      <c r="G802" s="2">
        <v>34593.75</v>
      </c>
      <c r="H802" t="str">
        <f>"15-914"</f>
        <v>15-914</v>
      </c>
    </row>
    <row r="803" spans="1:9" x14ac:dyDescent="0.25">
      <c r="A803" t="s">
        <v>242</v>
      </c>
      <c r="B803">
        <v>78756</v>
      </c>
      <c r="C803" s="3">
        <v>246.56</v>
      </c>
      <c r="D803" s="1">
        <v>43367</v>
      </c>
      <c r="E803" t="str">
        <f>"201809113656"</f>
        <v>201809113656</v>
      </c>
      <c r="F803" t="str">
        <f>"ACCT#1520-BA2437"</f>
        <v>ACCT#1520-BA2437</v>
      </c>
      <c r="G803" s="2">
        <v>246.56</v>
      </c>
      <c r="H803" t="str">
        <f>"ACCT#1520-BA2437"</f>
        <v>ACCT#1520-BA2437</v>
      </c>
    </row>
    <row r="804" spans="1:9" x14ac:dyDescent="0.25">
      <c r="A804" t="s">
        <v>243</v>
      </c>
      <c r="B804">
        <v>78563</v>
      </c>
      <c r="C804" s="3">
        <v>50</v>
      </c>
      <c r="D804" s="1">
        <v>43353</v>
      </c>
      <c r="E804" t="s">
        <v>244</v>
      </c>
      <c r="F804" t="s">
        <v>245</v>
      </c>
      <c r="G804" s="2" t="str">
        <f>"RESTITUTION-C.FERRIS"</f>
        <v>RESTITUTION-C.FERRIS</v>
      </c>
    </row>
    <row r="805" spans="1:9" x14ac:dyDescent="0.25">
      <c r="E805" t="s">
        <v>244</v>
      </c>
      <c r="F805" t="s">
        <v>246</v>
      </c>
      <c r="G805" s="2" t="str">
        <f>"RESTITUTION-C. FERRIS"</f>
        <v>RESTITUTION-C. FERRIS</v>
      </c>
    </row>
    <row r="806" spans="1:9" x14ac:dyDescent="0.25">
      <c r="A806" t="s">
        <v>247</v>
      </c>
      <c r="B806">
        <v>999999</v>
      </c>
      <c r="C806" s="3">
        <v>2617</v>
      </c>
      <c r="D806" s="1">
        <v>43354</v>
      </c>
      <c r="E806" t="str">
        <f>"103  08/27/18"</f>
        <v>103  08/27/18</v>
      </c>
      <c r="F806" t="str">
        <f>"SEPTEMBER TOWER RENT"</f>
        <v>SEPTEMBER TOWER RENT</v>
      </c>
      <c r="G806" s="2">
        <v>2617</v>
      </c>
      <c r="H806" t="str">
        <f>"SEPTEMBER TOWER RENT"</f>
        <v>SEPTEMBER TOWER RENT</v>
      </c>
    </row>
    <row r="807" spans="1:9" x14ac:dyDescent="0.25">
      <c r="A807" t="s">
        <v>248</v>
      </c>
      <c r="B807">
        <v>78564</v>
      </c>
      <c r="C807" s="3">
        <v>135.52000000000001</v>
      </c>
      <c r="D807" s="1">
        <v>43353</v>
      </c>
      <c r="E807" t="str">
        <f>"252213"</f>
        <v>252213</v>
      </c>
      <c r="F807" t="str">
        <f>"ACCT#BASCO1/PCT#1"</f>
        <v>ACCT#BASCO1/PCT#1</v>
      </c>
      <c r="G807" s="2">
        <v>135.52000000000001</v>
      </c>
      <c r="H807" t="str">
        <f>"ACCT#BASCO1/PCT#1"</f>
        <v>ACCT#BASCO1/PCT#1</v>
      </c>
    </row>
    <row r="808" spans="1:9" x14ac:dyDescent="0.25">
      <c r="A808" t="s">
        <v>248</v>
      </c>
      <c r="B808">
        <v>78757</v>
      </c>
      <c r="C808" s="3">
        <v>313.60000000000002</v>
      </c>
      <c r="D808" s="1">
        <v>43367</v>
      </c>
      <c r="E808" t="str">
        <f>"252530"</f>
        <v>252530</v>
      </c>
      <c r="F808" t="str">
        <f>"ACCT#BASCO3/PCT#3"</f>
        <v>ACCT#BASCO3/PCT#3</v>
      </c>
      <c r="G808" s="2">
        <v>169.12</v>
      </c>
      <c r="H808" t="str">
        <f>"ACCT#BASCO3/PCT#3"</f>
        <v>ACCT#BASCO3/PCT#3</v>
      </c>
    </row>
    <row r="809" spans="1:9" x14ac:dyDescent="0.25">
      <c r="E809" t="str">
        <f>"252544"</f>
        <v>252544</v>
      </c>
      <c r="F809" t="str">
        <f>"ACCT#BASTCO/PCT#2"</f>
        <v>ACCT#BASTCO/PCT#2</v>
      </c>
      <c r="G809" s="2">
        <v>144.47999999999999</v>
      </c>
      <c r="H809" t="str">
        <f>"ACCT#BASTCO/PCT#2"</f>
        <v>ACCT#BASTCO/PCT#2</v>
      </c>
    </row>
    <row r="810" spans="1:9" x14ac:dyDescent="0.25">
      <c r="A810" t="s">
        <v>249</v>
      </c>
      <c r="B810">
        <v>78565</v>
      </c>
      <c r="C810" s="3">
        <v>135</v>
      </c>
      <c r="D810" s="1">
        <v>43353</v>
      </c>
      <c r="E810" t="str">
        <f>"201808303145"</f>
        <v>201808303145</v>
      </c>
      <c r="F810" t="str">
        <f>"TRAVEL ADVANCE-PER DIEM"</f>
        <v>TRAVEL ADVANCE-PER DIEM</v>
      </c>
      <c r="G810" s="2">
        <v>135</v>
      </c>
      <c r="H810" t="str">
        <f>"TRAVEL ADVANCE-PER DIEM"</f>
        <v>TRAVEL ADVANCE-PER DIEM</v>
      </c>
    </row>
    <row r="811" spans="1:9" x14ac:dyDescent="0.25">
      <c r="A811" t="s">
        <v>250</v>
      </c>
      <c r="B811">
        <v>78566</v>
      </c>
      <c r="C811" s="3">
        <v>23.46</v>
      </c>
      <c r="D811" s="1">
        <v>43353</v>
      </c>
      <c r="E811" t="str">
        <f>"X201027820:01"</f>
        <v>X201027820:01</v>
      </c>
      <c r="F811" t="str">
        <f>"ACCT#104992/PCT#1"</f>
        <v>ACCT#104992/PCT#1</v>
      </c>
      <c r="G811" s="2">
        <v>23.46</v>
      </c>
      <c r="H811" t="str">
        <f>"ACCT#104992/PCT#1"</f>
        <v>ACCT#104992/PCT#1</v>
      </c>
    </row>
    <row r="812" spans="1:9" x14ac:dyDescent="0.25">
      <c r="A812" t="s">
        <v>251</v>
      </c>
      <c r="B812">
        <v>78758</v>
      </c>
      <c r="C812" s="3">
        <v>3248.42</v>
      </c>
      <c r="D812" s="1">
        <v>43367</v>
      </c>
      <c r="E812" t="str">
        <f>"201809123694"</f>
        <v>201809123694</v>
      </c>
      <c r="F812" t="str">
        <f>"ACCT#1800/PCT#4"</f>
        <v>ACCT#1800/PCT#4</v>
      </c>
      <c r="G812" s="2">
        <v>406.4</v>
      </c>
      <c r="H812" t="str">
        <f>"ACCT#1800/PCT#4"</f>
        <v>ACCT#1800/PCT#4</v>
      </c>
    </row>
    <row r="813" spans="1:9" x14ac:dyDescent="0.25">
      <c r="E813" t="str">
        <f>"201809123695"</f>
        <v>201809123695</v>
      </c>
      <c r="F813" t="str">
        <f>"ACCT#1750/PCT#3"</f>
        <v>ACCT#1750/PCT#3</v>
      </c>
      <c r="G813" s="2">
        <v>1894.14</v>
      </c>
      <c r="H813" t="str">
        <f>"ACCT#1750/PCT#3"</f>
        <v>ACCT#1750/PCT#3</v>
      </c>
    </row>
    <row r="814" spans="1:9" x14ac:dyDescent="0.25">
      <c r="E814" t="str">
        <f>"201809123696"</f>
        <v>201809123696</v>
      </c>
      <c r="F814" t="str">
        <f>"ACCT#1162/GEN SVCS"</f>
        <v>ACCT#1162/GEN SVCS</v>
      </c>
      <c r="G814" s="2">
        <v>10.99</v>
      </c>
      <c r="H814" t="str">
        <f>"ACCT#1162/GEN SVCS"</f>
        <v>ACCT#1162/GEN SVCS</v>
      </c>
    </row>
    <row r="815" spans="1:9" x14ac:dyDescent="0.25">
      <c r="E815" t="str">
        <f>"201809123703"</f>
        <v>201809123703</v>
      </c>
      <c r="F815" t="str">
        <f>"CUST#1650/PCT#1"</f>
        <v>CUST#1650/PCT#1</v>
      </c>
      <c r="G815" s="2">
        <v>380.43</v>
      </c>
      <c r="H815" t="str">
        <f>"CUST#1650/PCT#1"</f>
        <v>CUST#1650/PCT#1</v>
      </c>
    </row>
    <row r="816" spans="1:9" x14ac:dyDescent="0.25">
      <c r="E816" t="str">
        <f>""</f>
        <v/>
      </c>
      <c r="F816" t="str">
        <f>""</f>
        <v/>
      </c>
      <c r="H816" t="str">
        <f>"CUST#1650/PCT#1"</f>
        <v>CUST#1650/PCT#1</v>
      </c>
    </row>
    <row r="817" spans="1:8" x14ac:dyDescent="0.25">
      <c r="E817" t="str">
        <f>""</f>
        <v/>
      </c>
      <c r="F817" t="str">
        <f>""</f>
        <v/>
      </c>
      <c r="H817" t="str">
        <f>"CUST#1650/PCT#1"</f>
        <v>CUST#1650/PCT#1</v>
      </c>
    </row>
    <row r="818" spans="1:8" x14ac:dyDescent="0.25">
      <c r="E818" t="str">
        <f>""</f>
        <v/>
      </c>
      <c r="F818" t="str">
        <f>""</f>
        <v/>
      </c>
      <c r="H818" t="str">
        <f>"CUST#1650/PCT#1"</f>
        <v>CUST#1650/PCT#1</v>
      </c>
    </row>
    <row r="819" spans="1:8" x14ac:dyDescent="0.25">
      <c r="E819" t="str">
        <f>"201809123704"</f>
        <v>201809123704</v>
      </c>
      <c r="F819" t="str">
        <f>"CUST#1650/PCT#1"</f>
        <v>CUST#1650/PCT#1</v>
      </c>
      <c r="G819" s="2">
        <v>556.46</v>
      </c>
      <c r="H819" t="str">
        <f>"CUST#1650/PCT#1"</f>
        <v>CUST#1650/PCT#1</v>
      </c>
    </row>
    <row r="820" spans="1:8" x14ac:dyDescent="0.25">
      <c r="A820" t="s">
        <v>252</v>
      </c>
      <c r="B820">
        <v>78567</v>
      </c>
      <c r="C820" s="3">
        <v>4580.1099999999997</v>
      </c>
      <c r="D820" s="1">
        <v>43353</v>
      </c>
      <c r="E820" t="str">
        <f>"08152429 08221339"</f>
        <v>08152429 08221339</v>
      </c>
      <c r="F820" t="str">
        <f>"INV 08152429/08221339/0.."</f>
        <v>INV 08152429/08221339/0..</v>
      </c>
      <c r="G820" s="2">
        <v>4580.1099999999997</v>
      </c>
      <c r="H820" t="str">
        <f>"INV 08152429"</f>
        <v>INV 08152429</v>
      </c>
    </row>
    <row r="821" spans="1:8" x14ac:dyDescent="0.25">
      <c r="E821" t="str">
        <f>""</f>
        <v/>
      </c>
      <c r="F821" t="str">
        <f>""</f>
        <v/>
      </c>
      <c r="H821" t="str">
        <f>"INV 08221339"</f>
        <v>INV 08221339</v>
      </c>
    </row>
    <row r="822" spans="1:8" x14ac:dyDescent="0.25">
      <c r="E822" t="str">
        <f>""</f>
        <v/>
      </c>
      <c r="F822" t="str">
        <f>""</f>
        <v/>
      </c>
      <c r="H822" t="str">
        <f>"INV 08292008"</f>
        <v>INV 08292008</v>
      </c>
    </row>
    <row r="823" spans="1:8" x14ac:dyDescent="0.25">
      <c r="A823" t="s">
        <v>252</v>
      </c>
      <c r="B823">
        <v>78759</v>
      </c>
      <c r="C823" s="3">
        <v>3636.52</v>
      </c>
      <c r="D823" s="1">
        <v>43367</v>
      </c>
      <c r="E823" t="str">
        <f>"08012139 09050866+"</f>
        <v>08012139 09050866+</v>
      </c>
      <c r="F823" t="str">
        <f>"INV 08012139"</f>
        <v>INV 08012139</v>
      </c>
      <c r="G823" s="2">
        <v>3636.52</v>
      </c>
      <c r="H823" t="str">
        <f>"INV 08012139"</f>
        <v>INV 08012139</v>
      </c>
    </row>
    <row r="824" spans="1:8" x14ac:dyDescent="0.25">
      <c r="E824" t="str">
        <f>""</f>
        <v/>
      </c>
      <c r="F824" t="str">
        <f>""</f>
        <v/>
      </c>
      <c r="H824" t="str">
        <f>"INV 09050866"</f>
        <v>INV 09050866</v>
      </c>
    </row>
    <row r="825" spans="1:8" x14ac:dyDescent="0.25">
      <c r="E825" t="str">
        <f>""</f>
        <v/>
      </c>
      <c r="F825" t="str">
        <f>""</f>
        <v/>
      </c>
      <c r="H825" t="str">
        <f>"INV 09121125"</f>
        <v>INV 09121125</v>
      </c>
    </row>
    <row r="826" spans="1:8" x14ac:dyDescent="0.25">
      <c r="A826" t="s">
        <v>253</v>
      </c>
      <c r="B826">
        <v>78760</v>
      </c>
      <c r="C826" s="3">
        <v>175.6</v>
      </c>
      <c r="D826" s="1">
        <v>43367</v>
      </c>
      <c r="E826" t="str">
        <f>"201809133773"</f>
        <v>201809133773</v>
      </c>
      <c r="F826" t="str">
        <f>"MILEAGE REIMBURSEMENT"</f>
        <v>MILEAGE REIMBURSEMENT</v>
      </c>
      <c r="G826" s="2">
        <v>175.6</v>
      </c>
      <c r="H826" t="str">
        <f>"MILEAGE REIMBURSEMENT"</f>
        <v>MILEAGE REIMBURSEMENT</v>
      </c>
    </row>
    <row r="827" spans="1:8" x14ac:dyDescent="0.25">
      <c r="A827" t="s">
        <v>254</v>
      </c>
      <c r="B827">
        <v>78761</v>
      </c>
      <c r="C827" s="3">
        <v>214</v>
      </c>
      <c r="D827" s="1">
        <v>43367</v>
      </c>
      <c r="E827" t="str">
        <f>"201809133739"</f>
        <v>201809133739</v>
      </c>
      <c r="F827" t="str">
        <f>"44857 44988 45076 45392 45412"</f>
        <v>44857 44988 45076 45392 45412</v>
      </c>
      <c r="G827" s="2">
        <v>214</v>
      </c>
      <c r="H827" t="str">
        <f>"44857 44988 45076 45392 45412"</f>
        <v>44857 44988 45076 45392 45412</v>
      </c>
    </row>
    <row r="828" spans="1:8" x14ac:dyDescent="0.25">
      <c r="A828" t="s">
        <v>255</v>
      </c>
      <c r="B828">
        <v>78486</v>
      </c>
      <c r="C828" s="3">
        <v>50.25</v>
      </c>
      <c r="D828" s="1">
        <v>43350</v>
      </c>
      <c r="E828" t="str">
        <f>"201809073561"</f>
        <v>201809073561</v>
      </c>
      <c r="F828" t="str">
        <f>"ACCT#1-09-00072-02 1 /08242018"</f>
        <v>ACCT#1-09-00072-02 1 /08242018</v>
      </c>
      <c r="G828" s="2">
        <v>50.25</v>
      </c>
      <c r="H828" t="str">
        <f>"ACCT#1-09-00072-02 1 /08242018"</f>
        <v>ACCT#1-09-00072-02 1 /08242018</v>
      </c>
    </row>
    <row r="829" spans="1:8" x14ac:dyDescent="0.25">
      <c r="A829" t="s">
        <v>256</v>
      </c>
      <c r="B829">
        <v>78568</v>
      </c>
      <c r="C829" s="3">
        <v>62.04</v>
      </c>
      <c r="D829" s="1">
        <v>43353</v>
      </c>
      <c r="E829" t="str">
        <f>"0555091623"</f>
        <v>0555091623</v>
      </c>
      <c r="F829" t="str">
        <f>"INV 0555091623"</f>
        <v>INV 0555091623</v>
      </c>
      <c r="G829" s="2">
        <v>62.04</v>
      </c>
      <c r="H829" t="str">
        <f>"INV 0555091623"</f>
        <v>INV 0555091623</v>
      </c>
    </row>
    <row r="830" spans="1:8" x14ac:dyDescent="0.25">
      <c r="A830" t="s">
        <v>257</v>
      </c>
      <c r="B830">
        <v>78762</v>
      </c>
      <c r="C830" s="3">
        <v>939.6</v>
      </c>
      <c r="D830" s="1">
        <v>43367</v>
      </c>
      <c r="E830" t="str">
        <f>"1211621-20180831"</f>
        <v>1211621-20180831</v>
      </c>
      <c r="F830" t="str">
        <f>"BILLING ID:1211621/HEALTH SVCS"</f>
        <v>BILLING ID:1211621/HEALTH SVCS</v>
      </c>
      <c r="G830" s="2">
        <v>255.25</v>
      </c>
      <c r="H830" t="str">
        <f>"BILLING ID:1211621/HEALTH SVCS"</f>
        <v>BILLING ID:1211621/HEALTH SVCS</v>
      </c>
    </row>
    <row r="831" spans="1:8" x14ac:dyDescent="0.25">
      <c r="E831" t="str">
        <f>"1361725-20180831"</f>
        <v>1361725-20180831</v>
      </c>
      <c r="F831" t="str">
        <f>"BILLING ID:1361725/INDIGENT HL"</f>
        <v>BILLING ID:1361725/INDIGENT HL</v>
      </c>
      <c r="G831" s="2">
        <v>128.05000000000001</v>
      </c>
      <c r="H831" t="str">
        <f>"BILLING ID:1361725/INDIGENT HL"</f>
        <v>BILLING ID:1361725/INDIGENT HL</v>
      </c>
    </row>
    <row r="832" spans="1:8" x14ac:dyDescent="0.25">
      <c r="E832" t="str">
        <f>"1394645-20180831"</f>
        <v>1394645-20180831</v>
      </c>
      <c r="F832" t="str">
        <f>"BILLING ID:1394645/COUNTY CLRK"</f>
        <v>BILLING ID:1394645/COUNTY CLRK</v>
      </c>
      <c r="G832" s="2">
        <v>200</v>
      </c>
      <c r="H832" t="str">
        <f>"BILLING ID:1394645/COUNTY CLRK"</f>
        <v>BILLING ID:1394645/COUNTY CLRK</v>
      </c>
    </row>
    <row r="833" spans="1:8" x14ac:dyDescent="0.25">
      <c r="E833" t="str">
        <f>"1420944-20180831"</f>
        <v>1420944-20180831</v>
      </c>
      <c r="F833" t="str">
        <f>"BILLING ID:1420944/SHERIFF"</f>
        <v>BILLING ID:1420944/SHERIFF</v>
      </c>
      <c r="G833" s="2">
        <v>306.3</v>
      </c>
      <c r="H833" t="str">
        <f>"BILLING ID:1420944/SHERIFF"</f>
        <v>BILLING ID:1420944/SHERIFF</v>
      </c>
    </row>
    <row r="834" spans="1:8" x14ac:dyDescent="0.25">
      <c r="E834" t="str">
        <f>"1489870-20180831"</f>
        <v>1489870-20180831</v>
      </c>
      <c r="F834" t="str">
        <f>"BILLING ID:1489870/DIST CLERK"</f>
        <v>BILLING ID:1489870/DIST CLERK</v>
      </c>
      <c r="G834" s="2">
        <v>50</v>
      </c>
      <c r="H834" t="str">
        <f>"BILLING ID:1489870/DIST CLERK"</f>
        <v>BILLING ID:1489870/DIST CLERK</v>
      </c>
    </row>
    <row r="835" spans="1:8" x14ac:dyDescent="0.25">
      <c r="A835" t="s">
        <v>258</v>
      </c>
      <c r="B835">
        <v>78763</v>
      </c>
      <c r="C835" s="3">
        <v>687.6</v>
      </c>
      <c r="D835" s="1">
        <v>43367</v>
      </c>
      <c r="E835" t="str">
        <f>"1429371"</f>
        <v>1429371</v>
      </c>
      <c r="F835" t="str">
        <f>"ACCT#15717/WO#0004732832"</f>
        <v>ACCT#15717/WO#0004732832</v>
      </c>
      <c r="G835" s="2">
        <v>216.8</v>
      </c>
      <c r="H835" t="str">
        <f>"ACCT#15717/WO#0004732832"</f>
        <v>ACCT#15717/WO#0004732832</v>
      </c>
    </row>
    <row r="836" spans="1:8" x14ac:dyDescent="0.25">
      <c r="E836" t="str">
        <f>"1434384"</f>
        <v>1434384</v>
      </c>
      <c r="F836" t="str">
        <f>"ACCT#15717/708 BULL RUN"</f>
        <v>ACCT#15717/708 BULL RUN</v>
      </c>
      <c r="G836" s="2">
        <v>470.8</v>
      </c>
      <c r="H836" t="str">
        <f>"ACCT#15717/708 BULL RUN"</f>
        <v>ACCT#15717/708 BULL RUN</v>
      </c>
    </row>
    <row r="837" spans="1:8" x14ac:dyDescent="0.25">
      <c r="A837" t="s">
        <v>259</v>
      </c>
      <c r="B837">
        <v>999999</v>
      </c>
      <c r="C837" s="3">
        <v>24.25</v>
      </c>
      <c r="D837" s="1">
        <v>43354</v>
      </c>
      <c r="E837" t="str">
        <f>"201809043208"</f>
        <v>201809043208</v>
      </c>
      <c r="F837" t="str">
        <f>"REGISTRATION-2004 UT"</f>
        <v>REGISTRATION-2004 UT</v>
      </c>
      <c r="G837" s="2">
        <v>7.5</v>
      </c>
      <c r="H837" t="str">
        <f>"REGISTRATION-2004 UT"</f>
        <v>REGISTRATION-2004 UT</v>
      </c>
    </row>
    <row r="838" spans="1:8" x14ac:dyDescent="0.25">
      <c r="E838" t="str">
        <f>"201809053416"</f>
        <v>201809053416</v>
      </c>
      <c r="F838" t="str">
        <f>"2018 FORD TITLE/REG/SHERIFF"</f>
        <v>2018 FORD TITLE/REG/SHERIFF</v>
      </c>
      <c r="G838" s="2">
        <v>16.75</v>
      </c>
      <c r="H838" t="str">
        <f>"2018 FORD TITLE/REG/SHERIFF"</f>
        <v>2018 FORD TITLE/REG/SHERIFF</v>
      </c>
    </row>
    <row r="839" spans="1:8" x14ac:dyDescent="0.25">
      <c r="A839" t="s">
        <v>259</v>
      </c>
      <c r="B839">
        <v>999999</v>
      </c>
      <c r="C839" s="3">
        <v>148.5</v>
      </c>
      <c r="D839" s="1">
        <v>43368</v>
      </c>
      <c r="E839" t="str">
        <f>"201809113690"</f>
        <v>201809113690</v>
      </c>
      <c r="F839" t="str">
        <f>"2001 FORD REGISTRATION/GEN SVC"</f>
        <v>2001 FORD REGISTRATION/GEN SVC</v>
      </c>
      <c r="G839" s="2">
        <v>7.5</v>
      </c>
      <c r="H839" t="str">
        <f>"2001 FORD REGISTRATION/GEN SVC"</f>
        <v>2001 FORD REGISTRATION/GEN SVC</v>
      </c>
    </row>
    <row r="840" spans="1:8" x14ac:dyDescent="0.25">
      <c r="E840" t="str">
        <f>"201809113691"</f>
        <v>201809113691</v>
      </c>
      <c r="F840" t="str">
        <f>"2004 DODGE/2000 CHEVY REGISTRA"</f>
        <v>2004 DODGE/2000 CHEVY REGISTRA</v>
      </c>
      <c r="G840" s="2">
        <v>15</v>
      </c>
      <c r="H840" t="str">
        <f>"2004 DODGE/2000 CHEVY REGISTRA"</f>
        <v>2004 DODGE/2000 CHEVY REGISTRA</v>
      </c>
    </row>
    <row r="841" spans="1:8" x14ac:dyDescent="0.25">
      <c r="E841" t="str">
        <f>"201809133754"</f>
        <v>201809133754</v>
      </c>
      <c r="F841" t="str">
        <f>"REGISTRATIONS/PCT#4"</f>
        <v>REGISTRATIONS/PCT#4</v>
      </c>
      <c r="G841" s="2">
        <v>22.5</v>
      </c>
      <c r="H841" t="str">
        <f>"REGISTRATIONS/PCT#4"</f>
        <v>REGISTRATIONS/PCT#4</v>
      </c>
    </row>
    <row r="842" spans="1:8" x14ac:dyDescent="0.25">
      <c r="E842" t="str">
        <f>"201809183837"</f>
        <v>201809183837</v>
      </c>
      <c r="F842" t="str">
        <f>"VEHICLE REGISTRATIONS-SHERIFF"</f>
        <v>VEHICLE REGISTRATIONS-SHERIFF</v>
      </c>
      <c r="G842" s="2">
        <v>81.5</v>
      </c>
      <c r="H842" t="str">
        <f>"VEHICLE REGISTRATIONS-SHERIFF"</f>
        <v>VEHICLE REGISTRATIONS-SHERIFF</v>
      </c>
    </row>
    <row r="843" spans="1:8" x14ac:dyDescent="0.25">
      <c r="E843" t="str">
        <f>"201809193857"</f>
        <v>201809193857</v>
      </c>
      <c r="F843" t="str">
        <f>"2004 FORD/PLATE#1100124/PCT#4"</f>
        <v>2004 FORD/PLATE#1100124/PCT#4</v>
      </c>
      <c r="G843" s="2">
        <v>22</v>
      </c>
      <c r="H843" t="str">
        <f>"2004 FORD/PLATE#1100124/PCT#4"</f>
        <v>2004 FORD/PLATE#1100124/PCT#4</v>
      </c>
    </row>
    <row r="844" spans="1:8" x14ac:dyDescent="0.25">
      <c r="A844" t="s">
        <v>260</v>
      </c>
      <c r="B844">
        <v>78569</v>
      </c>
      <c r="C844" s="3">
        <v>135</v>
      </c>
      <c r="D844" s="1">
        <v>43353</v>
      </c>
      <c r="E844" t="str">
        <f>"201808303146"</f>
        <v>201808303146</v>
      </c>
      <c r="F844" t="str">
        <f>"TRAVEL ADVANCE-PER DIEM"</f>
        <v>TRAVEL ADVANCE-PER DIEM</v>
      </c>
      <c r="G844" s="2">
        <v>135</v>
      </c>
      <c r="H844" t="str">
        <f>"TRAVEL ADVANCE-PER DIEM"</f>
        <v>TRAVEL ADVANCE-PER DIEM</v>
      </c>
    </row>
    <row r="845" spans="1:8" x14ac:dyDescent="0.25">
      <c r="A845" t="s">
        <v>261</v>
      </c>
      <c r="B845">
        <v>78764</v>
      </c>
      <c r="C845" s="3">
        <v>775</v>
      </c>
      <c r="D845" s="1">
        <v>43367</v>
      </c>
      <c r="E845" t="str">
        <f>"201809183815"</f>
        <v>201809183815</v>
      </c>
      <c r="F845" t="str">
        <f>"07-12259  06/21/18"</f>
        <v>07-12259  06/21/18</v>
      </c>
      <c r="G845" s="2">
        <v>200</v>
      </c>
      <c r="H845" t="str">
        <f>"07-12259  06/21/18"</f>
        <v>07-12259  06/21/18</v>
      </c>
    </row>
    <row r="846" spans="1:8" x14ac:dyDescent="0.25">
      <c r="E846" t="str">
        <f>"201809183817"</f>
        <v>201809183817</v>
      </c>
      <c r="F846" t="str">
        <f>"13-16206  05/15/18"</f>
        <v>13-16206  05/15/18</v>
      </c>
      <c r="G846" s="2">
        <v>200</v>
      </c>
      <c r="H846" t="str">
        <f>"13-16206  05/15/18"</f>
        <v>13-16206  05/15/18</v>
      </c>
    </row>
    <row r="847" spans="1:8" x14ac:dyDescent="0.25">
      <c r="E847" t="str">
        <f>"201809183818"</f>
        <v>201809183818</v>
      </c>
      <c r="F847" t="str">
        <f>"56 178  08/02/18"</f>
        <v>56 178  08/02/18</v>
      </c>
      <c r="G847" s="2">
        <v>275</v>
      </c>
      <c r="H847" t="str">
        <f>"56 178  08/02/18"</f>
        <v>56 178  08/02/18</v>
      </c>
    </row>
    <row r="848" spans="1:8" x14ac:dyDescent="0.25">
      <c r="E848" t="str">
        <f>"201809183819"</f>
        <v>201809183819</v>
      </c>
      <c r="F848" t="str">
        <f>"08-12714  08/07/18"</f>
        <v>08-12714  08/07/18</v>
      </c>
      <c r="G848" s="2">
        <v>100</v>
      </c>
      <c r="H848" t="str">
        <f>"08-12714  08/07/18"</f>
        <v>08-12714  08/07/18</v>
      </c>
    </row>
    <row r="849" spans="1:8" x14ac:dyDescent="0.25">
      <c r="A849" t="s">
        <v>262</v>
      </c>
      <c r="B849">
        <v>999999</v>
      </c>
      <c r="C849" s="3">
        <v>717.56</v>
      </c>
      <c r="D849" s="1">
        <v>43354</v>
      </c>
      <c r="E849" t="str">
        <f>"201809063440"</f>
        <v>201809063440</v>
      </c>
      <c r="F849" t="str">
        <f>"INDIGENT HEALTH"</f>
        <v>INDIGENT HEALTH</v>
      </c>
      <c r="G849" s="2">
        <v>717.56</v>
      </c>
      <c r="H849" t="str">
        <f>"INDIGENT HEALTH"</f>
        <v>INDIGENT HEALTH</v>
      </c>
    </row>
    <row r="850" spans="1:8" x14ac:dyDescent="0.25">
      <c r="E850" t="str">
        <f>""</f>
        <v/>
      </c>
      <c r="F850" t="str">
        <f>""</f>
        <v/>
      </c>
      <c r="H850" t="str">
        <f>"INDIGENT HEALTH"</f>
        <v>INDIGENT HEALTH</v>
      </c>
    </row>
    <row r="851" spans="1:8" x14ac:dyDescent="0.25">
      <c r="A851" t="s">
        <v>263</v>
      </c>
      <c r="B851">
        <v>78570</v>
      </c>
      <c r="C851" s="3">
        <v>437.34</v>
      </c>
      <c r="D851" s="1">
        <v>43353</v>
      </c>
      <c r="E851" t="str">
        <f>"PS220303514:01"</f>
        <v>PS220303514:01</v>
      </c>
      <c r="F851" t="str">
        <f>"CUST#131187/PCT#4"</f>
        <v>CUST#131187/PCT#4</v>
      </c>
      <c r="G851" s="2">
        <v>437.34</v>
      </c>
      <c r="H851" t="str">
        <f>"CUST#131187/PCT#4"</f>
        <v>CUST#131187/PCT#4</v>
      </c>
    </row>
    <row r="852" spans="1:8" x14ac:dyDescent="0.25">
      <c r="A852" t="s">
        <v>264</v>
      </c>
      <c r="B852">
        <v>78765</v>
      </c>
      <c r="C852" s="3">
        <v>105.4</v>
      </c>
      <c r="D852" s="1">
        <v>43367</v>
      </c>
      <c r="E852" t="str">
        <f>"201809193870"</f>
        <v>201809193870</v>
      </c>
      <c r="F852" t="str">
        <f>"INDIGENT HEALTH"</f>
        <v>INDIGENT HEALTH</v>
      </c>
      <c r="G852" s="2">
        <v>105.4</v>
      </c>
      <c r="H852" t="str">
        <f>"INDIGENT HEALTH"</f>
        <v>INDIGENT HEALTH</v>
      </c>
    </row>
    <row r="853" spans="1:8" x14ac:dyDescent="0.25">
      <c r="A853" t="s">
        <v>265</v>
      </c>
      <c r="B853">
        <v>999999</v>
      </c>
      <c r="C853" s="3">
        <v>364</v>
      </c>
      <c r="D853" s="1">
        <v>43354</v>
      </c>
      <c r="E853" t="str">
        <f>"201809043278"</f>
        <v>201809043278</v>
      </c>
      <c r="F853" t="str">
        <f>"TRASH REMOVAL/8/27-8/31/PCT#4"</f>
        <v>TRASH REMOVAL/8/27-8/31/PCT#4</v>
      </c>
      <c r="G853" s="2">
        <v>221</v>
      </c>
      <c r="H853" t="str">
        <f>"TRASH REMOVAL/8/27-8/31/PCT#4"</f>
        <v>TRASH REMOVAL/8/27-8/31/PCT#4</v>
      </c>
    </row>
    <row r="854" spans="1:8" x14ac:dyDescent="0.25">
      <c r="E854" t="str">
        <f>"201809043279"</f>
        <v>201809043279</v>
      </c>
      <c r="F854" t="str">
        <f>"TRASH REMOVAL/9/3-9/7/PCT#4"</f>
        <v>TRASH REMOVAL/9/3-9/7/PCT#4</v>
      </c>
      <c r="G854" s="2">
        <v>143</v>
      </c>
      <c r="H854" t="str">
        <f>"TRASH REMOVAL/9/3-9/7/PCT#4"</f>
        <v>TRASH REMOVAL/9/3-9/7/PCT#4</v>
      </c>
    </row>
    <row r="855" spans="1:8" x14ac:dyDescent="0.25">
      <c r="A855" t="s">
        <v>265</v>
      </c>
      <c r="B855">
        <v>999999</v>
      </c>
      <c r="C855" s="3">
        <v>604.5</v>
      </c>
      <c r="D855" s="1">
        <v>43368</v>
      </c>
      <c r="E855" t="str">
        <f>"201809193850"</f>
        <v>201809193850</v>
      </c>
      <c r="F855" t="str">
        <f>"TRASH REMOVAL 09/10-09/20/PCT4"</f>
        <v>TRASH REMOVAL 09/10-09/20/PCT4</v>
      </c>
      <c r="G855" s="2">
        <v>604.5</v>
      </c>
      <c r="H855" t="str">
        <f>"TRASH REMOVAL 09/10-09/20/PCT4"</f>
        <v>TRASH REMOVAL 09/10-09/20/PCT4</v>
      </c>
    </row>
    <row r="856" spans="1:8" x14ac:dyDescent="0.25">
      <c r="A856" t="s">
        <v>266</v>
      </c>
      <c r="B856">
        <v>78571</v>
      </c>
      <c r="C856" s="3">
        <v>3450</v>
      </c>
      <c r="D856" s="1">
        <v>43353</v>
      </c>
      <c r="E856" t="str">
        <f>"6-8-15/2018-MC"</f>
        <v>6-8-15/2018-MC</v>
      </c>
      <c r="F856" t="str">
        <f>"PROJ#4120651.120/CONSULTING SV"</f>
        <v>PROJ#4120651.120/CONSULTING SV</v>
      </c>
      <c r="G856" s="2">
        <v>3450</v>
      </c>
      <c r="H856" t="str">
        <f>"PROJ#4120651.120/CONSULTING SV"</f>
        <v>PROJ#4120651.120/CONSULTING SV</v>
      </c>
    </row>
    <row r="857" spans="1:8" x14ac:dyDescent="0.25">
      <c r="A857" t="s">
        <v>267</v>
      </c>
      <c r="B857">
        <v>78766</v>
      </c>
      <c r="C857" s="3">
        <v>584.61</v>
      </c>
      <c r="D857" s="1">
        <v>43367</v>
      </c>
      <c r="E857" t="str">
        <f>"201809183825"</f>
        <v>201809183825</v>
      </c>
      <c r="F857" t="str">
        <f>"acct#99006938692"</f>
        <v>acct#99006938692</v>
      </c>
      <c r="G857" s="2">
        <v>584.61</v>
      </c>
      <c r="H857" t="str">
        <f>"Inv# 914145"</f>
        <v>Inv# 914145</v>
      </c>
    </row>
    <row r="858" spans="1:8" x14ac:dyDescent="0.25">
      <c r="E858" t="str">
        <f>""</f>
        <v/>
      </c>
      <c r="F858" t="str">
        <f>""</f>
        <v/>
      </c>
      <c r="H858" t="str">
        <f>"Inv# 902492"</f>
        <v>Inv# 902492</v>
      </c>
    </row>
    <row r="859" spans="1:8" x14ac:dyDescent="0.25">
      <c r="E859" t="str">
        <f>""</f>
        <v/>
      </c>
      <c r="F859" t="str">
        <f>""</f>
        <v/>
      </c>
      <c r="H859" t="str">
        <f>"Inv# 902868"</f>
        <v>Inv# 902868</v>
      </c>
    </row>
    <row r="860" spans="1:8" x14ac:dyDescent="0.25">
      <c r="E860" t="str">
        <f>""</f>
        <v/>
      </c>
      <c r="F860" t="str">
        <f>""</f>
        <v/>
      </c>
      <c r="H860" t="str">
        <f>"Inv# 902976"</f>
        <v>Inv# 902976</v>
      </c>
    </row>
    <row r="861" spans="1:8" x14ac:dyDescent="0.25">
      <c r="E861" t="str">
        <f>""</f>
        <v/>
      </c>
      <c r="F861" t="str">
        <f>""</f>
        <v/>
      </c>
      <c r="H861" t="str">
        <f>"Inv# 993094"</f>
        <v>Inv# 993094</v>
      </c>
    </row>
    <row r="862" spans="1:8" x14ac:dyDescent="0.25">
      <c r="E862" t="str">
        <f>""</f>
        <v/>
      </c>
      <c r="F862" t="str">
        <f>""</f>
        <v/>
      </c>
      <c r="H862" t="str">
        <f>"Inv# 902145"</f>
        <v>Inv# 902145</v>
      </c>
    </row>
    <row r="863" spans="1:8" x14ac:dyDescent="0.25">
      <c r="E863" t="str">
        <f>""</f>
        <v/>
      </c>
      <c r="F863" t="str">
        <f>""</f>
        <v/>
      </c>
      <c r="H863" t="str">
        <f>"Inv# 910733"</f>
        <v>Inv# 910733</v>
      </c>
    </row>
    <row r="864" spans="1:8" x14ac:dyDescent="0.25">
      <c r="E864" t="str">
        <f>""</f>
        <v/>
      </c>
      <c r="F864" t="str">
        <f>""</f>
        <v/>
      </c>
      <c r="H864" t="str">
        <f>"Inv# 902011"</f>
        <v>Inv# 902011</v>
      </c>
    </row>
    <row r="865" spans="1:8" x14ac:dyDescent="0.25">
      <c r="A865" t="s">
        <v>268</v>
      </c>
      <c r="B865">
        <v>78572</v>
      </c>
      <c r="C865" s="3">
        <v>150</v>
      </c>
      <c r="D865" s="1">
        <v>43353</v>
      </c>
      <c r="E865" t="str">
        <f>"201808313172"</f>
        <v>201808313172</v>
      </c>
      <c r="F865" t="str">
        <f>"423-5649"</f>
        <v>423-5649</v>
      </c>
      <c r="G865" s="2">
        <v>150</v>
      </c>
      <c r="H865" t="str">
        <f>"423-5649"</f>
        <v>423-5649</v>
      </c>
    </row>
    <row r="866" spans="1:8" x14ac:dyDescent="0.25">
      <c r="A866" t="s">
        <v>269</v>
      </c>
      <c r="B866">
        <v>78767</v>
      </c>
      <c r="C866" s="3">
        <v>4256.5</v>
      </c>
      <c r="D866" s="1">
        <v>43367</v>
      </c>
      <c r="E866" t="str">
        <f>"18-14-18-00381"</f>
        <v>18-14-18-00381</v>
      </c>
      <c r="F866" t="str">
        <f>"16 029"</f>
        <v>16 029</v>
      </c>
      <c r="G866" s="2">
        <v>4256.5</v>
      </c>
      <c r="H866" t="str">
        <f>"16 029"</f>
        <v>16 029</v>
      </c>
    </row>
    <row r="867" spans="1:8" x14ac:dyDescent="0.25">
      <c r="A867" t="s">
        <v>270</v>
      </c>
      <c r="B867">
        <v>78768</v>
      </c>
      <c r="C867" s="3">
        <v>194.69</v>
      </c>
      <c r="D867" s="1">
        <v>43367</v>
      </c>
      <c r="E867" t="str">
        <f>"201809133759"</f>
        <v>201809133759</v>
      </c>
      <c r="F867" t="str">
        <f>"CRIMINAL COURT"</f>
        <v>CRIMINAL COURT</v>
      </c>
      <c r="G867" s="2">
        <v>194.69</v>
      </c>
      <c r="H867" t="str">
        <f>"CRIMINAL COURT"</f>
        <v>CRIMINAL COURT</v>
      </c>
    </row>
    <row r="868" spans="1:8" x14ac:dyDescent="0.25">
      <c r="A868" t="s">
        <v>271</v>
      </c>
      <c r="B868">
        <v>78573</v>
      </c>
      <c r="C868" s="3">
        <v>135</v>
      </c>
      <c r="D868" s="1">
        <v>43353</v>
      </c>
      <c r="E868" t="str">
        <f>"201808303142"</f>
        <v>201808303142</v>
      </c>
      <c r="F868" t="str">
        <f>"TRAVEL ADVANCE-PER DIEM"</f>
        <v>TRAVEL ADVANCE-PER DIEM</v>
      </c>
      <c r="G868" s="2">
        <v>135</v>
      </c>
      <c r="H868" t="str">
        <f>"TRAVEL ADVANCE-PER DIEM"</f>
        <v>TRAVEL ADVANCE-PER DIEM</v>
      </c>
    </row>
    <row r="869" spans="1:8" x14ac:dyDescent="0.25">
      <c r="A869" t="s">
        <v>272</v>
      </c>
      <c r="B869">
        <v>78769</v>
      </c>
      <c r="C869" s="3">
        <v>4050</v>
      </c>
      <c r="D869" s="1">
        <v>43367</v>
      </c>
      <c r="E869" t="str">
        <f>"201809193853"</f>
        <v>201809193853</v>
      </c>
      <c r="F869" t="str">
        <f>"VETERINARY SVCS 08/02-09/10"</f>
        <v>VETERINARY SVCS 08/02-09/10</v>
      </c>
      <c r="G869" s="2">
        <v>4050</v>
      </c>
      <c r="H869" t="str">
        <f>"VETERINARY SVCS 08/02-09/10"</f>
        <v>VETERINARY SVCS 08/02-09/10</v>
      </c>
    </row>
    <row r="870" spans="1:8" x14ac:dyDescent="0.25">
      <c r="A870" t="s">
        <v>273</v>
      </c>
      <c r="B870">
        <v>78574</v>
      </c>
      <c r="C870" s="3">
        <v>325</v>
      </c>
      <c r="D870" s="1">
        <v>43353</v>
      </c>
      <c r="E870" t="str">
        <f>"201809063441"</f>
        <v>201809063441</v>
      </c>
      <c r="F870" t="str">
        <f>"INDIGENT HEALTH"</f>
        <v>INDIGENT HEALTH</v>
      </c>
      <c r="G870" s="2">
        <v>325</v>
      </c>
      <c r="H870" t="str">
        <f>"INDIGENT HEALTH"</f>
        <v>INDIGENT HEALTH</v>
      </c>
    </row>
    <row r="871" spans="1:8" x14ac:dyDescent="0.25">
      <c r="A871" t="s">
        <v>273</v>
      </c>
      <c r="B871">
        <v>78770</v>
      </c>
      <c r="C871" s="3">
        <v>260</v>
      </c>
      <c r="D871" s="1">
        <v>43367</v>
      </c>
      <c r="E871" t="str">
        <f>"201809193871"</f>
        <v>201809193871</v>
      </c>
      <c r="F871" t="str">
        <f>"INDIGENT HEALTH"</f>
        <v>INDIGENT HEALTH</v>
      </c>
      <c r="G871" s="2">
        <v>260</v>
      </c>
      <c r="H871" t="str">
        <f>"INDIGENT HEALTH"</f>
        <v>INDIGENT HEALTH</v>
      </c>
    </row>
    <row r="872" spans="1:8" x14ac:dyDescent="0.25">
      <c r="A872" t="s">
        <v>274</v>
      </c>
      <c r="B872">
        <v>78575</v>
      </c>
      <c r="C872" s="3">
        <v>46.73</v>
      </c>
      <c r="D872" s="1">
        <v>43353</v>
      </c>
      <c r="E872" t="str">
        <f>"201809063442"</f>
        <v>201809063442</v>
      </c>
      <c r="F872" t="str">
        <f>"INDIGENT HEALTH"</f>
        <v>INDIGENT HEALTH</v>
      </c>
      <c r="G872" s="2">
        <v>46.73</v>
      </c>
      <c r="H872" t="str">
        <f>"INDIGENT HEALTH"</f>
        <v>INDIGENT HEALTH</v>
      </c>
    </row>
    <row r="873" spans="1:8" x14ac:dyDescent="0.25">
      <c r="A873" t="s">
        <v>275</v>
      </c>
      <c r="B873">
        <v>999999</v>
      </c>
      <c r="C873" s="3">
        <v>2581.25</v>
      </c>
      <c r="D873" s="1">
        <v>43354</v>
      </c>
      <c r="E873" t="str">
        <f>"201809053301"</f>
        <v>201809053301</v>
      </c>
      <c r="F873" t="str">
        <f>"DETENTION HEARING 08/28"</f>
        <v>DETENTION HEARING 08/28</v>
      </c>
      <c r="G873" s="2">
        <v>100</v>
      </c>
      <c r="H873" t="str">
        <f>"DETENTION HEARING 08/28"</f>
        <v>DETENTION HEARING 08/28</v>
      </c>
    </row>
    <row r="874" spans="1:8" x14ac:dyDescent="0.25">
      <c r="E874" t="str">
        <f>"201809053309"</f>
        <v>201809053309</v>
      </c>
      <c r="F874" t="str">
        <f>"18-18885  08/20"</f>
        <v>18-18885  08/20</v>
      </c>
      <c r="G874" s="2">
        <v>975</v>
      </c>
      <c r="H874" t="str">
        <f>"18-18885  08/20"</f>
        <v>18-18885  08/20</v>
      </c>
    </row>
    <row r="875" spans="1:8" x14ac:dyDescent="0.25">
      <c r="E875" t="str">
        <f>"201809053310"</f>
        <v>201809053310</v>
      </c>
      <c r="F875" t="str">
        <f>"18-19016"</f>
        <v>18-19016</v>
      </c>
      <c r="G875" s="2">
        <v>393.75</v>
      </c>
      <c r="H875" t="str">
        <f>"18-19016"</f>
        <v>18-19016</v>
      </c>
    </row>
    <row r="876" spans="1:8" x14ac:dyDescent="0.25">
      <c r="E876" t="str">
        <f>"201809053311"</f>
        <v>201809053311</v>
      </c>
      <c r="F876" t="str">
        <f>"18-19093  08/31"</f>
        <v>18-19093  08/31</v>
      </c>
      <c r="G876" s="2">
        <v>337.5</v>
      </c>
      <c r="H876" t="str">
        <f>"18-19093  08/31"</f>
        <v>18-19093  08/31</v>
      </c>
    </row>
    <row r="877" spans="1:8" x14ac:dyDescent="0.25">
      <c r="E877" t="str">
        <f>"201809053312"</f>
        <v>201809053312</v>
      </c>
      <c r="F877" t="str">
        <f>"18-18966  08/31"</f>
        <v>18-18966  08/31</v>
      </c>
      <c r="G877" s="2">
        <v>325</v>
      </c>
      <c r="H877" t="str">
        <f>"18-18966  08/31"</f>
        <v>18-18966  08/31</v>
      </c>
    </row>
    <row r="878" spans="1:8" x14ac:dyDescent="0.25">
      <c r="E878" t="str">
        <f>"201809053374"</f>
        <v>201809053374</v>
      </c>
      <c r="F878" t="str">
        <f>"55 493"</f>
        <v>55 493</v>
      </c>
      <c r="G878" s="2">
        <v>250</v>
      </c>
      <c r="H878" t="str">
        <f>"55 493"</f>
        <v>55 493</v>
      </c>
    </row>
    <row r="879" spans="1:8" x14ac:dyDescent="0.25">
      <c r="E879" t="str">
        <f>"201809053383"</f>
        <v>201809053383</v>
      </c>
      <c r="F879" t="str">
        <f>"02092214 9292468971 17904924"</f>
        <v>02092214 9292468971 17904924</v>
      </c>
      <c r="G879" s="2">
        <v>100</v>
      </c>
      <c r="H879" t="str">
        <f>"02092214 9292468971 17904924"</f>
        <v>02092214 9292468971 17904924</v>
      </c>
    </row>
    <row r="880" spans="1:8" x14ac:dyDescent="0.25">
      <c r="E880" t="str">
        <f>"201809053384"</f>
        <v>201809053384</v>
      </c>
      <c r="F880" t="str">
        <f>"4050984 9293492649A001"</f>
        <v>4050984 9293492649A001</v>
      </c>
      <c r="G880" s="2">
        <v>100</v>
      </c>
      <c r="H880" t="str">
        <f>"4050984 9293492649A001"</f>
        <v>4050984 9293492649A001</v>
      </c>
    </row>
    <row r="881" spans="1:8" x14ac:dyDescent="0.25">
      <c r="A881" t="s">
        <v>275</v>
      </c>
      <c r="B881">
        <v>999999</v>
      </c>
      <c r="C881" s="3">
        <v>581.25</v>
      </c>
      <c r="D881" s="1">
        <v>43368</v>
      </c>
      <c r="E881" t="str">
        <f>"201809183816"</f>
        <v>201809183816</v>
      </c>
      <c r="F881" t="str">
        <f>"18-18960"</f>
        <v>18-18960</v>
      </c>
      <c r="G881" s="2">
        <v>581.25</v>
      </c>
      <c r="H881" t="str">
        <f>"18-18960"</f>
        <v>18-18960</v>
      </c>
    </row>
    <row r="882" spans="1:8" x14ac:dyDescent="0.25">
      <c r="A882" t="s">
        <v>276</v>
      </c>
      <c r="B882">
        <v>78576</v>
      </c>
      <c r="C882" s="3">
        <v>61.22</v>
      </c>
      <c r="D882" s="1">
        <v>43353</v>
      </c>
      <c r="E882" t="str">
        <f>"18134362"</f>
        <v>18134362</v>
      </c>
      <c r="F882" t="str">
        <f>"ACCT#41472/NOZZLE/PCT#1"</f>
        <v>ACCT#41472/NOZZLE/PCT#1</v>
      </c>
      <c r="G882" s="2">
        <v>61.22</v>
      </c>
      <c r="H882" t="str">
        <f>"ACCT#41472/NOZZLE/PCT#1"</f>
        <v>ACCT#41472/NOZZLE/PCT#1</v>
      </c>
    </row>
    <row r="883" spans="1:8" x14ac:dyDescent="0.25">
      <c r="A883" t="s">
        <v>276</v>
      </c>
      <c r="B883">
        <v>78771</v>
      </c>
      <c r="C883" s="3">
        <v>333.59</v>
      </c>
      <c r="D883" s="1">
        <v>43367</v>
      </c>
      <c r="E883" t="str">
        <f>"18193781 18222196"</f>
        <v>18193781 18222196</v>
      </c>
      <c r="F883" t="str">
        <f>"CUST#S9547/PCT#1"</f>
        <v>CUST#S9547/PCT#1</v>
      </c>
      <c r="G883" s="2">
        <v>219.41</v>
      </c>
      <c r="H883" t="str">
        <f>"CUST#S9547/PCT#1"</f>
        <v>CUST#S9547/PCT#1</v>
      </c>
    </row>
    <row r="884" spans="1:8" x14ac:dyDescent="0.25">
      <c r="E884" t="str">
        <f>""</f>
        <v/>
      </c>
      <c r="F884" t="str">
        <f>""</f>
        <v/>
      </c>
      <c r="H884" t="str">
        <f>"CUST#S9547/PCT#1"</f>
        <v>CUST#S9547/PCT#1</v>
      </c>
    </row>
    <row r="885" spans="1:8" x14ac:dyDescent="0.25">
      <c r="E885" t="str">
        <f>"18213800"</f>
        <v>18213800</v>
      </c>
      <c r="F885" t="str">
        <f>"CUST#41472/PCT#1"</f>
        <v>CUST#41472/PCT#1</v>
      </c>
      <c r="G885" s="2">
        <v>22.23</v>
      </c>
      <c r="H885" t="str">
        <f>"CUST#41472/PCT#1"</f>
        <v>CUST#41472/PCT#1</v>
      </c>
    </row>
    <row r="886" spans="1:8" x14ac:dyDescent="0.25">
      <c r="E886" t="str">
        <f>"18213897"</f>
        <v>18213897</v>
      </c>
      <c r="F886" t="str">
        <f>"CUST#45057/PCT#4"</f>
        <v>CUST#45057/PCT#4</v>
      </c>
      <c r="G886" s="2">
        <v>39.729999999999997</v>
      </c>
      <c r="H886" t="str">
        <f>"CUST#45057/PCT#4"</f>
        <v>CUST#45057/PCT#4</v>
      </c>
    </row>
    <row r="887" spans="1:8" x14ac:dyDescent="0.25">
      <c r="E887" t="str">
        <f>"18213961"</f>
        <v>18213961</v>
      </c>
      <c r="F887" t="str">
        <f>"INV 18213961"</f>
        <v>INV 18213961</v>
      </c>
      <c r="G887" s="2">
        <v>52.22</v>
      </c>
      <c r="H887" t="str">
        <f>"INV 18213961"</f>
        <v>INV 18213961</v>
      </c>
    </row>
    <row r="888" spans="1:8" x14ac:dyDescent="0.25">
      <c r="A888" t="s">
        <v>277</v>
      </c>
      <c r="B888">
        <v>78577</v>
      </c>
      <c r="C888" s="3">
        <v>640</v>
      </c>
      <c r="D888" s="1">
        <v>43353</v>
      </c>
      <c r="E888" t="str">
        <f>"B35644"</f>
        <v>B35644</v>
      </c>
      <c r="F888" t="str">
        <f>"1 DAY RENTAL"</f>
        <v>1 DAY RENTAL</v>
      </c>
      <c r="G888" s="2">
        <v>640</v>
      </c>
      <c r="H888" t="str">
        <f>"1 DAY RENTAL"</f>
        <v>1 DAY RENTAL</v>
      </c>
    </row>
    <row r="889" spans="1:8" x14ac:dyDescent="0.25">
      <c r="A889" t="s">
        <v>278</v>
      </c>
      <c r="B889">
        <v>78578</v>
      </c>
      <c r="C889" s="3">
        <v>1680</v>
      </c>
      <c r="D889" s="1">
        <v>43353</v>
      </c>
      <c r="E889" t="str">
        <f>"201808313185"</f>
        <v>201808313185</v>
      </c>
      <c r="F889" t="str">
        <f>"16 056"</f>
        <v>16 056</v>
      </c>
      <c r="G889" s="2">
        <v>1680</v>
      </c>
      <c r="H889" t="str">
        <f>"16 056"</f>
        <v>16 056</v>
      </c>
    </row>
    <row r="890" spans="1:8" x14ac:dyDescent="0.25">
      <c r="A890" t="s">
        <v>279</v>
      </c>
      <c r="B890">
        <v>78579</v>
      </c>
      <c r="C890" s="3">
        <v>100</v>
      </c>
      <c r="D890" s="1">
        <v>43353</v>
      </c>
      <c r="E890" t="str">
        <f>"201809053408"</f>
        <v>201809053408</v>
      </c>
      <c r="F890" t="str">
        <f>"PER DIEM"</f>
        <v>PER DIEM</v>
      </c>
      <c r="G890" s="2">
        <v>100</v>
      </c>
    </row>
    <row r="891" spans="1:8" x14ac:dyDescent="0.25">
      <c r="A891" t="s">
        <v>280</v>
      </c>
      <c r="B891">
        <v>999999</v>
      </c>
      <c r="C891" s="3">
        <v>643.47</v>
      </c>
      <c r="D891" s="1">
        <v>43354</v>
      </c>
      <c r="E891" t="str">
        <f>"660366"</f>
        <v>660366</v>
      </c>
      <c r="F891" t="str">
        <f>"ACCT#900-98011130-001/PCT#3"</f>
        <v>ACCT#900-98011130-001/PCT#3</v>
      </c>
      <c r="G891" s="2">
        <v>501.54</v>
      </c>
      <c r="H891" t="str">
        <f>"ACCT#900-98011130-001/PCT#3"</f>
        <v>ACCT#900-98011130-001/PCT#3</v>
      </c>
    </row>
    <row r="892" spans="1:8" x14ac:dyDescent="0.25">
      <c r="E892" t="str">
        <f>"660433"</f>
        <v>660433</v>
      </c>
      <c r="F892" t="str">
        <f>"ACCT#900-98011130-001"</f>
        <v>ACCT#900-98011130-001</v>
      </c>
      <c r="G892" s="2">
        <v>29.99</v>
      </c>
      <c r="H892" t="str">
        <f>"ACCT#900-98011130-001"</f>
        <v>ACCT#900-98011130-001</v>
      </c>
    </row>
    <row r="893" spans="1:8" x14ac:dyDescent="0.25">
      <c r="E893" t="str">
        <f>"660496"</f>
        <v>660496</v>
      </c>
      <c r="F893" t="str">
        <f>"ORD#362873/GROUND CONT/PCT#3"</f>
        <v>ORD#362873/GROUND CONT/PCT#3</v>
      </c>
      <c r="G893" s="2">
        <v>45.98</v>
      </c>
      <c r="H893" t="str">
        <f>"ORD#362873/GROUND CONT/PCT#3"</f>
        <v>ORD#362873/GROUND CONT/PCT#3</v>
      </c>
    </row>
    <row r="894" spans="1:8" x14ac:dyDescent="0.25">
      <c r="E894" t="str">
        <f>"660892"</f>
        <v>660892</v>
      </c>
      <c r="F894" t="str">
        <f>"ORD#363421/TAPE MEAS/PCT#3"</f>
        <v>ORD#363421/TAPE MEAS/PCT#3</v>
      </c>
      <c r="G894" s="2">
        <v>61.97</v>
      </c>
      <c r="H894" t="str">
        <f>"ORD#363421/TAPE MEAS/PCT#3"</f>
        <v>ORD#363421/TAPE MEAS/PCT#3</v>
      </c>
    </row>
    <row r="895" spans="1:8" x14ac:dyDescent="0.25">
      <c r="E895" t="str">
        <f>"660898"</f>
        <v>660898</v>
      </c>
      <c r="F895" t="str">
        <f>"PHONE DUPLEX WALL JACK/PCT#3"</f>
        <v>PHONE DUPLEX WALL JACK/PCT#3</v>
      </c>
      <c r="G895" s="2">
        <v>3.99</v>
      </c>
      <c r="H895" t="str">
        <f>"PHONE DUPLEX WALL JACK/PCT#3"</f>
        <v>PHONE DUPLEX WALL JACK/PCT#3</v>
      </c>
    </row>
    <row r="896" spans="1:8" x14ac:dyDescent="0.25">
      <c r="A896" t="s">
        <v>281</v>
      </c>
      <c r="B896">
        <v>78580</v>
      </c>
      <c r="C896" s="3">
        <v>1020</v>
      </c>
      <c r="D896" s="1">
        <v>43353</v>
      </c>
      <c r="E896" t="str">
        <f>"12813"</f>
        <v>12813</v>
      </c>
      <c r="F896" t="str">
        <f>"ABST FEE"</f>
        <v>ABST FEE</v>
      </c>
      <c r="G896" s="2">
        <v>225</v>
      </c>
      <c r="H896" t="str">
        <f>"ABST FEE"</f>
        <v>ABST FEE</v>
      </c>
    </row>
    <row r="897" spans="1:9" x14ac:dyDescent="0.25">
      <c r="E897" t="str">
        <f>"12849"</f>
        <v>12849</v>
      </c>
      <c r="F897" t="str">
        <f>"ABST FEE"</f>
        <v>ABST FEE</v>
      </c>
      <c r="G897" s="2">
        <v>120</v>
      </c>
      <c r="H897" t="str">
        <f>"ABST FEE"</f>
        <v>ABST FEE</v>
      </c>
    </row>
    <row r="898" spans="1:9" x14ac:dyDescent="0.25">
      <c r="E898" t="str">
        <f>"12883"</f>
        <v>12883</v>
      </c>
      <c r="F898" t="str">
        <f>"ABST FEE"</f>
        <v>ABST FEE</v>
      </c>
      <c r="G898" s="2">
        <v>225</v>
      </c>
      <c r="H898" t="str">
        <f>"ABST FEE"</f>
        <v>ABST FEE</v>
      </c>
    </row>
    <row r="899" spans="1:9" x14ac:dyDescent="0.25">
      <c r="E899" t="str">
        <f>"12969"</f>
        <v>12969</v>
      </c>
      <c r="F899" t="str">
        <f>"ABST FEE"</f>
        <v>ABST FEE</v>
      </c>
      <c r="G899" s="2">
        <v>225</v>
      </c>
      <c r="H899" t="str">
        <f>"ABST FEE"</f>
        <v>ABST FEE</v>
      </c>
    </row>
    <row r="900" spans="1:9" x14ac:dyDescent="0.25">
      <c r="E900" t="str">
        <f>"13010"</f>
        <v>13010</v>
      </c>
      <c r="F900" t="str">
        <f>"ABST FEE"</f>
        <v>ABST FEE</v>
      </c>
      <c r="G900" s="2">
        <v>225</v>
      </c>
      <c r="H900" t="str">
        <f>"ABST FEE"</f>
        <v>ABST FEE</v>
      </c>
    </row>
    <row r="901" spans="1:9" x14ac:dyDescent="0.25">
      <c r="A901" t="s">
        <v>281</v>
      </c>
      <c r="B901">
        <v>78772</v>
      </c>
      <c r="C901" s="3">
        <v>30109.91</v>
      </c>
      <c r="D901" s="1">
        <v>43367</v>
      </c>
      <c r="E901" t="str">
        <f>"11314"</f>
        <v>11314</v>
      </c>
      <c r="F901" t="str">
        <f>"SERVICE"</f>
        <v>SERVICE</v>
      </c>
      <c r="G901" s="2">
        <v>25</v>
      </c>
      <c r="H901" t="str">
        <f>"SERVICE"</f>
        <v>SERVICE</v>
      </c>
    </row>
    <row r="902" spans="1:9" x14ac:dyDescent="0.25">
      <c r="E902" t="str">
        <f>"12849  08/06/18"</f>
        <v>12849  08/06/18</v>
      </c>
      <c r="F902" t="str">
        <f>"ABST FEE"</f>
        <v>ABST FEE</v>
      </c>
      <c r="G902" s="2">
        <v>105</v>
      </c>
      <c r="H902" t="str">
        <f>"ABST FEE"</f>
        <v>ABST FEE</v>
      </c>
    </row>
    <row r="903" spans="1:9" x14ac:dyDescent="0.25">
      <c r="E903" t="str">
        <f>"12997"</f>
        <v>12997</v>
      </c>
      <c r="F903" t="str">
        <f>"SERVICE ON SECRETARY OF STATE"</f>
        <v>SERVICE ON SECRETARY OF STATE</v>
      </c>
      <c r="G903" s="2">
        <v>110</v>
      </c>
      <c r="H903" t="str">
        <f>"SERVICE ON SECRETARY OF STATE"</f>
        <v>SERVICE ON SECRETARY OF STATE</v>
      </c>
    </row>
    <row r="904" spans="1:9" x14ac:dyDescent="0.25">
      <c r="E904" t="str">
        <f>"201809113655"</f>
        <v>201809113655</v>
      </c>
      <c r="F904" t="str">
        <f>"ATTORNEY FEES"</f>
        <v>ATTORNEY FEES</v>
      </c>
      <c r="G904" s="2">
        <v>29869.91</v>
      </c>
      <c r="H904" t="str">
        <f>"ATTORNEY FEES"</f>
        <v>ATTORNEY FEES</v>
      </c>
    </row>
    <row r="905" spans="1:9" x14ac:dyDescent="0.25">
      <c r="A905" t="s">
        <v>282</v>
      </c>
      <c r="B905">
        <v>78581</v>
      </c>
      <c r="C905" s="3">
        <v>484.93</v>
      </c>
      <c r="D905" s="1">
        <v>43353</v>
      </c>
      <c r="E905" t="str">
        <f>"201809063443"</f>
        <v>201809063443</v>
      </c>
      <c r="F905" t="str">
        <f>"INDIGENT HEALTH"</f>
        <v>INDIGENT HEALTH</v>
      </c>
      <c r="G905" s="2">
        <v>484.93</v>
      </c>
      <c r="H905" t="str">
        <f>"INDIGENT HEALTH"</f>
        <v>INDIGENT HEALTH</v>
      </c>
    </row>
    <row r="906" spans="1:9" x14ac:dyDescent="0.25">
      <c r="A906" t="s">
        <v>282</v>
      </c>
      <c r="B906">
        <v>78773</v>
      </c>
      <c r="C906" s="3">
        <v>1822.32</v>
      </c>
      <c r="D906" s="1">
        <v>43367</v>
      </c>
      <c r="E906" t="str">
        <f>"201809193872"</f>
        <v>201809193872</v>
      </c>
      <c r="F906" t="str">
        <f>"INDIGENT HEALTH"</f>
        <v>INDIGENT HEALTH</v>
      </c>
      <c r="G906" s="2">
        <v>1822.32</v>
      </c>
      <c r="H906" t="str">
        <f>"INDIGENT HEALTH"</f>
        <v>INDIGENT HEALTH</v>
      </c>
    </row>
    <row r="907" spans="1:9" x14ac:dyDescent="0.25">
      <c r="A907" t="s">
        <v>283</v>
      </c>
      <c r="B907">
        <v>78774</v>
      </c>
      <c r="C907" s="3">
        <v>1000</v>
      </c>
      <c r="D907" s="1">
        <v>43367</v>
      </c>
      <c r="E907" t="str">
        <f>"201809193855"</f>
        <v>201809193855</v>
      </c>
      <c r="F907" t="str">
        <f>"VETERINARY SURGICAL SVCS"</f>
        <v>VETERINARY SURGICAL SVCS</v>
      </c>
      <c r="G907" s="2">
        <v>1000</v>
      </c>
      <c r="H907" t="str">
        <f>"VETERINARY SURGICAL SVCS"</f>
        <v>VETERINARY SURGICAL SVCS</v>
      </c>
    </row>
    <row r="908" spans="1:9" x14ac:dyDescent="0.25">
      <c r="A908" t="s">
        <v>284</v>
      </c>
      <c r="B908">
        <v>78582</v>
      </c>
      <c r="C908" s="3">
        <v>50</v>
      </c>
      <c r="D908" s="1">
        <v>43353</v>
      </c>
      <c r="E908" t="s">
        <v>205</v>
      </c>
      <c r="F908" t="s">
        <v>239</v>
      </c>
      <c r="G908" s="2" t="str">
        <f>"RESTITUTION-D. SPURK"</f>
        <v>RESTITUTION-D. SPURK</v>
      </c>
      <c r="H908" t="str">
        <f>"210-0000"</f>
        <v>210-0000</v>
      </c>
      <c r="I908" t="str">
        <f>""</f>
        <v/>
      </c>
    </row>
    <row r="909" spans="1:9" x14ac:dyDescent="0.25">
      <c r="E909" t="s">
        <v>205</v>
      </c>
      <c r="F909" t="s">
        <v>285</v>
      </c>
      <c r="G909" s="2" t="str">
        <f>"RESTITUTION-D. SPURK"</f>
        <v>RESTITUTION-D. SPURK</v>
      </c>
      <c r="H909" t="str">
        <f>"210-0000"</f>
        <v>210-0000</v>
      </c>
      <c r="I909" t="str">
        <f>""</f>
        <v/>
      </c>
    </row>
    <row r="910" spans="1:9" x14ac:dyDescent="0.25">
      <c r="A910" t="s">
        <v>286</v>
      </c>
      <c r="B910">
        <v>78775</v>
      </c>
      <c r="C910" s="3">
        <v>99.45</v>
      </c>
      <c r="D910" s="1">
        <v>43367</v>
      </c>
      <c r="E910" t="str">
        <f>"201809183827"</f>
        <v>201809183827</v>
      </c>
      <c r="F910" t="str">
        <f>"REIMBURSEMENT FOR LODGING"</f>
        <v>REIMBURSEMENT FOR LODGING</v>
      </c>
      <c r="G910" s="2">
        <v>99.45</v>
      </c>
      <c r="H910" t="str">
        <f>"REIMBURSEMENT FOR LODGING"</f>
        <v>REIMBURSEMENT FOR LODGING</v>
      </c>
    </row>
    <row r="911" spans="1:9" x14ac:dyDescent="0.25">
      <c r="A911" t="s">
        <v>287</v>
      </c>
      <c r="B911">
        <v>78583</v>
      </c>
      <c r="C911" s="3">
        <v>4050</v>
      </c>
      <c r="D911" s="1">
        <v>43353</v>
      </c>
      <c r="E911" t="str">
        <f>"201809053410"</f>
        <v>201809053410</v>
      </c>
      <c r="F911" t="str">
        <f>"Update to Fingerprint Sys"</f>
        <v>Update to Fingerprint Sys</v>
      </c>
      <c r="G911" s="2">
        <v>4050</v>
      </c>
      <c r="H911" t="str">
        <f>"Update to Fingerprint Sys"</f>
        <v>Update to Fingerprint Sys</v>
      </c>
    </row>
    <row r="912" spans="1:9" x14ac:dyDescent="0.25">
      <c r="A912" t="s">
        <v>288</v>
      </c>
      <c r="B912">
        <v>999999</v>
      </c>
      <c r="C912" s="3">
        <v>874.5</v>
      </c>
      <c r="D912" s="1">
        <v>43354</v>
      </c>
      <c r="E912" t="str">
        <f>"18-042"</f>
        <v>18-042</v>
      </c>
      <c r="F912" t="str">
        <f>"423-5827"</f>
        <v>423-5827</v>
      </c>
      <c r="G912" s="2">
        <v>495</v>
      </c>
      <c r="H912" t="str">
        <f>"423-5827"</f>
        <v>423-5827</v>
      </c>
    </row>
    <row r="913" spans="1:8" x14ac:dyDescent="0.25">
      <c r="E913" t="str">
        <f>"18-042A"</f>
        <v>18-042A</v>
      </c>
      <c r="F913" t="str">
        <f>"423-5827"</f>
        <v>423-5827</v>
      </c>
      <c r="G913" s="2">
        <v>165</v>
      </c>
      <c r="H913" t="str">
        <f>"423-5827"</f>
        <v>423-5827</v>
      </c>
    </row>
    <row r="914" spans="1:8" x14ac:dyDescent="0.25">
      <c r="E914" t="str">
        <f>"18-043"</f>
        <v>18-043</v>
      </c>
      <c r="F914" t="str">
        <f>"862-336 &amp; 863-21"</f>
        <v>862-336 &amp; 863-21</v>
      </c>
      <c r="G914" s="2">
        <v>214.5</v>
      </c>
      <c r="H914" t="str">
        <f>"862-336 &amp; 863-21"</f>
        <v>862-336 &amp; 863-21</v>
      </c>
    </row>
    <row r="915" spans="1:8" x14ac:dyDescent="0.25">
      <c r="A915" t="s">
        <v>289</v>
      </c>
      <c r="B915">
        <v>999999</v>
      </c>
      <c r="C915" s="3">
        <v>801.25</v>
      </c>
      <c r="D915" s="1">
        <v>43354</v>
      </c>
      <c r="E915" t="str">
        <f>"117800  119815"</f>
        <v>117800  119815</v>
      </c>
      <c r="F915" t="str">
        <f>"INV 117800/119815"</f>
        <v>INV 117800/119815</v>
      </c>
      <c r="G915" s="2">
        <v>220.5</v>
      </c>
      <c r="H915" t="str">
        <f>"INV 117800"</f>
        <v>INV 117800</v>
      </c>
    </row>
    <row r="916" spans="1:8" x14ac:dyDescent="0.25">
      <c r="E916" t="str">
        <f>""</f>
        <v/>
      </c>
      <c r="F916" t="str">
        <f>""</f>
        <v/>
      </c>
      <c r="H916" t="str">
        <f>"INV 119815"</f>
        <v>INV 119815</v>
      </c>
    </row>
    <row r="917" spans="1:8" x14ac:dyDescent="0.25">
      <c r="E917" t="str">
        <f>"118391  119814"</f>
        <v>118391  119814</v>
      </c>
      <c r="F917" t="str">
        <f>"INV 118391/119814"</f>
        <v>INV 118391/119814</v>
      </c>
      <c r="G917" s="2">
        <v>316.05</v>
      </c>
      <c r="H917" t="str">
        <f>"INV 118391"</f>
        <v>INV 118391</v>
      </c>
    </row>
    <row r="918" spans="1:8" x14ac:dyDescent="0.25">
      <c r="E918" t="str">
        <f>""</f>
        <v/>
      </c>
      <c r="F918" t="str">
        <f>""</f>
        <v/>
      </c>
      <c r="H918" t="str">
        <f>"INV 119814"</f>
        <v>INV 119814</v>
      </c>
    </row>
    <row r="919" spans="1:8" x14ac:dyDescent="0.25">
      <c r="E919" t="str">
        <f>"119810"</f>
        <v>119810</v>
      </c>
      <c r="F919" t="str">
        <f>"INV 119810"</f>
        <v>INV 119810</v>
      </c>
      <c r="G919" s="2">
        <v>72</v>
      </c>
      <c r="H919" t="str">
        <f>"INV 119810"</f>
        <v>INV 119810</v>
      </c>
    </row>
    <row r="920" spans="1:8" x14ac:dyDescent="0.25">
      <c r="E920" t="str">
        <f>"119812"</f>
        <v>119812</v>
      </c>
      <c r="F920" t="str">
        <f>"INV 119812"</f>
        <v>INV 119812</v>
      </c>
      <c r="G920" s="2">
        <v>192.7</v>
      </c>
      <c r="H920" t="str">
        <f>"INV 119812"</f>
        <v>INV 119812</v>
      </c>
    </row>
    <row r="921" spans="1:8" x14ac:dyDescent="0.25">
      <c r="A921" t="s">
        <v>289</v>
      </c>
      <c r="B921">
        <v>999999</v>
      </c>
      <c r="C921" s="3">
        <v>1335.9</v>
      </c>
      <c r="D921" s="1">
        <v>43368</v>
      </c>
      <c r="E921" t="str">
        <f>"116365"</f>
        <v>116365</v>
      </c>
      <c r="F921" t="str">
        <f>"INV 116365"</f>
        <v>INV 116365</v>
      </c>
      <c r="G921" s="2">
        <v>595.45000000000005</v>
      </c>
      <c r="H921" t="str">
        <f>"INV 116365"</f>
        <v>INV 116365</v>
      </c>
    </row>
    <row r="922" spans="1:8" x14ac:dyDescent="0.25">
      <c r="E922" t="str">
        <f>"119439  120706"</f>
        <v>119439  120706</v>
      </c>
      <c r="F922" t="str">
        <f>"INV 119439/120706"</f>
        <v>INV 119439/120706</v>
      </c>
      <c r="G922" s="2">
        <v>650.95000000000005</v>
      </c>
      <c r="H922" t="str">
        <f>"INV 119439"</f>
        <v>INV 119439</v>
      </c>
    </row>
    <row r="923" spans="1:8" x14ac:dyDescent="0.25">
      <c r="E923" t="str">
        <f>""</f>
        <v/>
      </c>
      <c r="F923" t="str">
        <f>""</f>
        <v/>
      </c>
      <c r="H923" t="str">
        <f>"INV 120706"</f>
        <v>INV 120706</v>
      </c>
    </row>
    <row r="924" spans="1:8" x14ac:dyDescent="0.25">
      <c r="E924" t="str">
        <f>"120154"</f>
        <v>120154</v>
      </c>
      <c r="F924" t="str">
        <f>"INV 120154"</f>
        <v>INV 120154</v>
      </c>
      <c r="G924" s="2">
        <v>89.5</v>
      </c>
      <c r="H924" t="str">
        <f>"INV 120154"</f>
        <v>INV 120154</v>
      </c>
    </row>
    <row r="925" spans="1:8" x14ac:dyDescent="0.25">
      <c r="A925" t="s">
        <v>290</v>
      </c>
      <c r="B925">
        <v>78417</v>
      </c>
      <c r="C925" s="3">
        <v>150</v>
      </c>
      <c r="D925" s="1">
        <v>43347</v>
      </c>
      <c r="E925" t="str">
        <f>"201809043212"</f>
        <v>201809043212</v>
      </c>
      <c r="F925" t="str">
        <f>"M"</f>
        <v>M</v>
      </c>
      <c r="G925" s="2">
        <v>150</v>
      </c>
      <c r="H925" t="str">
        <f>"Children's Advocacy Center"</f>
        <v>Children's Advocacy Center</v>
      </c>
    </row>
    <row r="926" spans="1:8" x14ac:dyDescent="0.25">
      <c r="A926" t="s">
        <v>291</v>
      </c>
      <c r="B926">
        <v>78418</v>
      </c>
      <c r="C926" s="3">
        <v>96</v>
      </c>
      <c r="D926" s="1">
        <v>43347</v>
      </c>
      <c r="E926" t="str">
        <f>"201809043213"</f>
        <v>201809043213</v>
      </c>
      <c r="F926" t="str">
        <f>""</f>
        <v/>
      </c>
      <c r="G926" s="2">
        <v>96</v>
      </c>
      <c r="H926" t="str">
        <f>"COURT APPOINTED SPECIAL ADVOCA"</f>
        <v>COURT APPOINTED SPECIAL ADVOCA</v>
      </c>
    </row>
    <row r="927" spans="1:8" x14ac:dyDescent="0.25">
      <c r="A927" t="s">
        <v>292</v>
      </c>
      <c r="B927">
        <v>78419</v>
      </c>
      <c r="C927" s="3">
        <v>78</v>
      </c>
      <c r="D927" s="1">
        <v>43347</v>
      </c>
      <c r="E927" t="str">
        <f>"201809043214"</f>
        <v>201809043214</v>
      </c>
      <c r="F927" t="str">
        <f>"Miscell"</f>
        <v>Miscell</v>
      </c>
      <c r="G927" s="2">
        <v>78</v>
      </c>
      <c r="H927" t="str">
        <f>"Family Crisis Center"</f>
        <v>Family Crisis Center</v>
      </c>
    </row>
    <row r="928" spans="1:8" x14ac:dyDescent="0.25">
      <c r="A928" t="s">
        <v>293</v>
      </c>
      <c r="B928">
        <v>78420</v>
      </c>
      <c r="C928" s="3">
        <v>30</v>
      </c>
      <c r="D928" s="1">
        <v>43347</v>
      </c>
      <c r="E928" t="str">
        <f>"201809043215"</f>
        <v>201809043215</v>
      </c>
      <c r="F928" t="str">
        <f>"Mi"</f>
        <v>Mi</v>
      </c>
      <c r="G928" s="2">
        <v>30</v>
      </c>
      <c r="H928" t="str">
        <f>"Child Protective Services"</f>
        <v>Child Protective Services</v>
      </c>
    </row>
    <row r="929" spans="1:8" x14ac:dyDescent="0.25">
      <c r="A929" t="s">
        <v>294</v>
      </c>
      <c r="B929">
        <v>78421</v>
      </c>
      <c r="C929" s="3">
        <v>326</v>
      </c>
      <c r="D929" s="1">
        <v>43347</v>
      </c>
      <c r="E929" t="str">
        <f>"201809043216"</f>
        <v>201809043216</v>
      </c>
      <c r="F929" t="str">
        <f>"Miscellan"</f>
        <v>Miscellan</v>
      </c>
      <c r="G929" s="2">
        <v>326</v>
      </c>
      <c r="H929" t="str">
        <f>"CYNTHIA ANN HENSON"</f>
        <v>CYNTHIA ANN HENSON</v>
      </c>
    </row>
    <row r="930" spans="1:8" x14ac:dyDescent="0.25">
      <c r="A930" t="s">
        <v>295</v>
      </c>
      <c r="B930">
        <v>78422</v>
      </c>
      <c r="C930" s="3">
        <v>6</v>
      </c>
      <c r="D930" s="1">
        <v>43347</v>
      </c>
      <c r="E930" t="str">
        <f>"201809043217"</f>
        <v>201809043217</v>
      </c>
      <c r="F930" t="str">
        <f>"Mis"</f>
        <v>Mis</v>
      </c>
      <c r="G930" s="2">
        <v>6</v>
      </c>
      <c r="H930" t="str">
        <f>"CLIFFORD HERMAN HATCH JR"</f>
        <v>CLIFFORD HERMAN HATCH JR</v>
      </c>
    </row>
    <row r="931" spans="1:8" x14ac:dyDescent="0.25">
      <c r="A931" t="s">
        <v>296</v>
      </c>
      <c r="B931">
        <v>78423</v>
      </c>
      <c r="C931" s="3">
        <v>6</v>
      </c>
      <c r="D931" s="1">
        <v>43347</v>
      </c>
      <c r="E931" t="str">
        <f>"201809043218"</f>
        <v>201809043218</v>
      </c>
      <c r="F931" t="str">
        <f>"Miscell"</f>
        <v>Miscell</v>
      </c>
      <c r="G931" s="2">
        <v>6</v>
      </c>
      <c r="H931" t="str">
        <f>"WILLIE MOSES SIMMONS"</f>
        <v>WILLIE MOSES SIMMONS</v>
      </c>
    </row>
    <row r="932" spans="1:8" x14ac:dyDescent="0.25">
      <c r="A932" t="s">
        <v>297</v>
      </c>
      <c r="B932">
        <v>78424</v>
      </c>
      <c r="C932" s="3">
        <v>326</v>
      </c>
      <c r="D932" s="1">
        <v>43347</v>
      </c>
      <c r="E932" t="str">
        <f>"201809043219"</f>
        <v>201809043219</v>
      </c>
      <c r="F932" t="str">
        <f>"Miscellan"</f>
        <v>Miscellan</v>
      </c>
      <c r="G932" s="2">
        <v>326</v>
      </c>
      <c r="H932" t="str">
        <f>"DANNY GENE TIMMONS"</f>
        <v>DANNY GENE TIMMONS</v>
      </c>
    </row>
    <row r="933" spans="1:8" x14ac:dyDescent="0.25">
      <c r="A933" t="s">
        <v>298</v>
      </c>
      <c r="B933">
        <v>78425</v>
      </c>
      <c r="C933" s="3">
        <v>326</v>
      </c>
      <c r="D933" s="1">
        <v>43347</v>
      </c>
      <c r="E933" t="str">
        <f>"201809043220"</f>
        <v>201809043220</v>
      </c>
      <c r="F933" t="str">
        <f>"Miscellaneou"</f>
        <v>Miscellaneou</v>
      </c>
      <c r="G933" s="2">
        <v>326</v>
      </c>
      <c r="H933" t="str">
        <f>"DEREK JOHN BECK"</f>
        <v>DEREK JOHN BECK</v>
      </c>
    </row>
    <row r="934" spans="1:8" x14ac:dyDescent="0.25">
      <c r="A934" t="s">
        <v>299</v>
      </c>
      <c r="B934">
        <v>78426</v>
      </c>
      <c r="C934" s="3">
        <v>6</v>
      </c>
      <c r="D934" s="1">
        <v>43347</v>
      </c>
      <c r="E934" t="str">
        <f>"201809043221"</f>
        <v>201809043221</v>
      </c>
      <c r="F934" t="str">
        <f>"Miscel"</f>
        <v>Miscel</v>
      </c>
      <c r="G934" s="2">
        <v>6</v>
      </c>
      <c r="H934" t="str">
        <f>"JACOB SAMUEL VOLLETTE"</f>
        <v>JACOB SAMUEL VOLLETTE</v>
      </c>
    </row>
    <row r="935" spans="1:8" x14ac:dyDescent="0.25">
      <c r="A935" t="s">
        <v>300</v>
      </c>
      <c r="B935">
        <v>78427</v>
      </c>
      <c r="C935" s="3">
        <v>6</v>
      </c>
      <c r="D935" s="1">
        <v>43347</v>
      </c>
      <c r="E935" t="str">
        <f>"201809043222"</f>
        <v>201809043222</v>
      </c>
      <c r="F935" t="str">
        <f>"Miscell"</f>
        <v>Miscell</v>
      </c>
      <c r="G935" s="2">
        <v>6</v>
      </c>
      <c r="H935" t="str">
        <f>"JEFFREY LOUIS TAYLOR"</f>
        <v>JEFFREY LOUIS TAYLOR</v>
      </c>
    </row>
    <row r="936" spans="1:8" x14ac:dyDescent="0.25">
      <c r="A936" t="s">
        <v>301</v>
      </c>
      <c r="B936">
        <v>78428</v>
      </c>
      <c r="C936" s="3">
        <v>6</v>
      </c>
      <c r="D936" s="1">
        <v>43347</v>
      </c>
      <c r="E936" t="str">
        <f>"201809043223"</f>
        <v>201809043223</v>
      </c>
      <c r="F936" t="str">
        <f>"Miscella"</f>
        <v>Miscella</v>
      </c>
      <c r="G936" s="2">
        <v>6</v>
      </c>
      <c r="H936" t="str">
        <f>"PAUL DOUGLAS BUTLER"</f>
        <v>PAUL DOUGLAS BUTLER</v>
      </c>
    </row>
    <row r="937" spans="1:8" x14ac:dyDescent="0.25">
      <c r="A937" t="s">
        <v>302</v>
      </c>
      <c r="B937">
        <v>78429</v>
      </c>
      <c r="C937" s="3">
        <v>326</v>
      </c>
      <c r="D937" s="1">
        <v>43347</v>
      </c>
      <c r="E937" t="str">
        <f>"201809043224"</f>
        <v>201809043224</v>
      </c>
      <c r="F937" t="str">
        <f>"Miscell"</f>
        <v>Miscell</v>
      </c>
      <c r="G937" s="2">
        <v>326</v>
      </c>
      <c r="H937" t="str">
        <f>"DANIEL JOSEPH BOLTON"</f>
        <v>DANIEL JOSEPH BOLTON</v>
      </c>
    </row>
    <row r="938" spans="1:8" x14ac:dyDescent="0.25">
      <c r="A938" t="s">
        <v>303</v>
      </c>
      <c r="B938">
        <v>78430</v>
      </c>
      <c r="C938" s="3">
        <v>6</v>
      </c>
      <c r="D938" s="1">
        <v>43347</v>
      </c>
      <c r="E938" t="str">
        <f>"201809043225"</f>
        <v>201809043225</v>
      </c>
      <c r="F938" t="str">
        <f>"Miscellaneous"</f>
        <v>Miscellaneous</v>
      </c>
      <c r="G938" s="2">
        <v>6</v>
      </c>
      <c r="H938" t="str">
        <f>"JORGE A GAONA"</f>
        <v>JORGE A GAONA</v>
      </c>
    </row>
    <row r="939" spans="1:8" x14ac:dyDescent="0.25">
      <c r="A939" t="s">
        <v>304</v>
      </c>
      <c r="B939">
        <v>78431</v>
      </c>
      <c r="C939" s="3">
        <v>6</v>
      </c>
      <c r="D939" s="1">
        <v>43347</v>
      </c>
      <c r="E939" t="str">
        <f>"201809043226"</f>
        <v>201809043226</v>
      </c>
      <c r="F939" t="str">
        <f>"Mis"</f>
        <v>Mis</v>
      </c>
      <c r="G939" s="2">
        <v>6</v>
      </c>
      <c r="H939" t="str">
        <f>"MARGARET ESPINOSA JAIMES"</f>
        <v>MARGARET ESPINOSA JAIMES</v>
      </c>
    </row>
    <row r="940" spans="1:8" x14ac:dyDescent="0.25">
      <c r="A940" t="s">
        <v>305</v>
      </c>
      <c r="B940">
        <v>78432</v>
      </c>
      <c r="C940" s="3">
        <v>6</v>
      </c>
      <c r="D940" s="1">
        <v>43347</v>
      </c>
      <c r="E940" t="str">
        <f>"201809043227"</f>
        <v>201809043227</v>
      </c>
      <c r="F940" t="str">
        <f>"Misc"</f>
        <v>Misc</v>
      </c>
      <c r="G940" s="2">
        <v>6</v>
      </c>
      <c r="H940" t="str">
        <f>"KENNETH HAROLD FLETCHER"</f>
        <v>KENNETH HAROLD FLETCHER</v>
      </c>
    </row>
    <row r="941" spans="1:8" x14ac:dyDescent="0.25">
      <c r="A941" t="s">
        <v>306</v>
      </c>
      <c r="B941">
        <v>78433</v>
      </c>
      <c r="C941" s="3">
        <v>6</v>
      </c>
      <c r="D941" s="1">
        <v>43347</v>
      </c>
      <c r="E941" t="str">
        <f>"201809043228"</f>
        <v>201809043228</v>
      </c>
      <c r="F941" t="str">
        <f>"Miscellaneo"</f>
        <v>Miscellaneo</v>
      </c>
      <c r="G941" s="2">
        <v>6</v>
      </c>
      <c r="H941" t="str">
        <f>"ISAAC JON MERINO"</f>
        <v>ISAAC JON MERINO</v>
      </c>
    </row>
    <row r="942" spans="1:8" x14ac:dyDescent="0.25">
      <c r="A942" t="s">
        <v>307</v>
      </c>
      <c r="B942">
        <v>78434</v>
      </c>
      <c r="C942" s="3">
        <v>6</v>
      </c>
      <c r="D942" s="1">
        <v>43347</v>
      </c>
      <c r="E942" t="str">
        <f>"201809043229"</f>
        <v>201809043229</v>
      </c>
      <c r="F942" t="str">
        <f>"Miscell"</f>
        <v>Miscell</v>
      </c>
      <c r="G942" s="2">
        <v>6</v>
      </c>
      <c r="H942" t="str">
        <f>"NOAH DANIEL GONZALES"</f>
        <v>NOAH DANIEL GONZALES</v>
      </c>
    </row>
    <row r="943" spans="1:8" x14ac:dyDescent="0.25">
      <c r="A943" t="s">
        <v>308</v>
      </c>
      <c r="B943">
        <v>78435</v>
      </c>
      <c r="C943" s="3">
        <v>326</v>
      </c>
      <c r="D943" s="1">
        <v>43347</v>
      </c>
      <c r="E943" t="str">
        <f>"201809043230"</f>
        <v>201809043230</v>
      </c>
      <c r="F943" t="str">
        <f>"Miscell"</f>
        <v>Miscell</v>
      </c>
      <c r="G943" s="2">
        <v>326</v>
      </c>
      <c r="H943" t="str">
        <f>"ELEANOR ANN DENSFORD"</f>
        <v>ELEANOR ANN DENSFORD</v>
      </c>
    </row>
    <row r="944" spans="1:8" x14ac:dyDescent="0.25">
      <c r="A944" t="s">
        <v>309</v>
      </c>
      <c r="B944">
        <v>78436</v>
      </c>
      <c r="C944" s="3">
        <v>6</v>
      </c>
      <c r="D944" s="1">
        <v>43347</v>
      </c>
      <c r="E944" t="str">
        <f>"201809043231"</f>
        <v>201809043231</v>
      </c>
      <c r="F944" t="str">
        <f>"Miscellaneous"</f>
        <v>Miscellaneous</v>
      </c>
      <c r="G944" s="2">
        <v>6</v>
      </c>
      <c r="H944" t="str">
        <f>"SANDRA L MEYER"</f>
        <v>SANDRA L MEYER</v>
      </c>
    </row>
    <row r="945" spans="1:8" x14ac:dyDescent="0.25">
      <c r="A945" t="s">
        <v>310</v>
      </c>
      <c r="B945">
        <v>78437</v>
      </c>
      <c r="C945" s="3">
        <v>326</v>
      </c>
      <c r="D945" s="1">
        <v>43347</v>
      </c>
      <c r="E945" t="str">
        <f>"201809043232"</f>
        <v>201809043232</v>
      </c>
      <c r="F945" t="str">
        <f>"Miscellaneous"</f>
        <v>Miscellaneous</v>
      </c>
      <c r="G945" s="2">
        <v>326</v>
      </c>
      <c r="H945" t="str">
        <f>"TONY JOE TREJO"</f>
        <v>TONY JOE TREJO</v>
      </c>
    </row>
    <row r="946" spans="1:8" x14ac:dyDescent="0.25">
      <c r="A946" t="s">
        <v>311</v>
      </c>
      <c r="B946">
        <v>78438</v>
      </c>
      <c r="C946" s="3">
        <v>6</v>
      </c>
      <c r="D946" s="1">
        <v>43347</v>
      </c>
      <c r="E946" t="str">
        <f>"201809043233"</f>
        <v>201809043233</v>
      </c>
      <c r="F946" t="str">
        <f>"Misc"</f>
        <v>Misc</v>
      </c>
      <c r="G946" s="2">
        <v>6</v>
      </c>
      <c r="H946" t="str">
        <f>"LISA-ANN LARKIN KELLOGG"</f>
        <v>LISA-ANN LARKIN KELLOGG</v>
      </c>
    </row>
    <row r="947" spans="1:8" x14ac:dyDescent="0.25">
      <c r="A947" t="s">
        <v>312</v>
      </c>
      <c r="B947">
        <v>78439</v>
      </c>
      <c r="C947" s="3">
        <v>6</v>
      </c>
      <c r="D947" s="1">
        <v>43347</v>
      </c>
      <c r="E947" t="str">
        <f>"201809043234"</f>
        <v>201809043234</v>
      </c>
      <c r="F947" t="str">
        <f>"Misce"</f>
        <v>Misce</v>
      </c>
      <c r="G947" s="2">
        <v>6</v>
      </c>
      <c r="H947" t="str">
        <f>"ROBERT EDWARD MCKINLEY"</f>
        <v>ROBERT EDWARD MCKINLEY</v>
      </c>
    </row>
    <row r="948" spans="1:8" x14ac:dyDescent="0.25">
      <c r="A948" t="s">
        <v>313</v>
      </c>
      <c r="B948">
        <v>78440</v>
      </c>
      <c r="C948" s="3">
        <v>6</v>
      </c>
      <c r="D948" s="1">
        <v>43347</v>
      </c>
      <c r="E948" t="str">
        <f>"201809043235"</f>
        <v>201809043235</v>
      </c>
      <c r="F948" t="str">
        <f>""</f>
        <v/>
      </c>
      <c r="G948" s="2">
        <v>6</v>
      </c>
      <c r="H948" t="str">
        <f>"CHRISTINA ROSE UPTON FRANCIS"</f>
        <v>CHRISTINA ROSE UPTON FRANCIS</v>
      </c>
    </row>
    <row r="949" spans="1:8" x14ac:dyDescent="0.25">
      <c r="A949" t="s">
        <v>314</v>
      </c>
      <c r="B949">
        <v>78441</v>
      </c>
      <c r="C949" s="3">
        <v>6</v>
      </c>
      <c r="D949" s="1">
        <v>43347</v>
      </c>
      <c r="E949" t="str">
        <f>"201809043236"</f>
        <v>201809043236</v>
      </c>
      <c r="F949" t="str">
        <f>"Miscell"</f>
        <v>Miscell</v>
      </c>
      <c r="G949" s="2">
        <v>6</v>
      </c>
      <c r="H949" t="str">
        <f>"ROBERT CHARLES KRAMM"</f>
        <v>ROBERT CHARLES KRAMM</v>
      </c>
    </row>
    <row r="950" spans="1:8" x14ac:dyDescent="0.25">
      <c r="A950" t="s">
        <v>315</v>
      </c>
      <c r="B950">
        <v>78442</v>
      </c>
      <c r="C950" s="3">
        <v>6</v>
      </c>
      <c r="D950" s="1">
        <v>43347</v>
      </c>
      <c r="E950" t="str">
        <f>"201809043237"</f>
        <v>201809043237</v>
      </c>
      <c r="F950" t="str">
        <f>"Miscellan"</f>
        <v>Miscellan</v>
      </c>
      <c r="G950" s="2">
        <v>6</v>
      </c>
      <c r="H950" t="str">
        <f>"ROSE LOERA GALARZA"</f>
        <v>ROSE LOERA GALARZA</v>
      </c>
    </row>
    <row r="951" spans="1:8" x14ac:dyDescent="0.25">
      <c r="A951" t="s">
        <v>316</v>
      </c>
      <c r="B951">
        <v>78443</v>
      </c>
      <c r="C951" s="3">
        <v>326</v>
      </c>
      <c r="D951" s="1">
        <v>43347</v>
      </c>
      <c r="E951" t="str">
        <f>"201809043238"</f>
        <v>201809043238</v>
      </c>
      <c r="F951" t="str">
        <f>"Mis"</f>
        <v>Mis</v>
      </c>
      <c r="G951" s="2">
        <v>326</v>
      </c>
      <c r="H951" t="str">
        <f>"HEATHER HENSARLING PAYNE"</f>
        <v>HEATHER HENSARLING PAYNE</v>
      </c>
    </row>
    <row r="952" spans="1:8" x14ac:dyDescent="0.25">
      <c r="A952" t="s">
        <v>317</v>
      </c>
      <c r="B952">
        <v>78444</v>
      </c>
      <c r="C952" s="3">
        <v>6</v>
      </c>
      <c r="D952" s="1">
        <v>43347</v>
      </c>
      <c r="E952" t="str">
        <f>"201809043239"</f>
        <v>201809043239</v>
      </c>
      <c r="F952" t="str">
        <f>"Miscellane"</f>
        <v>Miscellane</v>
      </c>
      <c r="G952" s="2">
        <v>6</v>
      </c>
      <c r="H952" t="str">
        <f>"TAMMY LYNN CROUCH"</f>
        <v>TAMMY LYNN CROUCH</v>
      </c>
    </row>
    <row r="953" spans="1:8" x14ac:dyDescent="0.25">
      <c r="A953" t="s">
        <v>318</v>
      </c>
      <c r="B953">
        <v>78445</v>
      </c>
      <c r="C953" s="3">
        <v>6</v>
      </c>
      <c r="D953" s="1">
        <v>43347</v>
      </c>
      <c r="E953" t="str">
        <f>"201809043240"</f>
        <v>201809043240</v>
      </c>
      <c r="F953" t="str">
        <f>"Mis"</f>
        <v>Mis</v>
      </c>
      <c r="G953" s="2">
        <v>6</v>
      </c>
      <c r="H953" t="str">
        <f>"CARLTON BURNARD CRUTCHER"</f>
        <v>CARLTON BURNARD CRUTCHER</v>
      </c>
    </row>
    <row r="954" spans="1:8" x14ac:dyDescent="0.25">
      <c r="A954" t="s">
        <v>319</v>
      </c>
      <c r="B954">
        <v>78446</v>
      </c>
      <c r="C954" s="3">
        <v>326</v>
      </c>
      <c r="D954" s="1">
        <v>43347</v>
      </c>
      <c r="E954" t="str">
        <f>"201809043241"</f>
        <v>201809043241</v>
      </c>
      <c r="F954" t="str">
        <f>"Mi"</f>
        <v>Mi</v>
      </c>
      <c r="G954" s="2">
        <v>326</v>
      </c>
      <c r="H954" t="str">
        <f>"WILLIEMAE GIVENS TOWNSEND"</f>
        <v>WILLIEMAE GIVENS TOWNSEND</v>
      </c>
    </row>
    <row r="955" spans="1:8" x14ac:dyDescent="0.25">
      <c r="A955" t="s">
        <v>320</v>
      </c>
      <c r="B955">
        <v>78447</v>
      </c>
      <c r="C955" s="3">
        <v>6</v>
      </c>
      <c r="D955" s="1">
        <v>43347</v>
      </c>
      <c r="E955" t="str">
        <f>"201809043242"</f>
        <v>201809043242</v>
      </c>
      <c r="F955" t="str">
        <f>"Miscell"</f>
        <v>Miscell</v>
      </c>
      <c r="G955" s="2">
        <v>6</v>
      </c>
      <c r="H955" t="str">
        <f>"BRANDON RAY ANGUIANO"</f>
        <v>BRANDON RAY ANGUIANO</v>
      </c>
    </row>
    <row r="956" spans="1:8" x14ac:dyDescent="0.25">
      <c r="A956" t="s">
        <v>321</v>
      </c>
      <c r="B956">
        <v>78448</v>
      </c>
      <c r="C956" s="3">
        <v>6</v>
      </c>
      <c r="D956" s="1">
        <v>43347</v>
      </c>
      <c r="E956" t="str">
        <f>"201809043243"</f>
        <v>201809043243</v>
      </c>
      <c r="F956" t="str">
        <f>"Miscella"</f>
        <v>Miscella</v>
      </c>
      <c r="G956" s="2">
        <v>6</v>
      </c>
      <c r="H956" t="str">
        <f>"MELISA SAENZ VARGAS"</f>
        <v>MELISA SAENZ VARGAS</v>
      </c>
    </row>
    <row r="957" spans="1:8" x14ac:dyDescent="0.25">
      <c r="A957" t="s">
        <v>322</v>
      </c>
      <c r="B957">
        <v>78449</v>
      </c>
      <c r="C957" s="3">
        <v>6</v>
      </c>
      <c r="D957" s="1">
        <v>43347</v>
      </c>
      <c r="E957" t="str">
        <f>"201809043244"</f>
        <v>201809043244</v>
      </c>
      <c r="F957" t="str">
        <f>"Miscell"</f>
        <v>Miscell</v>
      </c>
      <c r="G957" s="2">
        <v>6</v>
      </c>
      <c r="H957" t="str">
        <f>"JANET JAECKS TERRELL"</f>
        <v>JANET JAECKS TERRELL</v>
      </c>
    </row>
    <row r="958" spans="1:8" x14ac:dyDescent="0.25">
      <c r="A958" t="s">
        <v>323</v>
      </c>
      <c r="B958">
        <v>78450</v>
      </c>
      <c r="C958" s="3">
        <v>6</v>
      </c>
      <c r="D958" s="1">
        <v>43347</v>
      </c>
      <c r="E958" t="str">
        <f>"201809043245"</f>
        <v>201809043245</v>
      </c>
      <c r="F958" t="str">
        <f>"Miscella"</f>
        <v>Miscella</v>
      </c>
      <c r="G958" s="2">
        <v>6</v>
      </c>
      <c r="H958" t="str">
        <f>"DEFLORA SIMS THORNE"</f>
        <v>DEFLORA SIMS THORNE</v>
      </c>
    </row>
    <row r="959" spans="1:8" x14ac:dyDescent="0.25">
      <c r="A959" t="s">
        <v>324</v>
      </c>
      <c r="B959">
        <v>78451</v>
      </c>
      <c r="C959" s="3">
        <v>326</v>
      </c>
      <c r="D959" s="1">
        <v>43347</v>
      </c>
      <c r="E959" t="str">
        <f>"201809043246"</f>
        <v>201809043246</v>
      </c>
      <c r="F959" t="str">
        <f>"Miscellan"</f>
        <v>Miscellan</v>
      </c>
      <c r="G959" s="2">
        <v>326</v>
      </c>
      <c r="H959" t="str">
        <f>"TINA AMMANN WALKER"</f>
        <v>TINA AMMANN WALKER</v>
      </c>
    </row>
    <row r="960" spans="1:8" x14ac:dyDescent="0.25">
      <c r="A960" t="s">
        <v>325</v>
      </c>
      <c r="B960">
        <v>78452</v>
      </c>
      <c r="C960" s="3">
        <v>6</v>
      </c>
      <c r="D960" s="1">
        <v>43347</v>
      </c>
      <c r="E960" t="str">
        <f>"201809043247"</f>
        <v>201809043247</v>
      </c>
      <c r="F960" t="str">
        <f>"Miscellan"</f>
        <v>Miscellan</v>
      </c>
      <c r="G960" s="2">
        <v>6</v>
      </c>
      <c r="H960" t="str">
        <f>"ANGEL DIAZ BELTRAN"</f>
        <v>ANGEL DIAZ BELTRAN</v>
      </c>
    </row>
    <row r="961" spans="1:8" x14ac:dyDescent="0.25">
      <c r="A961" t="s">
        <v>326</v>
      </c>
      <c r="B961">
        <v>78453</v>
      </c>
      <c r="C961" s="3">
        <v>6</v>
      </c>
      <c r="D961" s="1">
        <v>43347</v>
      </c>
      <c r="E961" t="str">
        <f>"201809043248"</f>
        <v>201809043248</v>
      </c>
      <c r="F961" t="str">
        <f>"Miscellaneo"</f>
        <v>Miscellaneo</v>
      </c>
      <c r="G961" s="2">
        <v>6</v>
      </c>
      <c r="H961" t="str">
        <f>"GREG EMERY MOORE"</f>
        <v>GREG EMERY MOORE</v>
      </c>
    </row>
    <row r="962" spans="1:8" x14ac:dyDescent="0.25">
      <c r="A962" t="s">
        <v>327</v>
      </c>
      <c r="B962">
        <v>78454</v>
      </c>
      <c r="C962" s="3">
        <v>326</v>
      </c>
      <c r="D962" s="1">
        <v>43347</v>
      </c>
      <c r="E962" t="str">
        <f>"201809043249"</f>
        <v>201809043249</v>
      </c>
      <c r="F962" t="str">
        <f>"Miscellaneo"</f>
        <v>Miscellaneo</v>
      </c>
      <c r="G962" s="2">
        <v>326</v>
      </c>
      <c r="H962" t="str">
        <f>"PAMELA JOY KLINE"</f>
        <v>PAMELA JOY KLINE</v>
      </c>
    </row>
    <row r="963" spans="1:8" x14ac:dyDescent="0.25">
      <c r="A963" t="s">
        <v>328</v>
      </c>
      <c r="B963">
        <v>78455</v>
      </c>
      <c r="C963" s="3">
        <v>6</v>
      </c>
      <c r="D963" s="1">
        <v>43347</v>
      </c>
      <c r="E963" t="str">
        <f>"201809043250"</f>
        <v>201809043250</v>
      </c>
      <c r="F963" t="str">
        <f>"Miscell"</f>
        <v>Miscell</v>
      </c>
      <c r="G963" s="2">
        <v>6</v>
      </c>
      <c r="H963" t="str">
        <f>"DEBORAH JONES GIPSON"</f>
        <v>DEBORAH JONES GIPSON</v>
      </c>
    </row>
    <row r="964" spans="1:8" x14ac:dyDescent="0.25">
      <c r="A964" t="s">
        <v>329</v>
      </c>
      <c r="B964">
        <v>78456</v>
      </c>
      <c r="C964" s="3">
        <v>326</v>
      </c>
      <c r="D964" s="1">
        <v>43347</v>
      </c>
      <c r="E964" t="str">
        <f>"201809043251"</f>
        <v>201809043251</v>
      </c>
      <c r="F964" t="str">
        <f>"Misce"</f>
        <v>Misce</v>
      </c>
      <c r="G964" s="2">
        <v>326</v>
      </c>
      <c r="H964" t="str">
        <f>"CELESTE TALENE HOFFMAN"</f>
        <v>CELESTE TALENE HOFFMAN</v>
      </c>
    </row>
    <row r="965" spans="1:8" x14ac:dyDescent="0.25">
      <c r="A965" t="s">
        <v>330</v>
      </c>
      <c r="B965">
        <v>78457</v>
      </c>
      <c r="C965" s="3">
        <v>6</v>
      </c>
      <c r="D965" s="1">
        <v>43347</v>
      </c>
      <c r="E965" t="str">
        <f>"201809043252"</f>
        <v>201809043252</v>
      </c>
      <c r="F965" t="str">
        <f>"Miscella"</f>
        <v>Miscella</v>
      </c>
      <c r="G965" s="2">
        <v>6</v>
      </c>
      <c r="H965" t="str">
        <f>"LORETTA MEWIS JOHNS"</f>
        <v>LORETTA MEWIS JOHNS</v>
      </c>
    </row>
    <row r="966" spans="1:8" x14ac:dyDescent="0.25">
      <c r="A966" t="s">
        <v>331</v>
      </c>
      <c r="B966">
        <v>78458</v>
      </c>
      <c r="C966" s="3">
        <v>6</v>
      </c>
      <c r="D966" s="1">
        <v>43347</v>
      </c>
      <c r="E966" t="str">
        <f>"201809043253"</f>
        <v>201809043253</v>
      </c>
      <c r="F966" t="str">
        <f>"Miscellaneo"</f>
        <v>Miscellaneo</v>
      </c>
      <c r="G966" s="2">
        <v>6</v>
      </c>
      <c r="H966" t="str">
        <f>"GARY WAYNE SMITH"</f>
        <v>GARY WAYNE SMITH</v>
      </c>
    </row>
    <row r="967" spans="1:8" x14ac:dyDescent="0.25">
      <c r="A967" t="s">
        <v>332</v>
      </c>
      <c r="B967">
        <v>78459</v>
      </c>
      <c r="C967" s="3">
        <v>6</v>
      </c>
      <c r="D967" s="1">
        <v>43347</v>
      </c>
      <c r="E967" t="str">
        <f>"201809043254"</f>
        <v>201809043254</v>
      </c>
      <c r="F967" t="str">
        <f>"Miscellaneo"</f>
        <v>Miscellaneo</v>
      </c>
      <c r="G967" s="2">
        <v>6</v>
      </c>
      <c r="H967" t="str">
        <f>"PEGGY SUE MILLER"</f>
        <v>PEGGY SUE MILLER</v>
      </c>
    </row>
    <row r="968" spans="1:8" x14ac:dyDescent="0.25">
      <c r="A968" t="s">
        <v>333</v>
      </c>
      <c r="B968">
        <v>78460</v>
      </c>
      <c r="C968" s="3">
        <v>6</v>
      </c>
      <c r="D968" s="1">
        <v>43347</v>
      </c>
      <c r="E968" t="str">
        <f>"201809043255"</f>
        <v>201809043255</v>
      </c>
      <c r="F968" t="str">
        <f>""</f>
        <v/>
      </c>
      <c r="G968" s="2">
        <v>6</v>
      </c>
      <c r="H968" t="str">
        <f>"MICHELLE ELLINGTON ANDERSON"</f>
        <v>MICHELLE ELLINGTON ANDERSON</v>
      </c>
    </row>
    <row r="969" spans="1:8" x14ac:dyDescent="0.25">
      <c r="A969" t="s">
        <v>334</v>
      </c>
      <c r="B969">
        <v>78461</v>
      </c>
      <c r="C969" s="3">
        <v>6</v>
      </c>
      <c r="D969" s="1">
        <v>43347</v>
      </c>
      <c r="E969" t="str">
        <f>"201809043256"</f>
        <v>201809043256</v>
      </c>
      <c r="F969" t="str">
        <f>"Mi"</f>
        <v>Mi</v>
      </c>
      <c r="G969" s="2">
        <v>6</v>
      </c>
      <c r="H969" t="str">
        <f>"DARLA DOUGHERTY GILCREASE"</f>
        <v>DARLA DOUGHERTY GILCREASE</v>
      </c>
    </row>
    <row r="970" spans="1:8" x14ac:dyDescent="0.25">
      <c r="A970" t="s">
        <v>335</v>
      </c>
      <c r="B970">
        <v>78462</v>
      </c>
      <c r="C970" s="3">
        <v>6</v>
      </c>
      <c r="D970" s="1">
        <v>43347</v>
      </c>
      <c r="E970" t="str">
        <f>"201809043257"</f>
        <v>201809043257</v>
      </c>
      <c r="F970" t="str">
        <f>"Miscell"</f>
        <v>Miscell</v>
      </c>
      <c r="G970" s="2">
        <v>6</v>
      </c>
      <c r="H970" t="str">
        <f>"DAVID RICHARD MILLER"</f>
        <v>DAVID RICHARD MILLER</v>
      </c>
    </row>
    <row r="971" spans="1:8" x14ac:dyDescent="0.25">
      <c r="A971" t="s">
        <v>336</v>
      </c>
      <c r="B971">
        <v>78463</v>
      </c>
      <c r="C971" s="3">
        <v>326</v>
      </c>
      <c r="D971" s="1">
        <v>43347</v>
      </c>
      <c r="E971" t="str">
        <f>"201809043258"</f>
        <v>201809043258</v>
      </c>
      <c r="F971" t="str">
        <f>"Misce"</f>
        <v>Misce</v>
      </c>
      <c r="G971" s="2">
        <v>326</v>
      </c>
      <c r="H971" t="str">
        <f>"TIMOTHY HARMON PEOPLES"</f>
        <v>TIMOTHY HARMON PEOPLES</v>
      </c>
    </row>
    <row r="972" spans="1:8" x14ac:dyDescent="0.25">
      <c r="A972" t="s">
        <v>337</v>
      </c>
      <c r="B972">
        <v>78464</v>
      </c>
      <c r="C972" s="3">
        <v>6</v>
      </c>
      <c r="D972" s="1">
        <v>43347</v>
      </c>
      <c r="E972" t="str">
        <f>"201809043259"</f>
        <v>201809043259</v>
      </c>
      <c r="F972" t="str">
        <f>"Miscellan"</f>
        <v>Miscellan</v>
      </c>
      <c r="G972" s="2">
        <v>6</v>
      </c>
      <c r="H972" t="str">
        <f>"MARIE KROPP MURNAN"</f>
        <v>MARIE KROPP MURNAN</v>
      </c>
    </row>
    <row r="973" spans="1:8" x14ac:dyDescent="0.25">
      <c r="A973" t="s">
        <v>338</v>
      </c>
      <c r="B973">
        <v>78465</v>
      </c>
      <c r="C973" s="3">
        <v>6</v>
      </c>
      <c r="D973" s="1">
        <v>43347</v>
      </c>
      <c r="E973" t="str">
        <f>"201809043260"</f>
        <v>201809043260</v>
      </c>
      <c r="F973" t="str">
        <f>"Miscellane"</f>
        <v>Miscellane</v>
      </c>
      <c r="G973" s="2">
        <v>6</v>
      </c>
      <c r="H973" t="str">
        <f>"PAULA IMES CASTLE"</f>
        <v>PAULA IMES CASTLE</v>
      </c>
    </row>
    <row r="974" spans="1:8" x14ac:dyDescent="0.25">
      <c r="A974" t="s">
        <v>339</v>
      </c>
      <c r="B974">
        <v>78466</v>
      </c>
      <c r="C974" s="3">
        <v>6</v>
      </c>
      <c r="D974" s="1">
        <v>43347</v>
      </c>
      <c r="E974" t="str">
        <f>"201809043261"</f>
        <v>201809043261</v>
      </c>
      <c r="F974" t="str">
        <f>"Miscellaneou"</f>
        <v>Miscellaneou</v>
      </c>
      <c r="G974" s="2">
        <v>6</v>
      </c>
      <c r="H974" t="str">
        <f>"CHARLES A GLAZE"</f>
        <v>CHARLES A GLAZE</v>
      </c>
    </row>
    <row r="975" spans="1:8" x14ac:dyDescent="0.25">
      <c r="A975" t="s">
        <v>340</v>
      </c>
      <c r="B975">
        <v>78467</v>
      </c>
      <c r="C975" s="3">
        <v>6</v>
      </c>
      <c r="D975" s="1">
        <v>43347</v>
      </c>
      <c r="E975" t="str">
        <f>"201809043262"</f>
        <v>201809043262</v>
      </c>
      <c r="F975" t="str">
        <f>"Miscella"</f>
        <v>Miscella</v>
      </c>
      <c r="G975" s="2">
        <v>6</v>
      </c>
      <c r="H975" t="str">
        <f>"ARCHIE JOHN SVETLIK"</f>
        <v>ARCHIE JOHN SVETLIK</v>
      </c>
    </row>
    <row r="976" spans="1:8" x14ac:dyDescent="0.25">
      <c r="A976" t="s">
        <v>341</v>
      </c>
      <c r="B976">
        <v>78468</v>
      </c>
      <c r="C976" s="3">
        <v>6</v>
      </c>
      <c r="D976" s="1">
        <v>43347</v>
      </c>
      <c r="E976" t="str">
        <f>"201809043263"</f>
        <v>201809043263</v>
      </c>
      <c r="F976" t="str">
        <f>"Miscellan"</f>
        <v>Miscellan</v>
      </c>
      <c r="G976" s="2">
        <v>6</v>
      </c>
      <c r="H976" t="str">
        <f>"DENNIS WAYNE LUTON"</f>
        <v>DENNIS WAYNE LUTON</v>
      </c>
    </row>
    <row r="977" spans="1:9" x14ac:dyDescent="0.25">
      <c r="A977" t="s">
        <v>342</v>
      </c>
      <c r="B977">
        <v>78469</v>
      </c>
      <c r="C977" s="3">
        <v>326</v>
      </c>
      <c r="D977" s="1">
        <v>43347</v>
      </c>
      <c r="E977" t="str">
        <f>"201809043264"</f>
        <v>201809043264</v>
      </c>
      <c r="F977" t="str">
        <f>"Misce"</f>
        <v>Misce</v>
      </c>
      <c r="G977" s="2">
        <v>326</v>
      </c>
      <c r="H977" t="str">
        <f>"JOAN MILLER RICHARDSON"</f>
        <v>JOAN MILLER RICHARDSON</v>
      </c>
    </row>
    <row r="978" spans="1:9" x14ac:dyDescent="0.25">
      <c r="A978" t="s">
        <v>343</v>
      </c>
      <c r="B978">
        <v>78470</v>
      </c>
      <c r="C978" s="3">
        <v>326</v>
      </c>
      <c r="D978" s="1">
        <v>43347</v>
      </c>
      <c r="E978" t="str">
        <f>"201809043265"</f>
        <v>201809043265</v>
      </c>
      <c r="F978" t="str">
        <f>"Miscel"</f>
        <v>Miscel</v>
      </c>
      <c r="G978" s="2">
        <v>326</v>
      </c>
      <c r="H978" t="str">
        <f>"ANGELA MARIE GONZALEZ"</f>
        <v>ANGELA MARIE GONZALEZ</v>
      </c>
    </row>
    <row r="979" spans="1:9" x14ac:dyDescent="0.25">
      <c r="A979" t="s">
        <v>344</v>
      </c>
      <c r="B979">
        <v>78471</v>
      </c>
      <c r="C979" s="3">
        <v>6</v>
      </c>
      <c r="D979" s="1">
        <v>43347</v>
      </c>
      <c r="E979" t="str">
        <f>"201809043266"</f>
        <v>201809043266</v>
      </c>
      <c r="F979" t="str">
        <f>"Misc"</f>
        <v>Misc</v>
      </c>
      <c r="G979" s="2">
        <v>6</v>
      </c>
      <c r="H979" t="str">
        <f>"MICHELE FRANCES BLUEMEL"</f>
        <v>MICHELE FRANCES BLUEMEL</v>
      </c>
    </row>
    <row r="980" spans="1:9" x14ac:dyDescent="0.25">
      <c r="A980" t="s">
        <v>345</v>
      </c>
      <c r="B980">
        <v>78472</v>
      </c>
      <c r="C980" s="3">
        <v>6</v>
      </c>
      <c r="D980" s="1">
        <v>43347</v>
      </c>
      <c r="E980" t="str">
        <f>"201809043267"</f>
        <v>201809043267</v>
      </c>
      <c r="F980" t="str">
        <f>"Mis"</f>
        <v>Mis</v>
      </c>
      <c r="G980" s="2">
        <v>6</v>
      </c>
      <c r="H980" t="str">
        <f>"ALEXIA CHRISTINE PASCHAL"</f>
        <v>ALEXIA CHRISTINE PASCHAL</v>
      </c>
    </row>
    <row r="981" spans="1:9" x14ac:dyDescent="0.25">
      <c r="A981" t="s">
        <v>346</v>
      </c>
      <c r="B981">
        <v>78473</v>
      </c>
      <c r="C981" s="3">
        <v>6</v>
      </c>
      <c r="D981" s="1">
        <v>43349</v>
      </c>
      <c r="E981" t="str">
        <f>"201809063542"</f>
        <v>201809063542</v>
      </c>
      <c r="F981" t="str">
        <f>"Miscellane"</f>
        <v>Miscellane</v>
      </c>
      <c r="G981" s="2">
        <v>6</v>
      </c>
      <c r="H981" t="str">
        <f>"CHRISTINA LAMBERT"</f>
        <v>CHRISTINA LAMBERT</v>
      </c>
    </row>
    <row r="982" spans="1:9" x14ac:dyDescent="0.25">
      <c r="A982" t="s">
        <v>347</v>
      </c>
      <c r="B982">
        <v>78474</v>
      </c>
      <c r="C982" s="3">
        <v>6</v>
      </c>
      <c r="D982" s="1">
        <v>43349</v>
      </c>
      <c r="E982" t="str">
        <f>"201809063543"</f>
        <v>201809063543</v>
      </c>
      <c r="F982" t="str">
        <f>"Miscellaneous"</f>
        <v>Miscellaneous</v>
      </c>
      <c r="G982" s="2">
        <v>6</v>
      </c>
      <c r="H982" t="str">
        <f>"JESSICA CONLEY"</f>
        <v>JESSICA CONLEY</v>
      </c>
    </row>
    <row r="983" spans="1:9" x14ac:dyDescent="0.25">
      <c r="A983" t="s">
        <v>348</v>
      </c>
      <c r="B983">
        <v>78475</v>
      </c>
      <c r="C983" s="3">
        <v>6</v>
      </c>
      <c r="D983" s="1">
        <v>43349</v>
      </c>
      <c r="E983" t="str">
        <f>"201809063544"</f>
        <v>201809063544</v>
      </c>
      <c r="F983" t="str">
        <f>"Miscellaneo"</f>
        <v>Miscellaneo</v>
      </c>
      <c r="G983" s="2">
        <v>6</v>
      </c>
      <c r="H983" t="str">
        <f>"GERALD HENDERSON"</f>
        <v>GERALD HENDERSON</v>
      </c>
    </row>
    <row r="984" spans="1:9" x14ac:dyDescent="0.25">
      <c r="A984" t="s">
        <v>349</v>
      </c>
      <c r="B984">
        <v>78476</v>
      </c>
      <c r="C984" s="3">
        <v>6</v>
      </c>
      <c r="D984" s="1">
        <v>43349</v>
      </c>
      <c r="E984" t="str">
        <f>"201809063545"</f>
        <v>201809063545</v>
      </c>
      <c r="F984" t="str">
        <f>"Miscellaneous"</f>
        <v>Miscellaneous</v>
      </c>
      <c r="G984" s="2">
        <v>6</v>
      </c>
      <c r="H984" t="str">
        <f>"CHRISTINE FOX"</f>
        <v>CHRISTINE FOX</v>
      </c>
    </row>
    <row r="985" spans="1:9" x14ac:dyDescent="0.25">
      <c r="A985" t="s">
        <v>350</v>
      </c>
      <c r="B985">
        <v>78477</v>
      </c>
      <c r="C985" s="3">
        <v>6</v>
      </c>
      <c r="D985" s="1">
        <v>43349</v>
      </c>
      <c r="E985" t="str">
        <f>"201809063546"</f>
        <v>201809063546</v>
      </c>
      <c r="F985" t="str">
        <f>"Miscellaneous"</f>
        <v>Miscellaneous</v>
      </c>
      <c r="G985" s="2">
        <v>6</v>
      </c>
      <c r="H985" t="str">
        <f>"CLAYTON TOMES"</f>
        <v>CLAYTON TOMES</v>
      </c>
    </row>
    <row r="986" spans="1:9" x14ac:dyDescent="0.25">
      <c r="A986" t="s">
        <v>351</v>
      </c>
      <c r="B986">
        <v>78478</v>
      </c>
      <c r="C986" s="3">
        <v>6</v>
      </c>
      <c r="D986" s="1">
        <v>43349</v>
      </c>
      <c r="E986" t="str">
        <f>"201809063547"</f>
        <v>201809063547</v>
      </c>
      <c r="F986" t="str">
        <f>"Miscellaneo"</f>
        <v>Miscellaneo</v>
      </c>
      <c r="G986" s="2">
        <v>6</v>
      </c>
      <c r="H986" t="str">
        <f>"TAMMI WASHINGTON"</f>
        <v>TAMMI WASHINGTON</v>
      </c>
    </row>
    <row r="987" spans="1:9" x14ac:dyDescent="0.25">
      <c r="A987" t="s">
        <v>352</v>
      </c>
      <c r="B987">
        <v>78479</v>
      </c>
      <c r="C987" s="3">
        <v>6</v>
      </c>
      <c r="D987" s="1">
        <v>43349</v>
      </c>
      <c r="E987" t="str">
        <f>"201809063548"</f>
        <v>201809063548</v>
      </c>
      <c r="F987" t="str">
        <f>"Miscellaneous"</f>
        <v>Miscellaneous</v>
      </c>
      <c r="G987" s="2">
        <v>6</v>
      </c>
      <c r="H987" t="str">
        <f>"MIKE MCBRYAR"</f>
        <v>MIKE MCBRYAR</v>
      </c>
    </row>
    <row r="988" spans="1:9" x14ac:dyDescent="0.25">
      <c r="A988" t="s">
        <v>353</v>
      </c>
      <c r="B988">
        <v>78480</v>
      </c>
      <c r="C988" s="3">
        <v>6</v>
      </c>
      <c r="D988" s="1">
        <v>43349</v>
      </c>
      <c r="E988" t="str">
        <f>"201809063549"</f>
        <v>201809063549</v>
      </c>
      <c r="F988" t="str">
        <f>"Miscellaneous"</f>
        <v>Miscellaneous</v>
      </c>
      <c r="G988" s="2">
        <v>6</v>
      </c>
      <c r="H988" t="str">
        <f>"JOHNNIE THOMAS"</f>
        <v>JOHNNIE THOMAS</v>
      </c>
    </row>
    <row r="989" spans="1:9" x14ac:dyDescent="0.25">
      <c r="A989" t="s">
        <v>354</v>
      </c>
      <c r="B989">
        <v>78481</v>
      </c>
      <c r="C989" s="3">
        <v>6</v>
      </c>
      <c r="D989" s="1">
        <v>43349</v>
      </c>
      <c r="E989" t="str">
        <f>"201809063550"</f>
        <v>201809063550</v>
      </c>
      <c r="F989" t="str">
        <f>"Miscellaneous"</f>
        <v>Miscellaneous</v>
      </c>
      <c r="G989" s="2">
        <v>6</v>
      </c>
      <c r="H989" t="str">
        <f>"IRMA RODRIQUEZ"</f>
        <v>IRMA RODRIQUEZ</v>
      </c>
    </row>
    <row r="990" spans="1:9" x14ac:dyDescent="0.25">
      <c r="A990" t="s">
        <v>355</v>
      </c>
      <c r="B990">
        <v>78482</v>
      </c>
      <c r="C990" s="3">
        <v>6</v>
      </c>
      <c r="D990" s="1">
        <v>43349</v>
      </c>
      <c r="E990" t="str">
        <f>"201809063551"</f>
        <v>201809063551</v>
      </c>
      <c r="F990" t="str">
        <f>"Miscellaneous"</f>
        <v>Miscellaneous</v>
      </c>
      <c r="G990" s="2">
        <v>6</v>
      </c>
      <c r="H990" t="str">
        <f>"JUDY EVANICKY"</f>
        <v>JUDY EVANICKY</v>
      </c>
    </row>
    <row r="991" spans="1:9" x14ac:dyDescent="0.25">
      <c r="A991" t="s">
        <v>356</v>
      </c>
      <c r="B991">
        <v>78483</v>
      </c>
      <c r="C991" s="3">
        <v>6</v>
      </c>
      <c r="D991" s="1">
        <v>43349</v>
      </c>
      <c r="E991" t="str">
        <f>"201809063552"</f>
        <v>201809063552</v>
      </c>
      <c r="F991" t="str">
        <f>"Miscellaneo"</f>
        <v>Miscellaneo</v>
      </c>
      <c r="G991" s="2">
        <v>6</v>
      </c>
      <c r="H991" t="str">
        <f>"DOUGLAS BERRYMAN"</f>
        <v>DOUGLAS BERRYMAN</v>
      </c>
    </row>
    <row r="992" spans="1:9" x14ac:dyDescent="0.25">
      <c r="A992" t="s">
        <v>357</v>
      </c>
      <c r="B992">
        <v>78584</v>
      </c>
      <c r="C992" s="3">
        <v>80</v>
      </c>
      <c r="D992" s="1">
        <v>43353</v>
      </c>
      <c r="E992" t="s">
        <v>138</v>
      </c>
      <c r="F992" t="s">
        <v>358</v>
      </c>
      <c r="G992" s="2" t="str">
        <f>"RESTITUTION-O. CABALLERO"</f>
        <v>RESTITUTION-O. CABALLERO</v>
      </c>
      <c r="H992" t="str">
        <f>"210-0000"</f>
        <v>210-0000</v>
      </c>
      <c r="I992" t="str">
        <f>""</f>
        <v/>
      </c>
    </row>
    <row r="993" spans="1:8" x14ac:dyDescent="0.25">
      <c r="A993" t="s">
        <v>359</v>
      </c>
      <c r="B993">
        <v>78585</v>
      </c>
      <c r="C993" s="3">
        <v>514.04999999999995</v>
      </c>
      <c r="D993" s="1">
        <v>43353</v>
      </c>
      <c r="E993" t="str">
        <f>"201809053409"</f>
        <v>201809053409</v>
      </c>
      <c r="F993" t="str">
        <f>"LODGING"</f>
        <v>LODGING</v>
      </c>
      <c r="G993" s="2">
        <v>514.04999999999995</v>
      </c>
    </row>
    <row r="994" spans="1:8" x14ac:dyDescent="0.25">
      <c r="A994" t="s">
        <v>360</v>
      </c>
      <c r="B994">
        <v>78586</v>
      </c>
      <c r="C994" s="3">
        <v>51.39</v>
      </c>
      <c r="D994" s="1">
        <v>43353</v>
      </c>
      <c r="E994" t="str">
        <f>"S153777669.001"</f>
        <v>S153777669.001</v>
      </c>
      <c r="F994" t="str">
        <f>"INV S153777669.001"</f>
        <v>INV S153777669.001</v>
      </c>
      <c r="G994" s="2">
        <v>51.39</v>
      </c>
      <c r="H994" t="str">
        <f>"INV S153777669.001"</f>
        <v>INV S153777669.001</v>
      </c>
    </row>
    <row r="995" spans="1:8" x14ac:dyDescent="0.25">
      <c r="A995" t="s">
        <v>361</v>
      </c>
      <c r="B995">
        <v>78776</v>
      </c>
      <c r="C995" s="3">
        <v>4653</v>
      </c>
      <c r="D995" s="1">
        <v>43367</v>
      </c>
      <c r="E995" t="str">
        <f>"201809183841"</f>
        <v>201809183841</v>
      </c>
      <c r="F995" t="str">
        <f>"423-2327"</f>
        <v>423-2327</v>
      </c>
      <c r="G995" s="2">
        <v>3831.42</v>
      </c>
      <c r="H995" t="str">
        <f>"423-2327"</f>
        <v>423-2327</v>
      </c>
    </row>
    <row r="996" spans="1:8" x14ac:dyDescent="0.25">
      <c r="E996" t="str">
        <f>"201809183842"</f>
        <v>201809183842</v>
      </c>
      <c r="F996" t="str">
        <f>"18-19013"</f>
        <v>18-19013</v>
      </c>
      <c r="G996" s="2">
        <v>821.58</v>
      </c>
      <c r="H996" t="str">
        <f>"18-19013"</f>
        <v>18-19013</v>
      </c>
    </row>
    <row r="997" spans="1:8" x14ac:dyDescent="0.25">
      <c r="A997" t="s">
        <v>362</v>
      </c>
      <c r="B997">
        <v>78587</v>
      </c>
      <c r="C997" s="3">
        <v>64.849999999999994</v>
      </c>
      <c r="D997" s="1">
        <v>43353</v>
      </c>
      <c r="E997" t="str">
        <f>"S104782155.001"</f>
        <v>S104782155.001</v>
      </c>
      <c r="F997" t="str">
        <f>"INV S104782155.001"</f>
        <v>INV S104782155.001</v>
      </c>
      <c r="G997" s="2">
        <v>64.849999999999994</v>
      </c>
      <c r="H997" t="str">
        <f>"INV S104782155.001"</f>
        <v>INV S104782155.001</v>
      </c>
    </row>
    <row r="998" spans="1:8" x14ac:dyDescent="0.25">
      <c r="A998" t="s">
        <v>363</v>
      </c>
      <c r="B998">
        <v>78777</v>
      </c>
      <c r="C998" s="3">
        <v>23462.35</v>
      </c>
      <c r="D998" s="1">
        <v>43367</v>
      </c>
      <c r="E998" t="str">
        <f>"201809113653"</f>
        <v>201809113653</v>
      </c>
      <c r="F998" t="str">
        <f>"RADIO SVC AGREEMENT-SEPT 2018"</f>
        <v>RADIO SVC AGREEMENT-SEPT 2018</v>
      </c>
      <c r="G998" s="2">
        <v>20462.349999999999</v>
      </c>
      <c r="H998" t="str">
        <f>"RADIO SVC AGREEMENT-SEPT 2018"</f>
        <v>RADIO SVC AGREEMENT-SEPT 2018</v>
      </c>
    </row>
    <row r="999" spans="1:8" x14ac:dyDescent="0.25">
      <c r="E999" t="str">
        <f>"APX010"</f>
        <v>APX010</v>
      </c>
      <c r="F999" t="str">
        <f>"order# 35135 james allen"</f>
        <v>order# 35135 james allen</v>
      </c>
      <c r="G999" s="2">
        <v>3000</v>
      </c>
      <c r="H999" t="str">
        <f>"Payment"</f>
        <v>Payment</v>
      </c>
    </row>
    <row r="1000" spans="1:8" x14ac:dyDescent="0.25">
      <c r="A1000" t="s">
        <v>364</v>
      </c>
      <c r="B1000">
        <v>78588</v>
      </c>
      <c r="C1000" s="3">
        <v>175</v>
      </c>
      <c r="D1000" s="1">
        <v>43353</v>
      </c>
      <c r="E1000" t="str">
        <f>"2018-29-1"</f>
        <v>2018-29-1</v>
      </c>
      <c r="F1000" t="str">
        <f>"SUBSTITUTE CT REPORTER-08/28"</f>
        <v>SUBSTITUTE CT REPORTER-08/28</v>
      </c>
      <c r="G1000" s="2">
        <v>175</v>
      </c>
      <c r="H1000" t="str">
        <f>"SUBSTITUTE CT REPORTER-08/28"</f>
        <v>SUBSTITUTE CT REPORTER-08/28</v>
      </c>
    </row>
    <row r="1001" spans="1:8" x14ac:dyDescent="0.25">
      <c r="A1001" t="s">
        <v>364</v>
      </c>
      <c r="B1001">
        <v>78778</v>
      </c>
      <c r="C1001" s="3">
        <v>150</v>
      </c>
      <c r="D1001" s="1">
        <v>43367</v>
      </c>
      <c r="E1001" t="str">
        <f>"2018-28-1"</f>
        <v>2018-28-1</v>
      </c>
      <c r="F1001" t="str">
        <f>"TRANS OF PROCEEDINGS 16-18043"</f>
        <v>TRANS OF PROCEEDINGS 16-18043</v>
      </c>
      <c r="G1001" s="2">
        <v>150</v>
      </c>
      <c r="H1001" t="str">
        <f>"TRANS OF PROCEEDINGS 16-18043"</f>
        <v>TRANS OF PROCEEDINGS 16-18043</v>
      </c>
    </row>
    <row r="1002" spans="1:8" x14ac:dyDescent="0.25">
      <c r="A1002" t="s">
        <v>365</v>
      </c>
      <c r="B1002">
        <v>999999</v>
      </c>
      <c r="C1002" s="3">
        <v>3888.82</v>
      </c>
      <c r="D1002" s="1">
        <v>43354</v>
      </c>
      <c r="E1002" t="str">
        <f>"IN0808069"</f>
        <v>IN0808069</v>
      </c>
      <c r="F1002" t="str">
        <f>"INV IN0808069"</f>
        <v>INV IN0808069</v>
      </c>
      <c r="G1002" s="2">
        <v>3888.82</v>
      </c>
      <c r="H1002" t="str">
        <f>"INV IN0808069"</f>
        <v>INV IN0808069</v>
      </c>
    </row>
    <row r="1003" spans="1:8" x14ac:dyDescent="0.25">
      <c r="A1003" t="s">
        <v>365</v>
      </c>
      <c r="B1003">
        <v>999999</v>
      </c>
      <c r="C1003" s="3">
        <v>4318.07</v>
      </c>
      <c r="D1003" s="1">
        <v>43368</v>
      </c>
      <c r="E1003" t="str">
        <f>"IN0808601 IN080696"</f>
        <v>IN0808601 IN080696</v>
      </c>
      <c r="F1003" t="str">
        <f>"INV IN0808601"</f>
        <v>INV IN0808601</v>
      </c>
      <c r="G1003" s="2">
        <v>4318.07</v>
      </c>
      <c r="H1003" t="str">
        <f>"INV IN0808601"</f>
        <v>INV IN0808601</v>
      </c>
    </row>
    <row r="1004" spans="1:8" x14ac:dyDescent="0.25">
      <c r="E1004" t="str">
        <f>""</f>
        <v/>
      </c>
      <c r="F1004" t="str">
        <f>""</f>
        <v/>
      </c>
      <c r="H1004" t="str">
        <f>"INV IN0806964"</f>
        <v>INV IN0806964</v>
      </c>
    </row>
    <row r="1005" spans="1:8" x14ac:dyDescent="0.25">
      <c r="E1005" t="str">
        <f>""</f>
        <v/>
      </c>
      <c r="F1005" t="str">
        <f>""</f>
        <v/>
      </c>
      <c r="H1005" t="str">
        <f>"INV IN0808256"</f>
        <v>INV IN0808256</v>
      </c>
    </row>
    <row r="1006" spans="1:8" x14ac:dyDescent="0.25">
      <c r="A1006" t="s">
        <v>366</v>
      </c>
      <c r="B1006">
        <v>78779</v>
      </c>
      <c r="C1006" s="3">
        <v>395</v>
      </c>
      <c r="D1006" s="1">
        <v>43367</v>
      </c>
      <c r="E1006" t="str">
        <f>"I11256"</f>
        <v>I11256</v>
      </c>
      <c r="F1006" t="str">
        <f>"NotePage Renewal"</f>
        <v>NotePage Renewal</v>
      </c>
      <c r="G1006" s="2">
        <v>395</v>
      </c>
      <c r="H1006" t="str">
        <f>"NotePage Renewal"</f>
        <v>NotePage Renewal</v>
      </c>
    </row>
    <row r="1007" spans="1:8" x14ac:dyDescent="0.25">
      <c r="A1007" t="s">
        <v>367</v>
      </c>
      <c r="B1007">
        <v>999999</v>
      </c>
      <c r="C1007" s="3">
        <v>463.64</v>
      </c>
      <c r="D1007" s="1">
        <v>43354</v>
      </c>
      <c r="E1007" t="str">
        <f>"201809043275"</f>
        <v>201809043275</v>
      </c>
      <c r="F1007" t="str">
        <f>"CUST#99088/PCT#4"</f>
        <v>CUST#99088/PCT#4</v>
      </c>
      <c r="G1007" s="2">
        <v>463.64</v>
      </c>
      <c r="H1007" t="str">
        <f>"CUST#99088/PCT#4"</f>
        <v>CUST#99088/PCT#4</v>
      </c>
    </row>
    <row r="1008" spans="1:8" x14ac:dyDescent="0.25">
      <c r="A1008" t="s">
        <v>367</v>
      </c>
      <c r="B1008">
        <v>999999</v>
      </c>
      <c r="C1008" s="3">
        <v>505.36</v>
      </c>
      <c r="D1008" s="1">
        <v>43368</v>
      </c>
      <c r="E1008" t="str">
        <f>"0581-390873"</f>
        <v>0581-390873</v>
      </c>
      <c r="F1008" t="str">
        <f>"INV 0581-390873 / UN 9379"</f>
        <v>INV 0581-390873 / UN 9379</v>
      </c>
      <c r="G1008" s="2">
        <v>25.99</v>
      </c>
      <c r="H1008" t="str">
        <f>"INV 0581-390873 / UN 9379"</f>
        <v>INV 0581-390873 / UN 9379</v>
      </c>
    </row>
    <row r="1009" spans="1:8" x14ac:dyDescent="0.25">
      <c r="E1009" t="str">
        <f>"201809113685"</f>
        <v>201809113685</v>
      </c>
      <c r="F1009" t="str">
        <f>"CUST#99088/PCT#4"</f>
        <v>CUST#99088/PCT#4</v>
      </c>
      <c r="G1009" s="2">
        <v>479.37</v>
      </c>
      <c r="H1009" t="str">
        <f>"CUST#99088/PCT#4"</f>
        <v>CUST#99088/PCT#4</v>
      </c>
    </row>
    <row r="1010" spans="1:8" x14ac:dyDescent="0.25">
      <c r="A1010" t="s">
        <v>368</v>
      </c>
      <c r="B1010">
        <v>78589</v>
      </c>
      <c r="C1010" s="3">
        <v>1424.6</v>
      </c>
      <c r="D1010" s="1">
        <v>43353</v>
      </c>
      <c r="E1010" t="str">
        <f>"1331660 1335705 ++"</f>
        <v>1331660 1335705 ++</v>
      </c>
      <c r="F1010" t="str">
        <f>"INV 1331660/1335705/401.."</f>
        <v>INV 1331660/1335705/401..</v>
      </c>
      <c r="G1010" s="2">
        <v>1424.6</v>
      </c>
      <c r="H1010" t="str">
        <f>"INV 1331660"</f>
        <v>INV 1331660</v>
      </c>
    </row>
    <row r="1011" spans="1:8" x14ac:dyDescent="0.25">
      <c r="E1011" t="str">
        <f>""</f>
        <v/>
      </c>
      <c r="F1011" t="str">
        <f>""</f>
        <v/>
      </c>
      <c r="H1011" t="str">
        <f>"INV 1335705"</f>
        <v>INV 1335705</v>
      </c>
    </row>
    <row r="1012" spans="1:8" x14ac:dyDescent="0.25">
      <c r="E1012" t="str">
        <f>""</f>
        <v/>
      </c>
      <c r="F1012" t="str">
        <f>""</f>
        <v/>
      </c>
      <c r="H1012" t="str">
        <f>"INV 40155909"</f>
        <v>INV 40155909</v>
      </c>
    </row>
    <row r="1013" spans="1:8" x14ac:dyDescent="0.25">
      <c r="E1013" t="str">
        <f>""</f>
        <v/>
      </c>
      <c r="F1013" t="str">
        <f>""</f>
        <v/>
      </c>
      <c r="H1013" t="str">
        <f>"INV 1345952"</f>
        <v>INV 1345952</v>
      </c>
    </row>
    <row r="1014" spans="1:8" x14ac:dyDescent="0.25">
      <c r="E1014" t="str">
        <f>""</f>
        <v/>
      </c>
      <c r="F1014" t="str">
        <f>""</f>
        <v/>
      </c>
      <c r="H1014" t="str">
        <f>"INV 122000948"</f>
        <v>INV 122000948</v>
      </c>
    </row>
    <row r="1015" spans="1:8" x14ac:dyDescent="0.25">
      <c r="E1015" t="str">
        <f>""</f>
        <v/>
      </c>
      <c r="F1015" t="str">
        <f>""</f>
        <v/>
      </c>
      <c r="H1015" t="str">
        <f>"INV 1342946"</f>
        <v>INV 1342946</v>
      </c>
    </row>
    <row r="1016" spans="1:8" x14ac:dyDescent="0.25">
      <c r="E1016" t="str">
        <f>""</f>
        <v/>
      </c>
      <c r="F1016" t="str">
        <f>""</f>
        <v/>
      </c>
      <c r="H1016" t="str">
        <f>"INV 122001178"</f>
        <v>INV 122001178</v>
      </c>
    </row>
    <row r="1017" spans="1:8" x14ac:dyDescent="0.25">
      <c r="A1017" t="s">
        <v>368</v>
      </c>
      <c r="B1017">
        <v>78780</v>
      </c>
      <c r="C1017" s="3">
        <v>1190</v>
      </c>
      <c r="D1017" s="1">
        <v>43367</v>
      </c>
      <c r="E1017" t="str">
        <f>"1331660 1358180 ++"</f>
        <v>1331660 1358180 ++</v>
      </c>
      <c r="F1017" t="str">
        <f>"INV 1331660"</f>
        <v>INV 1331660</v>
      </c>
      <c r="G1017" s="2">
        <v>1190</v>
      </c>
      <c r="H1017" t="str">
        <f>"INV 1331660"</f>
        <v>INV 1331660</v>
      </c>
    </row>
    <row r="1018" spans="1:8" x14ac:dyDescent="0.25">
      <c r="E1018" t="str">
        <f>""</f>
        <v/>
      </c>
      <c r="F1018" t="str">
        <f>""</f>
        <v/>
      </c>
      <c r="H1018" t="str">
        <f>"INV 122001285"</f>
        <v>INV 122001285</v>
      </c>
    </row>
    <row r="1019" spans="1:8" x14ac:dyDescent="0.25">
      <c r="E1019" t="str">
        <f>""</f>
        <v/>
      </c>
      <c r="F1019" t="str">
        <f>""</f>
        <v/>
      </c>
      <c r="H1019" t="str">
        <f>"INV 1358180"</f>
        <v>INV 1358180</v>
      </c>
    </row>
    <row r="1020" spans="1:8" x14ac:dyDescent="0.25">
      <c r="E1020" t="str">
        <f>""</f>
        <v/>
      </c>
      <c r="F1020" t="str">
        <f>""</f>
        <v/>
      </c>
      <c r="H1020" t="str">
        <f>"INV 40157182"</f>
        <v>INV 40157182</v>
      </c>
    </row>
    <row r="1021" spans="1:8" x14ac:dyDescent="0.25">
      <c r="E1021" t="str">
        <f>""</f>
        <v/>
      </c>
      <c r="F1021" t="str">
        <f>""</f>
        <v/>
      </c>
      <c r="H1021" t="str">
        <f>"INV 122001441"</f>
        <v>INV 122001441</v>
      </c>
    </row>
    <row r="1022" spans="1:8" x14ac:dyDescent="0.25">
      <c r="E1022" t="str">
        <f>""</f>
        <v/>
      </c>
      <c r="F1022" t="str">
        <f>""</f>
        <v/>
      </c>
      <c r="H1022" t="str">
        <f>"INV 1366246"</f>
        <v>INV 1366246</v>
      </c>
    </row>
    <row r="1023" spans="1:8" x14ac:dyDescent="0.25">
      <c r="A1023" t="s">
        <v>369</v>
      </c>
      <c r="B1023">
        <v>78590</v>
      </c>
      <c r="C1023" s="3">
        <v>3243.81</v>
      </c>
      <c r="D1023" s="1">
        <v>43353</v>
      </c>
      <c r="E1023" t="str">
        <f>"201809043290"</f>
        <v>201809043290</v>
      </c>
      <c r="F1023" t="str">
        <f>"Bill# 10047928"</f>
        <v>Bill# 10047928</v>
      </c>
      <c r="G1023" s="2">
        <v>3243.81</v>
      </c>
      <c r="H1023" t="str">
        <f>"Ord# 190294687001"</f>
        <v>Ord# 190294687001</v>
      </c>
    </row>
    <row r="1024" spans="1:8" x14ac:dyDescent="0.25">
      <c r="E1024" t="str">
        <f>""</f>
        <v/>
      </c>
      <c r="F1024" t="str">
        <f>""</f>
        <v/>
      </c>
      <c r="H1024" t="str">
        <f>"Ord# 190298433001"</f>
        <v>Ord# 190298433001</v>
      </c>
    </row>
    <row r="1025" spans="5:8" x14ac:dyDescent="0.25">
      <c r="E1025" t="str">
        <f>""</f>
        <v/>
      </c>
      <c r="F1025" t="str">
        <f>""</f>
        <v/>
      </c>
      <c r="H1025" t="str">
        <f>"Ord# 196288678001"</f>
        <v>Ord# 196288678001</v>
      </c>
    </row>
    <row r="1026" spans="5:8" x14ac:dyDescent="0.25">
      <c r="E1026" t="str">
        <f>""</f>
        <v/>
      </c>
      <c r="F1026" t="str">
        <f>""</f>
        <v/>
      </c>
      <c r="H1026" t="str">
        <f>"Ord# 194296246001"</f>
        <v>Ord# 194296246001</v>
      </c>
    </row>
    <row r="1027" spans="5:8" x14ac:dyDescent="0.25">
      <c r="E1027" t="str">
        <f>""</f>
        <v/>
      </c>
      <c r="F1027" t="str">
        <f>""</f>
        <v/>
      </c>
      <c r="H1027" t="str">
        <f>"Ord# 193769965001"</f>
        <v>Ord# 193769965001</v>
      </c>
    </row>
    <row r="1028" spans="5:8" x14ac:dyDescent="0.25">
      <c r="E1028" t="str">
        <f>""</f>
        <v/>
      </c>
      <c r="F1028" t="str">
        <f>""</f>
        <v/>
      </c>
      <c r="H1028" t="str">
        <f>"Ord# 194296246001"</f>
        <v>Ord# 194296246001</v>
      </c>
    </row>
    <row r="1029" spans="5:8" x14ac:dyDescent="0.25">
      <c r="E1029" t="str">
        <f>""</f>
        <v/>
      </c>
      <c r="F1029" t="str">
        <f>""</f>
        <v/>
      </c>
      <c r="H1029" t="str">
        <f>"Ord# 194554511001"</f>
        <v>Ord# 194554511001</v>
      </c>
    </row>
    <row r="1030" spans="5:8" x14ac:dyDescent="0.25">
      <c r="E1030" t="str">
        <f>""</f>
        <v/>
      </c>
      <c r="F1030" t="str">
        <f>""</f>
        <v/>
      </c>
      <c r="H1030" t="str">
        <f>"Ord# 194565101001"</f>
        <v>Ord# 194565101001</v>
      </c>
    </row>
    <row r="1031" spans="5:8" x14ac:dyDescent="0.25">
      <c r="E1031" t="str">
        <f>""</f>
        <v/>
      </c>
      <c r="F1031" t="str">
        <f>""</f>
        <v/>
      </c>
      <c r="H1031" t="str">
        <f>"Ord# 196017954001"</f>
        <v>Ord# 196017954001</v>
      </c>
    </row>
    <row r="1032" spans="5:8" x14ac:dyDescent="0.25">
      <c r="E1032" t="str">
        <f>""</f>
        <v/>
      </c>
      <c r="F1032" t="str">
        <f>""</f>
        <v/>
      </c>
      <c r="H1032" t="str">
        <f>"Ord# 196017955001"</f>
        <v>Ord# 196017955001</v>
      </c>
    </row>
    <row r="1033" spans="5:8" x14ac:dyDescent="0.25">
      <c r="E1033" t="str">
        <f>""</f>
        <v/>
      </c>
      <c r="F1033" t="str">
        <f>""</f>
        <v/>
      </c>
      <c r="H1033" t="str">
        <f>"Ord# 196017956001"</f>
        <v>Ord# 196017956001</v>
      </c>
    </row>
    <row r="1034" spans="5:8" x14ac:dyDescent="0.25">
      <c r="E1034" t="str">
        <f>""</f>
        <v/>
      </c>
      <c r="F1034" t="str">
        <f>""</f>
        <v/>
      </c>
      <c r="H1034" t="str">
        <f>"Ord# 196017957001"</f>
        <v>Ord# 196017957001</v>
      </c>
    </row>
    <row r="1035" spans="5:8" x14ac:dyDescent="0.25">
      <c r="E1035" t="str">
        <f>""</f>
        <v/>
      </c>
      <c r="F1035" t="str">
        <f>""</f>
        <v/>
      </c>
      <c r="H1035" t="str">
        <f>"Ord# 196017958001"</f>
        <v>Ord# 196017958001</v>
      </c>
    </row>
    <row r="1036" spans="5:8" x14ac:dyDescent="0.25">
      <c r="E1036" t="str">
        <f>""</f>
        <v/>
      </c>
      <c r="F1036" t="str">
        <f>""</f>
        <v/>
      </c>
      <c r="H1036" t="str">
        <f>"Ord# 196017959001"</f>
        <v>Ord# 196017959001</v>
      </c>
    </row>
    <row r="1037" spans="5:8" x14ac:dyDescent="0.25">
      <c r="E1037" t="str">
        <f>""</f>
        <v/>
      </c>
      <c r="F1037" t="str">
        <f>""</f>
        <v/>
      </c>
      <c r="H1037" t="str">
        <f>"Ord# 196017963001"</f>
        <v>Ord# 196017963001</v>
      </c>
    </row>
    <row r="1038" spans="5:8" x14ac:dyDescent="0.25">
      <c r="E1038" t="str">
        <f>""</f>
        <v/>
      </c>
      <c r="F1038" t="str">
        <f>""</f>
        <v/>
      </c>
      <c r="H1038" t="str">
        <f>"Ord# 189630985001"</f>
        <v>Ord# 189630985001</v>
      </c>
    </row>
    <row r="1039" spans="5:8" x14ac:dyDescent="0.25">
      <c r="E1039" t="str">
        <f>""</f>
        <v/>
      </c>
      <c r="F1039" t="str">
        <f>""</f>
        <v/>
      </c>
      <c r="H1039" t="str">
        <f>"Ord# 195209128001"</f>
        <v>Ord# 195209128001</v>
      </c>
    </row>
    <row r="1040" spans="5:8" x14ac:dyDescent="0.25">
      <c r="E1040" t="str">
        <f>""</f>
        <v/>
      </c>
      <c r="F1040" t="str">
        <f>""</f>
        <v/>
      </c>
      <c r="H1040" t="str">
        <f>"Ord# 187603747001"</f>
        <v>Ord# 187603747001</v>
      </c>
    </row>
    <row r="1041" spans="1:8" x14ac:dyDescent="0.25">
      <c r="E1041" t="str">
        <f>""</f>
        <v/>
      </c>
      <c r="F1041" t="str">
        <f>""</f>
        <v/>
      </c>
      <c r="H1041" t="str">
        <f>"Ord# 187964375001"</f>
        <v>Ord# 187964375001</v>
      </c>
    </row>
    <row r="1042" spans="1:8" x14ac:dyDescent="0.25">
      <c r="E1042" t="str">
        <f>""</f>
        <v/>
      </c>
      <c r="F1042" t="str">
        <f>""</f>
        <v/>
      </c>
      <c r="H1042" t="str">
        <f>"Ord# 196136544001"</f>
        <v>Ord# 196136544001</v>
      </c>
    </row>
    <row r="1043" spans="1:8" x14ac:dyDescent="0.25">
      <c r="E1043" t="str">
        <f>""</f>
        <v/>
      </c>
      <c r="F1043" t="str">
        <f>""</f>
        <v/>
      </c>
      <c r="H1043" t="str">
        <f>"Ord# 196146659001"</f>
        <v>Ord# 196146659001</v>
      </c>
    </row>
    <row r="1044" spans="1:8" x14ac:dyDescent="0.25">
      <c r="E1044" t="str">
        <f>""</f>
        <v/>
      </c>
      <c r="F1044" t="str">
        <f>""</f>
        <v/>
      </c>
      <c r="H1044" t="str">
        <f>"Ord# 18769864001"</f>
        <v>Ord# 18769864001</v>
      </c>
    </row>
    <row r="1045" spans="1:8" x14ac:dyDescent="0.25">
      <c r="E1045" t="str">
        <f>""</f>
        <v/>
      </c>
      <c r="F1045" t="str">
        <f>""</f>
        <v/>
      </c>
      <c r="H1045" t="str">
        <f>"Ord# 187698868001"</f>
        <v>Ord# 187698868001</v>
      </c>
    </row>
    <row r="1046" spans="1:8" x14ac:dyDescent="0.25">
      <c r="E1046" t="str">
        <f>""</f>
        <v/>
      </c>
      <c r="F1046" t="str">
        <f>""</f>
        <v/>
      </c>
      <c r="H1046" t="str">
        <f>"Ord# 194274834001"</f>
        <v>Ord# 194274834001</v>
      </c>
    </row>
    <row r="1047" spans="1:8" x14ac:dyDescent="0.25">
      <c r="E1047" t="str">
        <f>""</f>
        <v/>
      </c>
      <c r="F1047" t="str">
        <f>""</f>
        <v/>
      </c>
      <c r="H1047" t="str">
        <f>"Ord# 187664573001"</f>
        <v>Ord# 187664573001</v>
      </c>
    </row>
    <row r="1048" spans="1:8" x14ac:dyDescent="0.25">
      <c r="E1048" t="str">
        <f>""</f>
        <v/>
      </c>
      <c r="F1048" t="str">
        <f>""</f>
        <v/>
      </c>
      <c r="H1048" t="str">
        <f>"Ord# 189114803001"</f>
        <v>Ord# 189114803001</v>
      </c>
    </row>
    <row r="1049" spans="1:8" x14ac:dyDescent="0.25">
      <c r="E1049" t="str">
        <f>""</f>
        <v/>
      </c>
      <c r="F1049" t="str">
        <f>""</f>
        <v/>
      </c>
      <c r="H1049" t="str">
        <f>"Ord# 190001923001"</f>
        <v>Ord# 190001923001</v>
      </c>
    </row>
    <row r="1050" spans="1:8" x14ac:dyDescent="0.25">
      <c r="E1050" t="str">
        <f>""</f>
        <v/>
      </c>
      <c r="F1050" t="str">
        <f>""</f>
        <v/>
      </c>
      <c r="H1050" t="str">
        <f>"Ord# 190003080001"</f>
        <v>Ord# 190003080001</v>
      </c>
    </row>
    <row r="1051" spans="1:8" x14ac:dyDescent="0.25">
      <c r="E1051" t="str">
        <f>""</f>
        <v/>
      </c>
      <c r="F1051" t="str">
        <f>""</f>
        <v/>
      </c>
      <c r="H1051" t="str">
        <f>"Ord# 196226318001"</f>
        <v>Ord# 196226318001</v>
      </c>
    </row>
    <row r="1052" spans="1:8" x14ac:dyDescent="0.25">
      <c r="E1052" t="str">
        <f>""</f>
        <v/>
      </c>
      <c r="F1052" t="str">
        <f>""</f>
        <v/>
      </c>
      <c r="H1052" t="str">
        <f>"Ord# 190143932001"</f>
        <v>Ord# 190143932001</v>
      </c>
    </row>
    <row r="1053" spans="1:8" x14ac:dyDescent="0.25">
      <c r="A1053" t="s">
        <v>370</v>
      </c>
      <c r="B1053">
        <v>78591</v>
      </c>
      <c r="C1053" s="3">
        <v>847.8</v>
      </c>
      <c r="D1053" s="1">
        <v>43353</v>
      </c>
      <c r="E1053" t="str">
        <f>"17816"</f>
        <v>17816</v>
      </c>
      <c r="F1053" t="str">
        <f>"PLUMBING SVCS/BOOT CAMP"</f>
        <v>PLUMBING SVCS/BOOT CAMP</v>
      </c>
      <c r="G1053" s="2">
        <v>255</v>
      </c>
      <c r="H1053" t="str">
        <f>"PLUMBING SVCS/BOOT CAMP"</f>
        <v>PLUMBING SVCS/BOOT CAMP</v>
      </c>
    </row>
    <row r="1054" spans="1:8" x14ac:dyDescent="0.25">
      <c r="E1054" t="str">
        <f>"17946"</f>
        <v>17946</v>
      </c>
      <c r="F1054" t="str">
        <f>"PLUMBING-ANNEX BLDG/GEN SVCS"</f>
        <v>PLUMBING-ANNEX BLDG/GEN SVCS</v>
      </c>
      <c r="G1054" s="2">
        <v>592.79999999999995</v>
      </c>
      <c r="H1054" t="str">
        <f>"PLUMBING-ANNEX BLDG/GEN SVCS"</f>
        <v>PLUMBING-ANNEX BLDG/GEN SVCS</v>
      </c>
    </row>
    <row r="1055" spans="1:8" x14ac:dyDescent="0.25">
      <c r="A1055" t="s">
        <v>370</v>
      </c>
      <c r="B1055">
        <v>78781</v>
      </c>
      <c r="C1055" s="3">
        <v>252</v>
      </c>
      <c r="D1055" s="1">
        <v>43367</v>
      </c>
      <c r="E1055" t="str">
        <f>"18058"</f>
        <v>18058</v>
      </c>
      <c r="F1055" t="str">
        <f>"PLUMBING/LABOR/MATERIALS/GS"</f>
        <v>PLUMBING/LABOR/MATERIALS/GS</v>
      </c>
      <c r="G1055" s="2">
        <v>252</v>
      </c>
      <c r="H1055" t="str">
        <f>"PLUMBING/LABOR/MATERIALS/GS"</f>
        <v>PLUMBING/LABOR/MATERIALS/GS</v>
      </c>
    </row>
    <row r="1056" spans="1:8" x14ac:dyDescent="0.25">
      <c r="A1056" t="s">
        <v>371</v>
      </c>
      <c r="B1056">
        <v>78592</v>
      </c>
      <c r="C1056" s="3">
        <v>4441.66</v>
      </c>
      <c r="D1056" s="1">
        <v>43353</v>
      </c>
      <c r="E1056" t="str">
        <f>"288636"</f>
        <v>288636</v>
      </c>
      <c r="F1056" t="str">
        <f>"INV 288636"</f>
        <v>INV 288636</v>
      </c>
      <c r="G1056" s="2">
        <v>4441.66</v>
      </c>
      <c r="H1056" t="str">
        <f>"INV 288636"</f>
        <v>INV 288636</v>
      </c>
    </row>
    <row r="1057" spans="1:8" x14ac:dyDescent="0.25">
      <c r="A1057" t="s">
        <v>372</v>
      </c>
      <c r="B1057">
        <v>78593</v>
      </c>
      <c r="C1057" s="3">
        <v>44</v>
      </c>
      <c r="D1057" s="1">
        <v>43353</v>
      </c>
      <c r="E1057" t="str">
        <f>"63458"</f>
        <v>63458</v>
      </c>
      <c r="F1057" t="str">
        <f>"STIHL CHAINSAW/PCT#2"</f>
        <v>STIHL CHAINSAW/PCT#2</v>
      </c>
      <c r="G1057" s="2">
        <v>44</v>
      </c>
      <c r="H1057" t="str">
        <f>"STIHL CHAINSAW/PCT#2"</f>
        <v>STIHL CHAINSAW/PCT#2</v>
      </c>
    </row>
    <row r="1058" spans="1:8" x14ac:dyDescent="0.25">
      <c r="A1058" t="s">
        <v>373</v>
      </c>
      <c r="B1058">
        <v>78594</v>
      </c>
      <c r="C1058" s="3">
        <v>75</v>
      </c>
      <c r="D1058" s="1">
        <v>43353</v>
      </c>
      <c r="E1058" t="str">
        <f>"13010"</f>
        <v>13010</v>
      </c>
      <c r="F1058" t="str">
        <f>"SERVICE"</f>
        <v>SERVICE</v>
      </c>
      <c r="G1058" s="2">
        <v>75</v>
      </c>
      <c r="H1058" t="str">
        <f>"SERVICE"</f>
        <v>SERVICE</v>
      </c>
    </row>
    <row r="1059" spans="1:8" x14ac:dyDescent="0.25">
      <c r="A1059" t="s">
        <v>374</v>
      </c>
      <c r="B1059">
        <v>78782</v>
      </c>
      <c r="C1059" s="3">
        <v>91.97</v>
      </c>
      <c r="D1059" s="1">
        <v>43367</v>
      </c>
      <c r="E1059" t="str">
        <f>"201809113682"</f>
        <v>201809113682</v>
      </c>
      <c r="F1059" t="str">
        <f>"ACCT#1137/PCT#4"</f>
        <v>ACCT#1137/PCT#4</v>
      </c>
      <c r="G1059" s="2">
        <v>91.97</v>
      </c>
      <c r="H1059" t="str">
        <f>"ACCT#1137/PCT#4"</f>
        <v>ACCT#1137/PCT#4</v>
      </c>
    </row>
    <row r="1060" spans="1:8" x14ac:dyDescent="0.25">
      <c r="A1060" t="s">
        <v>375</v>
      </c>
      <c r="B1060">
        <v>78595</v>
      </c>
      <c r="C1060" s="3">
        <v>125</v>
      </c>
      <c r="D1060" s="1">
        <v>43353</v>
      </c>
      <c r="E1060" t="str">
        <f>"201809053412"</f>
        <v>201809053412</v>
      </c>
      <c r="F1060" t="str">
        <f>"REFUND ADOPTION FEE"</f>
        <v>REFUND ADOPTION FEE</v>
      </c>
      <c r="G1060" s="2">
        <v>125</v>
      </c>
      <c r="H1060" t="str">
        <f>"REFUND ADOPTION FEE"</f>
        <v>REFUND ADOPTION FEE</v>
      </c>
    </row>
    <row r="1061" spans="1:8" x14ac:dyDescent="0.25">
      <c r="A1061" t="s">
        <v>376</v>
      </c>
      <c r="B1061">
        <v>78596</v>
      </c>
      <c r="C1061" s="3">
        <v>1321.54</v>
      </c>
      <c r="D1061" s="1">
        <v>43353</v>
      </c>
      <c r="E1061" t="str">
        <f>"201809053423"</f>
        <v>201809053423</v>
      </c>
      <c r="F1061" t="str">
        <f>"ACCT#0200140783"</f>
        <v>ACCT#0200140783</v>
      </c>
      <c r="G1061" s="2">
        <v>1321.54</v>
      </c>
      <c r="H1061" t="str">
        <f>"ACCT#0200140783"</f>
        <v>ACCT#0200140783</v>
      </c>
    </row>
    <row r="1062" spans="1:8" x14ac:dyDescent="0.25">
      <c r="E1062" t="str">
        <f>""</f>
        <v/>
      </c>
      <c r="F1062" t="str">
        <f>""</f>
        <v/>
      </c>
      <c r="H1062" t="str">
        <f>"ACCT#0200140783"</f>
        <v>ACCT#0200140783</v>
      </c>
    </row>
    <row r="1063" spans="1:8" x14ac:dyDescent="0.25">
      <c r="A1063" t="s">
        <v>377</v>
      </c>
      <c r="B1063">
        <v>78783</v>
      </c>
      <c r="C1063" s="3">
        <v>19.399999999999999</v>
      </c>
      <c r="D1063" s="1">
        <v>43367</v>
      </c>
      <c r="E1063" t="str">
        <f>"SIUN12251978"</f>
        <v>SIUN12251978</v>
      </c>
      <c r="F1063" t="str">
        <f>"ACCT#CUN000000233/NON24PWR-ADO"</f>
        <v>ACCT#CUN000000233/NON24PWR-ADO</v>
      </c>
      <c r="G1063" s="2">
        <v>19.399999999999999</v>
      </c>
      <c r="H1063" t="str">
        <f>"ACCT#CUN000000233/NON24PWR-ADO"</f>
        <v>ACCT#CUN000000233/NON24PWR-ADO</v>
      </c>
    </row>
    <row r="1064" spans="1:8" x14ac:dyDescent="0.25">
      <c r="A1064" t="s">
        <v>378</v>
      </c>
      <c r="B1064">
        <v>78784</v>
      </c>
      <c r="C1064" s="3">
        <v>196.12</v>
      </c>
      <c r="D1064" s="1">
        <v>43367</v>
      </c>
      <c r="E1064" t="str">
        <f>"201809193873"</f>
        <v>201809193873</v>
      </c>
      <c r="F1064" t="str">
        <f>"INDIGENT HEALTH"</f>
        <v>INDIGENT HEALTH</v>
      </c>
      <c r="G1064" s="2">
        <v>196.12</v>
      </c>
      <c r="H1064" t="str">
        <f>"INDIGENT HEALTH"</f>
        <v>INDIGENT HEALTH</v>
      </c>
    </row>
    <row r="1065" spans="1:8" x14ac:dyDescent="0.25">
      <c r="A1065" t="s">
        <v>379</v>
      </c>
      <c r="B1065">
        <v>78597</v>
      </c>
      <c r="C1065" s="3">
        <v>135</v>
      </c>
      <c r="D1065" s="1">
        <v>43353</v>
      </c>
      <c r="E1065" t="str">
        <f>"201808303147"</f>
        <v>201808303147</v>
      </c>
      <c r="F1065" t="str">
        <f>"TRAVEL ADVANCE-PER DIEM"</f>
        <v>TRAVEL ADVANCE-PER DIEM</v>
      </c>
      <c r="G1065" s="2">
        <v>135</v>
      </c>
      <c r="H1065" t="str">
        <f>"TRAVEL ADVANCE-PER DIEM"</f>
        <v>TRAVEL ADVANCE-PER DIEM</v>
      </c>
    </row>
    <row r="1066" spans="1:8" x14ac:dyDescent="0.25">
      <c r="A1066" t="s">
        <v>380</v>
      </c>
      <c r="B1066">
        <v>999999</v>
      </c>
      <c r="C1066" s="3">
        <v>2355</v>
      </c>
      <c r="D1066" s="1">
        <v>43354</v>
      </c>
      <c r="E1066" t="str">
        <f>"201809053300"</f>
        <v>201809053300</v>
      </c>
      <c r="F1066" t="str">
        <f>"J-3146"</f>
        <v>J-3146</v>
      </c>
      <c r="G1066" s="2">
        <v>250</v>
      </c>
      <c r="H1066" t="str">
        <f>"J-3146"</f>
        <v>J-3146</v>
      </c>
    </row>
    <row r="1067" spans="1:8" x14ac:dyDescent="0.25">
      <c r="E1067" t="str">
        <f>"201809053316"</f>
        <v>201809053316</v>
      </c>
      <c r="F1067" t="str">
        <f>"17-18617"</f>
        <v>17-18617</v>
      </c>
      <c r="G1067" s="2">
        <v>190</v>
      </c>
      <c r="H1067" t="str">
        <f>"17-18617"</f>
        <v>17-18617</v>
      </c>
    </row>
    <row r="1068" spans="1:8" x14ac:dyDescent="0.25">
      <c r="E1068" t="str">
        <f>"201809053317"</f>
        <v>201809053317</v>
      </c>
      <c r="F1068" t="str">
        <f>"17-18119"</f>
        <v>17-18119</v>
      </c>
      <c r="G1068" s="2">
        <v>190</v>
      </c>
      <c r="H1068" t="str">
        <f>"17-18119"</f>
        <v>17-18119</v>
      </c>
    </row>
    <row r="1069" spans="1:8" x14ac:dyDescent="0.25">
      <c r="E1069" t="str">
        <f>"201809053318"</f>
        <v>201809053318</v>
      </c>
      <c r="F1069" t="str">
        <f>"17-18718"</f>
        <v>17-18718</v>
      </c>
      <c r="G1069" s="2">
        <v>310</v>
      </c>
      <c r="H1069" t="str">
        <f>"17-18718"</f>
        <v>17-18718</v>
      </c>
    </row>
    <row r="1070" spans="1:8" x14ac:dyDescent="0.25">
      <c r="E1070" t="str">
        <f>"201809053319"</f>
        <v>201809053319</v>
      </c>
      <c r="F1070" t="str">
        <f>"18-18908"</f>
        <v>18-18908</v>
      </c>
      <c r="G1070" s="2">
        <v>415</v>
      </c>
      <c r="H1070" t="str">
        <f>"18-18908"</f>
        <v>18-18908</v>
      </c>
    </row>
    <row r="1071" spans="1:8" x14ac:dyDescent="0.25">
      <c r="E1071" t="str">
        <f>"201809053378"</f>
        <v>201809053378</v>
      </c>
      <c r="F1071" t="str">
        <f>"56049"</f>
        <v>56049</v>
      </c>
      <c r="G1071" s="2">
        <v>250</v>
      </c>
      <c r="H1071" t="str">
        <f>"56049"</f>
        <v>56049</v>
      </c>
    </row>
    <row r="1072" spans="1:8" x14ac:dyDescent="0.25">
      <c r="E1072" t="str">
        <f>"201809053379"</f>
        <v>201809053379</v>
      </c>
      <c r="F1072" t="str">
        <f>"56164"</f>
        <v>56164</v>
      </c>
      <c r="G1072" s="2">
        <v>250</v>
      </c>
      <c r="H1072" t="str">
        <f>"56164"</f>
        <v>56164</v>
      </c>
    </row>
    <row r="1073" spans="1:9" x14ac:dyDescent="0.25">
      <c r="E1073" t="str">
        <f>"201809053380"</f>
        <v>201809053380</v>
      </c>
      <c r="F1073" t="str">
        <f>"54689"</f>
        <v>54689</v>
      </c>
      <c r="G1073" s="2">
        <v>250</v>
      </c>
      <c r="H1073" t="str">
        <f>"54689"</f>
        <v>54689</v>
      </c>
    </row>
    <row r="1074" spans="1:9" x14ac:dyDescent="0.25">
      <c r="E1074" t="str">
        <f>"201809053397"</f>
        <v>201809053397</v>
      </c>
      <c r="F1074" t="str">
        <f>"55812"</f>
        <v>55812</v>
      </c>
      <c r="G1074" s="2">
        <v>250</v>
      </c>
      <c r="H1074" t="str">
        <f>"55812"</f>
        <v>55812</v>
      </c>
    </row>
    <row r="1075" spans="1:9" x14ac:dyDescent="0.25">
      <c r="A1075" t="s">
        <v>380</v>
      </c>
      <c r="B1075">
        <v>999999</v>
      </c>
      <c r="C1075" s="3">
        <v>1868</v>
      </c>
      <c r="D1075" s="1">
        <v>43368</v>
      </c>
      <c r="E1075" t="str">
        <f>"201809123708"</f>
        <v>201809123708</v>
      </c>
      <c r="F1075" t="str">
        <f>"18-19166"</f>
        <v>18-19166</v>
      </c>
      <c r="G1075" s="2">
        <v>303</v>
      </c>
      <c r="H1075" t="str">
        <f>"18-19166"</f>
        <v>18-19166</v>
      </c>
    </row>
    <row r="1076" spans="1:9" x14ac:dyDescent="0.25">
      <c r="E1076" t="str">
        <f>"201809123713"</f>
        <v>201809123713</v>
      </c>
      <c r="F1076" t="str">
        <f>"17-18635"</f>
        <v>17-18635</v>
      </c>
      <c r="G1076" s="2">
        <v>1090</v>
      </c>
      <c r="H1076" t="str">
        <f>"17-18635"</f>
        <v>17-18635</v>
      </c>
    </row>
    <row r="1077" spans="1:9" x14ac:dyDescent="0.25">
      <c r="E1077" t="str">
        <f>"201809123714"</f>
        <v>201809123714</v>
      </c>
      <c r="F1077" t="str">
        <f>"18-19130"</f>
        <v>18-19130</v>
      </c>
      <c r="G1077" s="2">
        <v>475</v>
      </c>
      <c r="H1077" t="str">
        <f>"18-19130"</f>
        <v>18-19130</v>
      </c>
    </row>
    <row r="1078" spans="1:9" x14ac:dyDescent="0.25">
      <c r="A1078" t="s">
        <v>381</v>
      </c>
      <c r="B1078">
        <v>78785</v>
      </c>
      <c r="C1078" s="3">
        <v>196</v>
      </c>
      <c r="D1078" s="1">
        <v>43367</v>
      </c>
      <c r="E1078" t="str">
        <f>"206209"</f>
        <v>206209</v>
      </c>
      <c r="F1078" t="str">
        <f>"Elastic Loop Bands"</f>
        <v>Elastic Loop Bands</v>
      </c>
      <c r="G1078" s="2">
        <v>196</v>
      </c>
      <c r="H1078" t="str">
        <f>"Elastic Loop Bands"</f>
        <v>Elastic Loop Bands</v>
      </c>
    </row>
    <row r="1079" spans="1:9" x14ac:dyDescent="0.25">
      <c r="E1079" t="str">
        <f>""</f>
        <v/>
      </c>
      <c r="F1079" t="str">
        <f>""</f>
        <v/>
      </c>
      <c r="H1079" t="str">
        <f>"Shipping"</f>
        <v>Shipping</v>
      </c>
    </row>
    <row r="1080" spans="1:9" x14ac:dyDescent="0.25">
      <c r="A1080" t="s">
        <v>382</v>
      </c>
      <c r="B1080">
        <v>999999</v>
      </c>
      <c r="C1080" s="3">
        <v>195.96</v>
      </c>
      <c r="D1080" s="1">
        <v>43354</v>
      </c>
      <c r="E1080" t="str">
        <f>"3306913615"</f>
        <v>3306913615</v>
      </c>
      <c r="F1080" t="str">
        <f>"ACCT#0010366024/TAX ASSESSOR"</f>
        <v>ACCT#0010366024/TAX ASSESSOR</v>
      </c>
      <c r="G1080" s="2">
        <v>195.96</v>
      </c>
      <c r="H1080" t="str">
        <f>"ACCT#0010366024/TAX ASSESSOR"</f>
        <v>ACCT#0010366024/TAX ASSESSOR</v>
      </c>
    </row>
    <row r="1081" spans="1:9" x14ac:dyDescent="0.25">
      <c r="A1081" t="s">
        <v>382</v>
      </c>
      <c r="B1081">
        <v>999999</v>
      </c>
      <c r="C1081" s="3">
        <v>1579.4</v>
      </c>
      <c r="D1081" s="1">
        <v>43368</v>
      </c>
      <c r="E1081" t="str">
        <f>"3306947879"</f>
        <v>3306947879</v>
      </c>
      <c r="F1081" t="str">
        <f>"INV 3306947879"</f>
        <v>INV 3306947879</v>
      </c>
      <c r="G1081" s="2">
        <v>415.4</v>
      </c>
      <c r="H1081" t="str">
        <f>"INV 3306947879"</f>
        <v>INV 3306947879</v>
      </c>
    </row>
    <row r="1082" spans="1:9" x14ac:dyDescent="0.25">
      <c r="E1082" t="str">
        <f>"3306949553"</f>
        <v>3306949553</v>
      </c>
      <c r="F1082" t="str">
        <f>"ACCT#0017315717/TAX ASSESSOR"</f>
        <v>ACCT#0017315717/TAX ASSESSOR</v>
      </c>
      <c r="G1082" s="2">
        <v>1164</v>
      </c>
      <c r="H1082" t="str">
        <f>"ACCT#0017315717/TAX ASSESSOR"</f>
        <v>ACCT#0017315717/TAX ASSESSOR</v>
      </c>
    </row>
    <row r="1083" spans="1:9" x14ac:dyDescent="0.25">
      <c r="A1083" t="s">
        <v>383</v>
      </c>
      <c r="B1083">
        <v>78598</v>
      </c>
      <c r="C1083" s="3">
        <v>250</v>
      </c>
      <c r="D1083" s="1">
        <v>43353</v>
      </c>
      <c r="E1083" t="str">
        <f>"201809053399"</f>
        <v>201809053399</v>
      </c>
      <c r="F1083" t="str">
        <f>"55 176"</f>
        <v>55 176</v>
      </c>
      <c r="G1083" s="2">
        <v>250</v>
      </c>
      <c r="H1083" t="str">
        <f>"55 176"</f>
        <v>55 176</v>
      </c>
    </row>
    <row r="1084" spans="1:9" x14ac:dyDescent="0.25">
      <c r="A1084" t="s">
        <v>384</v>
      </c>
      <c r="B1084">
        <v>78786</v>
      </c>
      <c r="C1084" s="3">
        <v>3996</v>
      </c>
      <c r="D1084" s="1">
        <v>43367</v>
      </c>
      <c r="E1084" t="str">
        <f>"21809-A"</f>
        <v>21809-A</v>
      </c>
      <c r="F1084" t="str">
        <f>"UPS replacement batteries"</f>
        <v>UPS replacement batteries</v>
      </c>
      <c r="G1084" s="2">
        <v>3996</v>
      </c>
      <c r="H1084" t="str">
        <f>"service Galaxy 3500"</f>
        <v>service Galaxy 3500</v>
      </c>
    </row>
    <row r="1085" spans="1:9" x14ac:dyDescent="0.25">
      <c r="E1085" t="str">
        <f>""</f>
        <v/>
      </c>
      <c r="F1085" t="str">
        <f>""</f>
        <v/>
      </c>
      <c r="H1085" t="str">
        <f>"Service UPS"</f>
        <v>Service UPS</v>
      </c>
    </row>
    <row r="1086" spans="1:9" x14ac:dyDescent="0.25">
      <c r="A1086" t="s">
        <v>385</v>
      </c>
      <c r="B1086">
        <v>78787</v>
      </c>
      <c r="C1086" s="3">
        <v>383.01</v>
      </c>
      <c r="D1086" s="1">
        <v>43367</v>
      </c>
      <c r="E1086" t="str">
        <f>"225575"</f>
        <v>225575</v>
      </c>
      <c r="F1086" t="str">
        <f>"SURGICAL CENTER"</f>
        <v>SURGICAL CENTER</v>
      </c>
      <c r="G1086" s="2">
        <v>383.01</v>
      </c>
      <c r="H1086" t="str">
        <f>"SURGICAL CENTER"</f>
        <v>SURGICAL CENTER</v>
      </c>
    </row>
    <row r="1087" spans="1:9" x14ac:dyDescent="0.25">
      <c r="A1087" t="s">
        <v>386</v>
      </c>
      <c r="B1087">
        <v>78599</v>
      </c>
      <c r="C1087" s="3">
        <v>50</v>
      </c>
      <c r="D1087" s="1">
        <v>43353</v>
      </c>
      <c r="E1087" t="s">
        <v>244</v>
      </c>
      <c r="F1087" t="s">
        <v>245</v>
      </c>
      <c r="G1087" s="2" t="str">
        <f>"RESTITUTION-C. FERRIS"</f>
        <v>RESTITUTION-C. FERRIS</v>
      </c>
      <c r="H1087" t="str">
        <f>"210-0000"</f>
        <v>210-0000</v>
      </c>
      <c r="I1087" t="str">
        <f>""</f>
        <v/>
      </c>
    </row>
    <row r="1088" spans="1:9" x14ac:dyDescent="0.25">
      <c r="E1088" t="s">
        <v>244</v>
      </c>
      <c r="F1088" t="s">
        <v>246</v>
      </c>
      <c r="G1088" s="2" t="str">
        <f>"RESTITUTION-C. FERRIS"</f>
        <v>RESTITUTION-C. FERRIS</v>
      </c>
      <c r="H1088" t="str">
        <f>"210-0000"</f>
        <v>210-0000</v>
      </c>
      <c r="I1088" t="str">
        <f>""</f>
        <v/>
      </c>
    </row>
    <row r="1089" spans="1:9" x14ac:dyDescent="0.25">
      <c r="A1089" t="s">
        <v>387</v>
      </c>
      <c r="B1089">
        <v>78600</v>
      </c>
      <c r="C1089" s="3">
        <v>100</v>
      </c>
      <c r="D1089" s="1">
        <v>43353</v>
      </c>
      <c r="E1089" t="s">
        <v>88</v>
      </c>
      <c r="F1089" t="s">
        <v>388</v>
      </c>
      <c r="G1089" s="2" t="str">
        <f>"RESTITUTION-J. NASH"</f>
        <v>RESTITUTION-J. NASH</v>
      </c>
      <c r="H1089" t="str">
        <f>"210-0000"</f>
        <v>210-0000</v>
      </c>
      <c r="I1089" t="str">
        <f>""</f>
        <v/>
      </c>
    </row>
    <row r="1090" spans="1:9" x14ac:dyDescent="0.25">
      <c r="A1090" t="s">
        <v>389</v>
      </c>
      <c r="B1090">
        <v>78788</v>
      </c>
      <c r="C1090" s="3">
        <v>650</v>
      </c>
      <c r="D1090" s="1">
        <v>43367</v>
      </c>
      <c r="E1090" t="str">
        <f>"230151"</f>
        <v>230151</v>
      </c>
      <c r="F1090" t="str">
        <f>"TRAINING"</f>
        <v>TRAINING</v>
      </c>
      <c r="G1090" s="2">
        <v>650</v>
      </c>
      <c r="H1090" t="str">
        <f>"INV 230151"</f>
        <v>INV 230151</v>
      </c>
    </row>
    <row r="1091" spans="1:9" x14ac:dyDescent="0.25">
      <c r="A1091" t="s">
        <v>390</v>
      </c>
      <c r="B1091">
        <v>78601</v>
      </c>
      <c r="C1091" s="3">
        <v>305</v>
      </c>
      <c r="D1091" s="1">
        <v>43353</v>
      </c>
      <c r="E1091" t="str">
        <f>"12481"</f>
        <v>12481</v>
      </c>
      <c r="F1091" t="str">
        <f>"ELBI-342"</f>
        <v>ELBI-342</v>
      </c>
      <c r="G1091" s="2">
        <v>305</v>
      </c>
      <c r="H1091" t="str">
        <f>"Payment"</f>
        <v>Payment</v>
      </c>
    </row>
    <row r="1092" spans="1:9" x14ac:dyDescent="0.25">
      <c r="A1092" t="s">
        <v>391</v>
      </c>
      <c r="B1092">
        <v>78602</v>
      </c>
      <c r="C1092" s="3">
        <v>114.41</v>
      </c>
      <c r="D1092" s="1">
        <v>43353</v>
      </c>
      <c r="E1092" t="str">
        <f>"201809063444"</f>
        <v>201809063444</v>
      </c>
      <c r="F1092" t="str">
        <f>"INDIGENT HEALTH"</f>
        <v>INDIGENT HEALTH</v>
      </c>
      <c r="G1092" s="2">
        <v>114.41</v>
      </c>
      <c r="H1092" t="str">
        <f>"INDIGENT HEALTH"</f>
        <v>INDIGENT HEALTH</v>
      </c>
    </row>
    <row r="1093" spans="1:9" x14ac:dyDescent="0.25">
      <c r="A1093" t="s">
        <v>392</v>
      </c>
      <c r="B1093">
        <v>78603</v>
      </c>
      <c r="C1093" s="3">
        <v>136004</v>
      </c>
      <c r="D1093" s="1">
        <v>43353</v>
      </c>
      <c r="E1093" t="str">
        <f>"201809043289"</f>
        <v>201809043289</v>
      </c>
      <c r="F1093" t="str">
        <f>"RDO TRUST # 80-5800"</f>
        <v>RDO TRUST # 80-5800</v>
      </c>
      <c r="G1093" s="2">
        <v>136004</v>
      </c>
      <c r="H1093" t="str">
        <f>"RENTAL"</f>
        <v>RENTAL</v>
      </c>
    </row>
    <row r="1094" spans="1:9" x14ac:dyDescent="0.25">
      <c r="E1094" t="str">
        <f>""</f>
        <v/>
      </c>
      <c r="F1094" t="str">
        <f>""</f>
        <v/>
      </c>
      <c r="H1094" t="str">
        <f>"2018 JOHN DEERE 710L"</f>
        <v>2018 JOHN DEERE 710L</v>
      </c>
    </row>
    <row r="1095" spans="1:9" x14ac:dyDescent="0.25">
      <c r="E1095" t="str">
        <f>""</f>
        <v/>
      </c>
      <c r="F1095" t="str">
        <f>""</f>
        <v/>
      </c>
      <c r="H1095" t="str">
        <f>"2018 John Deere 710L"</f>
        <v>2018 John Deere 710L</v>
      </c>
    </row>
    <row r="1096" spans="1:9" x14ac:dyDescent="0.25">
      <c r="E1096" t="str">
        <f>""</f>
        <v/>
      </c>
      <c r="F1096" t="str">
        <f>""</f>
        <v/>
      </c>
      <c r="H1096" t="str">
        <f>"2018 JOHN DEERE 710L"</f>
        <v>2018 JOHN DEERE 710L</v>
      </c>
    </row>
    <row r="1097" spans="1:9" x14ac:dyDescent="0.25">
      <c r="E1097" t="str">
        <f>""</f>
        <v/>
      </c>
      <c r="F1097" t="str">
        <f>""</f>
        <v/>
      </c>
      <c r="H1097" t="str">
        <f>"2018 JOHN DEERE 710L"</f>
        <v>2018 JOHN DEERE 710L</v>
      </c>
    </row>
    <row r="1098" spans="1:9" x14ac:dyDescent="0.25">
      <c r="E1098" t="str">
        <f>""</f>
        <v/>
      </c>
      <c r="F1098" t="str">
        <f>""</f>
        <v/>
      </c>
      <c r="H1098" t="str">
        <f>"2018 JOHN DEERE 710L"</f>
        <v>2018 JOHN DEERE 710L</v>
      </c>
    </row>
    <row r="1099" spans="1:9" x14ac:dyDescent="0.25">
      <c r="A1099" t="s">
        <v>393</v>
      </c>
      <c r="B1099">
        <v>999999</v>
      </c>
      <c r="C1099" s="3">
        <v>91.09</v>
      </c>
      <c r="D1099" s="1">
        <v>43368</v>
      </c>
      <c r="E1099" t="str">
        <f>"18I0121569859"</f>
        <v>18I0121569859</v>
      </c>
      <c r="F1099" t="str">
        <f>"ACCT#0121569859/JP#4"</f>
        <v>ACCT#0121569859/JP#4</v>
      </c>
      <c r="G1099" s="2">
        <v>31.93</v>
      </c>
      <c r="H1099" t="str">
        <f>"ACCT#0121569859/JP#4"</f>
        <v>ACCT#0121569859/JP#4</v>
      </c>
    </row>
    <row r="1100" spans="1:9" x14ac:dyDescent="0.25">
      <c r="E1100" t="str">
        <f>"18I0121587851"</f>
        <v>18I0121587851</v>
      </c>
      <c r="F1100" t="str">
        <f>"ACCT#0121587851/PCT#4"</f>
        <v>ACCT#0121587851/PCT#4</v>
      </c>
      <c r="G1100" s="2">
        <v>59.16</v>
      </c>
      <c r="H1100" t="str">
        <f>"ACCT#0121587851/PCT#4"</f>
        <v>ACCT#0121587851/PCT#4</v>
      </c>
    </row>
    <row r="1101" spans="1:9" x14ac:dyDescent="0.25">
      <c r="A1101" t="s">
        <v>394</v>
      </c>
      <c r="B1101">
        <v>78789</v>
      </c>
      <c r="C1101" s="3">
        <v>450</v>
      </c>
      <c r="D1101" s="1">
        <v>43367</v>
      </c>
      <c r="E1101" t="str">
        <f>"201809193854"</f>
        <v>201809193854</v>
      </c>
      <c r="F1101" t="str">
        <f>"VETERINARY SURGICAL SVCS"</f>
        <v>VETERINARY SURGICAL SVCS</v>
      </c>
      <c r="G1101" s="2">
        <v>450</v>
      </c>
      <c r="H1101" t="str">
        <f>"VETERINARY SURGICAL SVCS"</f>
        <v>VETERINARY SURGICAL SVCS</v>
      </c>
    </row>
    <row r="1102" spans="1:9" x14ac:dyDescent="0.25">
      <c r="A1102" t="s">
        <v>395</v>
      </c>
      <c r="B1102">
        <v>78683</v>
      </c>
      <c r="C1102" s="3">
        <v>3491.5</v>
      </c>
      <c r="D1102" s="1">
        <v>43356</v>
      </c>
      <c r="E1102" t="str">
        <f>"0843-001492416"</f>
        <v>0843-001492416</v>
      </c>
      <c r="F1102" t="str">
        <f>"ACCT#3-0843-1269216/08262018"</f>
        <v>ACCT#3-0843-1269216/08262018</v>
      </c>
      <c r="G1102" s="2">
        <v>638.84</v>
      </c>
      <c r="H1102" t="str">
        <f>"ACCT#3-0843-1269216/08262018"</f>
        <v>ACCT#3-0843-1269216/08262018</v>
      </c>
    </row>
    <row r="1103" spans="1:9" x14ac:dyDescent="0.25">
      <c r="E1103" t="str">
        <f>"0843-001493632"</f>
        <v>0843-001493632</v>
      </c>
      <c r="F1103" t="str">
        <f>"ACCT#0843-001493632/08312018"</f>
        <v>ACCT#0843-001493632/08312018</v>
      </c>
      <c r="G1103" s="2">
        <v>2852.66</v>
      </c>
      <c r="H1103" t="str">
        <f>"ACCT#0843-001493632/08312018"</f>
        <v>ACCT#0843-001493632/08312018</v>
      </c>
    </row>
    <row r="1104" spans="1:9" x14ac:dyDescent="0.25">
      <c r="A1104" t="s">
        <v>396</v>
      </c>
      <c r="B1104">
        <v>78604</v>
      </c>
      <c r="C1104" s="3">
        <v>500</v>
      </c>
      <c r="D1104" s="1">
        <v>43353</v>
      </c>
      <c r="E1104" t="str">
        <f>"0000010559"</f>
        <v>0000010559</v>
      </c>
      <c r="F1104" t="str">
        <f>"WK ORD#0000011584/PCT#4"</f>
        <v>WK ORD#0000011584/PCT#4</v>
      </c>
      <c r="G1104" s="2">
        <v>500</v>
      </c>
      <c r="H1104" t="str">
        <f>"WK ORD#0000011584/PCT#4"</f>
        <v>WK ORD#0000011584/PCT#4</v>
      </c>
    </row>
    <row r="1105" spans="1:8" x14ac:dyDescent="0.25">
      <c r="A1105" t="s">
        <v>397</v>
      </c>
      <c r="B1105">
        <v>78790</v>
      </c>
      <c r="C1105" s="3">
        <v>2500</v>
      </c>
      <c r="D1105" s="1">
        <v>43367</v>
      </c>
      <c r="E1105" t="str">
        <f>"201809183828"</f>
        <v>201809183828</v>
      </c>
      <c r="F1105" t="str">
        <f>"POSTAGE REFILL"</f>
        <v>POSTAGE REFILL</v>
      </c>
      <c r="G1105" s="2">
        <v>2500</v>
      </c>
      <c r="H1105" t="str">
        <f>"POSTAGE REFILL"</f>
        <v>POSTAGE REFILL</v>
      </c>
    </row>
    <row r="1106" spans="1:8" x14ac:dyDescent="0.25">
      <c r="A1106" t="s">
        <v>397</v>
      </c>
      <c r="B1106">
        <v>78791</v>
      </c>
      <c r="C1106" s="3">
        <v>9000</v>
      </c>
      <c r="D1106" s="1">
        <v>43367</v>
      </c>
      <c r="E1106" t="str">
        <f>"201809123699"</f>
        <v>201809123699</v>
      </c>
      <c r="F1106" t="str">
        <f>"ACCT#34549337"</f>
        <v>ACCT#34549337</v>
      </c>
      <c r="G1106" s="2">
        <v>9000</v>
      </c>
      <c r="H1106" t="str">
        <f>"ACCT#34549337"</f>
        <v>ACCT#34549337</v>
      </c>
    </row>
    <row r="1107" spans="1:8" x14ac:dyDescent="0.25">
      <c r="A1107" t="s">
        <v>398</v>
      </c>
      <c r="B1107">
        <v>999999</v>
      </c>
      <c r="C1107" s="3">
        <v>250</v>
      </c>
      <c r="D1107" s="1">
        <v>43368</v>
      </c>
      <c r="E1107" t="str">
        <f>"201809183806"</f>
        <v>201809183806</v>
      </c>
      <c r="F1107" t="str">
        <f>"1JP32018A"</f>
        <v>1JP32018A</v>
      </c>
      <c r="G1107" s="2">
        <v>250</v>
      </c>
      <c r="H1107" t="str">
        <f>"1JP32018A"</f>
        <v>1JP32018A</v>
      </c>
    </row>
    <row r="1108" spans="1:8" x14ac:dyDescent="0.25">
      <c r="A1108" t="s">
        <v>399</v>
      </c>
      <c r="B1108">
        <v>78605</v>
      </c>
      <c r="C1108" s="3">
        <v>132.38</v>
      </c>
      <c r="D1108" s="1">
        <v>43353</v>
      </c>
      <c r="E1108" t="str">
        <f>"336463"</f>
        <v>336463</v>
      </c>
      <c r="F1108" t="str">
        <f>"INV 336463 / UNIT 5350"</f>
        <v>INV 336463 / UNIT 5350</v>
      </c>
      <c r="G1108" s="2">
        <v>132.38</v>
      </c>
      <c r="H1108" t="str">
        <f>"INV 336463"</f>
        <v>INV 336463</v>
      </c>
    </row>
    <row r="1109" spans="1:8" x14ac:dyDescent="0.25">
      <c r="A1109" t="s">
        <v>399</v>
      </c>
      <c r="B1109">
        <v>78792</v>
      </c>
      <c r="C1109" s="3">
        <v>142.58000000000001</v>
      </c>
      <c r="D1109" s="1">
        <v>43367</v>
      </c>
      <c r="E1109" t="str">
        <f>"80685"</f>
        <v>80685</v>
      </c>
      <c r="F1109" t="str">
        <f>"ACCT#3510/PCT#4"</f>
        <v>ACCT#3510/PCT#4</v>
      </c>
      <c r="G1109" s="2">
        <v>71.66</v>
      </c>
      <c r="H1109" t="str">
        <f>"ACCT#3510/PCT#4"</f>
        <v>ACCT#3510/PCT#4</v>
      </c>
    </row>
    <row r="1110" spans="1:8" x14ac:dyDescent="0.25">
      <c r="E1110" t="str">
        <f>"80725"</f>
        <v>80725</v>
      </c>
      <c r="F1110" t="str">
        <f>"ACCT#3510/PCT#4"</f>
        <v>ACCT#3510/PCT#4</v>
      </c>
      <c r="G1110" s="2">
        <v>70.92</v>
      </c>
      <c r="H1110" t="str">
        <f>"ACCT#3510/PCT#4"</f>
        <v>ACCT#3510/PCT#4</v>
      </c>
    </row>
    <row r="1111" spans="1:8" x14ac:dyDescent="0.25">
      <c r="A1111" t="s">
        <v>400</v>
      </c>
      <c r="B1111">
        <v>78793</v>
      </c>
      <c r="C1111" s="3">
        <v>1960</v>
      </c>
      <c r="D1111" s="1">
        <v>43367</v>
      </c>
      <c r="E1111" t="str">
        <f>"10523005"</f>
        <v>10523005</v>
      </c>
      <c r="F1111" t="str">
        <f>"98 HRS @ $20/HR/PCT#3"</f>
        <v>98 HRS @ $20/HR/PCT#3</v>
      </c>
      <c r="G1111" s="2">
        <v>1960</v>
      </c>
      <c r="H1111" t="str">
        <f>"98 HRS @ $20/HR/PCT#3"</f>
        <v>98 HRS @ $20/HR/PCT#3</v>
      </c>
    </row>
    <row r="1112" spans="1:8" x14ac:dyDescent="0.25">
      <c r="A1112" t="s">
        <v>401</v>
      </c>
      <c r="B1112">
        <v>999999</v>
      </c>
      <c r="C1112" s="3">
        <v>2820.72</v>
      </c>
      <c r="D1112" s="1">
        <v>43354</v>
      </c>
      <c r="E1112" t="str">
        <f>"5054271450"</f>
        <v>5054271450</v>
      </c>
      <c r="F1112" t="str">
        <f>"CUST#12847097CONT#4457471"</f>
        <v>CUST#12847097CONT#4457471</v>
      </c>
      <c r="G1112" s="2">
        <v>2740.43</v>
      </c>
      <c r="H1112" t="str">
        <f t="shared" ref="H1112:H1133" si="4">"CUST#12847097CONT#4457471"</f>
        <v>CUST#12847097CONT#4457471</v>
      </c>
    </row>
    <row r="1113" spans="1:8" x14ac:dyDescent="0.25">
      <c r="E1113" t="str">
        <f>""</f>
        <v/>
      </c>
      <c r="F1113" t="str">
        <f>""</f>
        <v/>
      </c>
      <c r="H1113" t="str">
        <f t="shared" si="4"/>
        <v>CUST#12847097CONT#4457471</v>
      </c>
    </row>
    <row r="1114" spans="1:8" x14ac:dyDescent="0.25">
      <c r="E1114" t="str">
        <f>""</f>
        <v/>
      </c>
      <c r="F1114" t="str">
        <f>""</f>
        <v/>
      </c>
      <c r="H1114" t="str">
        <f t="shared" si="4"/>
        <v>CUST#12847097CONT#4457471</v>
      </c>
    </row>
    <row r="1115" spans="1:8" x14ac:dyDescent="0.25">
      <c r="E1115" t="str">
        <f>""</f>
        <v/>
      </c>
      <c r="F1115" t="str">
        <f>""</f>
        <v/>
      </c>
      <c r="H1115" t="str">
        <f t="shared" si="4"/>
        <v>CUST#12847097CONT#4457471</v>
      </c>
    </row>
    <row r="1116" spans="1:8" x14ac:dyDescent="0.25">
      <c r="E1116" t="str">
        <f>""</f>
        <v/>
      </c>
      <c r="F1116" t="str">
        <f>""</f>
        <v/>
      </c>
      <c r="H1116" t="str">
        <f t="shared" si="4"/>
        <v>CUST#12847097CONT#4457471</v>
      </c>
    </row>
    <row r="1117" spans="1:8" x14ac:dyDescent="0.25">
      <c r="E1117" t="str">
        <f>""</f>
        <v/>
      </c>
      <c r="F1117" t="str">
        <f>""</f>
        <v/>
      </c>
      <c r="H1117" t="str">
        <f t="shared" si="4"/>
        <v>CUST#12847097CONT#4457471</v>
      </c>
    </row>
    <row r="1118" spans="1:8" x14ac:dyDescent="0.25">
      <c r="E1118" t="str">
        <f>""</f>
        <v/>
      </c>
      <c r="F1118" t="str">
        <f>""</f>
        <v/>
      </c>
      <c r="H1118" t="str">
        <f t="shared" si="4"/>
        <v>CUST#12847097CONT#4457471</v>
      </c>
    </row>
    <row r="1119" spans="1:8" x14ac:dyDescent="0.25">
      <c r="E1119" t="str">
        <f>""</f>
        <v/>
      </c>
      <c r="F1119" t="str">
        <f>""</f>
        <v/>
      </c>
      <c r="H1119" t="str">
        <f t="shared" si="4"/>
        <v>CUST#12847097CONT#4457471</v>
      </c>
    </row>
    <row r="1120" spans="1:8" x14ac:dyDescent="0.25">
      <c r="E1120" t="str">
        <f>""</f>
        <v/>
      </c>
      <c r="F1120" t="str">
        <f>""</f>
        <v/>
      </c>
      <c r="H1120" t="str">
        <f t="shared" si="4"/>
        <v>CUST#12847097CONT#4457471</v>
      </c>
    </row>
    <row r="1121" spans="1:8" x14ac:dyDescent="0.25">
      <c r="E1121" t="str">
        <f>""</f>
        <v/>
      </c>
      <c r="F1121" t="str">
        <f>""</f>
        <v/>
      </c>
      <c r="H1121" t="str">
        <f t="shared" si="4"/>
        <v>CUST#12847097CONT#4457471</v>
      </c>
    </row>
    <row r="1122" spans="1:8" x14ac:dyDescent="0.25">
      <c r="E1122" t="str">
        <f>""</f>
        <v/>
      </c>
      <c r="F1122" t="str">
        <f>""</f>
        <v/>
      </c>
      <c r="H1122" t="str">
        <f t="shared" si="4"/>
        <v>CUST#12847097CONT#4457471</v>
      </c>
    </row>
    <row r="1123" spans="1:8" x14ac:dyDescent="0.25">
      <c r="E1123" t="str">
        <f>""</f>
        <v/>
      </c>
      <c r="F1123" t="str">
        <f>""</f>
        <v/>
      </c>
      <c r="H1123" t="str">
        <f t="shared" si="4"/>
        <v>CUST#12847097CONT#4457471</v>
      </c>
    </row>
    <row r="1124" spans="1:8" x14ac:dyDescent="0.25">
      <c r="E1124" t="str">
        <f>""</f>
        <v/>
      </c>
      <c r="F1124" t="str">
        <f>""</f>
        <v/>
      </c>
      <c r="H1124" t="str">
        <f t="shared" si="4"/>
        <v>CUST#12847097CONT#4457471</v>
      </c>
    </row>
    <row r="1125" spans="1:8" x14ac:dyDescent="0.25">
      <c r="E1125" t="str">
        <f>""</f>
        <v/>
      </c>
      <c r="F1125" t="str">
        <f>""</f>
        <v/>
      </c>
      <c r="H1125" t="str">
        <f t="shared" si="4"/>
        <v>CUST#12847097CONT#4457471</v>
      </c>
    </row>
    <row r="1126" spans="1:8" x14ac:dyDescent="0.25">
      <c r="E1126" t="str">
        <f>""</f>
        <v/>
      </c>
      <c r="F1126" t="str">
        <f>""</f>
        <v/>
      </c>
      <c r="H1126" t="str">
        <f t="shared" si="4"/>
        <v>CUST#12847097CONT#4457471</v>
      </c>
    </row>
    <row r="1127" spans="1:8" x14ac:dyDescent="0.25">
      <c r="E1127" t="str">
        <f>""</f>
        <v/>
      </c>
      <c r="F1127" t="str">
        <f>""</f>
        <v/>
      </c>
      <c r="H1127" t="str">
        <f t="shared" si="4"/>
        <v>CUST#12847097CONT#4457471</v>
      </c>
    </row>
    <row r="1128" spans="1:8" x14ac:dyDescent="0.25">
      <c r="E1128" t="str">
        <f>""</f>
        <v/>
      </c>
      <c r="F1128" t="str">
        <f>""</f>
        <v/>
      </c>
      <c r="H1128" t="str">
        <f t="shared" si="4"/>
        <v>CUST#12847097CONT#4457471</v>
      </c>
    </row>
    <row r="1129" spans="1:8" x14ac:dyDescent="0.25">
      <c r="E1129" t="str">
        <f>""</f>
        <v/>
      </c>
      <c r="F1129" t="str">
        <f>""</f>
        <v/>
      </c>
      <c r="H1129" t="str">
        <f t="shared" si="4"/>
        <v>CUST#12847097CONT#4457471</v>
      </c>
    </row>
    <row r="1130" spans="1:8" x14ac:dyDescent="0.25">
      <c r="E1130" t="str">
        <f>""</f>
        <v/>
      </c>
      <c r="F1130" t="str">
        <f>""</f>
        <v/>
      </c>
      <c r="H1130" t="str">
        <f t="shared" si="4"/>
        <v>CUST#12847097CONT#4457471</v>
      </c>
    </row>
    <row r="1131" spans="1:8" x14ac:dyDescent="0.25">
      <c r="E1131" t="str">
        <f>""</f>
        <v/>
      </c>
      <c r="F1131" t="str">
        <f>""</f>
        <v/>
      </c>
      <c r="H1131" t="str">
        <f t="shared" si="4"/>
        <v>CUST#12847097CONT#4457471</v>
      </c>
    </row>
    <row r="1132" spans="1:8" x14ac:dyDescent="0.25">
      <c r="E1132" t="str">
        <f>""</f>
        <v/>
      </c>
      <c r="F1132" t="str">
        <f>""</f>
        <v/>
      </c>
      <c r="H1132" t="str">
        <f t="shared" si="4"/>
        <v>CUST#12847097CONT#4457471</v>
      </c>
    </row>
    <row r="1133" spans="1:8" x14ac:dyDescent="0.25">
      <c r="E1133" t="str">
        <f>""</f>
        <v/>
      </c>
      <c r="F1133" t="str">
        <f>""</f>
        <v/>
      </c>
      <c r="H1133" t="str">
        <f t="shared" si="4"/>
        <v>CUST#12847097CONT#4457471</v>
      </c>
    </row>
    <row r="1134" spans="1:8" x14ac:dyDescent="0.25">
      <c r="E1134" t="str">
        <f>"5054271450 P2"</f>
        <v>5054271450 P2</v>
      </c>
      <c r="F1134" t="str">
        <f>"CUST#12847097/CONT#4457471/P2"</f>
        <v>CUST#12847097/CONT#4457471/P2</v>
      </c>
      <c r="G1134" s="2">
        <v>80.290000000000006</v>
      </c>
      <c r="H1134" t="str">
        <f>"CUST#12847097/CONT#4457471/P2"</f>
        <v>CUST#12847097/CONT#4457471/P2</v>
      </c>
    </row>
    <row r="1135" spans="1:8" x14ac:dyDescent="0.25">
      <c r="A1135" t="s">
        <v>402</v>
      </c>
      <c r="B1135">
        <v>78794</v>
      </c>
      <c r="C1135" s="3">
        <v>7530.42</v>
      </c>
      <c r="D1135" s="1">
        <v>43367</v>
      </c>
      <c r="E1135" t="str">
        <f>"32357788"</f>
        <v>32357788</v>
      </c>
      <c r="F1135" t="str">
        <f>"CUST#2000172616"</f>
        <v>CUST#2000172616</v>
      </c>
      <c r="G1135" s="2">
        <v>7318.68</v>
      </c>
      <c r="H1135" t="str">
        <f t="shared" ref="H1135:H1159" si="5">"CUST#2000172616"</f>
        <v>CUST#2000172616</v>
      </c>
    </row>
    <row r="1136" spans="1:8" x14ac:dyDescent="0.25">
      <c r="E1136" t="str">
        <f>""</f>
        <v/>
      </c>
      <c r="F1136" t="str">
        <f>""</f>
        <v/>
      </c>
      <c r="H1136" t="str">
        <f t="shared" si="5"/>
        <v>CUST#2000172616</v>
      </c>
    </row>
    <row r="1137" spans="5:8" x14ac:dyDescent="0.25">
      <c r="E1137" t="str">
        <f>""</f>
        <v/>
      </c>
      <c r="F1137" t="str">
        <f>""</f>
        <v/>
      </c>
      <c r="H1137" t="str">
        <f t="shared" si="5"/>
        <v>CUST#2000172616</v>
      </c>
    </row>
    <row r="1138" spans="5:8" x14ac:dyDescent="0.25">
      <c r="E1138" t="str">
        <f>""</f>
        <v/>
      </c>
      <c r="F1138" t="str">
        <f>""</f>
        <v/>
      </c>
      <c r="H1138" t="str">
        <f t="shared" si="5"/>
        <v>CUST#2000172616</v>
      </c>
    </row>
    <row r="1139" spans="5:8" x14ac:dyDescent="0.25">
      <c r="E1139" t="str">
        <f>""</f>
        <v/>
      </c>
      <c r="F1139" t="str">
        <f>""</f>
        <v/>
      </c>
      <c r="H1139" t="str">
        <f t="shared" si="5"/>
        <v>CUST#2000172616</v>
      </c>
    </row>
    <row r="1140" spans="5:8" x14ac:dyDescent="0.25">
      <c r="E1140" t="str">
        <f>""</f>
        <v/>
      </c>
      <c r="F1140" t="str">
        <f>""</f>
        <v/>
      </c>
      <c r="H1140" t="str">
        <f t="shared" si="5"/>
        <v>CUST#2000172616</v>
      </c>
    </row>
    <row r="1141" spans="5:8" x14ac:dyDescent="0.25">
      <c r="E1141" t="str">
        <f>""</f>
        <v/>
      </c>
      <c r="F1141" t="str">
        <f>""</f>
        <v/>
      </c>
      <c r="H1141" t="str">
        <f t="shared" si="5"/>
        <v>CUST#2000172616</v>
      </c>
    </row>
    <row r="1142" spans="5:8" x14ac:dyDescent="0.25">
      <c r="E1142" t="str">
        <f>""</f>
        <v/>
      </c>
      <c r="F1142" t="str">
        <f>""</f>
        <v/>
      </c>
      <c r="H1142" t="str">
        <f t="shared" si="5"/>
        <v>CUST#2000172616</v>
      </c>
    </row>
    <row r="1143" spans="5:8" x14ac:dyDescent="0.25">
      <c r="E1143" t="str">
        <f>""</f>
        <v/>
      </c>
      <c r="F1143" t="str">
        <f>""</f>
        <v/>
      </c>
      <c r="H1143" t="str">
        <f t="shared" si="5"/>
        <v>CUST#2000172616</v>
      </c>
    </row>
    <row r="1144" spans="5:8" x14ac:dyDescent="0.25">
      <c r="E1144" t="str">
        <f>""</f>
        <v/>
      </c>
      <c r="F1144" t="str">
        <f>""</f>
        <v/>
      </c>
      <c r="H1144" t="str">
        <f t="shared" si="5"/>
        <v>CUST#2000172616</v>
      </c>
    </row>
    <row r="1145" spans="5:8" x14ac:dyDescent="0.25">
      <c r="E1145" t="str">
        <f>""</f>
        <v/>
      </c>
      <c r="F1145" t="str">
        <f>""</f>
        <v/>
      </c>
      <c r="H1145" t="str">
        <f t="shared" si="5"/>
        <v>CUST#2000172616</v>
      </c>
    </row>
    <row r="1146" spans="5:8" x14ac:dyDescent="0.25">
      <c r="E1146" t="str">
        <f>""</f>
        <v/>
      </c>
      <c r="F1146" t="str">
        <f>""</f>
        <v/>
      </c>
      <c r="H1146" t="str">
        <f t="shared" si="5"/>
        <v>CUST#2000172616</v>
      </c>
    </row>
    <row r="1147" spans="5:8" x14ac:dyDescent="0.25">
      <c r="E1147" t="str">
        <f>""</f>
        <v/>
      </c>
      <c r="F1147" t="str">
        <f>""</f>
        <v/>
      </c>
      <c r="H1147" t="str">
        <f t="shared" si="5"/>
        <v>CUST#2000172616</v>
      </c>
    </row>
    <row r="1148" spans="5:8" x14ac:dyDescent="0.25">
      <c r="E1148" t="str">
        <f>""</f>
        <v/>
      </c>
      <c r="F1148" t="str">
        <f>""</f>
        <v/>
      </c>
      <c r="H1148" t="str">
        <f t="shared" si="5"/>
        <v>CUST#2000172616</v>
      </c>
    </row>
    <row r="1149" spans="5:8" x14ac:dyDescent="0.25">
      <c r="E1149" t="str">
        <f>""</f>
        <v/>
      </c>
      <c r="F1149" t="str">
        <f>""</f>
        <v/>
      </c>
      <c r="H1149" t="str">
        <f t="shared" si="5"/>
        <v>CUST#2000172616</v>
      </c>
    </row>
    <row r="1150" spans="5:8" x14ac:dyDescent="0.25">
      <c r="E1150" t="str">
        <f>""</f>
        <v/>
      </c>
      <c r="F1150" t="str">
        <f>""</f>
        <v/>
      </c>
      <c r="H1150" t="str">
        <f t="shared" si="5"/>
        <v>CUST#2000172616</v>
      </c>
    </row>
    <row r="1151" spans="5:8" x14ac:dyDescent="0.25">
      <c r="E1151" t="str">
        <f>""</f>
        <v/>
      </c>
      <c r="F1151" t="str">
        <f>""</f>
        <v/>
      </c>
      <c r="H1151" t="str">
        <f t="shared" si="5"/>
        <v>CUST#2000172616</v>
      </c>
    </row>
    <row r="1152" spans="5:8" x14ac:dyDescent="0.25">
      <c r="E1152" t="str">
        <f>""</f>
        <v/>
      </c>
      <c r="F1152" t="str">
        <f>""</f>
        <v/>
      </c>
      <c r="H1152" t="str">
        <f t="shared" si="5"/>
        <v>CUST#2000172616</v>
      </c>
    </row>
    <row r="1153" spans="1:8" x14ac:dyDescent="0.25">
      <c r="E1153" t="str">
        <f>""</f>
        <v/>
      </c>
      <c r="F1153" t="str">
        <f>""</f>
        <v/>
      </c>
      <c r="H1153" t="str">
        <f t="shared" si="5"/>
        <v>CUST#2000172616</v>
      </c>
    </row>
    <row r="1154" spans="1:8" x14ac:dyDescent="0.25">
      <c r="E1154" t="str">
        <f>""</f>
        <v/>
      </c>
      <c r="F1154" t="str">
        <f>""</f>
        <v/>
      </c>
      <c r="H1154" t="str">
        <f t="shared" si="5"/>
        <v>CUST#2000172616</v>
      </c>
    </row>
    <row r="1155" spans="1:8" x14ac:dyDescent="0.25">
      <c r="E1155" t="str">
        <f>""</f>
        <v/>
      </c>
      <c r="F1155" t="str">
        <f>""</f>
        <v/>
      </c>
      <c r="H1155" t="str">
        <f t="shared" si="5"/>
        <v>CUST#2000172616</v>
      </c>
    </row>
    <row r="1156" spans="1:8" x14ac:dyDescent="0.25">
      <c r="E1156" t="str">
        <f>""</f>
        <v/>
      </c>
      <c r="F1156" t="str">
        <f>""</f>
        <v/>
      </c>
      <c r="H1156" t="str">
        <f t="shared" si="5"/>
        <v>CUST#2000172616</v>
      </c>
    </row>
    <row r="1157" spans="1:8" x14ac:dyDescent="0.25">
      <c r="E1157" t="str">
        <f>""</f>
        <v/>
      </c>
      <c r="F1157" t="str">
        <f>""</f>
        <v/>
      </c>
      <c r="H1157" t="str">
        <f t="shared" si="5"/>
        <v>CUST#2000172616</v>
      </c>
    </row>
    <row r="1158" spans="1:8" x14ac:dyDescent="0.25">
      <c r="E1158" t="str">
        <f>""</f>
        <v/>
      </c>
      <c r="F1158" t="str">
        <f>""</f>
        <v/>
      </c>
      <c r="H1158" t="str">
        <f t="shared" si="5"/>
        <v>CUST#2000172616</v>
      </c>
    </row>
    <row r="1159" spans="1:8" x14ac:dyDescent="0.25">
      <c r="E1159" t="str">
        <f>""</f>
        <v/>
      </c>
      <c r="F1159" t="str">
        <f>""</f>
        <v/>
      </c>
      <c r="H1159" t="str">
        <f t="shared" si="5"/>
        <v>CUST#2000172616</v>
      </c>
    </row>
    <row r="1160" spans="1:8" x14ac:dyDescent="0.25">
      <c r="E1160" t="str">
        <f>"32357788 P2"</f>
        <v>32357788 P2</v>
      </c>
      <c r="F1160" t="str">
        <f>"CUST#2000172616/PCT#2"</f>
        <v>CUST#2000172616/PCT#2</v>
      </c>
      <c r="G1160" s="2">
        <v>70.58</v>
      </c>
      <c r="H1160" t="str">
        <f>"CUST#2000172616/PCT#2"</f>
        <v>CUST#2000172616/PCT#2</v>
      </c>
    </row>
    <row r="1161" spans="1:8" x14ac:dyDescent="0.25">
      <c r="E1161" t="str">
        <f>"32357788 P3"</f>
        <v>32357788 P3</v>
      </c>
      <c r="F1161" t="str">
        <f>"CUST#2000172616/PCT#3"</f>
        <v>CUST#2000172616/PCT#3</v>
      </c>
      <c r="G1161" s="2">
        <v>70.58</v>
      </c>
      <c r="H1161" t="str">
        <f>"CUST#2000172616/PCT#3"</f>
        <v>CUST#2000172616/PCT#3</v>
      </c>
    </row>
    <row r="1162" spans="1:8" x14ac:dyDescent="0.25">
      <c r="E1162" t="str">
        <f>"32357788 P4"</f>
        <v>32357788 P4</v>
      </c>
      <c r="F1162" t="str">
        <f>"CUST#2000172616/PCT#4"</f>
        <v>CUST#2000172616/PCT#4</v>
      </c>
      <c r="G1162" s="2">
        <v>70.58</v>
      </c>
      <c r="H1162" t="str">
        <f>"CUST#2000172616/PCT#4"</f>
        <v>CUST#2000172616/PCT#4</v>
      </c>
    </row>
    <row r="1163" spans="1:8" x14ac:dyDescent="0.25">
      <c r="A1163" t="s">
        <v>403</v>
      </c>
      <c r="B1163">
        <v>999999</v>
      </c>
      <c r="C1163" s="3">
        <v>1250</v>
      </c>
      <c r="D1163" s="1">
        <v>43368</v>
      </c>
      <c r="E1163" t="str">
        <f>"BCSOAUG18"</f>
        <v>BCSOAUG18</v>
      </c>
      <c r="F1163" t="str">
        <f>"INV BCSOAUG18"</f>
        <v>INV BCSOAUG18</v>
      </c>
      <c r="G1163" s="2">
        <v>1250</v>
      </c>
      <c r="H1163" t="str">
        <f>"INV BCSOAUG18"</f>
        <v>INV BCSOAUG18</v>
      </c>
    </row>
    <row r="1164" spans="1:8" x14ac:dyDescent="0.25">
      <c r="A1164" t="s">
        <v>404</v>
      </c>
      <c r="B1164">
        <v>78606</v>
      </c>
      <c r="C1164" s="3">
        <v>24.66</v>
      </c>
      <c r="D1164" s="1">
        <v>43353</v>
      </c>
      <c r="E1164" t="str">
        <f>"4393396"</f>
        <v>4393396</v>
      </c>
      <c r="F1164" t="str">
        <f>"INV 4393396"</f>
        <v>INV 4393396</v>
      </c>
      <c r="G1164" s="2">
        <v>24.66</v>
      </c>
      <c r="H1164" t="str">
        <f>"INV 4393396"</f>
        <v>INV 4393396</v>
      </c>
    </row>
    <row r="1165" spans="1:8" x14ac:dyDescent="0.25">
      <c r="A1165" t="s">
        <v>405</v>
      </c>
      <c r="B1165">
        <v>78795</v>
      </c>
      <c r="C1165" s="3">
        <v>179</v>
      </c>
      <c r="D1165" s="1">
        <v>43367</v>
      </c>
      <c r="E1165" t="str">
        <f>"11895731"</f>
        <v>11895731</v>
      </c>
      <c r="F1165" t="str">
        <f>"Training for Excel"</f>
        <v>Training for Excel</v>
      </c>
      <c r="G1165" s="2">
        <v>179</v>
      </c>
    </row>
    <row r="1166" spans="1:8" x14ac:dyDescent="0.25">
      <c r="A1166" t="s">
        <v>406</v>
      </c>
      <c r="B1166">
        <v>78796</v>
      </c>
      <c r="C1166" s="3">
        <v>39</v>
      </c>
      <c r="D1166" s="1">
        <v>43367</v>
      </c>
      <c r="E1166" t="str">
        <f>"180910-3"</f>
        <v>180910-3</v>
      </c>
      <c r="F1166" t="str">
        <f>"UNIFORM SHIRTS"</f>
        <v>UNIFORM SHIRTS</v>
      </c>
      <c r="G1166" s="2">
        <v>39</v>
      </c>
      <c r="H1166" t="str">
        <f>"GILDAN 64000"</f>
        <v>GILDAN 64000</v>
      </c>
    </row>
    <row r="1167" spans="1:8" x14ac:dyDescent="0.25">
      <c r="E1167" t="str">
        <f>""</f>
        <v/>
      </c>
      <c r="F1167" t="str">
        <f>""</f>
        <v/>
      </c>
      <c r="H1167" t="str">
        <f>"GILDAN 18600"</f>
        <v>GILDAN 18600</v>
      </c>
    </row>
    <row r="1168" spans="1:8" x14ac:dyDescent="0.25">
      <c r="A1168" t="s">
        <v>407</v>
      </c>
      <c r="B1168">
        <v>78607</v>
      </c>
      <c r="C1168" s="3">
        <v>281</v>
      </c>
      <c r="D1168" s="1">
        <v>43353</v>
      </c>
      <c r="E1168" t="str">
        <f>"201809053420"</f>
        <v>201809053420</v>
      </c>
      <c r="F1168" t="str">
        <f>"DEVELOPMENT SERVICES FEE"</f>
        <v>DEVELOPMENT SERVICES FEE</v>
      </c>
      <c r="G1168" s="2">
        <v>281</v>
      </c>
      <c r="H1168" t="str">
        <f>"DEVELOPMENT SERVICES FEE"</f>
        <v>DEVELOPMENT SERVICES FEE</v>
      </c>
    </row>
    <row r="1169" spans="1:8" x14ac:dyDescent="0.25">
      <c r="A1169" t="s">
        <v>407</v>
      </c>
      <c r="B1169">
        <v>78797</v>
      </c>
      <c r="C1169" s="3">
        <v>54</v>
      </c>
      <c r="D1169" s="1">
        <v>43367</v>
      </c>
      <c r="E1169" t="str">
        <f>"201809183838"</f>
        <v>201809183838</v>
      </c>
      <c r="F1169" t="str">
        <f>"LPHCP RECORDING FEES"</f>
        <v>LPHCP RECORDING FEES</v>
      </c>
      <c r="G1169" s="2">
        <v>54</v>
      </c>
      <c r="H1169" t="str">
        <f>"LPHCP RECORDING FEES"</f>
        <v>LPHCP RECORDING FEES</v>
      </c>
    </row>
    <row r="1170" spans="1:8" x14ac:dyDescent="0.25">
      <c r="A1170" t="s">
        <v>407</v>
      </c>
      <c r="B1170">
        <v>78798</v>
      </c>
      <c r="C1170" s="3">
        <v>221</v>
      </c>
      <c r="D1170" s="1">
        <v>43367</v>
      </c>
      <c r="E1170" t="str">
        <f>"201809193862"</f>
        <v>201809193862</v>
      </c>
      <c r="F1170" t="str">
        <f>"DEVELOPMENT SVCS RECORD FEE"</f>
        <v>DEVELOPMENT SVCS RECORD FEE</v>
      </c>
      <c r="G1170" s="2">
        <v>221</v>
      </c>
      <c r="H1170" t="str">
        <f>"DEVELOPMENT SVCS RECORD FEE"</f>
        <v>DEVELOPMENT SVCS RECORD FEE</v>
      </c>
    </row>
    <row r="1171" spans="1:8" x14ac:dyDescent="0.25">
      <c r="A1171" t="s">
        <v>408</v>
      </c>
      <c r="B1171">
        <v>78608</v>
      </c>
      <c r="C1171" s="3">
        <v>28.48</v>
      </c>
      <c r="D1171" s="1">
        <v>43353</v>
      </c>
      <c r="E1171" t="str">
        <f>"5424"</f>
        <v>5424</v>
      </c>
      <c r="F1171" t="str">
        <f>"CUST#9486/SERVICE TRUCK/PCT#4"</f>
        <v>CUST#9486/SERVICE TRUCK/PCT#4</v>
      </c>
      <c r="G1171" s="2">
        <v>28.48</v>
      </c>
      <c r="H1171" t="str">
        <f>"CUST#9486/SERVICE TRUCK/PCT#4"</f>
        <v>CUST#9486/SERVICE TRUCK/PCT#4</v>
      </c>
    </row>
    <row r="1172" spans="1:8" x14ac:dyDescent="0.25">
      <c r="A1172" t="s">
        <v>409</v>
      </c>
      <c r="B1172">
        <v>78799</v>
      </c>
      <c r="C1172" s="3">
        <v>200</v>
      </c>
      <c r="D1172" s="1">
        <v>43367</v>
      </c>
      <c r="E1172" t="str">
        <f>"201809193858"</f>
        <v>201809193858</v>
      </c>
      <c r="F1172" t="str">
        <f>"TRAVELERS DISPUTE NARR LETTER"</f>
        <v>TRAVELERS DISPUTE NARR LETTER</v>
      </c>
      <c r="G1172" s="2">
        <v>200</v>
      </c>
      <c r="H1172" t="str">
        <f>"TRAVELERS DISPUTE NARR LETTER"</f>
        <v>TRAVELERS DISPUTE NARR LETTER</v>
      </c>
    </row>
    <row r="1173" spans="1:8" x14ac:dyDescent="0.25">
      <c r="A1173" t="s">
        <v>410</v>
      </c>
      <c r="B1173">
        <v>78609</v>
      </c>
      <c r="C1173" s="3">
        <v>78.25</v>
      </c>
      <c r="D1173" s="1">
        <v>43353</v>
      </c>
      <c r="E1173" t="str">
        <f>"1060-13841"</f>
        <v>1060-13841</v>
      </c>
      <c r="F1173" t="str">
        <f>"INV 1060-13841"</f>
        <v>INV 1060-13841</v>
      </c>
      <c r="G1173" s="2">
        <v>78.25</v>
      </c>
      <c r="H1173" t="str">
        <f>"INV 1060-13841"</f>
        <v>INV 1060-13841</v>
      </c>
    </row>
    <row r="1174" spans="1:8" x14ac:dyDescent="0.25">
      <c r="A1174" t="s">
        <v>411</v>
      </c>
      <c r="B1174">
        <v>78800</v>
      </c>
      <c r="C1174" s="3">
        <v>327.93</v>
      </c>
      <c r="D1174" s="1">
        <v>43367</v>
      </c>
      <c r="E1174" t="str">
        <f>"04559-029555"</f>
        <v>04559-029555</v>
      </c>
      <c r="F1174" t="str">
        <f>"INV 04559-029555"</f>
        <v>INV 04559-029555</v>
      </c>
      <c r="G1174" s="2">
        <v>327.93</v>
      </c>
      <c r="H1174" t="str">
        <f>"INV 04559-029555"</f>
        <v>INV 04559-029555</v>
      </c>
    </row>
    <row r="1175" spans="1:8" x14ac:dyDescent="0.25">
      <c r="A1175" t="s">
        <v>412</v>
      </c>
      <c r="B1175">
        <v>78610</v>
      </c>
      <c r="C1175" s="3">
        <v>2493.96</v>
      </c>
      <c r="D1175" s="1">
        <v>43353</v>
      </c>
      <c r="E1175" t="str">
        <f>"512280"</f>
        <v>512280</v>
      </c>
      <c r="F1175" t="str">
        <f>"CUST#EFB49967/2014 FD/GEN SVCS"</f>
        <v>CUST#EFB49967/2014 FD/GEN SVCS</v>
      </c>
      <c r="G1175" s="2">
        <v>2493.96</v>
      </c>
      <c r="H1175" t="str">
        <f>"CUST#EFB49967/2014 FD/GEN SVCS"</f>
        <v>CUST#EFB49967/2014 FD/GEN SVCS</v>
      </c>
    </row>
    <row r="1176" spans="1:8" x14ac:dyDescent="0.25">
      <c r="A1176" t="s">
        <v>413</v>
      </c>
      <c r="B1176">
        <v>999999</v>
      </c>
      <c r="C1176" s="3">
        <v>209.65</v>
      </c>
      <c r="D1176" s="1">
        <v>43354</v>
      </c>
      <c r="E1176" t="str">
        <f>"201809063445"</f>
        <v>201809063445</v>
      </c>
      <c r="F1176" t="str">
        <f>"INDIGENT HEALTH"</f>
        <v>INDIGENT HEALTH</v>
      </c>
      <c r="G1176" s="2">
        <v>209.65</v>
      </c>
      <c r="H1176" t="str">
        <f>"INDIGENT HEALTH"</f>
        <v>INDIGENT HEALTH</v>
      </c>
    </row>
    <row r="1177" spans="1:8" x14ac:dyDescent="0.25">
      <c r="A1177" t="s">
        <v>413</v>
      </c>
      <c r="B1177">
        <v>999999</v>
      </c>
      <c r="C1177" s="3">
        <v>86.27</v>
      </c>
      <c r="D1177" s="1">
        <v>43368</v>
      </c>
      <c r="E1177" t="str">
        <f>"201809193874"</f>
        <v>201809193874</v>
      </c>
      <c r="F1177" t="str">
        <f>"INDIGENT HEALTH"</f>
        <v>INDIGENT HEALTH</v>
      </c>
      <c r="G1177" s="2">
        <v>86.27</v>
      </c>
      <c r="H1177" t="str">
        <f>"INDIGENT HEALTH"</f>
        <v>INDIGENT HEALTH</v>
      </c>
    </row>
    <row r="1178" spans="1:8" x14ac:dyDescent="0.25">
      <c r="A1178" t="s">
        <v>414</v>
      </c>
      <c r="B1178">
        <v>78611</v>
      </c>
      <c r="C1178" s="3">
        <v>170</v>
      </c>
      <c r="D1178" s="1">
        <v>43353</v>
      </c>
      <c r="E1178" t="str">
        <f>"201809043209"</f>
        <v>201809043209</v>
      </c>
      <c r="F1178" t="str">
        <f>"REIMBURSEMENT-FOOD FOR JURY"</f>
        <v>REIMBURSEMENT-FOOD FOR JURY</v>
      </c>
      <c r="G1178" s="2">
        <v>170</v>
      </c>
    </row>
    <row r="1179" spans="1:8" x14ac:dyDescent="0.25">
      <c r="A1179" t="s">
        <v>414</v>
      </c>
      <c r="B1179">
        <v>78611</v>
      </c>
      <c r="C1179" s="3">
        <v>170</v>
      </c>
      <c r="D1179" s="1">
        <v>43355</v>
      </c>
      <c r="E1179" t="str">
        <f>"CHECK"</f>
        <v>CHECK</v>
      </c>
      <c r="F1179" t="str">
        <f>""</f>
        <v/>
      </c>
      <c r="G1179" s="2">
        <v>170</v>
      </c>
    </row>
    <row r="1180" spans="1:8" x14ac:dyDescent="0.25">
      <c r="A1180" t="s">
        <v>415</v>
      </c>
      <c r="B1180">
        <v>78801</v>
      </c>
      <c r="C1180" s="3">
        <v>10368.790000000001</v>
      </c>
      <c r="D1180" s="1">
        <v>43367</v>
      </c>
      <c r="E1180" t="str">
        <f>"201809123701"</f>
        <v>201809123701</v>
      </c>
      <c r="F1180" t="str">
        <f>"ADMIN EXPS OF TX/SEPT 1-AUG 31"</f>
        <v>ADMIN EXPS OF TX/SEPT 1-AUG 31</v>
      </c>
      <c r="G1180" s="2">
        <v>10368.790000000001</v>
      </c>
      <c r="H1180" t="str">
        <f>"ADMIN EXPS OF TX/SEPT 1-AUG 31"</f>
        <v>ADMIN EXPS OF TX/SEPT 1-AUG 31</v>
      </c>
    </row>
    <row r="1181" spans="1:8" x14ac:dyDescent="0.25">
      <c r="A1181" t="s">
        <v>416</v>
      </c>
      <c r="B1181">
        <v>999999</v>
      </c>
      <c r="C1181" s="3">
        <v>5840</v>
      </c>
      <c r="D1181" s="1">
        <v>43368</v>
      </c>
      <c r="E1181" t="str">
        <f>"PPDINV0010290"</f>
        <v>PPDINV0010290</v>
      </c>
      <c r="F1181" t="str">
        <f>"INV PPDINV0010290"</f>
        <v>INV PPDINV0010290</v>
      </c>
      <c r="G1181" s="2">
        <v>2339</v>
      </c>
      <c r="H1181" t="str">
        <f>"INV PPDINV0010290"</f>
        <v>INV PPDINV0010290</v>
      </c>
    </row>
    <row r="1182" spans="1:8" x14ac:dyDescent="0.25">
      <c r="E1182" t="str">
        <f>"PPDINV0010662"</f>
        <v>PPDINV0010662</v>
      </c>
      <c r="F1182" t="str">
        <f>"INV PPDINV0010662"</f>
        <v>INV PPDINV0010662</v>
      </c>
      <c r="G1182" s="2">
        <v>3501</v>
      </c>
      <c r="H1182" t="str">
        <f>"INV PPDINV0010662"</f>
        <v>INV PPDINV0010662</v>
      </c>
    </row>
    <row r="1183" spans="1:8" x14ac:dyDescent="0.25">
      <c r="A1183" t="s">
        <v>417</v>
      </c>
      <c r="B1183">
        <v>78802</v>
      </c>
      <c r="C1183" s="3">
        <v>6666</v>
      </c>
      <c r="D1183" s="1">
        <v>43367</v>
      </c>
      <c r="E1183" t="str">
        <f>"720181 &amp; 820181"</f>
        <v>720181 &amp; 820181</v>
      </c>
      <c r="F1183" t="str">
        <f>"PRESCRIPTION ASSISTANCE PROGRA"</f>
        <v>PRESCRIPTION ASSISTANCE PROGRA</v>
      </c>
      <c r="G1183" s="2">
        <v>6666</v>
      </c>
      <c r="H1183" t="str">
        <f>"PRESCRIPTION ASSISTANCE PROGRA"</f>
        <v>PRESCRIPTION ASSISTANCE PROGRA</v>
      </c>
    </row>
    <row r="1184" spans="1:8" x14ac:dyDescent="0.25">
      <c r="A1184" t="s">
        <v>168</v>
      </c>
      <c r="B1184">
        <v>78612</v>
      </c>
      <c r="C1184" s="3">
        <v>5070.76</v>
      </c>
      <c r="D1184" s="1">
        <v>43353</v>
      </c>
      <c r="E1184" t="str">
        <f>"201809063446"</f>
        <v>201809063446</v>
      </c>
      <c r="F1184" t="str">
        <f>"INDIGENT HEALTH"</f>
        <v>INDIGENT HEALTH</v>
      </c>
      <c r="G1184" s="2">
        <v>5070.76</v>
      </c>
      <c r="H1184" t="str">
        <f>"INDIGENT HEALTH"</f>
        <v>INDIGENT HEALTH</v>
      </c>
    </row>
    <row r="1185" spans="1:9" x14ac:dyDescent="0.25">
      <c r="E1185" t="str">
        <f>""</f>
        <v/>
      </c>
      <c r="F1185" t="str">
        <f>""</f>
        <v/>
      </c>
      <c r="H1185" t="str">
        <f>"INDIGENT HEALTH"</f>
        <v>INDIGENT HEALTH</v>
      </c>
    </row>
    <row r="1186" spans="1:9" x14ac:dyDescent="0.25">
      <c r="A1186" t="s">
        <v>168</v>
      </c>
      <c r="B1186">
        <v>78803</v>
      </c>
      <c r="C1186" s="3">
        <v>1856.97</v>
      </c>
      <c r="D1186" s="1">
        <v>43367</v>
      </c>
      <c r="E1186" t="str">
        <f>"201809193877"</f>
        <v>201809193877</v>
      </c>
      <c r="F1186" t="str">
        <f>"INDIGENT HEALTH"</f>
        <v>INDIGENT HEALTH</v>
      </c>
      <c r="G1186" s="2">
        <v>1856.97</v>
      </c>
      <c r="H1186" t="str">
        <f>"INDIGENT HEALTH"</f>
        <v>INDIGENT HEALTH</v>
      </c>
    </row>
    <row r="1187" spans="1:9" x14ac:dyDescent="0.25">
      <c r="A1187" t="s">
        <v>418</v>
      </c>
      <c r="B1187">
        <v>78613</v>
      </c>
      <c r="C1187" s="3">
        <v>60</v>
      </c>
      <c r="D1187" s="1">
        <v>43353</v>
      </c>
      <c r="E1187" t="s">
        <v>184</v>
      </c>
      <c r="F1187" t="s">
        <v>419</v>
      </c>
      <c r="G1187" s="2" t="str">
        <f>"RESTITUTION-D. MCCOMB"</f>
        <v>RESTITUTION-D. MCCOMB</v>
      </c>
      <c r="H1187" t="str">
        <f>"210-0000"</f>
        <v>210-0000</v>
      </c>
      <c r="I1187" t="str">
        <f>""</f>
        <v/>
      </c>
    </row>
    <row r="1188" spans="1:9" x14ac:dyDescent="0.25">
      <c r="A1188" t="s">
        <v>420</v>
      </c>
      <c r="B1188">
        <v>78614</v>
      </c>
      <c r="C1188" s="3">
        <v>700</v>
      </c>
      <c r="D1188" s="1">
        <v>43353</v>
      </c>
      <c r="E1188" t="str">
        <f>"201809053404"</f>
        <v>201809053404</v>
      </c>
      <c r="F1188" t="str">
        <f>"TRAIN NEW COURT CLERK"</f>
        <v>TRAIN NEW COURT CLERK</v>
      </c>
      <c r="G1188" s="2">
        <v>700</v>
      </c>
      <c r="H1188" t="str">
        <f>"TRAIN NEW COURT CLERK"</f>
        <v>TRAIN NEW COURT CLERK</v>
      </c>
    </row>
    <row r="1189" spans="1:9" x14ac:dyDescent="0.25">
      <c r="A1189" t="s">
        <v>421</v>
      </c>
      <c r="B1189">
        <v>78804</v>
      </c>
      <c r="C1189" s="3">
        <v>60</v>
      </c>
      <c r="D1189" s="1">
        <v>43367</v>
      </c>
      <c r="E1189" t="str">
        <f>"201809183832"</f>
        <v>201809183832</v>
      </c>
      <c r="F1189" t="str">
        <f>"SHERI AMANN"</f>
        <v>SHERI AMANN</v>
      </c>
      <c r="G1189" s="2">
        <v>60</v>
      </c>
      <c r="H1189" t="str">
        <f>""</f>
        <v/>
      </c>
    </row>
    <row r="1190" spans="1:9" x14ac:dyDescent="0.25">
      <c r="A1190" t="s">
        <v>422</v>
      </c>
      <c r="B1190">
        <v>78615</v>
      </c>
      <c r="C1190" s="3">
        <v>75</v>
      </c>
      <c r="D1190" s="1">
        <v>43353</v>
      </c>
      <c r="E1190" t="str">
        <f>"13010"</f>
        <v>13010</v>
      </c>
      <c r="F1190" t="str">
        <f>"REFUND OF COURT COSTS"</f>
        <v>REFUND OF COURT COSTS</v>
      </c>
      <c r="G1190" s="2">
        <v>75</v>
      </c>
      <c r="H1190" t="str">
        <f>"REFUND OF COURT COSTS"</f>
        <v>REFUND OF COURT COSTS</v>
      </c>
    </row>
    <row r="1191" spans="1:9" x14ac:dyDescent="0.25">
      <c r="A1191" t="s">
        <v>423</v>
      </c>
      <c r="B1191">
        <v>78805</v>
      </c>
      <c r="C1191" s="3">
        <v>96217.63</v>
      </c>
      <c r="D1191" s="1">
        <v>43367</v>
      </c>
      <c r="E1191" t="str">
        <f>"GB00287712"</f>
        <v>GB00287712</v>
      </c>
      <c r="F1191" t="str">
        <f>"inv# GB00287712"</f>
        <v>inv# GB00287712</v>
      </c>
      <c r="G1191" s="2">
        <v>94899.63</v>
      </c>
      <c r="H1191" t="str">
        <f>"Payment FY 18-19"</f>
        <v>Payment FY 18-19</v>
      </c>
    </row>
    <row r="1192" spans="1:9" x14ac:dyDescent="0.25">
      <c r="E1192" t="str">
        <f>""</f>
        <v/>
      </c>
      <c r="F1192" t="str">
        <f>""</f>
        <v/>
      </c>
      <c r="H1192" t="str">
        <f>"Payment Split"</f>
        <v>Payment Split</v>
      </c>
    </row>
    <row r="1193" spans="1:9" x14ac:dyDescent="0.25">
      <c r="E1193" t="str">
        <f>"GB00297327/388"</f>
        <v>GB00297327/388</v>
      </c>
      <c r="F1193" t="str">
        <f>"2 Axis Cameras for Animal"</f>
        <v>2 Axis Cameras for Animal</v>
      </c>
      <c r="G1193" s="2">
        <v>1318</v>
      </c>
      <c r="H1193" t="str">
        <f>"Part#: 01058-001"</f>
        <v>Part#: 01058-001</v>
      </c>
    </row>
    <row r="1194" spans="1:9" x14ac:dyDescent="0.25">
      <c r="A1194" t="s">
        <v>424</v>
      </c>
      <c r="B1194">
        <v>78806</v>
      </c>
      <c r="C1194" s="3">
        <v>1790</v>
      </c>
      <c r="D1194" s="1">
        <v>43367</v>
      </c>
      <c r="E1194" t="str">
        <f>"1004359"</f>
        <v>1004359</v>
      </c>
      <c r="F1194" t="str">
        <f>"Surgical Fold Up Wall Mou"</f>
        <v>Surgical Fold Up Wall Mou</v>
      </c>
      <c r="G1194" s="2">
        <v>1790</v>
      </c>
      <c r="H1194" t="str">
        <f>"903.1130.04"</f>
        <v>903.1130.04</v>
      </c>
    </row>
    <row r="1195" spans="1:9" x14ac:dyDescent="0.25">
      <c r="E1195" t="str">
        <f>""</f>
        <v/>
      </c>
      <c r="F1195" t="str">
        <f>""</f>
        <v/>
      </c>
      <c r="H1195" t="str">
        <f>"Shipping"</f>
        <v>Shipping</v>
      </c>
    </row>
    <row r="1196" spans="1:9" x14ac:dyDescent="0.25">
      <c r="A1196" t="s">
        <v>425</v>
      </c>
      <c r="B1196">
        <v>78616</v>
      </c>
      <c r="C1196" s="3">
        <v>2054.27</v>
      </c>
      <c r="D1196" s="1">
        <v>43353</v>
      </c>
      <c r="E1196" t="str">
        <f>"8125529526"</f>
        <v>8125529526</v>
      </c>
      <c r="F1196" t="str">
        <f>"CUST#16156071/TAX OFFICE"</f>
        <v>CUST#16156071/TAX OFFICE</v>
      </c>
      <c r="G1196" s="2">
        <v>51.5</v>
      </c>
      <c r="H1196" t="str">
        <f>"CUST#16156071/TAX OFFICE"</f>
        <v>CUST#16156071/TAX OFFICE</v>
      </c>
    </row>
    <row r="1197" spans="1:9" x14ac:dyDescent="0.25">
      <c r="E1197" t="str">
        <f>"8125529526 A"</f>
        <v>8125529526 A</v>
      </c>
      <c r="F1197" t="str">
        <f>"CUST#16156071/TAX OFFICE"</f>
        <v>CUST#16156071/TAX OFFICE</v>
      </c>
      <c r="G1197" s="2">
        <v>2002.77</v>
      </c>
      <c r="H1197" t="str">
        <f>"CUST#16156071/TAX OFFICE"</f>
        <v>CUST#16156071/TAX OFFICE</v>
      </c>
    </row>
    <row r="1198" spans="1:9" x14ac:dyDescent="0.25">
      <c r="A1198" t="s">
        <v>425</v>
      </c>
      <c r="B1198">
        <v>78807</v>
      </c>
      <c r="C1198" s="3">
        <v>103</v>
      </c>
      <c r="D1198" s="1">
        <v>43367</v>
      </c>
      <c r="E1198" t="str">
        <f>"8125529468"</f>
        <v>8125529468</v>
      </c>
      <c r="F1198" t="str">
        <f>"CUST#16155373"</f>
        <v>CUST#16155373</v>
      </c>
      <c r="G1198" s="2">
        <v>103</v>
      </c>
      <c r="H1198" t="str">
        <f t="shared" ref="H1198:H1203" si="6">"CUST#16155373"</f>
        <v>CUST#16155373</v>
      </c>
    </row>
    <row r="1199" spans="1:9" x14ac:dyDescent="0.25">
      <c r="E1199" t="str">
        <f>""</f>
        <v/>
      </c>
      <c r="F1199" t="str">
        <f>""</f>
        <v/>
      </c>
      <c r="H1199" t="str">
        <f t="shared" si="6"/>
        <v>CUST#16155373</v>
      </c>
    </row>
    <row r="1200" spans="1:9" x14ac:dyDescent="0.25">
      <c r="E1200" t="str">
        <f>""</f>
        <v/>
      </c>
      <c r="F1200" t="str">
        <f>""</f>
        <v/>
      </c>
      <c r="H1200" t="str">
        <f t="shared" si="6"/>
        <v>CUST#16155373</v>
      </c>
    </row>
    <row r="1201" spans="1:8" x14ac:dyDescent="0.25">
      <c r="E1201" t="str">
        <f>""</f>
        <v/>
      </c>
      <c r="F1201" t="str">
        <f>""</f>
        <v/>
      </c>
      <c r="H1201" t="str">
        <f t="shared" si="6"/>
        <v>CUST#16155373</v>
      </c>
    </row>
    <row r="1202" spans="1:8" x14ac:dyDescent="0.25">
      <c r="E1202" t="str">
        <f>""</f>
        <v/>
      </c>
      <c r="F1202" t="str">
        <f>""</f>
        <v/>
      </c>
      <c r="H1202" t="str">
        <f t="shared" si="6"/>
        <v>CUST#16155373</v>
      </c>
    </row>
    <row r="1203" spans="1:8" x14ac:dyDescent="0.25">
      <c r="E1203" t="str">
        <f>""</f>
        <v/>
      </c>
      <c r="F1203" t="str">
        <f>""</f>
        <v/>
      </c>
      <c r="H1203" t="str">
        <f t="shared" si="6"/>
        <v>CUST#16155373</v>
      </c>
    </row>
    <row r="1204" spans="1:8" x14ac:dyDescent="0.25">
      <c r="A1204" t="s">
        <v>426</v>
      </c>
      <c r="B1204">
        <v>78617</v>
      </c>
      <c r="C1204" s="3">
        <v>40338.050000000003</v>
      </c>
      <c r="D1204" s="1">
        <v>43353</v>
      </c>
      <c r="E1204" t="str">
        <f>"201809043282"</f>
        <v>201809043282</v>
      </c>
      <c r="F1204" t="str">
        <f>"2017 Taraus Sedan"</f>
        <v>2017 Taraus Sedan</v>
      </c>
      <c r="G1204" s="2">
        <v>40338.050000000003</v>
      </c>
      <c r="H1204" t="str">
        <f>"2017 Taurus Sedan"</f>
        <v>2017 Taurus Sedan</v>
      </c>
    </row>
    <row r="1205" spans="1:8" x14ac:dyDescent="0.25">
      <c r="A1205" t="s">
        <v>427</v>
      </c>
      <c r="B1205">
        <v>78808</v>
      </c>
      <c r="C1205" s="3">
        <v>60.96</v>
      </c>
      <c r="D1205" s="1">
        <v>43367</v>
      </c>
      <c r="E1205" t="str">
        <f>"395413"</f>
        <v>395413</v>
      </c>
      <c r="F1205" t="str">
        <f>"SUPPLIES/GEN SVCS"</f>
        <v>SUPPLIES/GEN SVCS</v>
      </c>
      <c r="G1205" s="2">
        <v>10.85</v>
      </c>
      <c r="H1205" t="str">
        <f>"SUPPLIES/GEN SVCS"</f>
        <v>SUPPLIES/GEN SVCS</v>
      </c>
    </row>
    <row r="1206" spans="1:8" x14ac:dyDescent="0.25">
      <c r="E1206" t="str">
        <f>"396794"</f>
        <v>396794</v>
      </c>
      <c r="F1206" t="str">
        <f>"STATEMENT#28293/PCT#2"</f>
        <v>STATEMENT#28293/PCT#2</v>
      </c>
      <c r="G1206" s="2">
        <v>50.11</v>
      </c>
      <c r="H1206" t="str">
        <f>"STATEMENT#28293/PCT#2"</f>
        <v>STATEMENT#28293/PCT#2</v>
      </c>
    </row>
    <row r="1207" spans="1:8" x14ac:dyDescent="0.25">
      <c r="A1207" t="s">
        <v>428</v>
      </c>
      <c r="B1207">
        <v>78809</v>
      </c>
      <c r="C1207" s="3">
        <v>811.85</v>
      </c>
      <c r="D1207" s="1">
        <v>43367</v>
      </c>
      <c r="E1207" t="str">
        <f>"201809113679"</f>
        <v>201809113679</v>
      </c>
      <c r="F1207" t="str">
        <f>"ACCT#260"</f>
        <v>ACCT#260</v>
      </c>
      <c r="G1207" s="2">
        <v>811.85</v>
      </c>
      <c r="H1207" t="str">
        <f>"ACCT#260"</f>
        <v>ACCT#260</v>
      </c>
    </row>
    <row r="1208" spans="1:8" x14ac:dyDescent="0.25">
      <c r="A1208" t="s">
        <v>429</v>
      </c>
      <c r="B1208">
        <v>78618</v>
      </c>
      <c r="C1208" s="3">
        <v>2183.4299999999998</v>
      </c>
      <c r="D1208" s="1">
        <v>43353</v>
      </c>
      <c r="E1208" t="str">
        <f>"0063258909"</f>
        <v>0063258909</v>
      </c>
      <c r="F1208" t="str">
        <f>"ACCT#52157/PCT#4"</f>
        <v>ACCT#52157/PCT#4</v>
      </c>
      <c r="G1208" s="2">
        <v>1332</v>
      </c>
      <c r="H1208" t="str">
        <f>"ACCT#52157/PCT#4"</f>
        <v>ACCT#52157/PCT#4</v>
      </c>
    </row>
    <row r="1209" spans="1:8" x14ac:dyDescent="0.25">
      <c r="E1209" t="str">
        <f>"0063259785"</f>
        <v>0063259785</v>
      </c>
      <c r="F1209" t="str">
        <f>"ACCT#52157/REF:AUGUST/PCT#3"</f>
        <v>ACCT#52157/REF:AUGUST/PCT#3</v>
      </c>
      <c r="G1209" s="2">
        <v>579.48</v>
      </c>
      <c r="H1209" t="str">
        <f>"ACCT#52157/REF:AUGUST/PCT#3"</f>
        <v>ACCT#52157/REF:AUGUST/PCT#3</v>
      </c>
    </row>
    <row r="1210" spans="1:8" x14ac:dyDescent="0.25">
      <c r="E1210" t="str">
        <f>"63260749"</f>
        <v>63260749</v>
      </c>
      <c r="F1210" t="str">
        <f>"CUST#52157/PCT#4"</f>
        <v>CUST#52157/PCT#4</v>
      </c>
      <c r="G1210" s="2">
        <v>271.95</v>
      </c>
      <c r="H1210" t="str">
        <f>"CUST#52157/PCT#4"</f>
        <v>CUST#52157/PCT#4</v>
      </c>
    </row>
    <row r="1211" spans="1:8" x14ac:dyDescent="0.25">
      <c r="A1211" t="s">
        <v>429</v>
      </c>
      <c r="B1211">
        <v>78810</v>
      </c>
      <c r="C1211" s="3">
        <v>253.34</v>
      </c>
      <c r="D1211" s="1">
        <v>43367</v>
      </c>
      <c r="E1211" t="str">
        <f>"63262156"</f>
        <v>63262156</v>
      </c>
      <c r="F1211" t="str">
        <f>"CUST#52157/PCT#4"</f>
        <v>CUST#52157/PCT#4</v>
      </c>
      <c r="G1211" s="2">
        <v>253.34</v>
      </c>
      <c r="H1211" t="str">
        <f>"CUST#52157/PCT#4"</f>
        <v>CUST#52157/PCT#4</v>
      </c>
    </row>
    <row r="1212" spans="1:8" x14ac:dyDescent="0.25">
      <c r="A1212" t="s">
        <v>430</v>
      </c>
      <c r="B1212">
        <v>78619</v>
      </c>
      <c r="C1212" s="3">
        <v>149.68</v>
      </c>
      <c r="D1212" s="1">
        <v>43353</v>
      </c>
      <c r="E1212" t="str">
        <f>"11969495 080318"</f>
        <v>11969495 080318</v>
      </c>
      <c r="F1212" t="str">
        <f>"ACCT#556850411969495/DA'S OFF"</f>
        <v>ACCT#556850411969495/DA'S OFF</v>
      </c>
      <c r="G1212" s="2">
        <v>115.03</v>
      </c>
      <c r="H1212" t="str">
        <f>"ACCT#556850411969495/DA'S OFF"</f>
        <v>ACCT#556850411969495/DA'S OFF</v>
      </c>
    </row>
    <row r="1213" spans="1:8" x14ac:dyDescent="0.25">
      <c r="E1213" t="str">
        <f>"9604456 081618"</f>
        <v>9604456 081618</v>
      </c>
      <c r="F1213" t="str">
        <f>"ACCT#46668439604456/JP#2"</f>
        <v>ACCT#46668439604456/JP#2</v>
      </c>
      <c r="G1213" s="2">
        <v>34.65</v>
      </c>
      <c r="H1213" t="str">
        <f>"ACCT#46668439604456/JP#2"</f>
        <v>ACCT#46668439604456/JP#2</v>
      </c>
    </row>
    <row r="1214" spans="1:8" x14ac:dyDescent="0.25">
      <c r="A1214" t="s">
        <v>432</v>
      </c>
      <c r="B1214">
        <v>78620</v>
      </c>
      <c r="C1214" s="3">
        <v>33.299999999999997</v>
      </c>
      <c r="D1214" s="1">
        <v>43353</v>
      </c>
      <c r="E1214" t="str">
        <f>"711886"</f>
        <v>711886</v>
      </c>
      <c r="F1214" t="str">
        <f>"ACCT#114382/ANIMAL SHELTER"</f>
        <v>ACCT#114382/ANIMAL SHELTER</v>
      </c>
      <c r="G1214" s="2">
        <v>33.299999999999997</v>
      </c>
      <c r="H1214" t="str">
        <f>"ACCT#114382/ANIMAL SHELTER"</f>
        <v>ACCT#114382/ANIMAL SHELTER</v>
      </c>
    </row>
    <row r="1215" spans="1:8" x14ac:dyDescent="0.25">
      <c r="A1215" t="s">
        <v>433</v>
      </c>
      <c r="B1215">
        <v>78621</v>
      </c>
      <c r="C1215" s="3">
        <v>100</v>
      </c>
      <c r="D1215" s="1">
        <v>43353</v>
      </c>
      <c r="E1215" t="str">
        <f>"LCI-302434"</f>
        <v>LCI-302434</v>
      </c>
      <c r="F1215" t="str">
        <f>"INV LCI-302434"</f>
        <v>INV LCI-302434</v>
      </c>
      <c r="G1215" s="2">
        <v>100</v>
      </c>
      <c r="H1215" t="str">
        <f>"INV LCI-302434"</f>
        <v>INV LCI-302434</v>
      </c>
    </row>
    <row r="1216" spans="1:8" x14ac:dyDescent="0.25">
      <c r="A1216" t="s">
        <v>434</v>
      </c>
      <c r="B1216">
        <v>78622</v>
      </c>
      <c r="C1216" s="3">
        <v>225.03</v>
      </c>
      <c r="D1216" s="1">
        <v>43353</v>
      </c>
      <c r="E1216" t="str">
        <f>"201809063447"</f>
        <v>201809063447</v>
      </c>
      <c r="F1216" t="str">
        <f t="shared" ref="F1216:F1221" si="7">"INDIGENT HEALTH"</f>
        <v>INDIGENT HEALTH</v>
      </c>
      <c r="G1216" s="2">
        <v>225.03</v>
      </c>
      <c r="H1216" t="str">
        <f t="shared" ref="H1216:H1222" si="8">"INDIGENT HEALTH"</f>
        <v>INDIGENT HEALTH</v>
      </c>
    </row>
    <row r="1217" spans="1:8" x14ac:dyDescent="0.25">
      <c r="A1217" t="s">
        <v>435</v>
      </c>
      <c r="B1217">
        <v>78623</v>
      </c>
      <c r="C1217" s="3">
        <v>76.86</v>
      </c>
      <c r="D1217" s="1">
        <v>43353</v>
      </c>
      <c r="E1217" t="str">
        <f>"201809063450"</f>
        <v>201809063450</v>
      </c>
      <c r="F1217" t="str">
        <f t="shared" si="7"/>
        <v>INDIGENT HEALTH</v>
      </c>
      <c r="G1217" s="2">
        <v>76.86</v>
      </c>
      <c r="H1217" t="str">
        <f t="shared" si="8"/>
        <v>INDIGENT HEALTH</v>
      </c>
    </row>
    <row r="1218" spans="1:8" x14ac:dyDescent="0.25">
      <c r="A1218" t="s">
        <v>436</v>
      </c>
      <c r="B1218">
        <v>78624</v>
      </c>
      <c r="C1218" s="3">
        <v>751.68</v>
      </c>
      <c r="D1218" s="1">
        <v>43353</v>
      </c>
      <c r="E1218" t="str">
        <f>"201809063448"</f>
        <v>201809063448</v>
      </c>
      <c r="F1218" t="str">
        <f t="shared" si="7"/>
        <v>INDIGENT HEALTH</v>
      </c>
      <c r="G1218" s="2">
        <v>751.68</v>
      </c>
      <c r="H1218" t="str">
        <f t="shared" si="8"/>
        <v>INDIGENT HEALTH</v>
      </c>
    </row>
    <row r="1219" spans="1:8" x14ac:dyDescent="0.25">
      <c r="A1219" t="s">
        <v>436</v>
      </c>
      <c r="B1219">
        <v>78811</v>
      </c>
      <c r="C1219" s="3">
        <v>1245.33</v>
      </c>
      <c r="D1219" s="1">
        <v>43367</v>
      </c>
      <c r="E1219" t="str">
        <f>"201809193878"</f>
        <v>201809193878</v>
      </c>
      <c r="F1219" t="str">
        <f t="shared" si="7"/>
        <v>INDIGENT HEALTH</v>
      </c>
      <c r="G1219" s="2">
        <v>153.72</v>
      </c>
      <c r="H1219" t="str">
        <f t="shared" si="8"/>
        <v>INDIGENT HEALTH</v>
      </c>
    </row>
    <row r="1220" spans="1:8" x14ac:dyDescent="0.25">
      <c r="E1220" t="str">
        <f>"201809193879"</f>
        <v>201809193879</v>
      </c>
      <c r="F1220" t="str">
        <f t="shared" si="7"/>
        <v>INDIGENT HEALTH</v>
      </c>
      <c r="G1220" s="2">
        <v>1091.6099999999999</v>
      </c>
      <c r="H1220" t="str">
        <f t="shared" si="8"/>
        <v>INDIGENT HEALTH</v>
      </c>
    </row>
    <row r="1221" spans="1:8" x14ac:dyDescent="0.25">
      <c r="A1221" t="s">
        <v>437</v>
      </c>
      <c r="B1221">
        <v>78625</v>
      </c>
      <c r="C1221" s="3">
        <v>253.8</v>
      </c>
      <c r="D1221" s="1">
        <v>43353</v>
      </c>
      <c r="E1221" t="str">
        <f>"201809063449"</f>
        <v>201809063449</v>
      </c>
      <c r="F1221" t="str">
        <f t="shared" si="7"/>
        <v>INDIGENT HEALTH</v>
      </c>
      <c r="G1221" s="2">
        <v>253.8</v>
      </c>
      <c r="H1221" t="str">
        <f t="shared" si="8"/>
        <v>INDIGENT HEALTH</v>
      </c>
    </row>
    <row r="1222" spans="1:8" x14ac:dyDescent="0.25">
      <c r="E1222" t="str">
        <f>""</f>
        <v/>
      </c>
      <c r="F1222" t="str">
        <f>""</f>
        <v/>
      </c>
      <c r="H1222" t="str">
        <f t="shared" si="8"/>
        <v>INDIGENT HEALTH</v>
      </c>
    </row>
    <row r="1223" spans="1:8" x14ac:dyDescent="0.25">
      <c r="A1223" t="s">
        <v>431</v>
      </c>
      <c r="B1223">
        <v>78812</v>
      </c>
      <c r="C1223" s="3">
        <v>66.13</v>
      </c>
      <c r="D1223" s="1">
        <v>43367</v>
      </c>
      <c r="E1223" t="str">
        <f>"11969495 083118"</f>
        <v>11969495 083118</v>
      </c>
      <c r="F1223" t="str">
        <f>"ACCT#556850411969495/DA OFFICE"</f>
        <v>ACCT#556850411969495/DA OFFICE</v>
      </c>
      <c r="G1223" s="2">
        <v>66.13</v>
      </c>
      <c r="H1223" t="str">
        <f>"ACCT#556850411969495/DA OFFICE"</f>
        <v>ACCT#556850411969495/DA OFFICE</v>
      </c>
    </row>
    <row r="1224" spans="1:8" x14ac:dyDescent="0.25">
      <c r="A1224" t="s">
        <v>438</v>
      </c>
      <c r="B1224">
        <v>78626</v>
      </c>
      <c r="C1224" s="3">
        <v>1585.63</v>
      </c>
      <c r="D1224" s="1">
        <v>43353</v>
      </c>
      <c r="E1224" t="str">
        <f>"8051025105"</f>
        <v>8051025105</v>
      </c>
      <c r="F1224" t="str">
        <f>"Sum Inv 8051025105"</f>
        <v>Sum Inv 8051025105</v>
      </c>
      <c r="G1224" s="2">
        <v>1585.63</v>
      </c>
      <c r="H1224" t="str">
        <f>"Inv# 3386973869"</f>
        <v>Inv# 3386973869</v>
      </c>
    </row>
    <row r="1225" spans="1:8" x14ac:dyDescent="0.25">
      <c r="E1225" t="str">
        <f>""</f>
        <v/>
      </c>
      <c r="F1225" t="str">
        <f>""</f>
        <v/>
      </c>
      <c r="H1225" t="str">
        <f>"Inv# 3386973858"</f>
        <v>Inv# 3386973858</v>
      </c>
    </row>
    <row r="1226" spans="1:8" x14ac:dyDescent="0.25">
      <c r="E1226" t="str">
        <f>""</f>
        <v/>
      </c>
      <c r="F1226" t="str">
        <f>""</f>
        <v/>
      </c>
      <c r="H1226" t="str">
        <f>"Inv# 3386973859"</f>
        <v>Inv# 3386973859</v>
      </c>
    </row>
    <row r="1227" spans="1:8" x14ac:dyDescent="0.25">
      <c r="E1227" t="str">
        <f>""</f>
        <v/>
      </c>
      <c r="F1227" t="str">
        <f>""</f>
        <v/>
      </c>
      <c r="H1227" t="str">
        <f>"Inv# 3386973860"</f>
        <v>Inv# 3386973860</v>
      </c>
    </row>
    <row r="1228" spans="1:8" x14ac:dyDescent="0.25">
      <c r="E1228" t="str">
        <f>""</f>
        <v/>
      </c>
      <c r="F1228" t="str">
        <f>""</f>
        <v/>
      </c>
      <c r="H1228" t="str">
        <f>"Inv# 3386973862"</f>
        <v>Inv# 3386973862</v>
      </c>
    </row>
    <row r="1229" spans="1:8" x14ac:dyDescent="0.25">
      <c r="E1229" t="str">
        <f>""</f>
        <v/>
      </c>
      <c r="F1229" t="str">
        <f>""</f>
        <v/>
      </c>
      <c r="H1229" t="str">
        <f>"Inv# 3386973863"</f>
        <v>Inv# 3386973863</v>
      </c>
    </row>
    <row r="1230" spans="1:8" x14ac:dyDescent="0.25">
      <c r="E1230" t="str">
        <f>""</f>
        <v/>
      </c>
      <c r="F1230" t="str">
        <f>""</f>
        <v/>
      </c>
      <c r="H1230" t="str">
        <f>"Inv# 3386973861"</f>
        <v>Inv# 3386973861</v>
      </c>
    </row>
    <row r="1231" spans="1:8" x14ac:dyDescent="0.25">
      <c r="E1231" t="str">
        <f>""</f>
        <v/>
      </c>
      <c r="F1231" t="str">
        <f>""</f>
        <v/>
      </c>
      <c r="H1231" t="str">
        <f>"Inv# 3386973858"</f>
        <v>Inv# 3386973858</v>
      </c>
    </row>
    <row r="1232" spans="1:8" x14ac:dyDescent="0.25">
      <c r="E1232" t="str">
        <f>""</f>
        <v/>
      </c>
      <c r="F1232" t="str">
        <f>""</f>
        <v/>
      </c>
      <c r="H1232" t="str">
        <f>"Inv# 3386973868"</f>
        <v>Inv# 3386973868</v>
      </c>
    </row>
    <row r="1233" spans="1:8" x14ac:dyDescent="0.25">
      <c r="E1233" t="str">
        <f>""</f>
        <v/>
      </c>
      <c r="F1233" t="str">
        <f>""</f>
        <v/>
      </c>
      <c r="H1233" t="str">
        <f>"Inv# 3386973866"</f>
        <v>Inv# 3386973866</v>
      </c>
    </row>
    <row r="1234" spans="1:8" x14ac:dyDescent="0.25">
      <c r="E1234" t="str">
        <f>""</f>
        <v/>
      </c>
      <c r="F1234" t="str">
        <f>""</f>
        <v/>
      </c>
      <c r="H1234" t="str">
        <f>"Inv# 3386973867"</f>
        <v>Inv# 3386973867</v>
      </c>
    </row>
    <row r="1235" spans="1:8" x14ac:dyDescent="0.25">
      <c r="E1235" t="str">
        <f>""</f>
        <v/>
      </c>
      <c r="F1235" t="str">
        <f>""</f>
        <v/>
      </c>
      <c r="H1235" t="str">
        <f>"Inv# 3386973864"</f>
        <v>Inv# 3386973864</v>
      </c>
    </row>
    <row r="1236" spans="1:8" x14ac:dyDescent="0.25">
      <c r="A1236" t="s">
        <v>438</v>
      </c>
      <c r="B1236">
        <v>78813</v>
      </c>
      <c r="C1236" s="3">
        <v>1979.1</v>
      </c>
      <c r="D1236" s="1">
        <v>43367</v>
      </c>
      <c r="E1236" t="str">
        <f>"8051254108"</f>
        <v>8051254108</v>
      </c>
      <c r="F1236" t="str">
        <f>"Sum Inv# 8051254108"</f>
        <v>Sum Inv# 8051254108</v>
      </c>
      <c r="G1236" s="2">
        <v>1979.1</v>
      </c>
      <c r="H1236" t="str">
        <f>"Inv# 3388990089"</f>
        <v>Inv# 3388990089</v>
      </c>
    </row>
    <row r="1237" spans="1:8" x14ac:dyDescent="0.25">
      <c r="E1237" t="str">
        <f>""</f>
        <v/>
      </c>
      <c r="F1237" t="str">
        <f>""</f>
        <v/>
      </c>
      <c r="H1237" t="str">
        <f>"Inv# 3388990094"</f>
        <v>Inv# 3388990094</v>
      </c>
    </row>
    <row r="1238" spans="1:8" x14ac:dyDescent="0.25">
      <c r="E1238" t="str">
        <f>""</f>
        <v/>
      </c>
      <c r="F1238" t="str">
        <f>""</f>
        <v/>
      </c>
      <c r="H1238" t="str">
        <f>"Inv# 3388990096"</f>
        <v>Inv# 3388990096</v>
      </c>
    </row>
    <row r="1239" spans="1:8" x14ac:dyDescent="0.25">
      <c r="E1239" t="str">
        <f>""</f>
        <v/>
      </c>
      <c r="F1239" t="str">
        <f>""</f>
        <v/>
      </c>
      <c r="H1239" t="str">
        <f>"Inv# 3388990105"</f>
        <v>Inv# 3388990105</v>
      </c>
    </row>
    <row r="1240" spans="1:8" x14ac:dyDescent="0.25">
      <c r="E1240" t="str">
        <f>""</f>
        <v/>
      </c>
      <c r="F1240" t="str">
        <f>""</f>
        <v/>
      </c>
      <c r="H1240" t="str">
        <f>"Inv# 3388990103"</f>
        <v>Inv# 3388990103</v>
      </c>
    </row>
    <row r="1241" spans="1:8" x14ac:dyDescent="0.25">
      <c r="E1241" t="str">
        <f>""</f>
        <v/>
      </c>
      <c r="F1241" t="str">
        <f>""</f>
        <v/>
      </c>
      <c r="H1241" t="str">
        <f>"Inv# 3388990104"</f>
        <v>Inv# 3388990104</v>
      </c>
    </row>
    <row r="1242" spans="1:8" x14ac:dyDescent="0.25">
      <c r="E1242" t="str">
        <f>""</f>
        <v/>
      </c>
      <c r="F1242" t="str">
        <f>""</f>
        <v/>
      </c>
      <c r="H1242" t="str">
        <f>"Inv# 3388990099"</f>
        <v>Inv# 3388990099</v>
      </c>
    </row>
    <row r="1243" spans="1:8" x14ac:dyDescent="0.25">
      <c r="E1243" t="str">
        <f>""</f>
        <v/>
      </c>
      <c r="F1243" t="str">
        <f>""</f>
        <v/>
      </c>
      <c r="H1243" t="str">
        <f>"Inv# 3388990101"</f>
        <v>Inv# 3388990101</v>
      </c>
    </row>
    <row r="1244" spans="1:8" x14ac:dyDescent="0.25">
      <c r="E1244" t="str">
        <f>""</f>
        <v/>
      </c>
      <c r="F1244" t="str">
        <f>""</f>
        <v/>
      </c>
      <c r="H1244" t="str">
        <f>"Inv# 3388990102"</f>
        <v>Inv# 3388990102</v>
      </c>
    </row>
    <row r="1245" spans="1:8" x14ac:dyDescent="0.25">
      <c r="E1245" t="str">
        <f>""</f>
        <v/>
      </c>
      <c r="F1245" t="str">
        <f>""</f>
        <v/>
      </c>
      <c r="H1245" t="str">
        <f>"Inv# 3388990106"</f>
        <v>Inv# 3388990106</v>
      </c>
    </row>
    <row r="1246" spans="1:8" x14ac:dyDescent="0.25">
      <c r="E1246" t="str">
        <f>""</f>
        <v/>
      </c>
      <c r="F1246" t="str">
        <f>""</f>
        <v/>
      </c>
      <c r="H1246" t="str">
        <f>"Inv# 3388990092"</f>
        <v>Inv# 3388990092</v>
      </c>
    </row>
    <row r="1247" spans="1:8" x14ac:dyDescent="0.25">
      <c r="A1247" t="s">
        <v>439</v>
      </c>
      <c r="B1247">
        <v>78814</v>
      </c>
      <c r="C1247" s="3">
        <v>1017.64</v>
      </c>
      <c r="D1247" s="1">
        <v>43367</v>
      </c>
      <c r="E1247" t="str">
        <f>"201809123697"</f>
        <v>201809123697</v>
      </c>
      <c r="F1247" t="str">
        <f>"AUGUST 2018"</f>
        <v>AUGUST 2018</v>
      </c>
      <c r="G1247" s="2">
        <v>1017.64</v>
      </c>
      <c r="H1247" t="str">
        <f>"AUGUST 2018"</f>
        <v>AUGUST 2018</v>
      </c>
    </row>
    <row r="1248" spans="1:8" x14ac:dyDescent="0.25">
      <c r="A1248" t="s">
        <v>440</v>
      </c>
      <c r="B1248">
        <v>78627</v>
      </c>
      <c r="C1248" s="3">
        <v>770.1</v>
      </c>
      <c r="D1248" s="1">
        <v>43353</v>
      </c>
      <c r="E1248" t="str">
        <f>"4008042973"</f>
        <v>4008042973</v>
      </c>
      <c r="F1248" t="str">
        <f>"INV 4008042973"</f>
        <v>INV 4008042973</v>
      </c>
      <c r="G1248" s="2">
        <v>770.1</v>
      </c>
      <c r="H1248" t="str">
        <f>"INV 4008042973"</f>
        <v>INV 4008042973</v>
      </c>
    </row>
    <row r="1249" spans="1:8" x14ac:dyDescent="0.25">
      <c r="A1249" t="s">
        <v>441</v>
      </c>
      <c r="B1249">
        <v>78628</v>
      </c>
      <c r="C1249" s="3">
        <v>364</v>
      </c>
      <c r="D1249" s="1">
        <v>43353</v>
      </c>
      <c r="E1249" t="str">
        <f>"201809043276"</f>
        <v>201809043276</v>
      </c>
      <c r="F1249" t="str">
        <f>"TRASH REMOVAL/8/27-8/31/PCT#4"</f>
        <v>TRASH REMOVAL/8/27-8/31/PCT#4</v>
      </c>
      <c r="G1249" s="2">
        <v>221</v>
      </c>
      <c r="H1249" t="str">
        <f>"TRASH REMOVAL/8/27-8/31/PCT#4"</f>
        <v>TRASH REMOVAL/8/27-8/31/PCT#4</v>
      </c>
    </row>
    <row r="1250" spans="1:8" x14ac:dyDescent="0.25">
      <c r="E1250" t="str">
        <f>"201809043277"</f>
        <v>201809043277</v>
      </c>
      <c r="F1250" t="str">
        <f>"TRASH REMOVAL/9/3-9/7/PCT#4"</f>
        <v>TRASH REMOVAL/9/3-9/7/PCT#4</v>
      </c>
      <c r="G1250" s="2">
        <v>143</v>
      </c>
      <c r="H1250" t="str">
        <f>"TRASH REMOVAL/9/3-9/7/PCT#4"</f>
        <v>TRASH REMOVAL/9/3-9/7/PCT#4</v>
      </c>
    </row>
    <row r="1251" spans="1:8" x14ac:dyDescent="0.25">
      <c r="A1251" t="s">
        <v>441</v>
      </c>
      <c r="B1251">
        <v>78815</v>
      </c>
      <c r="C1251" s="3">
        <v>357.5</v>
      </c>
      <c r="D1251" s="1">
        <v>43367</v>
      </c>
      <c r="E1251" t="str">
        <f>"201809193849"</f>
        <v>201809193849</v>
      </c>
      <c r="F1251" t="str">
        <f>"TRASH REMOVAL 09/10-09/21/PCT4"</f>
        <v>TRASH REMOVAL 09/10-09/21/PCT4</v>
      </c>
      <c r="G1251" s="2">
        <v>357.5</v>
      </c>
      <c r="H1251" t="str">
        <f>"TRASH REMOVAL 09/10-09/21/PCT4"</f>
        <v>TRASH REMOVAL 09/10-09/21/PCT4</v>
      </c>
    </row>
    <row r="1252" spans="1:8" x14ac:dyDescent="0.25">
      <c r="A1252" t="s">
        <v>442</v>
      </c>
      <c r="B1252">
        <v>78816</v>
      </c>
      <c r="C1252" s="3">
        <v>350</v>
      </c>
      <c r="D1252" s="1">
        <v>43367</v>
      </c>
      <c r="E1252" t="str">
        <f>"201809183787"</f>
        <v>201809183787</v>
      </c>
      <c r="F1252" t="str">
        <f>"LAW ENFORCEMENT EVAL-M.CAMDEN"</f>
        <v>LAW ENFORCEMENT EVAL-M.CAMDEN</v>
      </c>
      <c r="G1252" s="2">
        <v>175</v>
      </c>
      <c r="H1252" t="str">
        <f>"LAW ENFORCEMENT EVAL-M.CAMDEN"</f>
        <v>LAW ENFORCEMENT EVAL-M.CAMDEN</v>
      </c>
    </row>
    <row r="1253" spans="1:8" x14ac:dyDescent="0.25">
      <c r="E1253" t="str">
        <f>"201809183829"</f>
        <v>201809183829</v>
      </c>
      <c r="F1253" t="str">
        <f>"SEPTEMBER EVALS"</f>
        <v>SEPTEMBER EVALS</v>
      </c>
      <c r="G1253" s="2">
        <v>175</v>
      </c>
      <c r="H1253" t="str">
        <f>"SEPTEMBER EVALS"</f>
        <v>SEPTEMBER EVALS</v>
      </c>
    </row>
    <row r="1254" spans="1:8" x14ac:dyDescent="0.25">
      <c r="A1254" t="s">
        <v>443</v>
      </c>
      <c r="B1254">
        <v>78678</v>
      </c>
      <c r="C1254" s="3">
        <v>170</v>
      </c>
      <c r="D1254" s="1">
        <v>43355</v>
      </c>
      <c r="E1254" t="str">
        <f>"215350"</f>
        <v>215350</v>
      </c>
      <c r="F1254" t="str">
        <f>"JURY MEALS 08/30/2018"</f>
        <v>JURY MEALS 08/30/2018</v>
      </c>
      <c r="G1254" s="2">
        <v>170</v>
      </c>
      <c r="H1254" t="str">
        <f>"JURY MEALS 08/30/2018"</f>
        <v>JURY MEALS 08/30/2018</v>
      </c>
    </row>
    <row r="1255" spans="1:8" x14ac:dyDescent="0.25">
      <c r="A1255" t="s">
        <v>444</v>
      </c>
      <c r="B1255">
        <v>999999</v>
      </c>
      <c r="C1255" s="3">
        <v>9360</v>
      </c>
      <c r="D1255" s="1">
        <v>43354</v>
      </c>
      <c r="E1255" t="str">
        <f>"228"</f>
        <v>228</v>
      </c>
      <c r="F1255" t="str">
        <f>"SHREDDING MOWING/PCT#2"</f>
        <v>SHREDDING MOWING/PCT#2</v>
      </c>
      <c r="G1255" s="2">
        <v>9360</v>
      </c>
      <c r="H1255" t="str">
        <f>"SHREDDING MOWING/PCT#2"</f>
        <v>SHREDDING MOWING/PCT#2</v>
      </c>
    </row>
    <row r="1256" spans="1:8" x14ac:dyDescent="0.25">
      <c r="A1256" t="s">
        <v>444</v>
      </c>
      <c r="B1256">
        <v>999999</v>
      </c>
      <c r="C1256" s="3">
        <v>6240</v>
      </c>
      <c r="D1256" s="1">
        <v>43368</v>
      </c>
      <c r="E1256" t="str">
        <f>"229"</f>
        <v>229</v>
      </c>
      <c r="F1256" t="str">
        <f>"LANDSCAPING SVCS/PCT#2"</f>
        <v>LANDSCAPING SVCS/PCT#2</v>
      </c>
      <c r="G1256" s="2">
        <v>6240</v>
      </c>
      <c r="H1256" t="str">
        <f>"LANDSCAPING SVCS/PCT#2"</f>
        <v>LANDSCAPING SVCS/PCT#2</v>
      </c>
    </row>
    <row r="1257" spans="1:8" x14ac:dyDescent="0.25">
      <c r="A1257" t="s">
        <v>445</v>
      </c>
      <c r="B1257">
        <v>999999</v>
      </c>
      <c r="C1257" s="3">
        <v>4764.9399999999996</v>
      </c>
      <c r="D1257" s="1">
        <v>43368</v>
      </c>
      <c r="E1257" t="str">
        <f>"94970594"</f>
        <v>94970594</v>
      </c>
      <c r="F1257" t="str">
        <f>"ACCT#10187718/FUEL/PCT#2"</f>
        <v>ACCT#10187718/FUEL/PCT#2</v>
      </c>
      <c r="G1257" s="2">
        <v>4764.9399999999996</v>
      </c>
      <c r="H1257" t="str">
        <f>"ACCT#10187718/FUEL/PCT#2"</f>
        <v>ACCT#10187718/FUEL/PCT#2</v>
      </c>
    </row>
    <row r="1258" spans="1:8" x14ac:dyDescent="0.25">
      <c r="A1258" t="s">
        <v>446</v>
      </c>
      <c r="B1258">
        <v>999999</v>
      </c>
      <c r="C1258" s="3">
        <v>80.959999999999994</v>
      </c>
      <c r="D1258" s="1">
        <v>43354</v>
      </c>
      <c r="E1258" t="str">
        <f>"18090403"</f>
        <v>18090403</v>
      </c>
      <c r="F1258" t="str">
        <f>"SVC CONTRACT"</f>
        <v>SVC CONTRACT</v>
      </c>
      <c r="G1258" s="2">
        <v>80.959999999999994</v>
      </c>
      <c r="H1258" t="str">
        <f>"SVC CONTRACT"</f>
        <v>SVC CONTRACT</v>
      </c>
    </row>
    <row r="1259" spans="1:8" x14ac:dyDescent="0.25">
      <c r="A1259" t="s">
        <v>447</v>
      </c>
      <c r="B1259">
        <v>78629</v>
      </c>
      <c r="C1259" s="3">
        <v>240</v>
      </c>
      <c r="D1259" s="1">
        <v>43353</v>
      </c>
      <c r="E1259" t="str">
        <f>"76178"</f>
        <v>76178</v>
      </c>
      <c r="F1259" t="str">
        <f>"ACCT#60-03-0903F/SVC CALL"</f>
        <v>ACCT#60-03-0903F/SVC CALL</v>
      </c>
      <c r="G1259" s="2">
        <v>240</v>
      </c>
      <c r="H1259" t="str">
        <f>"ACCT#60-03-0903F/SVC CALL"</f>
        <v>ACCT#60-03-0903F/SVC CALL</v>
      </c>
    </row>
    <row r="1260" spans="1:8" x14ac:dyDescent="0.25">
      <c r="A1260" t="s">
        <v>448</v>
      </c>
      <c r="B1260">
        <v>78630</v>
      </c>
      <c r="C1260" s="3">
        <v>500</v>
      </c>
      <c r="D1260" s="1">
        <v>43353</v>
      </c>
      <c r="E1260" t="str">
        <f>"201809053407"</f>
        <v>201809053407</v>
      </c>
      <c r="F1260" t="str">
        <f>"TRAINING"</f>
        <v>TRAINING</v>
      </c>
      <c r="G1260" s="2">
        <v>500</v>
      </c>
      <c r="H1260" t="str">
        <f>"TRAINING"</f>
        <v>TRAINING</v>
      </c>
    </row>
    <row r="1261" spans="1:8" x14ac:dyDescent="0.25">
      <c r="A1261" t="s">
        <v>449</v>
      </c>
      <c r="B1261">
        <v>78864</v>
      </c>
      <c r="C1261" s="3">
        <v>500</v>
      </c>
      <c r="D1261" s="1">
        <v>43370</v>
      </c>
      <c r="E1261" t="str">
        <f>"201809273958"</f>
        <v>201809273958</v>
      </c>
      <c r="F1261" t="str">
        <f>"OSSF REGISTRATION-E. GUERRERO"</f>
        <v>OSSF REGISTRATION-E. GUERRERO</v>
      </c>
      <c r="G1261" s="2">
        <v>500</v>
      </c>
      <c r="H1261" t="str">
        <f>"OSSF REGISTRATION-E. GUERRERO"</f>
        <v>OSSF REGISTRATION-E. GUERRERO</v>
      </c>
    </row>
    <row r="1262" spans="1:8" x14ac:dyDescent="0.25">
      <c r="A1262" t="s">
        <v>450</v>
      </c>
      <c r="B1262">
        <v>999999</v>
      </c>
      <c r="C1262" s="3">
        <v>201</v>
      </c>
      <c r="D1262" s="1">
        <v>43368</v>
      </c>
      <c r="E1262" t="str">
        <f>"1810059"</f>
        <v>1810059</v>
      </c>
      <c r="F1262" t="str">
        <f>"MONTHLY CONTRACT BILLING"</f>
        <v>MONTHLY CONTRACT BILLING</v>
      </c>
      <c r="G1262" s="2">
        <v>201</v>
      </c>
      <c r="H1262" t="str">
        <f>"MONTHLY CONTRACT BILLING"</f>
        <v>MONTHLY CONTRACT BILLING</v>
      </c>
    </row>
    <row r="1263" spans="1:8" x14ac:dyDescent="0.25">
      <c r="A1263" t="s">
        <v>451</v>
      </c>
      <c r="B1263">
        <v>78631</v>
      </c>
      <c r="C1263" s="3">
        <v>65.400000000000006</v>
      </c>
      <c r="D1263" s="1">
        <v>43353</v>
      </c>
      <c r="E1263" t="str">
        <f>"201808293103"</f>
        <v>201808293103</v>
      </c>
      <c r="F1263" t="str">
        <f>"REIMBURSE MILEAGE"</f>
        <v>REIMBURSE MILEAGE</v>
      </c>
      <c r="G1263" s="2">
        <v>65.400000000000006</v>
      </c>
      <c r="H1263" t="str">
        <f>"REIMBURSE MILEAGE"</f>
        <v>REIMBURSE MILEAGE</v>
      </c>
    </row>
    <row r="1264" spans="1:8" x14ac:dyDescent="0.25">
      <c r="A1264" t="s">
        <v>452</v>
      </c>
      <c r="B1264">
        <v>999999</v>
      </c>
      <c r="C1264" s="3">
        <v>84.1</v>
      </c>
      <c r="D1264" s="1">
        <v>43354</v>
      </c>
      <c r="E1264" t="str">
        <f>"77635"</f>
        <v>77635</v>
      </c>
      <c r="F1264" t="str">
        <f>"ACCT#63275/BASC01/PCT#2"</f>
        <v>ACCT#63275/BASC01/PCT#2</v>
      </c>
      <c r="G1264" s="2">
        <v>84.1</v>
      </c>
      <c r="H1264" t="str">
        <f>"ACCT#63275/BASC01/PCT#2"</f>
        <v>ACCT#63275/BASC01/PCT#2</v>
      </c>
    </row>
    <row r="1265" spans="1:8" x14ac:dyDescent="0.25">
      <c r="A1265" t="s">
        <v>453</v>
      </c>
      <c r="B1265">
        <v>78632</v>
      </c>
      <c r="C1265" s="3">
        <v>8658.24</v>
      </c>
      <c r="D1265" s="1">
        <v>43353</v>
      </c>
      <c r="E1265" t="str">
        <f>"0778051-IN"</f>
        <v>0778051-IN</v>
      </c>
      <c r="F1265" t="str">
        <f>"ACCT#01-0112917/PCT#1"</f>
        <v>ACCT#01-0112917/PCT#1</v>
      </c>
      <c r="G1265" s="2">
        <v>6147.38</v>
      </c>
      <c r="H1265" t="str">
        <f>"ACCT#01-0112917/PCT#1"</f>
        <v>ACCT#01-0112917/PCT#1</v>
      </c>
    </row>
    <row r="1266" spans="1:8" x14ac:dyDescent="0.25">
      <c r="E1266" t="str">
        <f>"0779550-IN"</f>
        <v>0779550-IN</v>
      </c>
      <c r="F1266" t="str">
        <f>"ACCT#01-0112917/PCT#3"</f>
        <v>ACCT#01-0112917/PCT#3</v>
      </c>
      <c r="G1266" s="2">
        <v>2177.2600000000002</v>
      </c>
      <c r="H1266" t="str">
        <f>"ACCT#01-0112917/PCT#3"</f>
        <v>ACCT#01-0112917/PCT#3</v>
      </c>
    </row>
    <row r="1267" spans="1:8" x14ac:dyDescent="0.25">
      <c r="E1267" t="str">
        <f>"0779552-IN"</f>
        <v>0779552-IN</v>
      </c>
      <c r="F1267" t="str">
        <f>"ACCT#01-0112917/PCT#3"</f>
        <v>ACCT#01-0112917/PCT#3</v>
      </c>
      <c r="G1267" s="2">
        <v>333.6</v>
      </c>
      <c r="H1267" t="str">
        <f>"ACCT#01-0112917/PCT#3"</f>
        <v>ACCT#01-0112917/PCT#3</v>
      </c>
    </row>
    <row r="1268" spans="1:8" x14ac:dyDescent="0.25">
      <c r="A1268" t="s">
        <v>453</v>
      </c>
      <c r="B1268">
        <v>78817</v>
      </c>
      <c r="C1268" s="3">
        <v>15236.57</v>
      </c>
      <c r="D1268" s="1">
        <v>43367</v>
      </c>
      <c r="E1268" t="str">
        <f>"0779885-IN"</f>
        <v>0779885-IN</v>
      </c>
      <c r="F1268" t="str">
        <f>"ACCT#01-0112917/PCT#3"</f>
        <v>ACCT#01-0112917/PCT#3</v>
      </c>
      <c r="G1268" s="2">
        <v>3720.68</v>
      </c>
      <c r="H1268" t="str">
        <f>"ACCT#01-0112917/PCT#3"</f>
        <v>ACCT#01-0112917/PCT#3</v>
      </c>
    </row>
    <row r="1269" spans="1:8" x14ac:dyDescent="0.25">
      <c r="E1269" t="str">
        <f>"0782431-IN"</f>
        <v>0782431-IN</v>
      </c>
      <c r="F1269" t="str">
        <f>"ACCT#01-0112917/PCT#3"</f>
        <v>ACCT#01-0112917/PCT#3</v>
      </c>
      <c r="G1269" s="2">
        <v>4529.3100000000004</v>
      </c>
      <c r="H1269" t="str">
        <f>"ACCT#01-0112917/PCT#3"</f>
        <v>ACCT#01-0112917/PCT#3</v>
      </c>
    </row>
    <row r="1270" spans="1:8" x14ac:dyDescent="0.25">
      <c r="E1270" t="str">
        <f>"0784036-IN"</f>
        <v>0784036-IN</v>
      </c>
      <c r="F1270" t="str">
        <f>"ACCT#01-0112917/PCT#2"</f>
        <v>ACCT#01-0112917/PCT#2</v>
      </c>
      <c r="G1270" s="2">
        <v>898.5</v>
      </c>
      <c r="H1270" t="str">
        <f>"ACCT#01-0112917/PCT#2"</f>
        <v>ACCT#01-0112917/PCT#2</v>
      </c>
    </row>
    <row r="1271" spans="1:8" x14ac:dyDescent="0.25">
      <c r="E1271" t="str">
        <f>"0784486-IN"</f>
        <v>0784486-IN</v>
      </c>
      <c r="F1271" t="str">
        <f>"ACCT#01-0112917/FUEL/PCT#1"</f>
        <v>ACCT#01-0112917/FUEL/PCT#1</v>
      </c>
      <c r="G1271" s="2">
        <v>6088.08</v>
      </c>
      <c r="H1271" t="str">
        <f>"ACCT#01-0112917/FUEL/PCT#1"</f>
        <v>ACCT#01-0112917/FUEL/PCT#1</v>
      </c>
    </row>
    <row r="1272" spans="1:8" x14ac:dyDescent="0.25">
      <c r="A1272" t="s">
        <v>454</v>
      </c>
      <c r="B1272">
        <v>78633</v>
      </c>
      <c r="C1272" s="3">
        <v>115</v>
      </c>
      <c r="D1272" s="1">
        <v>43353</v>
      </c>
      <c r="E1272" t="str">
        <f>"201808313198"</f>
        <v>201808313198</v>
      </c>
      <c r="F1272" t="str">
        <f>"CONFERENCE REG-APRIL KUCK"</f>
        <v>CONFERENCE REG-APRIL KUCK</v>
      </c>
      <c r="G1272" s="2">
        <v>115</v>
      </c>
      <c r="H1272" t="str">
        <f>"CONFERENCE REG-APRIL KUCK"</f>
        <v>CONFERENCE REG-APRIL KUCK</v>
      </c>
    </row>
    <row r="1273" spans="1:8" x14ac:dyDescent="0.25">
      <c r="A1273" t="s">
        <v>455</v>
      </c>
      <c r="B1273">
        <v>78818</v>
      </c>
      <c r="C1273" s="3">
        <v>2113.65</v>
      </c>
      <c r="D1273" s="1">
        <v>43367</v>
      </c>
      <c r="E1273" t="str">
        <f>"96699"</f>
        <v>96699</v>
      </c>
      <c r="F1273" t="str">
        <f>"RIP RAP/PCT#4"</f>
        <v>RIP RAP/PCT#4</v>
      </c>
      <c r="G1273" s="2">
        <v>2113.65</v>
      </c>
      <c r="H1273" t="str">
        <f>"RIP RAP/PCT#4"</f>
        <v>RIP RAP/PCT#4</v>
      </c>
    </row>
    <row r="1274" spans="1:8" x14ac:dyDescent="0.25">
      <c r="A1274" t="s">
        <v>456</v>
      </c>
      <c r="B1274">
        <v>78634</v>
      </c>
      <c r="C1274" s="3">
        <v>521</v>
      </c>
      <c r="D1274" s="1">
        <v>43353</v>
      </c>
      <c r="E1274" t="str">
        <f>"1809"</f>
        <v>1809</v>
      </c>
      <c r="F1274" t="str">
        <f>"ACCT#BASTCOU-08/BOND"</f>
        <v>ACCT#BASTCOU-08/BOND</v>
      </c>
      <c r="G1274" s="2">
        <v>50</v>
      </c>
      <c r="H1274" t="str">
        <f>"ACCT#BASTCOU-08/BOND"</f>
        <v>ACCT#BASTCOU-08/BOND</v>
      </c>
    </row>
    <row r="1275" spans="1:8" x14ac:dyDescent="0.25">
      <c r="E1275" t="str">
        <f>"1907"</f>
        <v>1907</v>
      </c>
      <c r="F1275" t="str">
        <f>"INV 1907"</f>
        <v>INV 1907</v>
      </c>
      <c r="G1275" s="2">
        <v>50</v>
      </c>
      <c r="H1275" t="str">
        <f>"INV 1907"</f>
        <v>INV 1907</v>
      </c>
    </row>
    <row r="1276" spans="1:8" x14ac:dyDescent="0.25">
      <c r="E1276" t="str">
        <f>"201809053293"</f>
        <v>201809053293</v>
      </c>
      <c r="F1276" t="str">
        <f>"NEW BOND - C. WILLIAMS"</f>
        <v>NEW BOND - C. WILLIAMS</v>
      </c>
      <c r="G1276" s="2">
        <v>50</v>
      </c>
      <c r="H1276" t="str">
        <f>"NEW BOND - C. WILLIAMS"</f>
        <v>NEW BOND - C. WILLIAMS</v>
      </c>
    </row>
    <row r="1277" spans="1:8" x14ac:dyDescent="0.25">
      <c r="E1277" t="str">
        <f>"201809053294"</f>
        <v>201809053294</v>
      </c>
      <c r="F1277" t="str">
        <f>"BOND RENEWALS"</f>
        <v>BOND RENEWALS</v>
      </c>
      <c r="G1277" s="2">
        <v>350</v>
      </c>
      <c r="H1277" t="str">
        <f>"BOND RENEWALS"</f>
        <v>BOND RENEWALS</v>
      </c>
    </row>
    <row r="1278" spans="1:8" x14ac:dyDescent="0.25">
      <c r="E1278" t="str">
        <f>"201809053411"</f>
        <v>201809053411</v>
      </c>
      <c r="F1278" t="str">
        <f>"FILING FEE - NOTARY"</f>
        <v>FILING FEE - NOTARY</v>
      </c>
      <c r="G1278" s="2">
        <v>21</v>
      </c>
      <c r="H1278" t="str">
        <f>"FILING FEE - NOTARY"</f>
        <v>FILING FEE - NOTARY</v>
      </c>
    </row>
    <row r="1279" spans="1:8" x14ac:dyDescent="0.25">
      <c r="A1279" t="s">
        <v>31</v>
      </c>
      <c r="B1279">
        <v>78819</v>
      </c>
      <c r="C1279" s="3">
        <v>77716.850000000006</v>
      </c>
      <c r="D1279" s="1">
        <v>43367</v>
      </c>
      <c r="E1279" t="str">
        <f>"20509-WC4"</f>
        <v>20509-WC4</v>
      </c>
      <c r="F1279" t="str">
        <f>"4TH QTR WRKRS COMP/MEMBER#0110"</f>
        <v>4TH QTR WRKRS COMP/MEMBER#0110</v>
      </c>
      <c r="G1279" s="2">
        <v>52803.45</v>
      </c>
      <c r="H1279" t="str">
        <f t="shared" ref="H1279:H1321" si="9">"4TH QTR WRKRS COMP/MEMBER#0110"</f>
        <v>4TH QTR WRKRS COMP/MEMBER#0110</v>
      </c>
    </row>
    <row r="1280" spans="1:8" x14ac:dyDescent="0.25">
      <c r="E1280" t="str">
        <f>""</f>
        <v/>
      </c>
      <c r="F1280" t="str">
        <f>""</f>
        <v/>
      </c>
      <c r="H1280" t="str">
        <f t="shared" si="9"/>
        <v>4TH QTR WRKRS COMP/MEMBER#0110</v>
      </c>
    </row>
    <row r="1281" spans="5:8" x14ac:dyDescent="0.25">
      <c r="E1281" t="str">
        <f>""</f>
        <v/>
      </c>
      <c r="F1281" t="str">
        <f>""</f>
        <v/>
      </c>
      <c r="H1281" t="str">
        <f t="shared" si="9"/>
        <v>4TH QTR WRKRS COMP/MEMBER#0110</v>
      </c>
    </row>
    <row r="1282" spans="5:8" x14ac:dyDescent="0.25">
      <c r="E1282" t="str">
        <f>""</f>
        <v/>
      </c>
      <c r="F1282" t="str">
        <f>""</f>
        <v/>
      </c>
      <c r="H1282" t="str">
        <f t="shared" si="9"/>
        <v>4TH QTR WRKRS COMP/MEMBER#0110</v>
      </c>
    </row>
    <row r="1283" spans="5:8" x14ac:dyDescent="0.25">
      <c r="E1283" t="str">
        <f>""</f>
        <v/>
      </c>
      <c r="F1283" t="str">
        <f>""</f>
        <v/>
      </c>
      <c r="H1283" t="str">
        <f t="shared" si="9"/>
        <v>4TH QTR WRKRS COMP/MEMBER#0110</v>
      </c>
    </row>
    <row r="1284" spans="5:8" x14ac:dyDescent="0.25">
      <c r="E1284" t="str">
        <f>""</f>
        <v/>
      </c>
      <c r="F1284" t="str">
        <f>""</f>
        <v/>
      </c>
      <c r="H1284" t="str">
        <f t="shared" si="9"/>
        <v>4TH QTR WRKRS COMP/MEMBER#0110</v>
      </c>
    </row>
    <row r="1285" spans="5:8" x14ac:dyDescent="0.25">
      <c r="E1285" t="str">
        <f>""</f>
        <v/>
      </c>
      <c r="F1285" t="str">
        <f>""</f>
        <v/>
      </c>
      <c r="H1285" t="str">
        <f t="shared" si="9"/>
        <v>4TH QTR WRKRS COMP/MEMBER#0110</v>
      </c>
    </row>
    <row r="1286" spans="5:8" x14ac:dyDescent="0.25">
      <c r="E1286" t="str">
        <f>""</f>
        <v/>
      </c>
      <c r="F1286" t="str">
        <f>""</f>
        <v/>
      </c>
      <c r="H1286" t="str">
        <f t="shared" si="9"/>
        <v>4TH QTR WRKRS COMP/MEMBER#0110</v>
      </c>
    </row>
    <row r="1287" spans="5:8" x14ac:dyDescent="0.25">
      <c r="E1287" t="str">
        <f>""</f>
        <v/>
      </c>
      <c r="F1287" t="str">
        <f>""</f>
        <v/>
      </c>
      <c r="H1287" t="str">
        <f t="shared" si="9"/>
        <v>4TH QTR WRKRS COMP/MEMBER#0110</v>
      </c>
    </row>
    <row r="1288" spans="5:8" x14ac:dyDescent="0.25">
      <c r="E1288" t="str">
        <f>""</f>
        <v/>
      </c>
      <c r="F1288" t="str">
        <f>""</f>
        <v/>
      </c>
      <c r="H1288" t="str">
        <f t="shared" si="9"/>
        <v>4TH QTR WRKRS COMP/MEMBER#0110</v>
      </c>
    </row>
    <row r="1289" spans="5:8" x14ac:dyDescent="0.25">
      <c r="E1289" t="str">
        <f>""</f>
        <v/>
      </c>
      <c r="F1289" t="str">
        <f>""</f>
        <v/>
      </c>
      <c r="H1289" t="str">
        <f t="shared" si="9"/>
        <v>4TH QTR WRKRS COMP/MEMBER#0110</v>
      </c>
    </row>
    <row r="1290" spans="5:8" x14ac:dyDescent="0.25">
      <c r="E1290" t="str">
        <f>""</f>
        <v/>
      </c>
      <c r="F1290" t="str">
        <f>""</f>
        <v/>
      </c>
      <c r="H1290" t="str">
        <f t="shared" si="9"/>
        <v>4TH QTR WRKRS COMP/MEMBER#0110</v>
      </c>
    </row>
    <row r="1291" spans="5:8" x14ac:dyDescent="0.25">
      <c r="E1291" t="str">
        <f>""</f>
        <v/>
      </c>
      <c r="F1291" t="str">
        <f>""</f>
        <v/>
      </c>
      <c r="H1291" t="str">
        <f t="shared" si="9"/>
        <v>4TH QTR WRKRS COMP/MEMBER#0110</v>
      </c>
    </row>
    <row r="1292" spans="5:8" x14ac:dyDescent="0.25">
      <c r="E1292" t="str">
        <f>""</f>
        <v/>
      </c>
      <c r="F1292" t="str">
        <f>""</f>
        <v/>
      </c>
      <c r="H1292" t="str">
        <f t="shared" si="9"/>
        <v>4TH QTR WRKRS COMP/MEMBER#0110</v>
      </c>
    </row>
    <row r="1293" spans="5:8" x14ac:dyDescent="0.25">
      <c r="E1293" t="str">
        <f>""</f>
        <v/>
      </c>
      <c r="F1293" t="str">
        <f>""</f>
        <v/>
      </c>
      <c r="H1293" t="str">
        <f t="shared" si="9"/>
        <v>4TH QTR WRKRS COMP/MEMBER#0110</v>
      </c>
    </row>
    <row r="1294" spans="5:8" x14ac:dyDescent="0.25">
      <c r="E1294" t="str">
        <f>""</f>
        <v/>
      </c>
      <c r="F1294" t="str">
        <f>""</f>
        <v/>
      </c>
      <c r="H1294" t="str">
        <f t="shared" si="9"/>
        <v>4TH QTR WRKRS COMP/MEMBER#0110</v>
      </c>
    </row>
    <row r="1295" spans="5:8" x14ac:dyDescent="0.25">
      <c r="E1295" t="str">
        <f>""</f>
        <v/>
      </c>
      <c r="F1295" t="str">
        <f>""</f>
        <v/>
      </c>
      <c r="H1295" t="str">
        <f t="shared" si="9"/>
        <v>4TH QTR WRKRS COMP/MEMBER#0110</v>
      </c>
    </row>
    <row r="1296" spans="5:8" x14ac:dyDescent="0.25">
      <c r="E1296" t="str">
        <f>""</f>
        <v/>
      </c>
      <c r="F1296" t="str">
        <f>""</f>
        <v/>
      </c>
      <c r="H1296" t="str">
        <f t="shared" si="9"/>
        <v>4TH QTR WRKRS COMP/MEMBER#0110</v>
      </c>
    </row>
    <row r="1297" spans="5:8" x14ac:dyDescent="0.25">
      <c r="E1297" t="str">
        <f>""</f>
        <v/>
      </c>
      <c r="F1297" t="str">
        <f>""</f>
        <v/>
      </c>
      <c r="H1297" t="str">
        <f t="shared" si="9"/>
        <v>4TH QTR WRKRS COMP/MEMBER#0110</v>
      </c>
    </row>
    <row r="1298" spans="5:8" x14ac:dyDescent="0.25">
      <c r="E1298" t="str">
        <f>""</f>
        <v/>
      </c>
      <c r="F1298" t="str">
        <f>""</f>
        <v/>
      </c>
      <c r="H1298" t="str">
        <f t="shared" si="9"/>
        <v>4TH QTR WRKRS COMP/MEMBER#0110</v>
      </c>
    </row>
    <row r="1299" spans="5:8" x14ac:dyDescent="0.25">
      <c r="E1299" t="str">
        <f>""</f>
        <v/>
      </c>
      <c r="F1299" t="str">
        <f>""</f>
        <v/>
      </c>
      <c r="H1299" t="str">
        <f t="shared" si="9"/>
        <v>4TH QTR WRKRS COMP/MEMBER#0110</v>
      </c>
    </row>
    <row r="1300" spans="5:8" x14ac:dyDescent="0.25">
      <c r="E1300" t="str">
        <f>""</f>
        <v/>
      </c>
      <c r="F1300" t="str">
        <f>""</f>
        <v/>
      </c>
      <c r="H1300" t="str">
        <f t="shared" si="9"/>
        <v>4TH QTR WRKRS COMP/MEMBER#0110</v>
      </c>
    </row>
    <row r="1301" spans="5:8" x14ac:dyDescent="0.25">
      <c r="E1301" t="str">
        <f>""</f>
        <v/>
      </c>
      <c r="F1301" t="str">
        <f>""</f>
        <v/>
      </c>
      <c r="H1301" t="str">
        <f t="shared" si="9"/>
        <v>4TH QTR WRKRS COMP/MEMBER#0110</v>
      </c>
    </row>
    <row r="1302" spans="5:8" x14ac:dyDescent="0.25">
      <c r="E1302" t="str">
        <f>""</f>
        <v/>
      </c>
      <c r="F1302" t="str">
        <f>""</f>
        <v/>
      </c>
      <c r="H1302" t="str">
        <f t="shared" si="9"/>
        <v>4TH QTR WRKRS COMP/MEMBER#0110</v>
      </c>
    </row>
    <row r="1303" spans="5:8" x14ac:dyDescent="0.25">
      <c r="E1303" t="str">
        <f>""</f>
        <v/>
      </c>
      <c r="F1303" t="str">
        <f>""</f>
        <v/>
      </c>
      <c r="H1303" t="str">
        <f t="shared" si="9"/>
        <v>4TH QTR WRKRS COMP/MEMBER#0110</v>
      </c>
    </row>
    <row r="1304" spans="5:8" x14ac:dyDescent="0.25">
      <c r="E1304" t="str">
        <f>""</f>
        <v/>
      </c>
      <c r="F1304" t="str">
        <f>""</f>
        <v/>
      </c>
      <c r="H1304" t="str">
        <f t="shared" si="9"/>
        <v>4TH QTR WRKRS COMP/MEMBER#0110</v>
      </c>
    </row>
    <row r="1305" spans="5:8" x14ac:dyDescent="0.25">
      <c r="E1305" t="str">
        <f>""</f>
        <v/>
      </c>
      <c r="F1305" t="str">
        <f>""</f>
        <v/>
      </c>
      <c r="H1305" t="str">
        <f t="shared" si="9"/>
        <v>4TH QTR WRKRS COMP/MEMBER#0110</v>
      </c>
    </row>
    <row r="1306" spans="5:8" x14ac:dyDescent="0.25">
      <c r="E1306" t="str">
        <f>""</f>
        <v/>
      </c>
      <c r="F1306" t="str">
        <f>""</f>
        <v/>
      </c>
      <c r="H1306" t="str">
        <f t="shared" si="9"/>
        <v>4TH QTR WRKRS COMP/MEMBER#0110</v>
      </c>
    </row>
    <row r="1307" spans="5:8" x14ac:dyDescent="0.25">
      <c r="E1307" t="str">
        <f>""</f>
        <v/>
      </c>
      <c r="F1307" t="str">
        <f>""</f>
        <v/>
      </c>
      <c r="H1307" t="str">
        <f t="shared" si="9"/>
        <v>4TH QTR WRKRS COMP/MEMBER#0110</v>
      </c>
    </row>
    <row r="1308" spans="5:8" x14ac:dyDescent="0.25">
      <c r="E1308" t="str">
        <f>""</f>
        <v/>
      </c>
      <c r="F1308" t="str">
        <f>""</f>
        <v/>
      </c>
      <c r="H1308" t="str">
        <f t="shared" si="9"/>
        <v>4TH QTR WRKRS COMP/MEMBER#0110</v>
      </c>
    </row>
    <row r="1309" spans="5:8" x14ac:dyDescent="0.25">
      <c r="E1309" t="str">
        <f>""</f>
        <v/>
      </c>
      <c r="F1309" t="str">
        <f>""</f>
        <v/>
      </c>
      <c r="H1309" t="str">
        <f t="shared" si="9"/>
        <v>4TH QTR WRKRS COMP/MEMBER#0110</v>
      </c>
    </row>
    <row r="1310" spans="5:8" x14ac:dyDescent="0.25">
      <c r="E1310" t="str">
        <f>""</f>
        <v/>
      </c>
      <c r="F1310" t="str">
        <f>""</f>
        <v/>
      </c>
      <c r="H1310" t="str">
        <f t="shared" si="9"/>
        <v>4TH QTR WRKRS COMP/MEMBER#0110</v>
      </c>
    </row>
    <row r="1311" spans="5:8" x14ac:dyDescent="0.25">
      <c r="E1311" t="str">
        <f>""</f>
        <v/>
      </c>
      <c r="F1311" t="str">
        <f>""</f>
        <v/>
      </c>
      <c r="H1311" t="str">
        <f t="shared" si="9"/>
        <v>4TH QTR WRKRS COMP/MEMBER#0110</v>
      </c>
    </row>
    <row r="1312" spans="5:8" x14ac:dyDescent="0.25">
      <c r="E1312" t="str">
        <f>""</f>
        <v/>
      </c>
      <c r="F1312" t="str">
        <f>""</f>
        <v/>
      </c>
      <c r="H1312" t="str">
        <f t="shared" si="9"/>
        <v>4TH QTR WRKRS COMP/MEMBER#0110</v>
      </c>
    </row>
    <row r="1313" spans="1:8" x14ac:dyDescent="0.25">
      <c r="E1313" t="str">
        <f>""</f>
        <v/>
      </c>
      <c r="F1313" t="str">
        <f>""</f>
        <v/>
      </c>
      <c r="H1313" t="str">
        <f t="shared" si="9"/>
        <v>4TH QTR WRKRS COMP/MEMBER#0110</v>
      </c>
    </row>
    <row r="1314" spans="1:8" x14ac:dyDescent="0.25">
      <c r="E1314" t="str">
        <f>""</f>
        <v/>
      </c>
      <c r="F1314" t="str">
        <f>""</f>
        <v/>
      </c>
      <c r="H1314" t="str">
        <f t="shared" si="9"/>
        <v>4TH QTR WRKRS COMP/MEMBER#0110</v>
      </c>
    </row>
    <row r="1315" spans="1:8" x14ac:dyDescent="0.25">
      <c r="E1315" t="str">
        <f>""</f>
        <v/>
      </c>
      <c r="F1315" t="str">
        <f>""</f>
        <v/>
      </c>
      <c r="H1315" t="str">
        <f t="shared" si="9"/>
        <v>4TH QTR WRKRS COMP/MEMBER#0110</v>
      </c>
    </row>
    <row r="1316" spans="1:8" x14ac:dyDescent="0.25">
      <c r="E1316" t="str">
        <f>""</f>
        <v/>
      </c>
      <c r="F1316" t="str">
        <f>""</f>
        <v/>
      </c>
      <c r="H1316" t="str">
        <f t="shared" si="9"/>
        <v>4TH QTR WRKRS COMP/MEMBER#0110</v>
      </c>
    </row>
    <row r="1317" spans="1:8" x14ac:dyDescent="0.25">
      <c r="E1317" t="str">
        <f>""</f>
        <v/>
      </c>
      <c r="F1317" t="str">
        <f>""</f>
        <v/>
      </c>
      <c r="H1317" t="str">
        <f t="shared" si="9"/>
        <v>4TH QTR WRKRS COMP/MEMBER#0110</v>
      </c>
    </row>
    <row r="1318" spans="1:8" x14ac:dyDescent="0.25">
      <c r="E1318" t="str">
        <f>"20509-WC4  P1"</f>
        <v>20509-WC4  P1</v>
      </c>
      <c r="F1318" t="str">
        <f>"4TH QTR WRKRS COMP/MEMBER#0110"</f>
        <v>4TH QTR WRKRS COMP/MEMBER#0110</v>
      </c>
      <c r="G1318" s="2">
        <v>4808.29</v>
      </c>
      <c r="H1318" t="str">
        <f t="shared" si="9"/>
        <v>4TH QTR WRKRS COMP/MEMBER#0110</v>
      </c>
    </row>
    <row r="1319" spans="1:8" x14ac:dyDescent="0.25">
      <c r="E1319" t="str">
        <f>"20509-WC4  P2"</f>
        <v>20509-WC4  P2</v>
      </c>
      <c r="F1319" t="str">
        <f>"4TH QTR WRKRS COMP/MEMBER#0110"</f>
        <v>4TH QTR WRKRS COMP/MEMBER#0110</v>
      </c>
      <c r="G1319" s="2">
        <v>6303.09</v>
      </c>
      <c r="H1319" t="str">
        <f t="shared" si="9"/>
        <v>4TH QTR WRKRS COMP/MEMBER#0110</v>
      </c>
    </row>
    <row r="1320" spans="1:8" x14ac:dyDescent="0.25">
      <c r="E1320" t="str">
        <f>"20509-WC4  P3"</f>
        <v>20509-WC4  P3</v>
      </c>
      <c r="F1320" t="str">
        <f>"4TH QTR WRKRS COMP/MEMBER#0110"</f>
        <v>4TH QTR WRKRS COMP/MEMBER#0110</v>
      </c>
      <c r="G1320" s="2">
        <v>5854.65</v>
      </c>
      <c r="H1320" t="str">
        <f t="shared" si="9"/>
        <v>4TH QTR WRKRS COMP/MEMBER#0110</v>
      </c>
    </row>
    <row r="1321" spans="1:8" x14ac:dyDescent="0.25">
      <c r="E1321" t="str">
        <f>"20509-WC4  P4"</f>
        <v>20509-WC4  P4</v>
      </c>
      <c r="F1321" t="str">
        <f>"4TH QTR WRKRS COMP/MEMBER#0110"</f>
        <v>4TH QTR WRKRS COMP/MEMBER#0110</v>
      </c>
      <c r="G1321" s="2">
        <v>7947.37</v>
      </c>
      <c r="H1321" t="str">
        <f t="shared" si="9"/>
        <v>4TH QTR WRKRS COMP/MEMBER#0110</v>
      </c>
    </row>
    <row r="1322" spans="1:8" x14ac:dyDescent="0.25">
      <c r="A1322" t="s">
        <v>457</v>
      </c>
      <c r="B1322">
        <v>999999</v>
      </c>
      <c r="C1322" s="3">
        <v>485.8</v>
      </c>
      <c r="D1322" s="1">
        <v>43368</v>
      </c>
      <c r="E1322" t="str">
        <f>"201809113672"</f>
        <v>201809113672</v>
      </c>
      <c r="F1322" t="str">
        <f>"ACCT#0005/GEN SVCS"</f>
        <v>ACCT#0005/GEN SVCS</v>
      </c>
      <c r="G1322" s="2">
        <v>8.66</v>
      </c>
      <c r="H1322" t="str">
        <f>"ACCT#0005"</f>
        <v>ACCT#0005</v>
      </c>
    </row>
    <row r="1323" spans="1:8" x14ac:dyDescent="0.25">
      <c r="E1323" t="str">
        <f>"201809113683"</f>
        <v>201809113683</v>
      </c>
      <c r="F1323" t="str">
        <f>"ACCT#0005/PCT#4"</f>
        <v>ACCT#0005/PCT#4</v>
      </c>
      <c r="G1323" s="2">
        <v>477.14</v>
      </c>
      <c r="H1323" t="str">
        <f>"ACCT#0005/PCT#4"</f>
        <v>ACCT#0005/PCT#4</v>
      </c>
    </row>
    <row r="1324" spans="1:8" x14ac:dyDescent="0.25">
      <c r="A1324" t="s">
        <v>458</v>
      </c>
      <c r="B1324">
        <v>78635</v>
      </c>
      <c r="C1324" s="3">
        <v>2500</v>
      </c>
      <c r="D1324" s="1">
        <v>43353</v>
      </c>
      <c r="E1324" t="str">
        <f>"201809043283"</f>
        <v>201809043283</v>
      </c>
      <c r="F1324" t="str">
        <f>"MEMBERSHIP APPLICATION"</f>
        <v>MEMBERSHIP APPLICATION</v>
      </c>
      <c r="G1324" s="2">
        <v>2500</v>
      </c>
      <c r="H1324" t="str">
        <f>"MEMBERSHIP APPLICATION"</f>
        <v>MEMBERSHIP APPLICATION</v>
      </c>
    </row>
    <row r="1325" spans="1:8" x14ac:dyDescent="0.25">
      <c r="A1325" t="s">
        <v>459</v>
      </c>
      <c r="B1325">
        <v>78820</v>
      </c>
      <c r="C1325" s="3">
        <v>300</v>
      </c>
      <c r="D1325" s="1">
        <v>43367</v>
      </c>
      <c r="E1325" t="str">
        <f>"9651"</f>
        <v>9651</v>
      </c>
      <c r="F1325" t="str">
        <f>"REGFOR EDUCATION &amp; POLICY CONF"</f>
        <v>REGFOR EDUCATION &amp; POLICY CONF</v>
      </c>
      <c r="G1325" s="2">
        <v>300</v>
      </c>
      <c r="H1325" t="str">
        <f>"REGFOR EDUCATION &amp; POLICY CONF"</f>
        <v>REGFOR EDUCATION &amp; POLICY CONF</v>
      </c>
    </row>
    <row r="1326" spans="1:8" x14ac:dyDescent="0.25">
      <c r="A1326" t="s">
        <v>460</v>
      </c>
      <c r="B1326">
        <v>78636</v>
      </c>
      <c r="C1326" s="3">
        <v>20</v>
      </c>
      <c r="D1326" s="1">
        <v>43353</v>
      </c>
      <c r="E1326" t="str">
        <f>"201809043284"</f>
        <v>201809043284</v>
      </c>
      <c r="F1326" t="str">
        <f>"ELEVATOR INSPECTION"</f>
        <v>ELEVATOR INSPECTION</v>
      </c>
      <c r="G1326" s="2">
        <v>20</v>
      </c>
      <c r="H1326" t="str">
        <f>"ELEVATOR INSPECTION"</f>
        <v>ELEVATOR INSPECTION</v>
      </c>
    </row>
    <row r="1327" spans="1:8" x14ac:dyDescent="0.25">
      <c r="A1327" t="s">
        <v>461</v>
      </c>
      <c r="B1327">
        <v>78637</v>
      </c>
      <c r="C1327" s="3">
        <v>2</v>
      </c>
      <c r="D1327" s="1">
        <v>43353</v>
      </c>
      <c r="E1327" t="str">
        <f>"201809043210"</f>
        <v>201809043210</v>
      </c>
      <c r="F1327" t="str">
        <f>"LOST TITLE APP-2008 BIG TEX/P1"</f>
        <v>LOST TITLE APP-2008 BIG TEX/P1</v>
      </c>
      <c r="G1327" s="2">
        <v>2</v>
      </c>
      <c r="H1327" t="str">
        <f>"LOST TITLE APP-2008 BIG TEX/P1"</f>
        <v>LOST TITLE APP-2008 BIG TEX/P1</v>
      </c>
    </row>
    <row r="1328" spans="1:8" x14ac:dyDescent="0.25">
      <c r="A1328" t="s">
        <v>462</v>
      </c>
      <c r="B1328">
        <v>78638</v>
      </c>
      <c r="C1328" s="3">
        <v>7</v>
      </c>
      <c r="D1328" s="1">
        <v>43353</v>
      </c>
      <c r="E1328" t="str">
        <f>"CRS-201807-150558"</f>
        <v>CRS-201807-150558</v>
      </c>
      <c r="F1328" t="str">
        <f>"SECURE SITE CCH NAME SEARCH"</f>
        <v>SECURE SITE CCH NAME SEARCH</v>
      </c>
      <c r="G1328" s="2">
        <v>7</v>
      </c>
      <c r="H1328" t="str">
        <f>"SECURE SITE CCH NAME SEARCH"</f>
        <v>SECURE SITE CCH NAME SEARCH</v>
      </c>
    </row>
    <row r="1329" spans="1:9" x14ac:dyDescent="0.25">
      <c r="A1329" t="s">
        <v>462</v>
      </c>
      <c r="B1329">
        <v>78639</v>
      </c>
      <c r="C1329" s="3">
        <v>468</v>
      </c>
      <c r="D1329" s="1">
        <v>43353</v>
      </c>
      <c r="E1329" t="s">
        <v>88</v>
      </c>
      <c r="F1329" t="s">
        <v>463</v>
      </c>
      <c r="G1329" s="2" t="str">
        <f>"RESTITUTION-B. HAYWOOD"</f>
        <v>RESTITUTION-B. HAYWOOD</v>
      </c>
      <c r="H1329" t="str">
        <f t="shared" ref="H1329:H1335" si="10">"210-0000"</f>
        <v>210-0000</v>
      </c>
      <c r="I1329" t="str">
        <f>""</f>
        <v/>
      </c>
    </row>
    <row r="1330" spans="1:9" x14ac:dyDescent="0.25">
      <c r="E1330" t="s">
        <v>52</v>
      </c>
      <c r="F1330" t="s">
        <v>464</v>
      </c>
      <c r="G1330" s="2" t="str">
        <f>"RESTITUTION-A. BERNAL"</f>
        <v>RESTITUTION-A. BERNAL</v>
      </c>
      <c r="H1330" t="str">
        <f t="shared" si="10"/>
        <v>210-0000</v>
      </c>
      <c r="I1330" t="str">
        <f>""</f>
        <v/>
      </c>
    </row>
    <row r="1331" spans="1:9" x14ac:dyDescent="0.25">
      <c r="E1331" t="s">
        <v>52</v>
      </c>
      <c r="F1331" t="s">
        <v>465</v>
      </c>
      <c r="G1331" s="2" t="str">
        <f>"RESTITUTION-A. BERNAL"</f>
        <v>RESTITUTION-A. BERNAL</v>
      </c>
      <c r="H1331" t="str">
        <f t="shared" si="10"/>
        <v>210-0000</v>
      </c>
      <c r="I1331" t="str">
        <f>""</f>
        <v/>
      </c>
    </row>
    <row r="1332" spans="1:9" x14ac:dyDescent="0.25">
      <c r="E1332" t="s">
        <v>244</v>
      </c>
      <c r="F1332" t="s">
        <v>466</v>
      </c>
      <c r="G1332" s="2" t="str">
        <f>"RESTITUTION-S. RIDDLE"</f>
        <v>RESTITUTION-S. RIDDLE</v>
      </c>
      <c r="H1332" t="str">
        <f t="shared" si="10"/>
        <v>210-0000</v>
      </c>
      <c r="I1332" t="str">
        <f>""</f>
        <v/>
      </c>
    </row>
    <row r="1333" spans="1:9" x14ac:dyDescent="0.25">
      <c r="E1333" t="s">
        <v>244</v>
      </c>
      <c r="F1333" t="s">
        <v>467</v>
      </c>
      <c r="G1333" s="2" t="str">
        <f>"RESTITUTION-J. FUSICK"</f>
        <v>RESTITUTION-J. FUSICK</v>
      </c>
      <c r="H1333" t="str">
        <f t="shared" si="10"/>
        <v>210-0000</v>
      </c>
      <c r="I1333" t="str">
        <f>""</f>
        <v/>
      </c>
    </row>
    <row r="1334" spans="1:9" x14ac:dyDescent="0.25">
      <c r="E1334" t="s">
        <v>244</v>
      </c>
      <c r="F1334" t="s">
        <v>468</v>
      </c>
      <c r="G1334" s="2" t="str">
        <f>"RESTITUTION-N. HARTMAN"</f>
        <v>RESTITUTION-N. HARTMAN</v>
      </c>
      <c r="H1334" t="str">
        <f t="shared" si="10"/>
        <v>210-0000</v>
      </c>
      <c r="I1334" t="str">
        <f>""</f>
        <v/>
      </c>
    </row>
    <row r="1335" spans="1:9" x14ac:dyDescent="0.25">
      <c r="E1335" t="s">
        <v>244</v>
      </c>
      <c r="F1335" t="s">
        <v>469</v>
      </c>
      <c r="G1335" s="2" t="str">
        <f>"RESTITUTION-H. FARREL"</f>
        <v>RESTITUTION-H. FARREL</v>
      </c>
      <c r="H1335" t="str">
        <f t="shared" si="10"/>
        <v>210-0000</v>
      </c>
      <c r="I1335" t="str">
        <f>""</f>
        <v/>
      </c>
    </row>
    <row r="1336" spans="1:9" x14ac:dyDescent="0.25">
      <c r="A1336" t="s">
        <v>470</v>
      </c>
      <c r="B1336">
        <v>78821</v>
      </c>
      <c r="C1336" s="3">
        <v>50</v>
      </c>
      <c r="D1336" s="1">
        <v>43367</v>
      </c>
      <c r="E1336" t="str">
        <f>"299"</f>
        <v>299</v>
      </c>
      <c r="F1336" t="str">
        <f>"DESTINATION DAY PARKING FEE"</f>
        <v>DESTINATION DAY PARKING FEE</v>
      </c>
      <c r="G1336" s="2">
        <v>50</v>
      </c>
      <c r="H1336" t="str">
        <f>"DESTINATION DAY PARKING FEE"</f>
        <v>DESTINATION DAY PARKING FEE</v>
      </c>
    </row>
    <row r="1337" spans="1:9" x14ac:dyDescent="0.25">
      <c r="A1337" t="s">
        <v>471</v>
      </c>
      <c r="B1337">
        <v>78640</v>
      </c>
      <c r="C1337" s="3">
        <v>114.75</v>
      </c>
      <c r="D1337" s="1">
        <v>43353</v>
      </c>
      <c r="E1337" t="str">
        <f>"1CO-0426-18"</f>
        <v>1CO-0426-18</v>
      </c>
      <c r="F1337" t="str">
        <f>"A8245765 - G. ALANIZ"</f>
        <v>A8245765 - G. ALANIZ</v>
      </c>
      <c r="G1337" s="2">
        <v>114.75</v>
      </c>
      <c r="H1337" t="str">
        <f>"A8245765 - G. ALANIZ"</f>
        <v>A8245765 - G. ALANIZ</v>
      </c>
    </row>
    <row r="1338" spans="1:9" x14ac:dyDescent="0.25">
      <c r="A1338" t="s">
        <v>471</v>
      </c>
      <c r="B1338">
        <v>78822</v>
      </c>
      <c r="C1338" s="3">
        <v>114.75</v>
      </c>
      <c r="D1338" s="1">
        <v>43367</v>
      </c>
      <c r="E1338" t="str">
        <f>"18-3499J4"</f>
        <v>18-3499J4</v>
      </c>
      <c r="F1338" t="str">
        <f>"A8245767-U. GARCIA"</f>
        <v>A8245767-U. GARCIA</v>
      </c>
      <c r="G1338" s="2">
        <v>114.75</v>
      </c>
      <c r="H1338" t="str">
        <f>"A8245767-U. GARCIA"</f>
        <v>A8245767-U. GARCIA</v>
      </c>
    </row>
    <row r="1339" spans="1:9" x14ac:dyDescent="0.25">
      <c r="A1339" t="s">
        <v>472</v>
      </c>
      <c r="B1339">
        <v>78641</v>
      </c>
      <c r="C1339" s="3">
        <v>223.24</v>
      </c>
      <c r="D1339" s="1">
        <v>43353</v>
      </c>
      <c r="E1339" t="str">
        <f>"201809063451"</f>
        <v>201809063451</v>
      </c>
      <c r="F1339" t="str">
        <f>"INDIGENT HEALTH"</f>
        <v>INDIGENT HEALTH</v>
      </c>
      <c r="G1339" s="2">
        <v>223.24</v>
      </c>
      <c r="H1339" t="str">
        <f>"INDIGENT HEALTH"</f>
        <v>INDIGENT HEALTH</v>
      </c>
    </row>
    <row r="1340" spans="1:9" x14ac:dyDescent="0.25">
      <c r="A1340" t="s">
        <v>472</v>
      </c>
      <c r="B1340">
        <v>78823</v>
      </c>
      <c r="C1340" s="3">
        <v>224.24</v>
      </c>
      <c r="D1340" s="1">
        <v>43367</v>
      </c>
      <c r="E1340" t="str">
        <f>"201809193880"</f>
        <v>201809193880</v>
      </c>
      <c r="F1340" t="str">
        <f>"INDIGENT HEALTH"</f>
        <v>INDIGENT HEALTH</v>
      </c>
      <c r="G1340" s="2">
        <v>224.24</v>
      </c>
      <c r="H1340" t="str">
        <f>"INDIGENT HEALTH"</f>
        <v>INDIGENT HEALTH</v>
      </c>
    </row>
    <row r="1341" spans="1:9" x14ac:dyDescent="0.25">
      <c r="A1341" t="s">
        <v>473</v>
      </c>
      <c r="B1341">
        <v>78642</v>
      </c>
      <c r="C1341" s="3">
        <v>59.36</v>
      </c>
      <c r="D1341" s="1">
        <v>43353</v>
      </c>
      <c r="E1341" t="str">
        <f>"E 11028"</f>
        <v>E 11028</v>
      </c>
      <c r="F1341" t="str">
        <f>"CORE COTTON TEE/EMBROIDERY/P4"</f>
        <v>CORE COTTON TEE/EMBROIDERY/P4</v>
      </c>
      <c r="G1341" s="2">
        <v>59.36</v>
      </c>
      <c r="H1341" t="str">
        <f>"CORE COTTON TEE/EMBROIDERY/P4"</f>
        <v>CORE COTTON TEE/EMBROIDERY/P4</v>
      </c>
    </row>
    <row r="1342" spans="1:9" x14ac:dyDescent="0.25">
      <c r="A1342" t="s">
        <v>474</v>
      </c>
      <c r="B1342">
        <v>78643</v>
      </c>
      <c r="C1342" s="3">
        <v>1907</v>
      </c>
      <c r="D1342" s="1">
        <v>43353</v>
      </c>
      <c r="E1342" t="str">
        <f>"67876"</f>
        <v>67876</v>
      </c>
      <c r="F1342" t="str">
        <f>"ACCT#188757/PCT#3 WAREHOUSE"</f>
        <v>ACCT#188757/PCT#3 WAREHOUSE</v>
      </c>
      <c r="G1342" s="2">
        <v>95</v>
      </c>
      <c r="H1342" t="str">
        <f>"ACCT#188757/PCT#3 WAREHOUSE"</f>
        <v>ACCT#188757/PCT#3 WAREHOUSE</v>
      </c>
    </row>
    <row r="1343" spans="1:9" x14ac:dyDescent="0.25">
      <c r="E1343" t="str">
        <f>"71414"</f>
        <v>71414</v>
      </c>
      <c r="F1343" t="str">
        <f>"ACCT#188757/ANIMAL SHELTER"</f>
        <v>ACCT#188757/ANIMAL SHELTER</v>
      </c>
      <c r="G1343" s="2">
        <v>420</v>
      </c>
      <c r="H1343" t="str">
        <f>"ACCT#188757/ANIMAL SHELTER"</f>
        <v>ACCT#188757/ANIMAL SHELTER</v>
      </c>
    </row>
    <row r="1344" spans="1:9" x14ac:dyDescent="0.25">
      <c r="E1344" t="str">
        <f>"71416"</f>
        <v>71416</v>
      </c>
      <c r="F1344" t="str">
        <f>"ACCT#188757/ANIMAL SHELTER"</f>
        <v>ACCT#188757/ANIMAL SHELTER</v>
      </c>
      <c r="G1344" s="2">
        <v>290</v>
      </c>
      <c r="H1344" t="str">
        <f>"ACCT#188757/ANIMAL SHELTER"</f>
        <v>ACCT#188757/ANIMAL SHELTER</v>
      </c>
    </row>
    <row r="1345" spans="1:8" x14ac:dyDescent="0.25">
      <c r="E1345" t="str">
        <f>"71611"</f>
        <v>71611</v>
      </c>
      <c r="F1345" t="str">
        <f>"ACCT#188757/RD &amp; BRDG/SIGN/MET"</f>
        <v>ACCT#188757/RD &amp; BRDG/SIGN/MET</v>
      </c>
      <c r="G1345" s="2">
        <v>95</v>
      </c>
      <c r="H1345" t="str">
        <f>"ACCT#188757/RD &amp; BRDG/SIGN/MET"</f>
        <v>ACCT#188757/RD &amp; BRDG/SIGN/MET</v>
      </c>
    </row>
    <row r="1346" spans="1:8" x14ac:dyDescent="0.25">
      <c r="E1346" t="str">
        <f>"71660"</f>
        <v>71660</v>
      </c>
      <c r="F1346" t="str">
        <f>"ACCT#188757/COM CT JUV BOOT CA"</f>
        <v>ACCT#188757/COM CT JUV BOOT CA</v>
      </c>
      <c r="G1346" s="2">
        <v>118.5</v>
      </c>
      <c r="H1346" t="str">
        <f>"ACCT#188757/COM CT JUV BOOT CA"</f>
        <v>ACCT#188757/COM CT JUV BOOT CA</v>
      </c>
    </row>
    <row r="1347" spans="1:8" x14ac:dyDescent="0.25">
      <c r="E1347" t="str">
        <f>"71713"</f>
        <v>71713</v>
      </c>
      <c r="F1347" t="str">
        <f>"ACCT#188757/LBJ BLDG/HLTH DPT"</f>
        <v>ACCT#188757/LBJ BLDG/HLTH DPT</v>
      </c>
      <c r="G1347" s="2">
        <v>69</v>
      </c>
      <c r="H1347" t="str">
        <f>"ACCT#188757/LBJ BLDG/HLTH DPT"</f>
        <v>ACCT#188757/LBJ BLDG/HLTH DPT</v>
      </c>
    </row>
    <row r="1348" spans="1:8" x14ac:dyDescent="0.25">
      <c r="E1348" t="str">
        <f>"71715"</f>
        <v>71715</v>
      </c>
      <c r="F1348" t="str">
        <f>"ACCT#188757/PCT#4 RD&amp; BRDG"</f>
        <v>ACCT#188757/PCT#4 RD&amp; BRDG</v>
      </c>
      <c r="G1348" s="2">
        <v>95.5</v>
      </c>
      <c r="H1348" t="str">
        <f>"ACCT#188757/PCT#4 RD&amp; BRDG"</f>
        <v>ACCT#188757/PCT#4 RD&amp; BRDG</v>
      </c>
    </row>
    <row r="1349" spans="1:8" x14ac:dyDescent="0.25">
      <c r="E1349" t="str">
        <f>"71798"</f>
        <v>71798</v>
      </c>
      <c r="F1349" t="str">
        <f>"ACCT#188757/MIKE FISHER BLDG"</f>
        <v>ACCT#188757/MIKE FISHER BLDG</v>
      </c>
      <c r="G1349" s="2">
        <v>112</v>
      </c>
      <c r="H1349" t="str">
        <f>"ACCT#188757/MIKE FISHER BLDG"</f>
        <v>ACCT#188757/MIKE FISHER BLDG</v>
      </c>
    </row>
    <row r="1350" spans="1:8" x14ac:dyDescent="0.25">
      <c r="E1350" t="str">
        <f>"71894"</f>
        <v>71894</v>
      </c>
      <c r="F1350" t="str">
        <f>"ACCT#188757/TAX OFFICE"</f>
        <v>ACCT#188757/TAX OFFICE</v>
      </c>
      <c r="G1350" s="2">
        <v>102</v>
      </c>
      <c r="H1350" t="str">
        <f>"ACCT#188757/TAX OFFICE"</f>
        <v>ACCT#188757/TAX OFFICE</v>
      </c>
    </row>
    <row r="1351" spans="1:8" x14ac:dyDescent="0.25">
      <c r="E1351" t="str">
        <f>"72375"</f>
        <v>72375</v>
      </c>
      <c r="F1351" t="str">
        <f>"ACCT#188757/DPS/TDL"</f>
        <v>ACCT#188757/DPS/TDL</v>
      </c>
      <c r="G1351" s="2">
        <v>76</v>
      </c>
      <c r="H1351" t="str">
        <f>"ACCT#188757/DPS/TDL"</f>
        <v>ACCT#188757/DPS/TDL</v>
      </c>
    </row>
    <row r="1352" spans="1:8" x14ac:dyDescent="0.25">
      <c r="E1352" t="str">
        <f>"72427"</f>
        <v>72427</v>
      </c>
      <c r="F1352" t="str">
        <f>"ACCT#188757/HISTORIC JAIL"</f>
        <v>ACCT#188757/HISTORIC JAIL</v>
      </c>
      <c r="G1352" s="2">
        <v>76</v>
      </c>
      <c r="H1352" t="str">
        <f>"ACCT#188757/HISTORIC JAIL"</f>
        <v>ACCT#188757/HISTORIC JAIL</v>
      </c>
    </row>
    <row r="1353" spans="1:8" x14ac:dyDescent="0.25">
      <c r="E1353" t="str">
        <f>"72429"</f>
        <v>72429</v>
      </c>
      <c r="F1353" t="str">
        <f>"ACCT#188757/COURTHOUSE"</f>
        <v>ACCT#188757/COURTHOUSE</v>
      </c>
      <c r="G1353" s="2">
        <v>137</v>
      </c>
      <c r="H1353" t="str">
        <f>"ACCT#188757/COURTHOUSE"</f>
        <v>ACCT#188757/COURTHOUSE</v>
      </c>
    </row>
    <row r="1354" spans="1:8" x14ac:dyDescent="0.25">
      <c r="E1354" t="str">
        <f>"72516"</f>
        <v>72516</v>
      </c>
      <c r="F1354" t="str">
        <f>"ACCT#188757/JUVENILE PROB"</f>
        <v>ACCT#188757/JUVENILE PROB</v>
      </c>
      <c r="G1354" s="2">
        <v>132</v>
      </c>
      <c r="H1354" t="str">
        <f>"ACCT#188757/JUVENILE PROB"</f>
        <v>ACCT#188757/JUVENILE PROB</v>
      </c>
    </row>
    <row r="1355" spans="1:8" x14ac:dyDescent="0.25">
      <c r="E1355" t="str">
        <f>"72518"</f>
        <v>72518</v>
      </c>
      <c r="F1355" t="str">
        <f>"ACCT#188757/EXTENSION HABITAT"</f>
        <v>ACCT#188757/EXTENSION HABITAT</v>
      </c>
      <c r="G1355" s="2">
        <v>89</v>
      </c>
      <c r="H1355" t="str">
        <f>"ACCT#188757/EXTENSION HABITAT"</f>
        <v>ACCT#188757/EXTENSION HABITAT</v>
      </c>
    </row>
    <row r="1356" spans="1:8" x14ac:dyDescent="0.25">
      <c r="A1356" t="s">
        <v>474</v>
      </c>
      <c r="B1356">
        <v>78824</v>
      </c>
      <c r="C1356" s="3">
        <v>509</v>
      </c>
      <c r="D1356" s="1">
        <v>43367</v>
      </c>
      <c r="E1356" t="str">
        <f>"68726"</f>
        <v>68726</v>
      </c>
      <c r="F1356" t="str">
        <f>"ACCT#188757/EXTENSION HABITAT"</f>
        <v>ACCT#188757/EXTENSION HABITAT</v>
      </c>
      <c r="G1356" s="2">
        <v>89</v>
      </c>
      <c r="H1356" t="str">
        <f>"ACCT#188757/EXTENSION HABITAT"</f>
        <v>ACCT#188757/EXTENSION HABITAT</v>
      </c>
    </row>
    <row r="1357" spans="1:8" x14ac:dyDescent="0.25">
      <c r="E1357" t="str">
        <f>"72989"</f>
        <v>72989</v>
      </c>
      <c r="F1357" t="str">
        <f>"ACCT#188757/EXTENSION HABITAT"</f>
        <v>ACCT#188757/EXTENSION HABITAT</v>
      </c>
      <c r="G1357" s="2">
        <v>420</v>
      </c>
      <c r="H1357" t="str">
        <f>"ACCT#188757/EXTENSION HABITAT"</f>
        <v>ACCT#188757/EXTENSION HABITAT</v>
      </c>
    </row>
    <row r="1358" spans="1:8" x14ac:dyDescent="0.25">
      <c r="A1358" t="s">
        <v>475</v>
      </c>
      <c r="B1358">
        <v>78644</v>
      </c>
      <c r="C1358" s="3">
        <v>250</v>
      </c>
      <c r="D1358" s="1">
        <v>43353</v>
      </c>
      <c r="E1358" t="str">
        <f>"201809053395"</f>
        <v>201809053395</v>
      </c>
      <c r="F1358" t="str">
        <f>"1JP1418B  08/28"</f>
        <v>1JP1418B  08/28</v>
      </c>
      <c r="G1358" s="2">
        <v>250</v>
      </c>
      <c r="H1358" t="str">
        <f>"1JP1418B  08/28"</f>
        <v>1JP1418B  08/28</v>
      </c>
    </row>
    <row r="1359" spans="1:8" x14ac:dyDescent="0.25">
      <c r="A1359" t="s">
        <v>475</v>
      </c>
      <c r="B1359">
        <v>78825</v>
      </c>
      <c r="C1359" s="3">
        <v>1250</v>
      </c>
      <c r="D1359" s="1">
        <v>43367</v>
      </c>
      <c r="E1359" t="str">
        <f>"201809183791"</f>
        <v>201809183791</v>
      </c>
      <c r="F1359" t="str">
        <f>"1JP1418B"</f>
        <v>1JP1418B</v>
      </c>
      <c r="G1359" s="2">
        <v>250</v>
      </c>
      <c r="H1359" t="str">
        <f>"1JP1418B"</f>
        <v>1JP1418B</v>
      </c>
    </row>
    <row r="1360" spans="1:8" x14ac:dyDescent="0.25">
      <c r="E1360" t="str">
        <f>"201809183792"</f>
        <v>201809183792</v>
      </c>
      <c r="F1360" t="str">
        <f>"55 601"</f>
        <v>55 601</v>
      </c>
      <c r="G1360" s="2">
        <v>250</v>
      </c>
      <c r="H1360" t="str">
        <f>"55 601"</f>
        <v>55 601</v>
      </c>
    </row>
    <row r="1361" spans="1:9" x14ac:dyDescent="0.25">
      <c r="E1361" t="str">
        <f>"201809183793"</f>
        <v>201809183793</v>
      </c>
      <c r="F1361" t="str">
        <f>"56 381"</f>
        <v>56 381</v>
      </c>
      <c r="G1361" s="2">
        <v>250</v>
      </c>
      <c r="H1361" t="str">
        <f>"56 381"</f>
        <v>56 381</v>
      </c>
    </row>
    <row r="1362" spans="1:9" x14ac:dyDescent="0.25">
      <c r="E1362" t="str">
        <f>"201809183794"</f>
        <v>201809183794</v>
      </c>
      <c r="F1362" t="str">
        <f>"56 046"</f>
        <v>56 046</v>
      </c>
      <c r="G1362" s="2">
        <v>250</v>
      </c>
      <c r="H1362" t="str">
        <f>"56 046"</f>
        <v>56 046</v>
      </c>
    </row>
    <row r="1363" spans="1:9" x14ac:dyDescent="0.25">
      <c r="E1363" t="str">
        <f>"201809183807"</f>
        <v>201809183807</v>
      </c>
      <c r="F1363" t="str">
        <f>"56 005"</f>
        <v>56 005</v>
      </c>
      <c r="G1363" s="2">
        <v>250</v>
      </c>
      <c r="H1363" t="str">
        <f>"56 005"</f>
        <v>56 005</v>
      </c>
    </row>
    <row r="1364" spans="1:9" x14ac:dyDescent="0.25">
      <c r="A1364" t="s">
        <v>476</v>
      </c>
      <c r="B1364">
        <v>999999</v>
      </c>
      <c r="C1364" s="3">
        <v>3400</v>
      </c>
      <c r="D1364" s="1">
        <v>43354</v>
      </c>
      <c r="E1364" t="str">
        <f>"201808293105"</f>
        <v>201808293105</v>
      </c>
      <c r="F1364" t="str">
        <f>"AC201702111"</f>
        <v>AC201702111</v>
      </c>
      <c r="G1364" s="2">
        <v>400</v>
      </c>
      <c r="H1364" t="str">
        <f>"AC201702111"</f>
        <v>AC201702111</v>
      </c>
    </row>
    <row r="1365" spans="1:9" x14ac:dyDescent="0.25">
      <c r="E1365" t="str">
        <f>"201808303166"</f>
        <v>201808303166</v>
      </c>
      <c r="F1365" t="str">
        <f>"16 121"</f>
        <v>16 121</v>
      </c>
      <c r="G1365" s="2">
        <v>400</v>
      </c>
      <c r="H1365" t="str">
        <f>"16 121"</f>
        <v>16 121</v>
      </c>
    </row>
    <row r="1366" spans="1:9" x14ac:dyDescent="0.25">
      <c r="E1366" t="str">
        <f>"201808313173"</f>
        <v>201808313173</v>
      </c>
      <c r="F1366" t="str">
        <f>"17243966FH"</f>
        <v>17243966FH</v>
      </c>
      <c r="G1366" s="2">
        <v>400</v>
      </c>
      <c r="H1366" t="str">
        <f>"17243966FH"</f>
        <v>17243966FH</v>
      </c>
    </row>
    <row r="1367" spans="1:9" x14ac:dyDescent="0.25">
      <c r="E1367" t="str">
        <f>"201808313174"</f>
        <v>201808313174</v>
      </c>
      <c r="F1367" t="str">
        <f>"1JP4  201817 (A)"</f>
        <v>1JP4  201817 (A)</v>
      </c>
      <c r="G1367" s="2">
        <v>150</v>
      </c>
      <c r="H1367" t="str">
        <f>"1JP4  201817 (A)"</f>
        <v>1JP4  201817 (A)</v>
      </c>
    </row>
    <row r="1368" spans="1:9" x14ac:dyDescent="0.25">
      <c r="E1368" t="str">
        <f>"201808313175"</f>
        <v>201808313175</v>
      </c>
      <c r="F1368" t="str">
        <f>"16 266"</f>
        <v>16 266</v>
      </c>
      <c r="G1368" s="2">
        <v>400</v>
      </c>
      <c r="H1368" t="str">
        <f>"16 266"</f>
        <v>16 266</v>
      </c>
    </row>
    <row r="1369" spans="1:9" x14ac:dyDescent="0.25">
      <c r="E1369" t="str">
        <f>"201808313192"</f>
        <v>201808313192</v>
      </c>
      <c r="F1369" t="str">
        <f>"16 477  410047-2 JP4"</f>
        <v>16 477  410047-2 JP4</v>
      </c>
      <c r="G1369" s="2">
        <v>1000</v>
      </c>
      <c r="H1369" t="str">
        <f>"16 477  410047-2 JP4"</f>
        <v>16 477  410047-2 JP4</v>
      </c>
    </row>
    <row r="1370" spans="1:9" x14ac:dyDescent="0.25">
      <c r="E1370" t="str">
        <f>"201808313193"</f>
        <v>201808313193</v>
      </c>
      <c r="F1370" t="str">
        <f>"40208610"</f>
        <v>40208610</v>
      </c>
      <c r="G1370" s="2">
        <v>400</v>
      </c>
      <c r="H1370" t="str">
        <f>"40208610"</f>
        <v>40208610</v>
      </c>
    </row>
    <row r="1371" spans="1:9" x14ac:dyDescent="0.25">
      <c r="E1371" t="str">
        <f>"201809053403"</f>
        <v>201809053403</v>
      </c>
      <c r="F1371" t="str">
        <f>"404268-7"</f>
        <v>404268-7</v>
      </c>
      <c r="G1371" s="2">
        <v>250</v>
      </c>
      <c r="H1371" t="str">
        <f>"404268-7"</f>
        <v>404268-7</v>
      </c>
    </row>
    <row r="1372" spans="1:9" x14ac:dyDescent="0.25">
      <c r="A1372" t="s">
        <v>476</v>
      </c>
      <c r="B1372">
        <v>999999</v>
      </c>
      <c r="C1372" s="3">
        <v>1800</v>
      </c>
      <c r="D1372" s="1">
        <v>43368</v>
      </c>
      <c r="E1372" t="s">
        <v>52</v>
      </c>
      <c r="F1372" t="s">
        <v>477</v>
      </c>
      <c r="G1372" s="2" t="str">
        <f>"15 931"</f>
        <v>15 931</v>
      </c>
      <c r="H1372" t="str">
        <f>"435-4107"</f>
        <v>435-4107</v>
      </c>
      <c r="I1372" t="str">
        <f>""</f>
        <v/>
      </c>
    </row>
    <row r="1373" spans="1:9" x14ac:dyDescent="0.25">
      <c r="E1373" t="str">
        <f>"201809133770"</f>
        <v>201809133770</v>
      </c>
      <c r="F1373" t="str">
        <f>"16 496"</f>
        <v>16 496</v>
      </c>
      <c r="G1373" s="2">
        <v>400</v>
      </c>
      <c r="H1373" t="str">
        <f>"16 496"</f>
        <v>16 496</v>
      </c>
    </row>
    <row r="1374" spans="1:9" x14ac:dyDescent="0.25">
      <c r="E1374" t="str">
        <f>"201809183801"</f>
        <v>201809183801</v>
      </c>
      <c r="F1374" t="str">
        <f>"56 236"</f>
        <v>56 236</v>
      </c>
      <c r="G1374" s="2">
        <v>250</v>
      </c>
      <c r="H1374" t="str">
        <f>"56 236"</f>
        <v>56 236</v>
      </c>
    </row>
    <row r="1375" spans="1:9" x14ac:dyDescent="0.25">
      <c r="E1375" t="str">
        <f>"201809183802"</f>
        <v>201809183802</v>
      </c>
      <c r="F1375" t="str">
        <f>"0020180407-2"</f>
        <v>0020180407-2</v>
      </c>
      <c r="G1375" s="2">
        <v>250</v>
      </c>
      <c r="H1375" t="str">
        <f>"0020180407-2"</f>
        <v>0020180407-2</v>
      </c>
    </row>
    <row r="1376" spans="1:9" x14ac:dyDescent="0.25">
      <c r="E1376" t="str">
        <f>"201809183803"</f>
        <v>201809183803</v>
      </c>
      <c r="F1376" t="str">
        <f>"311202017-A"</f>
        <v>311202017-A</v>
      </c>
      <c r="G1376" s="2">
        <v>250</v>
      </c>
      <c r="H1376" t="str">
        <f>"311202017-A"</f>
        <v>311202017-A</v>
      </c>
    </row>
    <row r="1377" spans="1:8" x14ac:dyDescent="0.25">
      <c r="E1377" t="str">
        <f>"201809183812"</f>
        <v>201809183812</v>
      </c>
      <c r="F1377" t="str">
        <f>"55 495"</f>
        <v>55 495</v>
      </c>
      <c r="G1377" s="2">
        <v>250</v>
      </c>
      <c r="H1377" t="str">
        <f>"55 495"</f>
        <v>55 495</v>
      </c>
    </row>
    <row r="1378" spans="1:8" x14ac:dyDescent="0.25">
      <c r="A1378" t="s">
        <v>478</v>
      </c>
      <c r="B1378">
        <v>78826</v>
      </c>
      <c r="C1378" s="3">
        <v>134.4</v>
      </c>
      <c r="D1378" s="1">
        <v>43367</v>
      </c>
      <c r="E1378" t="str">
        <f>"000543972"</f>
        <v>000543972</v>
      </c>
      <c r="F1378" t="str">
        <f>"POL#15R29980-ZAS/ACCT#4812W108"</f>
        <v>POL#15R29980-ZAS/ACCT#4812W108</v>
      </c>
      <c r="G1378" s="2">
        <v>134.4</v>
      </c>
      <c r="H1378" t="str">
        <f>"POL#15R29980-ZAS/ACCT#4812W108"</f>
        <v>POL#15R29980-ZAS/ACCT#4812W108</v>
      </c>
    </row>
    <row r="1379" spans="1:8" x14ac:dyDescent="0.25">
      <c r="A1379" t="s">
        <v>479</v>
      </c>
      <c r="B1379">
        <v>78645</v>
      </c>
      <c r="C1379" s="3">
        <v>142</v>
      </c>
      <c r="D1379" s="1">
        <v>43353</v>
      </c>
      <c r="E1379" t="str">
        <f>"838718478"</f>
        <v>838718478</v>
      </c>
      <c r="F1379" t="str">
        <f>"ACCT#1000004347/COUNTY CLERK"</f>
        <v>ACCT#1000004347/COUNTY CLERK</v>
      </c>
      <c r="G1379" s="2">
        <v>142</v>
      </c>
      <c r="H1379" t="str">
        <f>"ACCT#1000004347/COUNTY CLERK"</f>
        <v>ACCT#1000004347/COUNTY CLERK</v>
      </c>
    </row>
    <row r="1380" spans="1:8" x14ac:dyDescent="0.25">
      <c r="A1380" t="s">
        <v>479</v>
      </c>
      <c r="B1380">
        <v>78827</v>
      </c>
      <c r="C1380" s="3">
        <v>1890</v>
      </c>
      <c r="D1380" s="1">
        <v>43367</v>
      </c>
      <c r="E1380" t="str">
        <f>"838629861"</f>
        <v>838629861</v>
      </c>
      <c r="F1380" t="str">
        <f>"ACCT#1000648597/WEST INFO CHRG"</f>
        <v>ACCT#1000648597/WEST INFO CHRG</v>
      </c>
      <c r="G1380" s="2">
        <v>520</v>
      </c>
      <c r="H1380" t="str">
        <f>"ACCT#1000648597/WEST INFO CHRG"</f>
        <v>ACCT#1000648597/WEST INFO CHRG</v>
      </c>
    </row>
    <row r="1381" spans="1:8" x14ac:dyDescent="0.25">
      <c r="E1381" t="str">
        <f>"838812284"</f>
        <v>838812284</v>
      </c>
      <c r="F1381" t="str">
        <f>"ACCT#1000648597/WEST INFO CHRG"</f>
        <v>ACCT#1000648597/WEST INFO CHRG</v>
      </c>
      <c r="G1381" s="2">
        <v>520</v>
      </c>
      <c r="H1381" t="str">
        <f>"ACCT#1000648597/WEST INFO CHRG"</f>
        <v>ACCT#1000648597/WEST INFO CHRG</v>
      </c>
    </row>
    <row r="1382" spans="1:8" x14ac:dyDescent="0.25">
      <c r="E1382" t="str">
        <f>"838823400"</f>
        <v>838823400</v>
      </c>
      <c r="F1382" t="str">
        <f>"ACCT#1005022937/WEST INFO CHRG"</f>
        <v>ACCT#1005022937/WEST INFO CHRG</v>
      </c>
      <c r="G1382" s="2">
        <v>850</v>
      </c>
      <c r="H1382" t="str">
        <f>"ACCT#1005022937/WEST INFO CHRG"</f>
        <v>ACCT#1005022937/WEST INFO CHRG</v>
      </c>
    </row>
    <row r="1383" spans="1:8" x14ac:dyDescent="0.25">
      <c r="A1383" t="s">
        <v>480</v>
      </c>
      <c r="B1383">
        <v>78646</v>
      </c>
      <c r="C1383" s="3">
        <v>25</v>
      </c>
      <c r="D1383" s="1">
        <v>43353</v>
      </c>
      <c r="E1383" t="str">
        <f>"201808313196"</f>
        <v>201808313196</v>
      </c>
      <c r="F1383" t="str">
        <f>"REFUND FOR DW PERMIT FEE"</f>
        <v>REFUND FOR DW PERMIT FEE</v>
      </c>
      <c r="G1383" s="2">
        <v>25</v>
      </c>
      <c r="H1383" t="str">
        <f>"REFUND FOR DW PERMIT FEE"</f>
        <v>REFUND FOR DW PERMIT FEE</v>
      </c>
    </row>
    <row r="1384" spans="1:8" x14ac:dyDescent="0.25">
      <c r="A1384" t="s">
        <v>481</v>
      </c>
      <c r="B1384">
        <v>78828</v>
      </c>
      <c r="C1384" s="3">
        <v>1575</v>
      </c>
      <c r="D1384" s="1">
        <v>43367</v>
      </c>
      <c r="E1384" t="str">
        <f>"201809113641"</f>
        <v>201809113641</v>
      </c>
      <c r="F1384" t="str">
        <f>"423-2327"</f>
        <v>423-2327</v>
      </c>
      <c r="G1384" s="2">
        <v>1575</v>
      </c>
      <c r="H1384" t="str">
        <f>"423-2327"</f>
        <v>423-2327</v>
      </c>
    </row>
    <row r="1385" spans="1:8" x14ac:dyDescent="0.25">
      <c r="A1385" t="s">
        <v>482</v>
      </c>
      <c r="B1385">
        <v>78829</v>
      </c>
      <c r="C1385" s="3">
        <v>11400.37</v>
      </c>
      <c r="D1385" s="1">
        <v>43367</v>
      </c>
      <c r="E1385" t="str">
        <f>"0003669082818"</f>
        <v>0003669082818</v>
      </c>
      <c r="F1385" t="str">
        <f>"ACCT#8260163000003669"</f>
        <v>ACCT#8260163000003669</v>
      </c>
      <c r="G1385" s="2">
        <v>11400.37</v>
      </c>
      <c r="H1385" t="str">
        <f>"ACCT#8260163000003669"</f>
        <v>ACCT#8260163000003669</v>
      </c>
    </row>
    <row r="1386" spans="1:8" x14ac:dyDescent="0.25">
      <c r="E1386" t="str">
        <f>""</f>
        <v/>
      </c>
      <c r="F1386" t="str">
        <f>""</f>
        <v/>
      </c>
      <c r="H1386" t="str">
        <f>"ACCT#8260163000003669"</f>
        <v>ACCT#8260163000003669</v>
      </c>
    </row>
    <row r="1387" spans="1:8" x14ac:dyDescent="0.25">
      <c r="E1387" t="str">
        <f>""</f>
        <v/>
      </c>
      <c r="F1387" t="str">
        <f>""</f>
        <v/>
      </c>
      <c r="H1387" t="str">
        <f>"ACCT#8260163000003669"</f>
        <v>ACCT#8260163000003669</v>
      </c>
    </row>
    <row r="1388" spans="1:8" x14ac:dyDescent="0.25">
      <c r="A1388" t="s">
        <v>483</v>
      </c>
      <c r="B1388">
        <v>78830</v>
      </c>
      <c r="C1388" s="3">
        <v>1070</v>
      </c>
      <c r="D1388" s="1">
        <v>43367</v>
      </c>
      <c r="E1388" t="str">
        <f>"355502"</f>
        <v>355502</v>
      </c>
      <c r="F1388" t="str">
        <f>"Guard 1 Plus Server"</f>
        <v>Guard 1 Plus Server</v>
      </c>
      <c r="G1388" s="2">
        <v>1070</v>
      </c>
      <c r="H1388" t="str">
        <f>"Server License"</f>
        <v>Server License</v>
      </c>
    </row>
    <row r="1389" spans="1:8" x14ac:dyDescent="0.25">
      <c r="E1389" t="str">
        <f>""</f>
        <v/>
      </c>
      <c r="F1389" t="str">
        <f>""</f>
        <v/>
      </c>
      <c r="H1389" t="str">
        <f>"Reporting Services"</f>
        <v>Reporting Services</v>
      </c>
    </row>
    <row r="1390" spans="1:8" x14ac:dyDescent="0.25">
      <c r="E1390" t="str">
        <f>""</f>
        <v/>
      </c>
      <c r="F1390" t="str">
        <f>""</f>
        <v/>
      </c>
      <c r="H1390" t="str">
        <f>"Client License"</f>
        <v>Client License</v>
      </c>
    </row>
    <row r="1391" spans="1:8" x14ac:dyDescent="0.25">
      <c r="E1391" t="str">
        <f>""</f>
        <v/>
      </c>
      <c r="F1391" t="str">
        <f>""</f>
        <v/>
      </c>
      <c r="H1391" t="str">
        <f>"Attendant License"</f>
        <v>Attendant License</v>
      </c>
    </row>
    <row r="1392" spans="1:8" x14ac:dyDescent="0.25">
      <c r="E1392" t="str">
        <f>""</f>
        <v/>
      </c>
      <c r="F1392" t="str">
        <f>""</f>
        <v/>
      </c>
      <c r="H1392" t="str">
        <f>"Tracker License"</f>
        <v>Tracker License</v>
      </c>
    </row>
    <row r="1393" spans="1:8" x14ac:dyDescent="0.25">
      <c r="A1393" t="s">
        <v>484</v>
      </c>
      <c r="B1393">
        <v>78647</v>
      </c>
      <c r="C1393" s="3">
        <v>2269.7600000000002</v>
      </c>
      <c r="D1393" s="1">
        <v>43353</v>
      </c>
      <c r="E1393" t="str">
        <f>"201809043287"</f>
        <v>201809043287</v>
      </c>
      <c r="F1393" t="str">
        <f>"Acct# 6035301200160982"</f>
        <v>Acct# 6035301200160982</v>
      </c>
      <c r="G1393" s="2">
        <v>2269.7600000000002</v>
      </c>
      <c r="H1393" t="str">
        <f>"Inv# 200512659"</f>
        <v>Inv# 200512659</v>
      </c>
    </row>
    <row r="1394" spans="1:8" x14ac:dyDescent="0.25">
      <c r="E1394" t="str">
        <f>""</f>
        <v/>
      </c>
      <c r="F1394" t="str">
        <f>""</f>
        <v/>
      </c>
      <c r="H1394" t="str">
        <f>"Inv# 200510679"</f>
        <v>Inv# 200510679</v>
      </c>
    </row>
    <row r="1395" spans="1:8" x14ac:dyDescent="0.25">
      <c r="E1395" t="str">
        <f>""</f>
        <v/>
      </c>
      <c r="F1395" t="str">
        <f>""</f>
        <v/>
      </c>
      <c r="H1395" t="str">
        <f>"Inv# 200512121"</f>
        <v>Inv# 200512121</v>
      </c>
    </row>
    <row r="1396" spans="1:8" x14ac:dyDescent="0.25">
      <c r="E1396" t="str">
        <f>""</f>
        <v/>
      </c>
      <c r="F1396" t="str">
        <f>""</f>
        <v/>
      </c>
      <c r="H1396" t="str">
        <f>"Inv# 100562103"</f>
        <v>Inv# 100562103</v>
      </c>
    </row>
    <row r="1397" spans="1:8" x14ac:dyDescent="0.25">
      <c r="E1397" t="str">
        <f>""</f>
        <v/>
      </c>
      <c r="F1397" t="str">
        <f>""</f>
        <v/>
      </c>
      <c r="H1397" t="str">
        <f>"Inv# 200514055"</f>
        <v>Inv# 200514055</v>
      </c>
    </row>
    <row r="1398" spans="1:8" x14ac:dyDescent="0.25">
      <c r="E1398" t="str">
        <f>""</f>
        <v/>
      </c>
      <c r="F1398" t="str">
        <f>""</f>
        <v/>
      </c>
      <c r="H1398" t="str">
        <f>"Inv# 300480371"</f>
        <v>Inv# 300480371</v>
      </c>
    </row>
    <row r="1399" spans="1:8" x14ac:dyDescent="0.25">
      <c r="E1399" t="str">
        <f>""</f>
        <v/>
      </c>
      <c r="F1399" t="str">
        <f>""</f>
        <v/>
      </c>
      <c r="H1399" t="str">
        <f>"Inv# 200296555"</f>
        <v>Inv# 200296555</v>
      </c>
    </row>
    <row r="1400" spans="1:8" x14ac:dyDescent="0.25">
      <c r="E1400" t="str">
        <f>""</f>
        <v/>
      </c>
      <c r="F1400" t="str">
        <f>""</f>
        <v/>
      </c>
      <c r="H1400" t="str">
        <f>"Inv# 10049046"</f>
        <v>Inv# 10049046</v>
      </c>
    </row>
    <row r="1401" spans="1:8" x14ac:dyDescent="0.25">
      <c r="E1401" t="str">
        <f>""</f>
        <v/>
      </c>
      <c r="F1401" t="str">
        <f>""</f>
        <v/>
      </c>
      <c r="H1401" t="str">
        <f>"Inv# 300480811"</f>
        <v>Inv# 300480811</v>
      </c>
    </row>
    <row r="1402" spans="1:8" x14ac:dyDescent="0.25">
      <c r="A1402" t="s">
        <v>485</v>
      </c>
      <c r="B1402">
        <v>78648</v>
      </c>
      <c r="C1402" s="3">
        <v>20.68</v>
      </c>
      <c r="D1402" s="1">
        <v>43353</v>
      </c>
      <c r="E1402" t="str">
        <f>"12813  08/01/18"</f>
        <v>12813  08/01/18</v>
      </c>
      <c r="F1402" t="str">
        <f>"SERVICE"</f>
        <v>SERVICE</v>
      </c>
      <c r="G1402" s="2">
        <v>20.68</v>
      </c>
      <c r="H1402" t="str">
        <f>"SERVICE"</f>
        <v>SERVICE</v>
      </c>
    </row>
    <row r="1403" spans="1:8" x14ac:dyDescent="0.25">
      <c r="A1403" t="s">
        <v>485</v>
      </c>
      <c r="B1403">
        <v>78831</v>
      </c>
      <c r="C1403" s="3">
        <v>375</v>
      </c>
      <c r="D1403" s="1">
        <v>43367</v>
      </c>
      <c r="E1403" t="str">
        <f>"12997"</f>
        <v>12997</v>
      </c>
      <c r="F1403" t="str">
        <f>"SERVICE"</f>
        <v>SERVICE</v>
      </c>
      <c r="G1403" s="2">
        <v>375</v>
      </c>
      <c r="H1403" t="str">
        <f>"SERVICE"</f>
        <v>SERVICE</v>
      </c>
    </row>
    <row r="1404" spans="1:8" x14ac:dyDescent="0.25">
      <c r="A1404" t="s">
        <v>486</v>
      </c>
      <c r="B1404">
        <v>78649</v>
      </c>
      <c r="C1404" s="3">
        <v>5800</v>
      </c>
      <c r="D1404" s="1">
        <v>43353</v>
      </c>
      <c r="E1404" t="str">
        <f>"3300001514"</f>
        <v>3300001514</v>
      </c>
      <c r="F1404" t="str">
        <f>"CUST#100010/INV#3300001514"</f>
        <v>CUST#100010/INV#3300001514</v>
      </c>
      <c r="G1404" s="2">
        <v>2900</v>
      </c>
      <c r="H1404" t="str">
        <f>"CUST#100010/INV#3300001514"</f>
        <v>CUST#100010/INV#3300001514</v>
      </c>
    </row>
    <row r="1405" spans="1:8" x14ac:dyDescent="0.25">
      <c r="E1405" t="str">
        <f>"3300001601"</f>
        <v>3300001601</v>
      </c>
      <c r="F1405" t="str">
        <f>"CUST#100009/INV#3300001601"</f>
        <v>CUST#100009/INV#3300001601</v>
      </c>
      <c r="G1405" s="2">
        <v>2900</v>
      </c>
      <c r="H1405" t="str">
        <f>"CUST#100009/INV#3300001601"</f>
        <v>CUST#100009/INV#3300001601</v>
      </c>
    </row>
    <row r="1406" spans="1:8" x14ac:dyDescent="0.25">
      <c r="A1406" t="s">
        <v>487</v>
      </c>
      <c r="B1406">
        <v>999999</v>
      </c>
      <c r="C1406" s="3">
        <v>2847.52</v>
      </c>
      <c r="D1406" s="1">
        <v>43354</v>
      </c>
      <c r="E1406" t="str">
        <f>"722834"</f>
        <v>722834</v>
      </c>
      <c r="F1406" t="str">
        <f>"INV 722834 / UNIT"</f>
        <v>INV 722834 / UNIT</v>
      </c>
      <c r="G1406" s="2">
        <v>138.24</v>
      </c>
      <c r="H1406" t="str">
        <f>"INV 722834 / UNIT"</f>
        <v>INV 722834 / UNIT</v>
      </c>
    </row>
    <row r="1407" spans="1:8" x14ac:dyDescent="0.25">
      <c r="E1407" t="str">
        <f>"724753"</f>
        <v>724753</v>
      </c>
      <c r="F1407" t="str">
        <f>"INV 724753 / UNIT 417"</f>
        <v>INV 724753 / UNIT 417</v>
      </c>
      <c r="G1407" s="2">
        <v>325.06</v>
      </c>
      <c r="H1407" t="str">
        <f>"INV 724753 / UNIT 417"</f>
        <v>INV 724753 / UNIT 417</v>
      </c>
    </row>
    <row r="1408" spans="1:8" x14ac:dyDescent="0.25">
      <c r="E1408" t="str">
        <f>"725289"</f>
        <v>725289</v>
      </c>
      <c r="F1408" t="str">
        <f>"INV 725289 / UNIT 3804"</f>
        <v>INV 725289 / UNIT 3804</v>
      </c>
      <c r="G1408" s="2">
        <v>552.96</v>
      </c>
      <c r="H1408" t="str">
        <f>"INV 725289 / UNIT 3804"</f>
        <v>INV 725289 / UNIT 3804</v>
      </c>
    </row>
    <row r="1409" spans="1:8" x14ac:dyDescent="0.25">
      <c r="E1409" t="str">
        <f>"725737"</f>
        <v>725737</v>
      </c>
      <c r="F1409" t="str">
        <f>"INV 725737 / UNIT 80"</f>
        <v>INV 725737 / UNIT 80</v>
      </c>
      <c r="G1409" s="2">
        <v>958.26</v>
      </c>
      <c r="H1409" t="str">
        <f>"INV 725737 / UNIT 80"</f>
        <v>INV 725737 / UNIT 80</v>
      </c>
    </row>
    <row r="1410" spans="1:8" x14ac:dyDescent="0.25">
      <c r="E1410" t="str">
        <f>"726965"</f>
        <v>726965</v>
      </c>
      <c r="F1410" t="str">
        <f>"INV 726965 / UNIT 119"</f>
        <v>INV 726965 / UNIT 119</v>
      </c>
      <c r="G1410" s="2">
        <v>320.04000000000002</v>
      </c>
      <c r="H1410" t="str">
        <f>"INV 726965 / UNIT 119"</f>
        <v>INV 726965 / UNIT 119</v>
      </c>
    </row>
    <row r="1411" spans="1:8" x14ac:dyDescent="0.25">
      <c r="E1411" t="str">
        <f>"726966"</f>
        <v>726966</v>
      </c>
      <c r="F1411" t="str">
        <f>"INV 726966 / UNIT 1630"</f>
        <v>INV 726966 / UNIT 1630</v>
      </c>
      <c r="G1411" s="2">
        <v>552.96</v>
      </c>
      <c r="H1411" t="str">
        <f>"INV 726966 / UNIT 1630"</f>
        <v>INV 726966 / UNIT 1630</v>
      </c>
    </row>
    <row r="1412" spans="1:8" x14ac:dyDescent="0.25">
      <c r="A1412" t="s">
        <v>488</v>
      </c>
      <c r="B1412">
        <v>78832</v>
      </c>
      <c r="C1412" s="3">
        <v>73.78</v>
      </c>
      <c r="D1412" s="1">
        <v>43367</v>
      </c>
      <c r="E1412" t="str">
        <f>"201809193876"</f>
        <v>201809193876</v>
      </c>
      <c r="F1412" t="str">
        <f>"INDIGENT HEALTH"</f>
        <v>INDIGENT HEALTH</v>
      </c>
      <c r="G1412" s="2">
        <v>73.78</v>
      </c>
      <c r="H1412" t="str">
        <f>"INDIGENT HEALTH"</f>
        <v>INDIGENT HEALTH</v>
      </c>
    </row>
    <row r="1413" spans="1:8" x14ac:dyDescent="0.25">
      <c r="A1413" t="s">
        <v>489</v>
      </c>
      <c r="B1413">
        <v>78650</v>
      </c>
      <c r="C1413" s="3">
        <v>459</v>
      </c>
      <c r="D1413" s="1">
        <v>43353</v>
      </c>
      <c r="E1413" t="str">
        <f>"6447"</f>
        <v>6447</v>
      </c>
      <c r="F1413" t="str">
        <f>"2018 SUMMIT REG - A. LEWIS"</f>
        <v>2018 SUMMIT REG - A. LEWIS</v>
      </c>
      <c r="G1413" s="2">
        <v>459</v>
      </c>
      <c r="H1413" t="str">
        <f>"2018 SUMMIT REG - A. LEWIS"</f>
        <v>2018 SUMMIT REG - A. LEWIS</v>
      </c>
    </row>
    <row r="1414" spans="1:8" x14ac:dyDescent="0.25">
      <c r="A1414" t="s">
        <v>490</v>
      </c>
      <c r="B1414">
        <v>999999</v>
      </c>
      <c r="C1414" s="3">
        <v>1400</v>
      </c>
      <c r="D1414" s="1">
        <v>43354</v>
      </c>
      <c r="E1414" t="str">
        <f>"201808313188"</f>
        <v>201808313188</v>
      </c>
      <c r="F1414" t="str">
        <f>"16 071"</f>
        <v>16 071</v>
      </c>
      <c r="G1414" s="2">
        <v>400</v>
      </c>
      <c r="H1414" t="str">
        <f>"16 071"</f>
        <v>16 071</v>
      </c>
    </row>
    <row r="1415" spans="1:8" x14ac:dyDescent="0.25">
      <c r="E1415" t="str">
        <f>"201808313189"</f>
        <v>201808313189</v>
      </c>
      <c r="F1415" t="str">
        <f>"26725512 26725436 26725335"</f>
        <v>26725512 26725436 26725335</v>
      </c>
      <c r="G1415" s="2">
        <v>300</v>
      </c>
      <c r="H1415" t="str">
        <f>"26725512 26725436 26725335"</f>
        <v>26725512 26725436 26725335</v>
      </c>
    </row>
    <row r="1416" spans="1:8" x14ac:dyDescent="0.25">
      <c r="E1416" t="str">
        <f>"201808313190"</f>
        <v>201808313190</v>
      </c>
      <c r="F1416" t="str">
        <f>"423-5929  863-335"</f>
        <v>423-5929  863-335</v>
      </c>
      <c r="G1416" s="2">
        <v>200</v>
      </c>
      <c r="H1416" t="str">
        <f>"423-5929  863-335"</f>
        <v>423-5929  863-335</v>
      </c>
    </row>
    <row r="1417" spans="1:8" x14ac:dyDescent="0.25">
      <c r="E1417" t="str">
        <f>"201809053362"</f>
        <v>201809053362</v>
      </c>
      <c r="F1417" t="str">
        <f>"56279"</f>
        <v>56279</v>
      </c>
      <c r="G1417" s="2">
        <v>250</v>
      </c>
      <c r="H1417" t="str">
        <f>"56279"</f>
        <v>56279</v>
      </c>
    </row>
    <row r="1418" spans="1:8" x14ac:dyDescent="0.25">
      <c r="E1418" t="str">
        <f>"201809053366"</f>
        <v>201809053366</v>
      </c>
      <c r="F1418" t="str">
        <f>"56 181"</f>
        <v>56 181</v>
      </c>
      <c r="G1418" s="2">
        <v>250</v>
      </c>
      <c r="H1418" t="str">
        <f>"56 181"</f>
        <v>56 181</v>
      </c>
    </row>
    <row r="1419" spans="1:8" x14ac:dyDescent="0.25">
      <c r="A1419" t="s">
        <v>490</v>
      </c>
      <c r="B1419">
        <v>999999</v>
      </c>
      <c r="C1419" s="3">
        <v>3750</v>
      </c>
      <c r="D1419" s="1">
        <v>43368</v>
      </c>
      <c r="E1419" t="str">
        <f>"201809113642"</f>
        <v>201809113642</v>
      </c>
      <c r="F1419" t="str">
        <f>"16 512"</f>
        <v>16 512</v>
      </c>
      <c r="G1419" s="2">
        <v>400</v>
      </c>
      <c r="H1419" t="str">
        <f>"16 512"</f>
        <v>16 512</v>
      </c>
    </row>
    <row r="1420" spans="1:8" x14ac:dyDescent="0.25">
      <c r="E1420" t="str">
        <f>"201809113643"</f>
        <v>201809113643</v>
      </c>
      <c r="F1420" t="str">
        <f>"406226.IM"</f>
        <v>406226.IM</v>
      </c>
      <c r="G1420" s="2">
        <v>400</v>
      </c>
      <c r="H1420" t="str">
        <f>"406226.IM"</f>
        <v>406226.IM</v>
      </c>
    </row>
    <row r="1421" spans="1:8" x14ac:dyDescent="0.25">
      <c r="E1421" t="str">
        <f>"201809113644"</f>
        <v>201809113644</v>
      </c>
      <c r="F1421" t="str">
        <f>"301052016B 4121051MW 4121052MW"</f>
        <v>301052016B 4121051MW 4121052MW</v>
      </c>
      <c r="G1421" s="2">
        <v>800</v>
      </c>
      <c r="H1421" t="str">
        <f>"301052016B 4121051MW 4121052MW"</f>
        <v>301052016B 4121051MW 4121052MW</v>
      </c>
    </row>
    <row r="1422" spans="1:8" x14ac:dyDescent="0.25">
      <c r="E1422" t="str">
        <f>"201809113645"</f>
        <v>201809113645</v>
      </c>
      <c r="F1422" t="str">
        <f>"CH20160827"</f>
        <v>CH20160827</v>
      </c>
      <c r="G1422" s="2">
        <v>400</v>
      </c>
      <c r="H1422" t="str">
        <f>"CH20160827"</f>
        <v>CH20160827</v>
      </c>
    </row>
    <row r="1423" spans="1:8" x14ac:dyDescent="0.25">
      <c r="E1423" t="str">
        <f>"201809113646"</f>
        <v>201809113646</v>
      </c>
      <c r="F1423" t="str">
        <f>"1JP91517D"</f>
        <v>1JP91517D</v>
      </c>
      <c r="G1423" s="2">
        <v>400</v>
      </c>
      <c r="H1423" t="str">
        <f>"1JP91517D"</f>
        <v>1JP91517D</v>
      </c>
    </row>
    <row r="1424" spans="1:8" x14ac:dyDescent="0.25">
      <c r="E1424" t="str">
        <f>"201809143778"</f>
        <v>201809143778</v>
      </c>
      <c r="F1424" t="str">
        <f>"AG-2018-0207  DOP016-091"</f>
        <v>AG-2018-0207  DOP016-091</v>
      </c>
      <c r="G1424" s="2">
        <v>600</v>
      </c>
      <c r="H1424" t="str">
        <f>"AG-2018-0207  DOP016-091"</f>
        <v>AG-2018-0207  DOP016-091</v>
      </c>
    </row>
    <row r="1425" spans="1:8" x14ac:dyDescent="0.25">
      <c r="E1425" t="str">
        <f>"201809183799"</f>
        <v>201809183799</v>
      </c>
      <c r="F1425" t="str">
        <f>"55 939"</f>
        <v>55 939</v>
      </c>
      <c r="G1425" s="2">
        <v>250</v>
      </c>
      <c r="H1425" t="str">
        <f>"55 939"</f>
        <v>55 939</v>
      </c>
    </row>
    <row r="1426" spans="1:8" x14ac:dyDescent="0.25">
      <c r="E1426" t="str">
        <f>"201809183813"</f>
        <v>201809183813</v>
      </c>
      <c r="F1426" t="str">
        <f>"55003 A/G03180720W/3082020188"</f>
        <v>55003 A/G03180720W/3082020188</v>
      </c>
      <c r="G1426" s="2">
        <v>500</v>
      </c>
      <c r="H1426" t="str">
        <f>"55003 A/G03180720W/3082020188"</f>
        <v>55003 A/G03180720W/3082020188</v>
      </c>
    </row>
    <row r="1427" spans="1:8" x14ac:dyDescent="0.25">
      <c r="A1427" t="s">
        <v>491</v>
      </c>
      <c r="B1427">
        <v>999999</v>
      </c>
      <c r="C1427" s="3">
        <v>7</v>
      </c>
      <c r="D1427" s="1">
        <v>43354</v>
      </c>
      <c r="E1427" t="str">
        <f>"1276"</f>
        <v>1276</v>
      </c>
      <c r="F1427" t="str">
        <f>"INSPECTION"</f>
        <v>INSPECTION</v>
      </c>
      <c r="G1427" s="2">
        <v>7</v>
      </c>
      <c r="H1427" t="str">
        <f>"INSPECTION"</f>
        <v>INSPECTION</v>
      </c>
    </row>
    <row r="1428" spans="1:8" x14ac:dyDescent="0.25">
      <c r="A1428" t="s">
        <v>492</v>
      </c>
      <c r="B1428">
        <v>78833</v>
      </c>
      <c r="C1428" s="3">
        <v>3465</v>
      </c>
      <c r="D1428" s="1">
        <v>43367</v>
      </c>
      <c r="E1428" t="str">
        <f>"025- 226230"</f>
        <v>025- 226230</v>
      </c>
      <c r="F1428" t="str">
        <f>"CUST#42161/ORD#95039"</f>
        <v>CUST#42161/ORD#95039</v>
      </c>
      <c r="G1428" s="2">
        <v>577.5</v>
      </c>
      <c r="H1428" t="str">
        <f>"CUST#42161/ORD#95039"</f>
        <v>CUST#42161/ORD#95039</v>
      </c>
    </row>
    <row r="1429" spans="1:8" x14ac:dyDescent="0.25">
      <c r="E1429" t="str">
        <f>"025-226230"</f>
        <v>025-226230</v>
      </c>
      <c r="F1429" t="str">
        <f>"CUST#42161/ORD#95039"</f>
        <v>CUST#42161/ORD#95039</v>
      </c>
      <c r="G1429" s="2">
        <v>2887.5</v>
      </c>
      <c r="H1429" t="str">
        <f>"CUST#42161/ORD#95039"</f>
        <v>CUST#42161/ORD#95039</v>
      </c>
    </row>
    <row r="1430" spans="1:8" x14ac:dyDescent="0.25">
      <c r="A1430" t="s">
        <v>492</v>
      </c>
      <c r="B1430">
        <v>999999</v>
      </c>
      <c r="C1430" s="3">
        <v>89693.49</v>
      </c>
      <c r="D1430" s="1">
        <v>43354</v>
      </c>
      <c r="E1430" t="str">
        <f>"020-17403"</f>
        <v>020-17403</v>
      </c>
      <c r="F1430" t="str">
        <f>"CUST#42161/MAINTENANCE &amp; SUPPO"</f>
        <v>CUST#42161/MAINTENANCE &amp; SUPPO</v>
      </c>
      <c r="G1430" s="2">
        <v>34940.370000000003</v>
      </c>
      <c r="H1430" t="str">
        <f>"CUST#42161/MAINTENANCE &amp; SUPPO"</f>
        <v>CUST#42161/MAINTENANCE &amp; SUPPO</v>
      </c>
    </row>
    <row r="1431" spans="1:8" x14ac:dyDescent="0.25">
      <c r="E1431" t="str">
        <f>"020-17404"</f>
        <v>020-17404</v>
      </c>
      <c r="F1431" t="str">
        <f>"CUST#42161/ORD#6847"</f>
        <v>CUST#42161/ORD#6847</v>
      </c>
      <c r="G1431" s="2">
        <v>540.75</v>
      </c>
      <c r="H1431" t="str">
        <f>"CUST#42161/ORD#6847"</f>
        <v>CUST#42161/ORD#6847</v>
      </c>
    </row>
    <row r="1432" spans="1:8" x14ac:dyDescent="0.25">
      <c r="E1432" t="str">
        <f>"025-232797"</f>
        <v>025-232797</v>
      </c>
      <c r="F1432" t="str">
        <f>"CUST#42161/ORD#97297"</f>
        <v>CUST#42161/ORD#97297</v>
      </c>
      <c r="G1432" s="2">
        <v>54212.37</v>
      </c>
      <c r="H1432" t="str">
        <f>"CUST#42161/ORD#97297"</f>
        <v>CUST#42161/ORD#97297</v>
      </c>
    </row>
    <row r="1433" spans="1:8" x14ac:dyDescent="0.25">
      <c r="A1433" t="s">
        <v>493</v>
      </c>
      <c r="B1433">
        <v>78834</v>
      </c>
      <c r="C1433" s="3">
        <v>325.27999999999997</v>
      </c>
      <c r="D1433" s="1">
        <v>43367</v>
      </c>
      <c r="E1433" t="str">
        <f>"10103624"</f>
        <v>10103624</v>
      </c>
      <c r="F1433" t="str">
        <f>"ACCT#38049/PCT#4"</f>
        <v>ACCT#38049/PCT#4</v>
      </c>
      <c r="G1433" s="2">
        <v>152.4</v>
      </c>
      <c r="H1433" t="str">
        <f>"ACCT#38049/PCT#4"</f>
        <v>ACCT#38049/PCT#4</v>
      </c>
    </row>
    <row r="1434" spans="1:8" x14ac:dyDescent="0.25">
      <c r="E1434" t="str">
        <f>"10157229"</f>
        <v>10157229</v>
      </c>
      <c r="F1434" t="str">
        <f>"ACCT#38049/PCT#4"</f>
        <v>ACCT#38049/PCT#4</v>
      </c>
      <c r="G1434" s="2">
        <v>172.88</v>
      </c>
      <c r="H1434" t="str">
        <f>"ACCT#38049/PCT#4"</f>
        <v>ACCT#38049/PCT#4</v>
      </c>
    </row>
    <row r="1435" spans="1:8" x14ac:dyDescent="0.25">
      <c r="A1435" t="s">
        <v>494</v>
      </c>
      <c r="B1435">
        <v>78651</v>
      </c>
      <c r="C1435" s="3">
        <v>4264.42</v>
      </c>
      <c r="D1435" s="1">
        <v>43353</v>
      </c>
      <c r="E1435" t="str">
        <f>"62817167-00"</f>
        <v>62817167-00</v>
      </c>
      <c r="F1435" t="str">
        <f>"CUST#706810/ANNEX TOWERS"</f>
        <v>CUST#706810/ANNEX TOWERS</v>
      </c>
      <c r="G1435" s="2">
        <v>3880.04</v>
      </c>
      <c r="H1435" t="str">
        <f>"CUST#706810/ANNEX TOWERS"</f>
        <v>CUST#706810/ANNEX TOWERS</v>
      </c>
    </row>
    <row r="1436" spans="1:8" x14ac:dyDescent="0.25">
      <c r="E1436" t="str">
        <f>"64251640-00"</f>
        <v>64251640-00</v>
      </c>
      <c r="F1436" t="str">
        <f>"INV 64251640-00"</f>
        <v>INV 64251640-00</v>
      </c>
      <c r="G1436" s="2">
        <v>384.38</v>
      </c>
      <c r="H1436" t="str">
        <f>"INV 64251640-00"</f>
        <v>INV 64251640-00</v>
      </c>
    </row>
    <row r="1437" spans="1:8" x14ac:dyDescent="0.25">
      <c r="A1437" t="s">
        <v>494</v>
      </c>
      <c r="B1437">
        <v>78835</v>
      </c>
      <c r="C1437" s="3">
        <v>331.95</v>
      </c>
      <c r="D1437" s="1">
        <v>43367</v>
      </c>
      <c r="E1437" t="str">
        <f>"64635689-00"</f>
        <v>64635689-00</v>
      </c>
      <c r="F1437" t="str">
        <f>"CUST#706810/PCT3 BARN"</f>
        <v>CUST#706810/PCT3 BARN</v>
      </c>
      <c r="G1437" s="2">
        <v>331.95</v>
      </c>
      <c r="H1437" t="str">
        <f>"CUST#706810/PCT3 BARN"</f>
        <v>CUST#706810/PCT3 BARN</v>
      </c>
    </row>
    <row r="1438" spans="1:8" x14ac:dyDescent="0.25">
      <c r="A1438" t="s">
        <v>495</v>
      </c>
      <c r="B1438">
        <v>78652</v>
      </c>
      <c r="C1438" s="3">
        <v>135</v>
      </c>
      <c r="D1438" s="1">
        <v>43353</v>
      </c>
      <c r="E1438" t="str">
        <f>"201808303148"</f>
        <v>201808303148</v>
      </c>
      <c r="F1438" t="str">
        <f>"TRAVEL ADVANCE-PER DIEM"</f>
        <v>TRAVEL ADVANCE-PER DIEM</v>
      </c>
      <c r="G1438" s="2">
        <v>135</v>
      </c>
      <c r="H1438" t="str">
        <f>"TRAVEL ADVANCE-PER DIEM"</f>
        <v>TRAVEL ADVANCE-PER DIEM</v>
      </c>
    </row>
    <row r="1439" spans="1:8" x14ac:dyDescent="0.25">
      <c r="A1439" t="s">
        <v>496</v>
      </c>
      <c r="B1439">
        <v>78836</v>
      </c>
      <c r="C1439" s="3">
        <v>90</v>
      </c>
      <c r="D1439" s="1">
        <v>43367</v>
      </c>
      <c r="E1439" t="str">
        <f>"1802074433"</f>
        <v>1802074433</v>
      </c>
      <c r="F1439" t="str">
        <f>"INV 1802074433"</f>
        <v>INV 1802074433</v>
      </c>
      <c r="G1439" s="2">
        <v>90</v>
      </c>
    </row>
    <row r="1440" spans="1:8" x14ac:dyDescent="0.25">
      <c r="A1440" t="s">
        <v>497</v>
      </c>
      <c r="B1440">
        <v>78837</v>
      </c>
      <c r="C1440" s="3">
        <v>206.79</v>
      </c>
      <c r="D1440" s="1">
        <v>43367</v>
      </c>
      <c r="E1440" t="str">
        <f>"2006500"</f>
        <v>2006500</v>
      </c>
      <c r="F1440" t="str">
        <f>"ACCT#174600002268 003"</f>
        <v>ACCT#174600002268 003</v>
      </c>
      <c r="G1440" s="2">
        <v>206.79</v>
      </c>
      <c r="H1440" t="str">
        <f>"ACCT#174600002268 003"</f>
        <v>ACCT#174600002268 003</v>
      </c>
    </row>
    <row r="1441" spans="1:8" x14ac:dyDescent="0.25">
      <c r="A1441" t="s">
        <v>498</v>
      </c>
      <c r="B1441">
        <v>999999</v>
      </c>
      <c r="C1441" s="3">
        <v>850</v>
      </c>
      <c r="D1441" s="1">
        <v>43354</v>
      </c>
      <c r="E1441" t="str">
        <f>"201808303122"</f>
        <v>201808303122</v>
      </c>
      <c r="F1441" t="str">
        <f>"16561"</f>
        <v>16561</v>
      </c>
      <c r="G1441" s="2">
        <v>850</v>
      </c>
      <c r="H1441" t="str">
        <f>"16561"</f>
        <v>16561</v>
      </c>
    </row>
    <row r="1442" spans="1:8" x14ac:dyDescent="0.25">
      <c r="A1442" t="s">
        <v>499</v>
      </c>
      <c r="B1442">
        <v>78838</v>
      </c>
      <c r="C1442" s="3">
        <v>3500</v>
      </c>
      <c r="D1442" s="1">
        <v>43367</v>
      </c>
      <c r="E1442" t="str">
        <f>"12839"</f>
        <v>12839</v>
      </c>
      <c r="F1442" t="str">
        <f>"NCOA VOTER PROCESSING"</f>
        <v>NCOA VOTER PROCESSING</v>
      </c>
      <c r="G1442" s="2">
        <v>3500</v>
      </c>
      <c r="H1442" t="str">
        <f>"NCOA VOTER PROCESSING"</f>
        <v>NCOA VOTER PROCESSING</v>
      </c>
    </row>
    <row r="1443" spans="1:8" x14ac:dyDescent="0.25">
      <c r="A1443" t="s">
        <v>500</v>
      </c>
      <c r="B1443">
        <v>78653</v>
      </c>
      <c r="C1443" s="3">
        <v>5308.2</v>
      </c>
      <c r="D1443" s="1">
        <v>43353</v>
      </c>
      <c r="E1443" t="str">
        <f>"201809043285"</f>
        <v>201809043285</v>
      </c>
      <c r="F1443" t="str">
        <f>"Inv# 869395921834"</f>
        <v>Inv# 869395921834</v>
      </c>
      <c r="G1443" s="2">
        <v>5308.2</v>
      </c>
      <c r="H1443" t="str">
        <f>"Card# 100003"</f>
        <v>Card# 100003</v>
      </c>
    </row>
    <row r="1444" spans="1:8" x14ac:dyDescent="0.25">
      <c r="E1444" t="str">
        <f>""</f>
        <v/>
      </c>
      <c r="F1444" t="str">
        <f>""</f>
        <v/>
      </c>
      <c r="H1444" t="str">
        <f>"Kevin U"</f>
        <v>Kevin U</v>
      </c>
    </row>
    <row r="1445" spans="1:8" x14ac:dyDescent="0.25">
      <c r="E1445" t="str">
        <f>""</f>
        <v/>
      </c>
      <c r="F1445" t="str">
        <f>""</f>
        <v/>
      </c>
      <c r="H1445" t="str">
        <f>"Norman"</f>
        <v>Norman</v>
      </c>
    </row>
    <row r="1446" spans="1:8" x14ac:dyDescent="0.25">
      <c r="E1446" t="str">
        <f>""</f>
        <v/>
      </c>
      <c r="F1446" t="str">
        <f>""</f>
        <v/>
      </c>
      <c r="H1446" t="str">
        <f>"Martin"</f>
        <v>Martin</v>
      </c>
    </row>
    <row r="1447" spans="1:8" x14ac:dyDescent="0.25">
      <c r="E1447" t="str">
        <f>""</f>
        <v/>
      </c>
      <c r="F1447" t="str">
        <f>""</f>
        <v/>
      </c>
      <c r="H1447" t="str">
        <f>"Travis"</f>
        <v>Travis</v>
      </c>
    </row>
    <row r="1448" spans="1:8" x14ac:dyDescent="0.25">
      <c r="E1448" t="str">
        <f>""</f>
        <v/>
      </c>
      <c r="F1448" t="str">
        <f>""</f>
        <v/>
      </c>
      <c r="H1448" t="str">
        <f>"Norman"</f>
        <v>Norman</v>
      </c>
    </row>
    <row r="1449" spans="1:8" x14ac:dyDescent="0.25">
      <c r="E1449" t="str">
        <f>""</f>
        <v/>
      </c>
      <c r="F1449" t="str">
        <f>""</f>
        <v/>
      </c>
      <c r="H1449" t="str">
        <f>"Shawn"</f>
        <v>Shawn</v>
      </c>
    </row>
    <row r="1450" spans="1:8" x14ac:dyDescent="0.25">
      <c r="E1450" t="str">
        <f>""</f>
        <v/>
      </c>
      <c r="F1450" t="str">
        <f>""</f>
        <v/>
      </c>
      <c r="H1450" t="str">
        <f>"Carolyn"</f>
        <v>Carolyn</v>
      </c>
    </row>
    <row r="1451" spans="1:8" x14ac:dyDescent="0.25">
      <c r="E1451" t="str">
        <f>""</f>
        <v/>
      </c>
      <c r="F1451" t="str">
        <f>""</f>
        <v/>
      </c>
      <c r="H1451" t="str">
        <f>"Sign Shop"</f>
        <v>Sign Shop</v>
      </c>
    </row>
    <row r="1452" spans="1:8" x14ac:dyDescent="0.25">
      <c r="E1452" t="str">
        <f>""</f>
        <v/>
      </c>
      <c r="F1452" t="str">
        <f>""</f>
        <v/>
      </c>
      <c r="H1452" t="str">
        <f>"Tag# 7193"</f>
        <v>Tag# 7193</v>
      </c>
    </row>
    <row r="1453" spans="1:8" x14ac:dyDescent="0.25">
      <c r="E1453" t="str">
        <f>""</f>
        <v/>
      </c>
      <c r="F1453" t="str">
        <f>""</f>
        <v/>
      </c>
      <c r="H1453" t="str">
        <f>"Tag#7414"</f>
        <v>Tag#7414</v>
      </c>
    </row>
    <row r="1454" spans="1:8" x14ac:dyDescent="0.25">
      <c r="E1454" t="str">
        <f>""</f>
        <v/>
      </c>
      <c r="F1454" t="str">
        <f>""</f>
        <v/>
      </c>
      <c r="H1454" t="str">
        <f>"Tag# 8427"</f>
        <v>Tag# 8427</v>
      </c>
    </row>
    <row r="1455" spans="1:8" x14ac:dyDescent="0.25">
      <c r="E1455" t="str">
        <f>""</f>
        <v/>
      </c>
      <c r="F1455" t="str">
        <f>""</f>
        <v/>
      </c>
      <c r="H1455" t="str">
        <f>"Tag 8428"</f>
        <v>Tag 8428</v>
      </c>
    </row>
    <row r="1456" spans="1:8" x14ac:dyDescent="0.25">
      <c r="E1456" t="str">
        <f>""</f>
        <v/>
      </c>
      <c r="F1456" t="str">
        <f>""</f>
        <v/>
      </c>
      <c r="H1456" t="str">
        <f>"Tag# 10009"</f>
        <v>Tag# 10009</v>
      </c>
    </row>
    <row r="1457" spans="1:9" x14ac:dyDescent="0.25">
      <c r="E1457" t="str">
        <f>""</f>
        <v/>
      </c>
      <c r="F1457" t="str">
        <f>""</f>
        <v/>
      </c>
      <c r="H1457" t="str">
        <f>"Victor G."</f>
        <v>Victor G.</v>
      </c>
    </row>
    <row r="1458" spans="1:9" x14ac:dyDescent="0.25">
      <c r="E1458" t="str">
        <f>""</f>
        <v/>
      </c>
      <c r="F1458" t="str">
        <f>""</f>
        <v/>
      </c>
      <c r="H1458" t="str">
        <f>"Cleo H"</f>
        <v>Cleo H</v>
      </c>
    </row>
    <row r="1459" spans="1:9" x14ac:dyDescent="0.25">
      <c r="E1459" t="str">
        <f>""</f>
        <v/>
      </c>
      <c r="F1459" t="str">
        <f>""</f>
        <v/>
      </c>
      <c r="H1459" t="str">
        <f>"Karel Z"</f>
        <v>Karel Z</v>
      </c>
    </row>
    <row r="1460" spans="1:9" x14ac:dyDescent="0.25">
      <c r="E1460" t="str">
        <f>""</f>
        <v/>
      </c>
      <c r="F1460" t="str">
        <f>""</f>
        <v/>
      </c>
      <c r="H1460" t="str">
        <f>"Spare"</f>
        <v>Spare</v>
      </c>
    </row>
    <row r="1461" spans="1:9" x14ac:dyDescent="0.25">
      <c r="E1461" t="str">
        <f>""</f>
        <v/>
      </c>
      <c r="F1461" t="str">
        <f>""</f>
        <v/>
      </c>
      <c r="H1461" t="str">
        <f>"Eduardo G."</f>
        <v>Eduardo G.</v>
      </c>
    </row>
    <row r="1462" spans="1:9" x14ac:dyDescent="0.25">
      <c r="E1462" t="str">
        <f>""</f>
        <v/>
      </c>
      <c r="F1462" t="str">
        <f>""</f>
        <v/>
      </c>
      <c r="H1462" t="str">
        <f>"Kevin B."</f>
        <v>Kevin B.</v>
      </c>
    </row>
    <row r="1463" spans="1:9" x14ac:dyDescent="0.25">
      <c r="E1463" t="str">
        <f>""</f>
        <v/>
      </c>
      <c r="F1463" t="str">
        <f>""</f>
        <v/>
      </c>
      <c r="H1463" t="str">
        <f>"Rachel B."</f>
        <v>Rachel B.</v>
      </c>
    </row>
    <row r="1464" spans="1:9" x14ac:dyDescent="0.25">
      <c r="E1464" t="str">
        <f>""</f>
        <v/>
      </c>
      <c r="F1464" t="str">
        <f>""</f>
        <v/>
      </c>
      <c r="H1464" t="str">
        <f>"Johnny"</f>
        <v>Johnny</v>
      </c>
    </row>
    <row r="1465" spans="1:9" x14ac:dyDescent="0.25">
      <c r="A1465" t="s">
        <v>501</v>
      </c>
      <c r="B1465">
        <v>999999</v>
      </c>
      <c r="C1465" s="3">
        <v>2861.61</v>
      </c>
      <c r="D1465" s="1">
        <v>43354</v>
      </c>
      <c r="E1465" t="str">
        <f>"325419"</f>
        <v>325419</v>
      </c>
      <c r="F1465" t="str">
        <f>"Inv# 325419"</f>
        <v>Inv# 325419</v>
      </c>
      <c r="G1465" s="2">
        <v>280</v>
      </c>
      <c r="H1465" t="str">
        <f>"Inv# 325419"</f>
        <v>Inv# 325419</v>
      </c>
    </row>
    <row r="1466" spans="1:9" x14ac:dyDescent="0.25">
      <c r="E1466" t="str">
        <f>"329218"</f>
        <v>329218</v>
      </c>
      <c r="F1466" t="str">
        <f>"Sign Materials"</f>
        <v>Sign Materials</v>
      </c>
      <c r="G1466" s="2">
        <v>2581.61</v>
      </c>
      <c r="H1466" t="str">
        <f>"9X18"</f>
        <v>9X18</v>
      </c>
    </row>
    <row r="1467" spans="1:9" x14ac:dyDescent="0.25">
      <c r="E1467" t="str">
        <f>""</f>
        <v/>
      </c>
      <c r="F1467" t="str">
        <f>""</f>
        <v/>
      </c>
      <c r="H1467" t="str">
        <f>"9X24"</f>
        <v>9X24</v>
      </c>
    </row>
    <row r="1468" spans="1:9" x14ac:dyDescent="0.25">
      <c r="E1468" t="str">
        <f>""</f>
        <v/>
      </c>
      <c r="F1468" t="str">
        <f>""</f>
        <v/>
      </c>
      <c r="H1468" t="str">
        <f>"10X2"</f>
        <v>10X2</v>
      </c>
    </row>
    <row r="1469" spans="1:9" x14ac:dyDescent="0.25">
      <c r="E1469" t="str">
        <f>""</f>
        <v/>
      </c>
      <c r="F1469" t="str">
        <f>""</f>
        <v/>
      </c>
      <c r="H1469" t="str">
        <f>"24X50"</f>
        <v>24X50</v>
      </c>
    </row>
    <row r="1470" spans="1:9" x14ac:dyDescent="0.25">
      <c r="A1470" t="s">
        <v>501</v>
      </c>
      <c r="B1470">
        <v>999999</v>
      </c>
      <c r="C1470" s="3">
        <v>238.1</v>
      </c>
      <c r="D1470" s="1">
        <v>43368</v>
      </c>
      <c r="E1470" t="str">
        <f>"329786"</f>
        <v>329786</v>
      </c>
      <c r="F1470" t="str">
        <f>"Oil Signs"</f>
        <v>Oil Signs</v>
      </c>
      <c r="G1470" s="2">
        <v>238.1</v>
      </c>
      <c r="H1470" t="str">
        <f>"Oil Signs"</f>
        <v>Oil Signs</v>
      </c>
    </row>
    <row r="1471" spans="1:9" x14ac:dyDescent="0.25">
      <c r="A1471" t="s">
        <v>502</v>
      </c>
      <c r="B1471">
        <v>78839</v>
      </c>
      <c r="C1471" s="3">
        <v>116.83</v>
      </c>
      <c r="D1471" s="1">
        <v>43367</v>
      </c>
      <c r="E1471" t="str">
        <f>"0818-DR14926"</f>
        <v>0818-DR14926</v>
      </c>
      <c r="F1471" t="str">
        <f>"CLIENT ID:CXD 14926"</f>
        <v>CLIENT ID:CXD 14926</v>
      </c>
      <c r="G1471" s="2">
        <v>116.83</v>
      </c>
      <c r="H1471" t="str">
        <f>"CLIENT ID:CXD 14926"</f>
        <v>CLIENT ID:CXD 14926</v>
      </c>
    </row>
    <row r="1472" spans="1:9" x14ac:dyDescent="0.25">
      <c r="A1472" t="s">
        <v>503</v>
      </c>
      <c r="B1472">
        <v>78654</v>
      </c>
      <c r="C1472" s="3">
        <v>20</v>
      </c>
      <c r="D1472" s="1">
        <v>43353</v>
      </c>
      <c r="E1472" t="s">
        <v>504</v>
      </c>
      <c r="F1472" t="s">
        <v>505</v>
      </c>
      <c r="G1472" s="2" t="str">
        <f>"RESTITUTION-A. VILLEGAS"</f>
        <v>RESTITUTION-A. VILLEGAS</v>
      </c>
      <c r="H1472" t="str">
        <f>"210-0000"</f>
        <v>210-0000</v>
      </c>
      <c r="I1472" t="str">
        <f>""</f>
        <v/>
      </c>
    </row>
    <row r="1473" spans="1:8" x14ac:dyDescent="0.25">
      <c r="A1473" t="s">
        <v>506</v>
      </c>
      <c r="B1473">
        <v>999999</v>
      </c>
      <c r="C1473" s="3">
        <v>2579.9299999999998</v>
      </c>
      <c r="D1473" s="1">
        <v>43354</v>
      </c>
      <c r="E1473" t="str">
        <f>"15320"</f>
        <v>15320</v>
      </c>
      <c r="F1473" t="str">
        <f>"COLD MIX/FREIGHT/PCT#4"</f>
        <v>COLD MIX/FREIGHT/PCT#4</v>
      </c>
      <c r="G1473" s="2">
        <v>2579.9299999999998</v>
      </c>
      <c r="H1473" t="str">
        <f>"COLD MIX/FREIGHT/PCT#4"</f>
        <v>COLD MIX/FREIGHT/PCT#4</v>
      </c>
    </row>
    <row r="1474" spans="1:8" x14ac:dyDescent="0.25">
      <c r="A1474" t="s">
        <v>506</v>
      </c>
      <c r="B1474">
        <v>999999</v>
      </c>
      <c r="C1474" s="3">
        <v>5389.35</v>
      </c>
      <c r="D1474" s="1">
        <v>43368</v>
      </c>
      <c r="E1474" t="str">
        <f>"15395"</f>
        <v>15395</v>
      </c>
      <c r="F1474" t="str">
        <f>"COLD MIX/FREIGHT/PCT#4"</f>
        <v>COLD MIX/FREIGHT/PCT#4</v>
      </c>
      <c r="G1474" s="2">
        <v>2570.6999999999998</v>
      </c>
      <c r="H1474" t="str">
        <f>"COLD MIX/FREIGHT/PCT#4"</f>
        <v>COLD MIX/FREIGHT/PCT#4</v>
      </c>
    </row>
    <row r="1475" spans="1:8" x14ac:dyDescent="0.25">
      <c r="E1475" t="str">
        <f>"15447"</f>
        <v>15447</v>
      </c>
      <c r="F1475" t="str">
        <f>"COLD MIX/FREIGHT/PCT#3"</f>
        <v>COLD MIX/FREIGHT/PCT#3</v>
      </c>
      <c r="G1475" s="2">
        <v>2818.65</v>
      </c>
      <c r="H1475" t="str">
        <f>"COLD MIX/FREIGHT/PCT#3"</f>
        <v>COLD MIX/FREIGHT/PCT#3</v>
      </c>
    </row>
    <row r="1476" spans="1:8" x14ac:dyDescent="0.25">
      <c r="A1476" t="s">
        <v>507</v>
      </c>
      <c r="B1476">
        <v>78655</v>
      </c>
      <c r="C1476" s="3">
        <v>911.36</v>
      </c>
      <c r="D1476" s="1">
        <v>43353</v>
      </c>
      <c r="E1476" t="str">
        <f>"201809043288"</f>
        <v>201809043288</v>
      </c>
      <c r="F1476" t="str">
        <f>"Acct# 6032202005312476"</f>
        <v>Acct# 6032202005312476</v>
      </c>
      <c r="G1476" s="2">
        <v>911.36</v>
      </c>
      <c r="H1476" t="str">
        <f>"Inv# 001633"</f>
        <v>Inv# 001633</v>
      </c>
    </row>
    <row r="1477" spans="1:8" x14ac:dyDescent="0.25">
      <c r="E1477" t="str">
        <f>""</f>
        <v/>
      </c>
      <c r="F1477" t="str">
        <f>""</f>
        <v/>
      </c>
      <c r="H1477" t="str">
        <f>"Inv# 009575"</f>
        <v>Inv# 009575</v>
      </c>
    </row>
    <row r="1478" spans="1:8" x14ac:dyDescent="0.25">
      <c r="E1478" t="str">
        <f>""</f>
        <v/>
      </c>
      <c r="F1478" t="str">
        <f>""</f>
        <v/>
      </c>
      <c r="H1478" t="str">
        <f>"Inv# 007474"</f>
        <v>Inv# 007474</v>
      </c>
    </row>
    <row r="1479" spans="1:8" x14ac:dyDescent="0.25">
      <c r="E1479" t="str">
        <f>""</f>
        <v/>
      </c>
      <c r="F1479" t="str">
        <f>""</f>
        <v/>
      </c>
      <c r="H1479" t="str">
        <f>"Inv# 008457"</f>
        <v>Inv# 008457</v>
      </c>
    </row>
    <row r="1480" spans="1:8" x14ac:dyDescent="0.25">
      <c r="E1480" t="str">
        <f>""</f>
        <v/>
      </c>
      <c r="F1480" t="str">
        <f>""</f>
        <v/>
      </c>
      <c r="H1480" t="str">
        <f>"Inv# 004610"</f>
        <v>Inv# 004610</v>
      </c>
    </row>
    <row r="1481" spans="1:8" x14ac:dyDescent="0.25">
      <c r="E1481" t="str">
        <f>""</f>
        <v/>
      </c>
      <c r="F1481" t="str">
        <f>""</f>
        <v/>
      </c>
      <c r="H1481" t="str">
        <f>"Inv# 001581"</f>
        <v>Inv# 001581</v>
      </c>
    </row>
    <row r="1482" spans="1:8" x14ac:dyDescent="0.25">
      <c r="E1482" t="str">
        <f>""</f>
        <v/>
      </c>
      <c r="F1482" t="str">
        <f>""</f>
        <v/>
      </c>
      <c r="H1482" t="str">
        <f>"Inv# 003757"</f>
        <v>Inv# 003757</v>
      </c>
    </row>
    <row r="1483" spans="1:8" x14ac:dyDescent="0.25">
      <c r="E1483" t="str">
        <f>""</f>
        <v/>
      </c>
      <c r="F1483" t="str">
        <f>""</f>
        <v/>
      </c>
      <c r="H1483" t="str">
        <f>"Inv# 005746"</f>
        <v>Inv# 005746</v>
      </c>
    </row>
    <row r="1484" spans="1:8" x14ac:dyDescent="0.25">
      <c r="E1484" t="str">
        <f>""</f>
        <v/>
      </c>
      <c r="F1484" t="str">
        <f>""</f>
        <v/>
      </c>
      <c r="H1484" t="str">
        <f>"Inv# 009016"</f>
        <v>Inv# 009016</v>
      </c>
    </row>
    <row r="1485" spans="1:8" x14ac:dyDescent="0.25">
      <c r="E1485" t="str">
        <f>""</f>
        <v/>
      </c>
      <c r="F1485" t="str">
        <f>""</f>
        <v/>
      </c>
      <c r="H1485" t="str">
        <f>"Inv# 003748"</f>
        <v>Inv# 003748</v>
      </c>
    </row>
    <row r="1486" spans="1:8" x14ac:dyDescent="0.25">
      <c r="E1486" t="str">
        <f>""</f>
        <v/>
      </c>
      <c r="F1486" t="str">
        <f>""</f>
        <v/>
      </c>
      <c r="H1486" t="str">
        <f>"Inv# 009345"</f>
        <v>Inv# 009345</v>
      </c>
    </row>
    <row r="1487" spans="1:8" x14ac:dyDescent="0.25">
      <c r="E1487" t="str">
        <f>""</f>
        <v/>
      </c>
      <c r="F1487" t="str">
        <f>""</f>
        <v/>
      </c>
      <c r="H1487" t="str">
        <f>"Inv# 007785"</f>
        <v>Inv# 007785</v>
      </c>
    </row>
    <row r="1488" spans="1:8" x14ac:dyDescent="0.25">
      <c r="E1488" t="str">
        <f>""</f>
        <v/>
      </c>
      <c r="F1488" t="str">
        <f>""</f>
        <v/>
      </c>
      <c r="H1488" t="str">
        <f>"Inv# 007342"</f>
        <v>Inv# 007342</v>
      </c>
    </row>
    <row r="1489" spans="1:8" x14ac:dyDescent="0.25">
      <c r="E1489" t="str">
        <f>""</f>
        <v/>
      </c>
      <c r="F1489" t="str">
        <f>""</f>
        <v/>
      </c>
      <c r="H1489" t="str">
        <f>"Inv# 001444"</f>
        <v>Inv# 001444</v>
      </c>
    </row>
    <row r="1490" spans="1:8" x14ac:dyDescent="0.25">
      <c r="E1490" t="str">
        <f>""</f>
        <v/>
      </c>
      <c r="F1490" t="str">
        <f>""</f>
        <v/>
      </c>
      <c r="H1490" t="str">
        <f>"Inv# 008207"</f>
        <v>Inv# 008207</v>
      </c>
    </row>
    <row r="1491" spans="1:8" x14ac:dyDescent="0.25">
      <c r="E1491" t="str">
        <f>""</f>
        <v/>
      </c>
      <c r="F1491" t="str">
        <f>""</f>
        <v/>
      </c>
      <c r="H1491" t="str">
        <f>"Inv# 002053"</f>
        <v>Inv# 002053</v>
      </c>
    </row>
    <row r="1492" spans="1:8" x14ac:dyDescent="0.25">
      <c r="A1492" t="s">
        <v>508</v>
      </c>
      <c r="B1492">
        <v>78840</v>
      </c>
      <c r="C1492" s="3">
        <v>108.44</v>
      </c>
      <c r="D1492" s="1">
        <v>43367</v>
      </c>
      <c r="E1492" t="str">
        <f>"0037022-2162-7"</f>
        <v>0037022-2162-7</v>
      </c>
      <c r="F1492" t="str">
        <f>"CUST ID:16-27603-83003"</f>
        <v>CUST ID:16-27603-83003</v>
      </c>
      <c r="G1492" s="2">
        <v>108.44</v>
      </c>
      <c r="H1492" t="str">
        <f>"CUST ID:16-27603-83003"</f>
        <v>CUST ID:16-27603-83003</v>
      </c>
    </row>
    <row r="1493" spans="1:8" x14ac:dyDescent="0.25">
      <c r="A1493" t="s">
        <v>509</v>
      </c>
      <c r="B1493">
        <v>78487</v>
      </c>
      <c r="C1493" s="3">
        <v>24565.56</v>
      </c>
      <c r="D1493" s="1">
        <v>43350</v>
      </c>
      <c r="E1493" t="str">
        <f>"1702015371"</f>
        <v>1702015371</v>
      </c>
      <c r="F1493" t="str">
        <f>"ACCT#5151-005117630/08312018"</f>
        <v>ACCT#5151-005117630/08312018</v>
      </c>
      <c r="G1493" s="2">
        <v>107.59</v>
      </c>
      <c r="H1493" t="str">
        <f>"ACCT#5151-005117630/08312018"</f>
        <v>ACCT#5151-005117630/08312018</v>
      </c>
    </row>
    <row r="1494" spans="1:8" x14ac:dyDescent="0.25">
      <c r="E1494" t="str">
        <f>"1702015372"</f>
        <v>1702015372</v>
      </c>
      <c r="F1494" t="str">
        <f>"ACCT#5151*005117766/08312018"</f>
        <v>ACCT#5151*005117766/08312018</v>
      </c>
      <c r="G1494" s="2">
        <v>104.64</v>
      </c>
      <c r="H1494" t="str">
        <f>"ACCT#5151*005117766/08312018"</f>
        <v>ACCT#5151*005117766/08312018</v>
      </c>
    </row>
    <row r="1495" spans="1:8" x14ac:dyDescent="0.25">
      <c r="E1495" t="str">
        <f>"1702015373"</f>
        <v>1702015373</v>
      </c>
      <c r="F1495" t="str">
        <f>"ACCT#5151-005117838/08312018"</f>
        <v>ACCT#5151-005117838/08312018</v>
      </c>
      <c r="G1495" s="2">
        <v>96.85</v>
      </c>
      <c r="H1495" t="str">
        <f>"ACCT#5151-005117838/08312018"</f>
        <v>ACCT#5151-005117838/08312018</v>
      </c>
    </row>
    <row r="1496" spans="1:8" x14ac:dyDescent="0.25">
      <c r="E1496" t="str">
        <f>"1702015375"</f>
        <v>1702015375</v>
      </c>
      <c r="F1496" t="str">
        <f>"ACCT#5151-005117882/08312018"</f>
        <v>ACCT#5151-005117882/08312018</v>
      </c>
      <c r="G1496" s="2">
        <v>261.56</v>
      </c>
      <c r="H1496" t="str">
        <f>"ACCT#5151-005117882/08312018"</f>
        <v>ACCT#5151-005117882/08312018</v>
      </c>
    </row>
    <row r="1497" spans="1:8" x14ac:dyDescent="0.25">
      <c r="E1497" t="str">
        <f>"1702015377"</f>
        <v>1702015377</v>
      </c>
      <c r="F1497" t="str">
        <f>"ACCT#5151-005118183/08312018"</f>
        <v>ACCT#5151-005118183/08312018</v>
      </c>
      <c r="G1497" s="2">
        <v>561.41999999999996</v>
      </c>
      <c r="H1497" t="str">
        <f>"ACCT#5151-005118183/08312018"</f>
        <v>ACCT#5151-005118183/08312018</v>
      </c>
    </row>
    <row r="1498" spans="1:8" x14ac:dyDescent="0.25">
      <c r="E1498" t="str">
        <f>"1702015389"</f>
        <v>1702015389</v>
      </c>
      <c r="F1498" t="str">
        <f>"ACCT#5150-005129483/08312018"</f>
        <v>ACCT#5150-005129483/08312018</v>
      </c>
      <c r="G1498" s="2">
        <v>23433.5</v>
      </c>
      <c r="H1498" t="str">
        <f>"ACCT#5150-005129483/08312018"</f>
        <v>ACCT#5150-005129483/08312018</v>
      </c>
    </row>
    <row r="1499" spans="1:8" x14ac:dyDescent="0.25">
      <c r="A1499" t="s">
        <v>510</v>
      </c>
      <c r="B1499">
        <v>78656</v>
      </c>
      <c r="C1499" s="3">
        <v>3259.65</v>
      </c>
      <c r="D1499" s="1">
        <v>43353</v>
      </c>
      <c r="E1499" t="str">
        <f>"278816"</f>
        <v>278816</v>
      </c>
      <c r="F1499" t="str">
        <f>"REACHLIFT/GEN SVCS"</f>
        <v>REACHLIFT/GEN SVCS</v>
      </c>
      <c r="G1499" s="2">
        <v>3259.65</v>
      </c>
      <c r="H1499" t="str">
        <f>"REACHLIFT/GEN SVCS"</f>
        <v>REACHLIFT/GEN SVCS</v>
      </c>
    </row>
    <row r="1500" spans="1:8" x14ac:dyDescent="0.25">
      <c r="A1500" t="s">
        <v>511</v>
      </c>
      <c r="B1500">
        <v>999999</v>
      </c>
      <c r="C1500" s="3">
        <v>12500</v>
      </c>
      <c r="D1500" s="1">
        <v>43368</v>
      </c>
      <c r="E1500" t="str">
        <f>"201809113687"</f>
        <v>201809113687</v>
      </c>
      <c r="F1500" t="str">
        <f>"MEDICAL CONTRACT"</f>
        <v>MEDICAL CONTRACT</v>
      </c>
      <c r="G1500" s="2">
        <v>12500</v>
      </c>
      <c r="H1500" t="str">
        <f>"MEDICAL CONTRACT"</f>
        <v>MEDICAL CONTRACT</v>
      </c>
    </row>
    <row r="1501" spans="1:8" x14ac:dyDescent="0.25">
      <c r="A1501" t="s">
        <v>512</v>
      </c>
      <c r="B1501">
        <v>78657</v>
      </c>
      <c r="C1501" s="3">
        <v>25</v>
      </c>
      <c r="D1501" s="1">
        <v>43353</v>
      </c>
      <c r="E1501" t="str">
        <f>"201808313197"</f>
        <v>201808313197</v>
      </c>
      <c r="F1501" t="str">
        <f>"REFUND FOR DW PERMIT FEE"</f>
        <v>REFUND FOR DW PERMIT FEE</v>
      </c>
      <c r="G1501" s="2">
        <v>25</v>
      </c>
      <c r="H1501" t="str">
        <f>"REFUND FOR DW PERMIT FEE"</f>
        <v>REFUND FOR DW PERMIT FEE</v>
      </c>
    </row>
    <row r="1502" spans="1:8" x14ac:dyDescent="0.25">
      <c r="A1502" t="s">
        <v>513</v>
      </c>
      <c r="B1502">
        <v>999999</v>
      </c>
      <c r="C1502" s="3">
        <v>6809.71</v>
      </c>
      <c r="D1502" s="1">
        <v>43368</v>
      </c>
      <c r="E1502" t="str">
        <f>"20895"</f>
        <v>20895</v>
      </c>
      <c r="F1502" t="str">
        <f>"INV 20895"</f>
        <v>INV 20895</v>
      </c>
      <c r="G1502" s="2">
        <v>6809.71</v>
      </c>
      <c r="H1502" t="str">
        <f>"INV 20895"</f>
        <v>INV 20895</v>
      </c>
    </row>
    <row r="1503" spans="1:8" x14ac:dyDescent="0.25">
      <c r="A1503" t="s">
        <v>514</v>
      </c>
      <c r="B1503">
        <v>78841</v>
      </c>
      <c r="C1503" s="3">
        <v>338.69</v>
      </c>
      <c r="D1503" s="1">
        <v>43367</v>
      </c>
      <c r="E1503" t="str">
        <f>"094377775"</f>
        <v>094377775</v>
      </c>
      <c r="F1503" t="str">
        <f>"CUST#662445931/REF#VTX0000X-00"</f>
        <v>CUST#662445931/REF#VTX0000X-00</v>
      </c>
      <c r="G1503" s="2">
        <v>143.86000000000001</v>
      </c>
      <c r="H1503" t="str">
        <f>"CUST#662445931/REF#VTX0000X-00"</f>
        <v>CUST#662445931/REF#VTX0000X-00</v>
      </c>
    </row>
    <row r="1504" spans="1:8" x14ac:dyDescent="0.25">
      <c r="E1504" t="str">
        <f>"094377777"</f>
        <v>094377777</v>
      </c>
      <c r="F1504" t="str">
        <f>"CUST#662445931/REF#VTX00000X-0"</f>
        <v>CUST#662445931/REF#VTX00000X-0</v>
      </c>
      <c r="G1504" s="2">
        <v>98.63</v>
      </c>
      <c r="H1504" t="str">
        <f>"CUST#662445931/REF#VTX00000X-0"</f>
        <v>CUST#662445931/REF#VTX00000X-0</v>
      </c>
    </row>
    <row r="1505" spans="1:8" x14ac:dyDescent="0.25">
      <c r="E1505" t="str">
        <f>"094377792"</f>
        <v>094377792</v>
      </c>
      <c r="F1505" t="str">
        <f>"CUST#723230843/REF#VTX0000X-00"</f>
        <v>CUST#723230843/REF#VTX0000X-00</v>
      </c>
      <c r="G1505" s="2">
        <v>96.2</v>
      </c>
      <c r="H1505" t="str">
        <f>"CUST#723230843/VTX0000X-0000"</f>
        <v>CUST#723230843/VTX0000X-0000</v>
      </c>
    </row>
    <row r="1506" spans="1:8" x14ac:dyDescent="0.25">
      <c r="A1506" t="s">
        <v>515</v>
      </c>
      <c r="B1506">
        <v>78658</v>
      </c>
      <c r="C1506" s="3">
        <v>1973.2</v>
      </c>
      <c r="D1506" s="1">
        <v>43353</v>
      </c>
      <c r="E1506" t="str">
        <f>"0013467"</f>
        <v>0013467</v>
      </c>
      <c r="F1506" t="str">
        <f>"TRANSLATION SVCS/MILEAGE"</f>
        <v>TRANSLATION SVCS/MILEAGE</v>
      </c>
      <c r="G1506" s="2">
        <v>447.64</v>
      </c>
      <c r="H1506" t="str">
        <f>"INTERPRETATION SVCS/MILEAGE"</f>
        <v>INTERPRETATION SVCS/MILEAGE</v>
      </c>
    </row>
    <row r="1507" spans="1:8" x14ac:dyDescent="0.25">
      <c r="E1507" t="str">
        <f>"0013470"</f>
        <v>0013470</v>
      </c>
      <c r="F1507" t="str">
        <f>"TRANSLATION SVCS/MILEAGE REIMB"</f>
        <v>TRANSLATION SVCS/MILEAGE REIMB</v>
      </c>
      <c r="G1507" s="2">
        <v>437.64</v>
      </c>
      <c r="H1507" t="str">
        <f>"TRANSLATION SVCS/MILEAGE REIMB"</f>
        <v>TRANSLATION SVCS/MILEAGE REIMB</v>
      </c>
    </row>
    <row r="1508" spans="1:8" x14ac:dyDescent="0.25">
      <c r="E1508" t="str">
        <f>"0013473"</f>
        <v>0013473</v>
      </c>
      <c r="F1508" t="str">
        <f>"423-5672"</f>
        <v>423-5672</v>
      </c>
      <c r="G1508" s="2">
        <v>362.64</v>
      </c>
      <c r="H1508" t="str">
        <f>"423-5672"</f>
        <v>423-5672</v>
      </c>
    </row>
    <row r="1509" spans="1:8" x14ac:dyDescent="0.25">
      <c r="E1509" t="str">
        <f>"0013474"</f>
        <v>0013474</v>
      </c>
      <c r="F1509" t="str">
        <f>"TRANSLATION SVCS/MILEAGE"</f>
        <v>TRANSLATION SVCS/MILEAGE</v>
      </c>
      <c r="G1509" s="2">
        <v>725.28</v>
      </c>
      <c r="H1509" t="str">
        <f>"TRANSLATION SVCS/MILEAGE"</f>
        <v>TRANSLATION SVCS/MILEAGE</v>
      </c>
    </row>
    <row r="1510" spans="1:8" x14ac:dyDescent="0.25">
      <c r="A1510" t="s">
        <v>516</v>
      </c>
      <c r="B1510">
        <v>78842</v>
      </c>
      <c r="C1510" s="3">
        <v>113.49</v>
      </c>
      <c r="D1510" s="1">
        <v>43367</v>
      </c>
      <c r="E1510" t="str">
        <f>"201809193881"</f>
        <v>201809193881</v>
      </c>
      <c r="F1510" t="str">
        <f>"INDIGENT HEALTH"</f>
        <v>INDIGENT HEALTH</v>
      </c>
      <c r="G1510" s="2">
        <v>113.49</v>
      </c>
      <c r="H1510" t="str">
        <f>"INDIGENT HEALTH"</f>
        <v>INDIGENT HEALTH</v>
      </c>
    </row>
    <row r="1511" spans="1:8" x14ac:dyDescent="0.25">
      <c r="A1511" t="s">
        <v>517</v>
      </c>
      <c r="B1511">
        <v>78843</v>
      </c>
      <c r="C1511" s="3">
        <v>74.81</v>
      </c>
      <c r="D1511" s="1">
        <v>43367</v>
      </c>
      <c r="E1511" t="str">
        <f>"9006563375"</f>
        <v>9006563375</v>
      </c>
      <c r="F1511" t="str">
        <f>"CUST#2000053103/ANIMAL SVCS"</f>
        <v>CUST#2000053103/ANIMAL SVCS</v>
      </c>
      <c r="G1511" s="2">
        <v>74.81</v>
      </c>
      <c r="H1511" t="str">
        <f>"CUST#2000053103/ANIMAL SVCS"</f>
        <v>CUST#2000053103/ANIMAL SVCS</v>
      </c>
    </row>
    <row r="1512" spans="1:8" x14ac:dyDescent="0.25">
      <c r="A1512" t="s">
        <v>518</v>
      </c>
      <c r="B1512">
        <v>78659</v>
      </c>
      <c r="C1512" s="3">
        <v>1439.21</v>
      </c>
      <c r="D1512" s="1">
        <v>43353</v>
      </c>
      <c r="E1512" t="str">
        <f>"INV4905169"</f>
        <v>INV4905169</v>
      </c>
      <c r="F1512" t="str">
        <f>"A/C for 563 freezer room"</f>
        <v>A/C for 563 freezer room</v>
      </c>
      <c r="G1512" s="2">
        <v>1439.21</v>
      </c>
      <c r="H1512" t="str">
        <f>"Zoro# G3109377"</f>
        <v>Zoro# G3109377</v>
      </c>
    </row>
    <row r="1513" spans="1:8" x14ac:dyDescent="0.25">
      <c r="E1513" t="str">
        <f>""</f>
        <v/>
      </c>
      <c r="F1513" t="str">
        <f>""</f>
        <v/>
      </c>
      <c r="H1513" t="str">
        <f>"PROMO Coupon"</f>
        <v>PROMO Coupon</v>
      </c>
    </row>
    <row r="1514" spans="1:8" x14ac:dyDescent="0.25">
      <c r="A1514" t="s">
        <v>519</v>
      </c>
      <c r="B1514">
        <v>78660</v>
      </c>
      <c r="C1514" s="3">
        <v>14285.45</v>
      </c>
      <c r="D1514" s="1">
        <v>43353</v>
      </c>
      <c r="E1514" t="str">
        <f>"9725-004-102440"</f>
        <v>9725-004-102440</v>
      </c>
      <c r="F1514" t="str">
        <f t="shared" ref="F1514:F1519" si="11">"ACCT#9725-004/REC BASE/PCT#1"</f>
        <v>ACCT#9725-004/REC BASE/PCT#1</v>
      </c>
      <c r="G1514" s="2">
        <v>3186.09</v>
      </c>
      <c r="H1514" t="str">
        <f t="shared" ref="H1514:H1519" si="12">"ACCT#9725-004/REC BASE/PCT#1"</f>
        <v>ACCT#9725-004/REC BASE/PCT#1</v>
      </c>
    </row>
    <row r="1515" spans="1:8" x14ac:dyDescent="0.25">
      <c r="E1515" t="str">
        <f>"9725-004-102481"</f>
        <v>9725-004-102481</v>
      </c>
      <c r="F1515" t="str">
        <f t="shared" si="11"/>
        <v>ACCT#9725-004/REC BASE/PCT#1</v>
      </c>
      <c r="G1515" s="2">
        <v>1619.93</v>
      </c>
      <c r="H1515" t="str">
        <f t="shared" si="12"/>
        <v>ACCT#9725-004/REC BASE/PCT#1</v>
      </c>
    </row>
    <row r="1516" spans="1:8" x14ac:dyDescent="0.25">
      <c r="E1516" t="str">
        <f>"9725-004-102585"</f>
        <v>9725-004-102585</v>
      </c>
      <c r="F1516" t="str">
        <f t="shared" si="11"/>
        <v>ACCT#9725-004/REC BASE/PCT#1</v>
      </c>
      <c r="G1516" s="2">
        <v>3257.13</v>
      </c>
      <c r="H1516" t="str">
        <f t="shared" si="12"/>
        <v>ACCT#9725-004/REC BASE/PCT#1</v>
      </c>
    </row>
    <row r="1517" spans="1:8" x14ac:dyDescent="0.25">
      <c r="E1517" t="str">
        <f>"9725-004-102614"</f>
        <v>9725-004-102614</v>
      </c>
      <c r="F1517" t="str">
        <f t="shared" si="11"/>
        <v>ACCT#9725-004/REC BASE/PCT#1</v>
      </c>
      <c r="G1517" s="2">
        <v>3221.52</v>
      </c>
      <c r="H1517" t="str">
        <f t="shared" si="12"/>
        <v>ACCT#9725-004/REC BASE/PCT#1</v>
      </c>
    </row>
    <row r="1518" spans="1:8" x14ac:dyDescent="0.25">
      <c r="E1518" t="str">
        <f>"9725-004-102641"</f>
        <v>9725-004-102641</v>
      </c>
      <c r="F1518" t="str">
        <f t="shared" si="11"/>
        <v>ACCT#9725-004/REC BASE/PCT#1</v>
      </c>
      <c r="G1518" s="2">
        <v>1336.6</v>
      </c>
      <c r="H1518" t="str">
        <f t="shared" si="12"/>
        <v>ACCT#9725-004/REC BASE/PCT#1</v>
      </c>
    </row>
    <row r="1519" spans="1:8" x14ac:dyDescent="0.25">
      <c r="E1519" t="str">
        <f>"9725-004-10548"</f>
        <v>9725-004-10548</v>
      </c>
      <c r="F1519" t="str">
        <f t="shared" si="11"/>
        <v>ACCT#9725-004/REC BASE/PCT#1</v>
      </c>
      <c r="G1519" s="2">
        <v>1664.18</v>
      </c>
      <c r="H1519" t="str">
        <f t="shared" si="12"/>
        <v>ACCT#9725-004/REC BASE/PCT#1</v>
      </c>
    </row>
    <row r="1520" spans="1:8" x14ac:dyDescent="0.25">
      <c r="A1520" t="s">
        <v>519</v>
      </c>
      <c r="B1520">
        <v>78844</v>
      </c>
      <c r="C1520" s="3">
        <v>4606.82</v>
      </c>
      <c r="D1520" s="1">
        <v>43367</v>
      </c>
      <c r="E1520" t="str">
        <f>"9725-001-102693"</f>
        <v>9725-001-102693</v>
      </c>
      <c r="F1520" t="str">
        <f>"ACCT#9725-001/REC BASE/PCT#2"</f>
        <v>ACCT#9725-001/REC BASE/PCT#2</v>
      </c>
      <c r="G1520" s="2">
        <v>226.8</v>
      </c>
      <c r="H1520" t="str">
        <f>"ACCT#9725-001/REC BASE/PCT#2"</f>
        <v>ACCT#9725-001/REC BASE/PCT#2</v>
      </c>
    </row>
    <row r="1521" spans="1:8" x14ac:dyDescent="0.25">
      <c r="E1521" t="str">
        <f>"9725-004-102810"</f>
        <v>9725-004-102810</v>
      </c>
      <c r="F1521" t="str">
        <f>"ACCT#9725-004/REC BASE/PCT#1"</f>
        <v>ACCT#9725-004/REC BASE/PCT#1</v>
      </c>
      <c r="G1521" s="2">
        <v>1585.42</v>
      </c>
      <c r="H1521" t="str">
        <f>"ACCT#9725-004/REC BASE/PCT#1"</f>
        <v>ACCT#9725-004/REC BASE/PCT#1</v>
      </c>
    </row>
    <row r="1522" spans="1:8" x14ac:dyDescent="0.25">
      <c r="E1522" t="str">
        <f>"9725-004-102842"</f>
        <v>9725-004-102842</v>
      </c>
      <c r="F1522" t="str">
        <f>"ACCT#9725-004/REC BASE/PCT#1"</f>
        <v>ACCT#9725-004/REC BASE/PCT#1</v>
      </c>
      <c r="G1522" s="2">
        <v>1387.76</v>
      </c>
      <c r="H1522" t="str">
        <f>"973 MATERIALS  LLC"</f>
        <v>973 MATERIALS  LLC</v>
      </c>
    </row>
    <row r="1523" spans="1:8" x14ac:dyDescent="0.25">
      <c r="E1523" t="str">
        <f>"9725-004-102865"</f>
        <v>9725-004-102865</v>
      </c>
      <c r="F1523" t="str">
        <f>"ACCT#9725-004/REC BASE/PCT#1"</f>
        <v>ACCT#9725-004/REC BASE/PCT#1</v>
      </c>
      <c r="G1523" s="2">
        <v>325.67</v>
      </c>
      <c r="H1523" t="str">
        <f>"ACCT#9725-004/REC BASE/PCT#1"</f>
        <v>ACCT#9725-004/REC BASE/PCT#1</v>
      </c>
    </row>
    <row r="1524" spans="1:8" x14ac:dyDescent="0.25">
      <c r="E1524" t="str">
        <f>"9725-004-102888"</f>
        <v>9725-004-102888</v>
      </c>
      <c r="F1524" t="str">
        <f>"ACCT#9725-004/REC BASE/PCT#1"</f>
        <v>ACCT#9725-004/REC BASE/PCT#1</v>
      </c>
      <c r="G1524" s="2">
        <v>1081.17</v>
      </c>
      <c r="H1524" t="str">
        <f>"ACCT#9725-004/REC BASE/PCT#1"</f>
        <v>ACCT#9725-004/REC BASE/PCT#1</v>
      </c>
    </row>
    <row r="1525" spans="1:8" x14ac:dyDescent="0.25">
      <c r="A1525" t="s">
        <v>520</v>
      </c>
      <c r="B1525">
        <v>78661</v>
      </c>
      <c r="C1525" s="3">
        <v>350</v>
      </c>
      <c r="D1525" s="1">
        <v>43353</v>
      </c>
      <c r="E1525" t="str">
        <f>"201809053417"</f>
        <v>201809053417</v>
      </c>
      <c r="F1525" t="str">
        <f>"TRAILER JACK/OEM"</f>
        <v>TRAILER JACK/OEM</v>
      </c>
      <c r="G1525" s="2">
        <v>350</v>
      </c>
      <c r="H1525" t="str">
        <f>"TRAILER JACK/OEM"</f>
        <v>TRAILER JACK/OEM</v>
      </c>
    </row>
    <row r="1526" spans="1:8" x14ac:dyDescent="0.25">
      <c r="A1526" t="s">
        <v>521</v>
      </c>
      <c r="B1526">
        <v>78662</v>
      </c>
      <c r="C1526" s="3">
        <v>291</v>
      </c>
      <c r="D1526" s="1">
        <v>43353</v>
      </c>
      <c r="E1526" t="str">
        <f>"304782"</f>
        <v>304782</v>
      </c>
      <c r="F1526" t="str">
        <f>"FIRE EXTINGUINSHER MAINT"</f>
        <v>FIRE EXTINGUINSHER MAINT</v>
      </c>
      <c r="G1526" s="2">
        <v>291</v>
      </c>
      <c r="H1526" t="str">
        <f>"FIRE EXTINGUINSHER MAINT"</f>
        <v>FIRE EXTINGUINSHER MAINT</v>
      </c>
    </row>
    <row r="1527" spans="1:8" x14ac:dyDescent="0.25">
      <c r="A1527" t="s">
        <v>56</v>
      </c>
      <c r="B1527">
        <v>78663</v>
      </c>
      <c r="C1527" s="3">
        <v>198.98</v>
      </c>
      <c r="D1527" s="1">
        <v>43353</v>
      </c>
      <c r="E1527" t="str">
        <f>"1H1W-CLQG-H3MR"</f>
        <v>1H1W-CLQG-H3MR</v>
      </c>
      <c r="F1527" t="str">
        <f>"Spill Kits"</f>
        <v>Spill Kits</v>
      </c>
      <c r="G1527" s="2">
        <v>198.98</v>
      </c>
      <c r="H1527" t="str">
        <f>"Spill Kits"</f>
        <v>Spill Kits</v>
      </c>
    </row>
    <row r="1528" spans="1:8" x14ac:dyDescent="0.25">
      <c r="A1528" t="s">
        <v>64</v>
      </c>
      <c r="B1528">
        <v>78845</v>
      </c>
      <c r="C1528" s="3">
        <v>63.99</v>
      </c>
      <c r="D1528" s="1">
        <v>43367</v>
      </c>
      <c r="E1528" t="str">
        <f>"201809113689"</f>
        <v>201809113689</v>
      </c>
      <c r="F1528" t="str">
        <f>"ACCT#015397/JUVENILE BOOT CAMP"</f>
        <v>ACCT#015397/JUVENILE BOOT CAMP</v>
      </c>
      <c r="G1528" s="2">
        <v>63.99</v>
      </c>
      <c r="H1528" t="str">
        <f>"ACCT#015397/JUVENILE BOOT CAMP"</f>
        <v>ACCT#015397/JUVENILE BOOT CAMP</v>
      </c>
    </row>
    <row r="1529" spans="1:8" x14ac:dyDescent="0.25">
      <c r="A1529" t="s">
        <v>84</v>
      </c>
      <c r="B1529">
        <v>78664</v>
      </c>
      <c r="C1529" s="3">
        <v>1920</v>
      </c>
      <c r="D1529" s="1">
        <v>43353</v>
      </c>
      <c r="E1529" t="str">
        <f>"1532-P1"</f>
        <v>1532-P1</v>
      </c>
      <c r="F1529" t="str">
        <f>"SHILO BRIDGE / P1"</f>
        <v>SHILO BRIDGE / P1</v>
      </c>
      <c r="G1529" s="2">
        <v>1920</v>
      </c>
      <c r="H1529" t="str">
        <f>"SHILO BRIDGE / P1"</f>
        <v>SHILO BRIDGE / P1</v>
      </c>
    </row>
    <row r="1530" spans="1:8" x14ac:dyDescent="0.25">
      <c r="A1530" t="s">
        <v>90</v>
      </c>
      <c r="B1530">
        <v>78846</v>
      </c>
      <c r="C1530" s="3">
        <v>58.55</v>
      </c>
      <c r="D1530" s="1">
        <v>43367</v>
      </c>
      <c r="E1530" t="str">
        <f>"12254"</f>
        <v>12254</v>
      </c>
      <c r="F1530" t="str">
        <f>"ACCT#BC01"</f>
        <v>ACCT#BC01</v>
      </c>
      <c r="G1530" s="2">
        <v>58.55</v>
      </c>
      <c r="H1530" t="str">
        <f>"ACCT#BC01"</f>
        <v>ACCT#BC01</v>
      </c>
    </row>
    <row r="1531" spans="1:8" x14ac:dyDescent="0.25">
      <c r="A1531" t="s">
        <v>522</v>
      </c>
      <c r="B1531">
        <v>78847</v>
      </c>
      <c r="C1531" s="3">
        <v>35683.519999999997</v>
      </c>
      <c r="D1531" s="1">
        <v>43367</v>
      </c>
      <c r="E1531" t="str">
        <f>"1043"</f>
        <v>1043</v>
      </c>
      <c r="F1531" t="str">
        <f>"BOOT CAMP EXPS APRIL-JUNE 2018"</f>
        <v>BOOT CAMP EXPS APRIL-JUNE 2018</v>
      </c>
      <c r="G1531" s="2">
        <v>35683.519999999997</v>
      </c>
      <c r="H1531" t="str">
        <f>"BOOT CAMP EXPS APRIL-JUNE 2018"</f>
        <v>BOOT CAMP EXPS APRIL-JUNE 2018</v>
      </c>
    </row>
    <row r="1532" spans="1:8" x14ac:dyDescent="0.25">
      <c r="A1532" t="s">
        <v>114</v>
      </c>
      <c r="B1532">
        <v>78684</v>
      </c>
      <c r="C1532" s="3">
        <v>471.25</v>
      </c>
      <c r="D1532" s="1">
        <v>43356</v>
      </c>
      <c r="E1532" t="str">
        <f>"201809133753"</f>
        <v>201809133753</v>
      </c>
      <c r="F1532" t="str">
        <f>"ACCT#5000057374 / 09042018"</f>
        <v>ACCT#5000057374 / 09042018</v>
      </c>
      <c r="G1532" s="2">
        <v>471.25</v>
      </c>
      <c r="H1532" t="str">
        <f>"ACCT#5000057374 / 09042018"</f>
        <v>ACCT#5000057374 / 09042018</v>
      </c>
    </row>
    <row r="1533" spans="1:8" x14ac:dyDescent="0.25">
      <c r="A1533" t="s">
        <v>116</v>
      </c>
      <c r="B1533">
        <v>78665</v>
      </c>
      <c r="C1533" s="3">
        <v>165.83</v>
      </c>
      <c r="D1533" s="1">
        <v>43353</v>
      </c>
      <c r="E1533" t="str">
        <f>"8686"</f>
        <v>8686</v>
      </c>
      <c r="F1533" t="str">
        <f>"2015 FORD-INSTALL FUEL TANK"</f>
        <v>2015 FORD-INSTALL FUEL TANK</v>
      </c>
      <c r="G1533" s="2">
        <v>165.83</v>
      </c>
      <c r="H1533" t="str">
        <f>"2015 FORD-INSTALL FUEL TANK"</f>
        <v>2015 FORD-INSTALL FUEL TANK</v>
      </c>
    </row>
    <row r="1534" spans="1:8" x14ac:dyDescent="0.25">
      <c r="A1534" t="s">
        <v>119</v>
      </c>
      <c r="B1534">
        <v>78848</v>
      </c>
      <c r="C1534" s="3">
        <v>281.27</v>
      </c>
      <c r="D1534" s="1">
        <v>43367</v>
      </c>
      <c r="E1534" t="str">
        <f>"201809113686"</f>
        <v>201809113686</v>
      </c>
      <c r="F1534" t="str">
        <f>"REIMBURSE CHAIR REPAIR/AMMO"</f>
        <v>REIMBURSE CHAIR REPAIR/AMMO</v>
      </c>
      <c r="G1534" s="2">
        <v>281.27</v>
      </c>
      <c r="H1534" t="str">
        <f>"REIMBURSE CHAIR REPAIR/AMMO"</f>
        <v>REIMBURSE CHAIR REPAIR/AMMO</v>
      </c>
    </row>
    <row r="1535" spans="1:8" x14ac:dyDescent="0.25">
      <c r="A1535" t="s">
        <v>127</v>
      </c>
      <c r="B1535">
        <v>78666</v>
      </c>
      <c r="C1535" s="3">
        <v>10732.68</v>
      </c>
      <c r="D1535" s="1">
        <v>43353</v>
      </c>
      <c r="E1535" t="str">
        <f>"30127909"</f>
        <v>30127909</v>
      </c>
      <c r="F1535" t="str">
        <f>"CUST#BASPCT2/ORD#37-18894/P2"</f>
        <v>CUST#BASPCT2/ORD#37-18894/P2</v>
      </c>
      <c r="G1535" s="2">
        <v>3239.25</v>
      </c>
      <c r="H1535" t="str">
        <f>"CUST#BASPCT2/ORD#37-18894/P2"</f>
        <v>CUST#BASPCT2/ORD#37-18894/P2</v>
      </c>
    </row>
    <row r="1536" spans="1:8" x14ac:dyDescent="0.25">
      <c r="E1536" t="str">
        <f>"30127955"</f>
        <v>30127955</v>
      </c>
      <c r="F1536" t="str">
        <f>"CUST#BASPCT2/ORD#37-18894/P2"</f>
        <v>CUST#BASPCT2/ORD#37-18894/P2</v>
      </c>
      <c r="G1536" s="2">
        <v>4214.28</v>
      </c>
      <c r="H1536" t="str">
        <f>"CUST#BASPCT2/ORD#37-18894/P2"</f>
        <v>CUST#BASPCT2/ORD#37-18894/P2</v>
      </c>
    </row>
    <row r="1537" spans="1:8" x14ac:dyDescent="0.25">
      <c r="E1537" t="str">
        <f>"30128085"</f>
        <v>30128085</v>
      </c>
      <c r="F1537" t="str">
        <f>"CUST#BASPCT2/ORD#37-18894/P2"</f>
        <v>CUST#BASPCT2/ORD#37-18894/P2</v>
      </c>
      <c r="G1537" s="2">
        <v>3279.15</v>
      </c>
      <c r="H1537" t="str">
        <f>"CUST#BASPCT2/ORD#37-18894/P2"</f>
        <v>CUST#BASPCT2/ORD#37-18894/P2</v>
      </c>
    </row>
    <row r="1538" spans="1:8" x14ac:dyDescent="0.25">
      <c r="A1538" t="s">
        <v>127</v>
      </c>
      <c r="B1538">
        <v>78849</v>
      </c>
      <c r="C1538" s="3">
        <v>9338.7000000000007</v>
      </c>
      <c r="D1538" s="1">
        <v>43367</v>
      </c>
      <c r="E1538" t="str">
        <f>"30128109"</f>
        <v>30128109</v>
      </c>
      <c r="F1538" t="str">
        <f>"CUST#BASPCT2/ORD#37-18894/PCT2"</f>
        <v>CUST#BASPCT2/ORD#37-18894/PCT2</v>
      </c>
      <c r="G1538" s="2">
        <v>3754.17</v>
      </c>
      <c r="H1538" t="str">
        <f>"CUST#BASPCT2/ORD#37-18894/PCT2"</f>
        <v>CUST#BASPCT2/ORD#37-18894/PCT2</v>
      </c>
    </row>
    <row r="1539" spans="1:8" x14ac:dyDescent="0.25">
      <c r="E1539" t="str">
        <f>"30128134"</f>
        <v>30128134</v>
      </c>
      <c r="F1539" t="str">
        <f>"CUST#BASPCT2/ORD#37-18894/PCT2"</f>
        <v>CUST#BASPCT2/ORD#37-18894/PCT2</v>
      </c>
      <c r="G1539" s="2">
        <v>1401.12</v>
      </c>
      <c r="H1539" t="str">
        <f>"CUST#BASPCT2/ORD#37-18894/PCT2"</f>
        <v>CUST#BASPCT2/ORD#37-18894/PCT2</v>
      </c>
    </row>
    <row r="1540" spans="1:8" x14ac:dyDescent="0.25">
      <c r="E1540" t="str">
        <f>"30128280"</f>
        <v>30128280</v>
      </c>
      <c r="F1540" t="str">
        <f>"CUST#BASPCT2/ORD#37-18894/PCT2"</f>
        <v>CUST#BASPCT2/ORD#37-18894/PCT2</v>
      </c>
      <c r="G1540" s="2">
        <v>4183.41</v>
      </c>
      <c r="H1540" t="str">
        <f>"CUST#BASPCT2/ORD#37-18894/PCT2"</f>
        <v>CUST#BASPCT2/ORD#37-18894/PCT2</v>
      </c>
    </row>
    <row r="1541" spans="1:8" x14ac:dyDescent="0.25">
      <c r="A1541" t="s">
        <v>523</v>
      </c>
      <c r="B1541">
        <v>78667</v>
      </c>
      <c r="C1541" s="3">
        <v>2430.9</v>
      </c>
      <c r="D1541" s="1">
        <v>43353</v>
      </c>
      <c r="E1541" t="str">
        <f>"101801"</f>
        <v>101801</v>
      </c>
      <c r="F1541" t="str">
        <f>"ACCT#34385/PCT#1"</f>
        <v>ACCT#34385/PCT#1</v>
      </c>
      <c r="G1541" s="2">
        <v>2430.9</v>
      </c>
      <c r="H1541" t="str">
        <f>"ACCT#34385/PCT#1"</f>
        <v>ACCT#34385/PCT#1</v>
      </c>
    </row>
    <row r="1542" spans="1:8" x14ac:dyDescent="0.25">
      <c r="A1542" t="s">
        <v>178</v>
      </c>
      <c r="B1542">
        <v>78668</v>
      </c>
      <c r="C1542" s="3">
        <v>36821.949999999997</v>
      </c>
      <c r="D1542" s="1">
        <v>43353</v>
      </c>
      <c r="E1542" t="str">
        <f>"9401907040"</f>
        <v>9401907040</v>
      </c>
      <c r="F1542" t="str">
        <f>"ACCT#912904/BOL#23292/PCT#2"</f>
        <v>ACCT#912904/BOL#23292/PCT#2</v>
      </c>
      <c r="G1542" s="2">
        <v>13936.97</v>
      </c>
      <c r="H1542" t="str">
        <f>"ACCT#912904/BOL#23292/PCT#2"</f>
        <v>ACCT#912904/BOL#23292/PCT#2</v>
      </c>
    </row>
    <row r="1543" spans="1:8" x14ac:dyDescent="0.25">
      <c r="E1543" t="str">
        <f>"9401907041"</f>
        <v>9401907041</v>
      </c>
      <c r="F1543" t="str">
        <f>"ACCT#912904/BOL#23286/PCT#2"</f>
        <v>ACCT#912904/BOL#23286/PCT#2</v>
      </c>
      <c r="G1543" s="2">
        <v>13898.52</v>
      </c>
      <c r="H1543" t="str">
        <f>"ACCT#912904/BOL#23286/PCT#2"</f>
        <v>ACCT#912904/BOL#23286/PCT#2</v>
      </c>
    </row>
    <row r="1544" spans="1:8" x14ac:dyDescent="0.25">
      <c r="E1544" t="str">
        <f>"9401909368"</f>
        <v>9401909368</v>
      </c>
      <c r="F1544" t="str">
        <f>"ACCT#912904/BOL#23307/PCT#2"</f>
        <v>ACCT#912904/BOL#23307/PCT#2</v>
      </c>
      <c r="G1544" s="2">
        <v>8986.4599999999991</v>
      </c>
      <c r="H1544" t="str">
        <f>"ACCT#912904/BOL#23307/PCT#2"</f>
        <v>ACCT#912904/BOL#23307/PCT#2</v>
      </c>
    </row>
    <row r="1545" spans="1:8" x14ac:dyDescent="0.25">
      <c r="A1545" t="s">
        <v>178</v>
      </c>
      <c r="B1545">
        <v>78850</v>
      </c>
      <c r="C1545" s="3">
        <v>30289.89</v>
      </c>
      <c r="D1545" s="1">
        <v>43367</v>
      </c>
      <c r="E1545" t="str">
        <f>"9401914364"</f>
        <v>9401914364</v>
      </c>
      <c r="F1545" t="str">
        <f>"ACCT#912904/BOL#23373/PCT#2"</f>
        <v>ACCT#912904/BOL#23373/PCT#2</v>
      </c>
      <c r="G1545" s="2">
        <v>160</v>
      </c>
      <c r="H1545" t="str">
        <f>"ACCT#912904/BOL#23373/PCT#2"</f>
        <v>ACCT#912904/BOL#23373/PCT#2</v>
      </c>
    </row>
    <row r="1546" spans="1:8" x14ac:dyDescent="0.25">
      <c r="E1546" t="str">
        <f>"9401914365"</f>
        <v>9401914365</v>
      </c>
      <c r="F1546" t="str">
        <f>"ACCT#912904/DEMURRAGE/PCT#2"</f>
        <v>ACCT#912904/DEMURRAGE/PCT#2</v>
      </c>
      <c r="G1546" s="2">
        <v>100</v>
      </c>
      <c r="H1546" t="str">
        <f>"ACCT#912904/DEMURRAGE/PCT#2"</f>
        <v>ACCT#912904/DEMURRAGE/PCT#2</v>
      </c>
    </row>
    <row r="1547" spans="1:8" x14ac:dyDescent="0.25">
      <c r="E1547" t="str">
        <f>"9401915215"</f>
        <v>9401915215</v>
      </c>
      <c r="F1547" t="str">
        <f>"ACCT#912904/BOL#23384/PCT#2"</f>
        <v>ACCT#912904/BOL#23384/PCT#2</v>
      </c>
      <c r="G1547" s="2">
        <v>9814.9500000000007</v>
      </c>
      <c r="H1547" t="str">
        <f>"ACCT#912904/BOL#23384/PCT#2"</f>
        <v>ACCT#912904/BOL#23384/PCT#2</v>
      </c>
    </row>
    <row r="1548" spans="1:8" x14ac:dyDescent="0.25">
      <c r="E1548" t="str">
        <f>"9401915216"</f>
        <v>9401915216</v>
      </c>
      <c r="F1548" t="str">
        <f>"ACCT#912904/BOL#23373/PCT#2"</f>
        <v>ACCT#912904/BOL#23373/PCT#2</v>
      </c>
      <c r="G1548" s="2">
        <v>11242.72</v>
      </c>
      <c r="H1548" t="str">
        <f>"ACCT#912904/BOL#23373/PCT#2"</f>
        <v>ACCT#912904/BOL#23373/PCT#2</v>
      </c>
    </row>
    <row r="1549" spans="1:8" x14ac:dyDescent="0.25">
      <c r="E1549" t="str">
        <f>"9401918987"</f>
        <v>9401918987</v>
      </c>
      <c r="F1549" t="str">
        <f>"ACCT#912904/DEMURRAGE/PCT#2"</f>
        <v>ACCT#912904/DEMURRAGE/PCT#2</v>
      </c>
      <c r="G1549" s="2">
        <v>120</v>
      </c>
      <c r="H1549" t="str">
        <f>"ACCT#912904/DEMURRAGE/PCT#2"</f>
        <v>ACCT#912904/DEMURRAGE/PCT#2</v>
      </c>
    </row>
    <row r="1550" spans="1:8" x14ac:dyDescent="0.25">
      <c r="E1550" t="str">
        <f>"9401919952"</f>
        <v>9401919952</v>
      </c>
      <c r="F1550" t="str">
        <f>"ACCT#912904/DEMURRAGE/PCT#2"</f>
        <v>ACCT#912904/DEMURRAGE/PCT#2</v>
      </c>
      <c r="G1550" s="2">
        <v>120</v>
      </c>
      <c r="H1550" t="str">
        <f>"ACCT#912904/DEMURRAGE/PCT#2"</f>
        <v>ACCT#912904/DEMURRAGE/PCT#2</v>
      </c>
    </row>
    <row r="1551" spans="1:8" x14ac:dyDescent="0.25">
      <c r="E1551" t="str">
        <f>"9401921149"</f>
        <v>9401921149</v>
      </c>
      <c r="F1551" t="str">
        <f>"ACCT#912904/BOL#23417/PCT#2"</f>
        <v>ACCT#912904/BOL#23417/PCT#2</v>
      </c>
      <c r="G1551" s="2">
        <v>8732.2199999999993</v>
      </c>
      <c r="H1551" t="str">
        <f>"ACCT#912904/BOL#23417/PCT#2"</f>
        <v>ACCT#912904/BOL#23417/PCT#2</v>
      </c>
    </row>
    <row r="1552" spans="1:8" x14ac:dyDescent="0.25">
      <c r="A1552" t="s">
        <v>198</v>
      </c>
      <c r="B1552">
        <v>78862</v>
      </c>
      <c r="C1552" s="3">
        <v>188.07</v>
      </c>
      <c r="D1552" s="1">
        <v>43367</v>
      </c>
      <c r="E1552" t="str">
        <f>"N54423 N54499"</f>
        <v>N54423 N54499</v>
      </c>
      <c r="F1552" t="str">
        <f>"Order# S46570"</f>
        <v>Order# S46570</v>
      </c>
      <c r="G1552" s="2">
        <v>188.07</v>
      </c>
      <c r="H1552" t="str">
        <f>"PCPC450BRD-M"</f>
        <v>PCPC450BRD-M</v>
      </c>
    </row>
    <row r="1553" spans="1:8" x14ac:dyDescent="0.25">
      <c r="E1553" t="str">
        <f>""</f>
        <v/>
      </c>
      <c r="F1553" t="str">
        <f>""</f>
        <v/>
      </c>
      <c r="H1553" t="str">
        <f>"PCPC450BRD- XL"</f>
        <v>PCPC450BRD- XL</v>
      </c>
    </row>
    <row r="1554" spans="1:8" x14ac:dyDescent="0.25">
      <c r="E1554" t="str">
        <f>""</f>
        <v/>
      </c>
      <c r="F1554" t="str">
        <f>""</f>
        <v/>
      </c>
      <c r="H1554" t="str">
        <f>"PCPC450BRD-2XL"</f>
        <v>PCPC450BRD-2XL</v>
      </c>
    </row>
    <row r="1555" spans="1:8" x14ac:dyDescent="0.25">
      <c r="E1555" t="str">
        <f>""</f>
        <v/>
      </c>
      <c r="F1555" t="str">
        <f>""</f>
        <v/>
      </c>
      <c r="H1555" t="str">
        <f>"PCPC450BRD-3XL"</f>
        <v>PCPC450BRD-3XL</v>
      </c>
    </row>
    <row r="1556" spans="1:8" x14ac:dyDescent="0.25">
      <c r="E1556" t="str">
        <f>""</f>
        <v/>
      </c>
      <c r="F1556" t="str">
        <f>""</f>
        <v/>
      </c>
      <c r="H1556" t="str">
        <f>"PCPC450LSBRD- 2XL"</f>
        <v>PCPC450LSBRD- 2XL</v>
      </c>
    </row>
    <row r="1557" spans="1:8" x14ac:dyDescent="0.25">
      <c r="E1557" t="str">
        <f>""</f>
        <v/>
      </c>
      <c r="F1557" t="str">
        <f>""</f>
        <v/>
      </c>
      <c r="H1557" t="str">
        <f>"PCPC450LSBRD- 3XL"</f>
        <v>PCPC450LSBRD- 3XL</v>
      </c>
    </row>
    <row r="1558" spans="1:8" x14ac:dyDescent="0.25">
      <c r="E1558" t="str">
        <f>""</f>
        <v/>
      </c>
      <c r="F1558" t="str">
        <f>""</f>
        <v/>
      </c>
      <c r="H1558" t="str">
        <f>"Set UP Chage"</f>
        <v>Set UP Chage</v>
      </c>
    </row>
    <row r="1559" spans="1:8" x14ac:dyDescent="0.25">
      <c r="E1559" t="str">
        <f>""</f>
        <v/>
      </c>
      <c r="F1559" t="str">
        <f>""</f>
        <v/>
      </c>
      <c r="H1559" t="str">
        <f>"Minimum Shortage"</f>
        <v>Minimum Shortage</v>
      </c>
    </row>
    <row r="1560" spans="1:8" x14ac:dyDescent="0.25">
      <c r="A1560" t="s">
        <v>217</v>
      </c>
      <c r="B1560">
        <v>78851</v>
      </c>
      <c r="C1560" s="3">
        <v>107464</v>
      </c>
      <c r="D1560" s="1">
        <v>43367</v>
      </c>
      <c r="E1560" t="str">
        <f>"SIMP20771010"</f>
        <v>SIMP20771010</v>
      </c>
      <c r="F1560" t="str">
        <f>"Inv# SIMP20771010"</f>
        <v>Inv# SIMP20771010</v>
      </c>
      <c r="G1560" s="2">
        <v>107464</v>
      </c>
      <c r="H1560" t="str">
        <f>"Inv# SIMP20771010"</f>
        <v>Inv# SIMP20771010</v>
      </c>
    </row>
    <row r="1561" spans="1:8" x14ac:dyDescent="0.25">
      <c r="A1561" t="s">
        <v>524</v>
      </c>
      <c r="B1561">
        <v>78852</v>
      </c>
      <c r="C1561" s="3">
        <v>20611.64</v>
      </c>
      <c r="D1561" s="1">
        <v>43367</v>
      </c>
      <c r="E1561" t="str">
        <f>"201808069"</f>
        <v>201808069</v>
      </c>
      <c r="F1561" t="str">
        <f>"PROJ#2017072/911 EMER OPS &amp; IT"</f>
        <v>PROJ#2017072/911 EMER OPS &amp; IT</v>
      </c>
      <c r="G1561" s="2">
        <v>20611.64</v>
      </c>
      <c r="H1561" t="str">
        <f>"PROJ#2017072/911 EMER OPS &amp; IT"</f>
        <v>PROJ#2017072/911 EMER OPS &amp; IT</v>
      </c>
    </row>
    <row r="1562" spans="1:8" x14ac:dyDescent="0.25">
      <c r="A1562" t="s">
        <v>251</v>
      </c>
      <c r="B1562">
        <v>78853</v>
      </c>
      <c r="C1562" s="3">
        <v>541.21</v>
      </c>
      <c r="D1562" s="1">
        <v>43367</v>
      </c>
      <c r="E1562" t="str">
        <f>"201809133755"</f>
        <v>201809133755</v>
      </c>
      <c r="F1562" t="str">
        <f>"ACCT#1645/OEM"</f>
        <v>ACCT#1645/OEM</v>
      </c>
      <c r="G1562" s="2">
        <v>541.21</v>
      </c>
      <c r="H1562" t="str">
        <f>"ACCT#1645/OEM"</f>
        <v>ACCT#1645/OEM</v>
      </c>
    </row>
    <row r="1563" spans="1:8" x14ac:dyDescent="0.25">
      <c r="A1563" t="s">
        <v>525</v>
      </c>
      <c r="B1563">
        <v>78669</v>
      </c>
      <c r="C1563" s="3">
        <v>3500</v>
      </c>
      <c r="D1563" s="1">
        <v>43353</v>
      </c>
      <c r="E1563" t="str">
        <f>"3474"</f>
        <v>3474</v>
      </c>
      <c r="F1563" t="str">
        <f>"PROJECT COMPLETION - CLOSEOUT"</f>
        <v>PROJECT COMPLETION - CLOSEOUT</v>
      </c>
      <c r="G1563" s="2">
        <v>3500</v>
      </c>
      <c r="H1563" t="str">
        <f>"PROJECT COMPLETION - CLOSEOUT"</f>
        <v>PROJECT COMPLETION - CLOSEOUT</v>
      </c>
    </row>
    <row r="1564" spans="1:8" x14ac:dyDescent="0.25">
      <c r="A1564" t="s">
        <v>525</v>
      </c>
      <c r="B1564">
        <v>78854</v>
      </c>
      <c r="C1564" s="3">
        <v>6973.32</v>
      </c>
      <c r="D1564" s="1">
        <v>43367</v>
      </c>
      <c r="E1564" t="str">
        <f>"3595"</f>
        <v>3595</v>
      </c>
      <c r="F1564" t="str">
        <f>"HMGP ADMIN/DRAINAGE IMPROVEMEN"</f>
        <v>HMGP ADMIN/DRAINAGE IMPROVEMEN</v>
      </c>
      <c r="G1564" s="2">
        <v>6973.32</v>
      </c>
      <c r="H1564" t="str">
        <f>"HMGP ADMIN/DRAINAGE IMPROVEMEN"</f>
        <v>HMGP ADMIN/DRAINAGE IMPROVEMEN</v>
      </c>
    </row>
    <row r="1565" spans="1:8" x14ac:dyDescent="0.25">
      <c r="A1565" t="s">
        <v>525</v>
      </c>
      <c r="B1565">
        <v>78855</v>
      </c>
      <c r="C1565" s="3">
        <v>73.599999999999994</v>
      </c>
      <c r="D1565" s="1">
        <v>43367</v>
      </c>
      <c r="E1565" t="str">
        <f>"3601"</f>
        <v>3601</v>
      </c>
      <c r="F1565" t="str">
        <f>"POSTAGE FOR BUY OUT"</f>
        <v>POSTAGE FOR BUY OUT</v>
      </c>
      <c r="G1565" s="2">
        <v>73.599999999999994</v>
      </c>
      <c r="H1565" t="str">
        <f>"POSTAGE FOR BUY OUT"</f>
        <v>POSTAGE FOR BUY OUT</v>
      </c>
    </row>
    <row r="1566" spans="1:8" x14ac:dyDescent="0.25">
      <c r="A1566" t="s">
        <v>267</v>
      </c>
      <c r="B1566">
        <v>78856</v>
      </c>
      <c r="C1566" s="3">
        <v>917.69</v>
      </c>
      <c r="D1566" s="1">
        <v>43367</v>
      </c>
      <c r="E1566" t="str">
        <f>"914510"</f>
        <v>914510</v>
      </c>
      <c r="F1566" t="str">
        <f>"acct#99006938692"</f>
        <v>acct#99006938692</v>
      </c>
      <c r="G1566" s="2">
        <v>917.69</v>
      </c>
      <c r="H1566" t="str">
        <f>"Inv# 914510"</f>
        <v>Inv# 914510</v>
      </c>
    </row>
    <row r="1567" spans="1:8" x14ac:dyDescent="0.25">
      <c r="A1567" t="s">
        <v>526</v>
      </c>
      <c r="B1567">
        <v>78670</v>
      </c>
      <c r="C1567" s="3">
        <v>712</v>
      </c>
      <c r="D1567" s="1">
        <v>43353</v>
      </c>
      <c r="E1567" t="str">
        <f>"17877"</f>
        <v>17877</v>
      </c>
      <c r="F1567" t="str">
        <f>"FREIGHT SALES/PCT#2"</f>
        <v>FREIGHT SALES/PCT#2</v>
      </c>
      <c r="G1567" s="2">
        <v>712</v>
      </c>
      <c r="H1567" t="str">
        <f>"FREIGHT SALES/PCT#2"</f>
        <v>FREIGHT SALES/PCT#2</v>
      </c>
    </row>
    <row r="1568" spans="1:8" x14ac:dyDescent="0.25">
      <c r="A1568" t="s">
        <v>363</v>
      </c>
      <c r="B1568">
        <v>78671</v>
      </c>
      <c r="C1568" s="3">
        <v>25924.799999999999</v>
      </c>
      <c r="D1568" s="1">
        <v>43353</v>
      </c>
      <c r="E1568" t="str">
        <f>"16002715"</f>
        <v>16002715</v>
      </c>
      <c r="F1568" t="str">
        <f>"Radio for BCSO Patrol"</f>
        <v>Radio for BCSO Patrol</v>
      </c>
      <c r="G1568" s="2">
        <v>25924.799999999999</v>
      </c>
      <c r="H1568" t="str">
        <f>"payment"</f>
        <v>payment</v>
      </c>
    </row>
    <row r="1569" spans="1:8" x14ac:dyDescent="0.25">
      <c r="A1569" t="s">
        <v>527</v>
      </c>
      <c r="B1569">
        <v>78672</v>
      </c>
      <c r="C1569" s="3">
        <v>12070.46</v>
      </c>
      <c r="D1569" s="1">
        <v>43353</v>
      </c>
      <c r="E1569" t="str">
        <f>"PART4687541/2/3"</f>
        <v>PART4687541/2/3</v>
      </c>
      <c r="F1569" t="str">
        <f>"DOC# 50C280939"</f>
        <v>DOC# 50C280939</v>
      </c>
      <c r="G1569" s="2">
        <v>4893.0600000000004</v>
      </c>
      <c r="H1569" t="str">
        <f>"Item# 2623764"</f>
        <v>Item# 2623764</v>
      </c>
    </row>
    <row r="1570" spans="1:8" x14ac:dyDescent="0.25">
      <c r="E1570" t="str">
        <f>""</f>
        <v/>
      </c>
      <c r="F1570" t="str">
        <f>""</f>
        <v/>
      </c>
      <c r="H1570" t="str">
        <f>"Item# 3366684"</f>
        <v>Item# 3366684</v>
      </c>
    </row>
    <row r="1571" spans="1:8" x14ac:dyDescent="0.25">
      <c r="E1571" t="str">
        <f>""</f>
        <v/>
      </c>
      <c r="F1571" t="str">
        <f>""</f>
        <v/>
      </c>
      <c r="H1571" t="str">
        <f>"Item# 258-4158"</f>
        <v>Item# 258-4158</v>
      </c>
    </row>
    <row r="1572" spans="1:8" x14ac:dyDescent="0.25">
      <c r="E1572" t="str">
        <f>""</f>
        <v/>
      </c>
      <c r="F1572" t="str">
        <f>""</f>
        <v/>
      </c>
      <c r="H1572" t="str">
        <f>"Item# 382-6262"</f>
        <v>Item# 382-6262</v>
      </c>
    </row>
    <row r="1573" spans="1:8" x14ac:dyDescent="0.25">
      <c r="E1573" t="str">
        <f>""</f>
        <v/>
      </c>
      <c r="F1573" t="str">
        <f>""</f>
        <v/>
      </c>
      <c r="H1573" t="str">
        <f>"Item# 262-3764"</f>
        <v>Item# 262-3764</v>
      </c>
    </row>
    <row r="1574" spans="1:8" x14ac:dyDescent="0.25">
      <c r="E1574" t="str">
        <f>""</f>
        <v/>
      </c>
      <c r="F1574" t="str">
        <f>""</f>
        <v/>
      </c>
      <c r="H1574" t="str">
        <f>"Item# 117-9080"</f>
        <v>Item# 117-9080</v>
      </c>
    </row>
    <row r="1575" spans="1:8" x14ac:dyDescent="0.25">
      <c r="E1575" t="str">
        <f>""</f>
        <v/>
      </c>
      <c r="F1575" t="str">
        <f>""</f>
        <v/>
      </c>
      <c r="H1575" t="str">
        <f>"Item# 382-6262"</f>
        <v>Item# 382-6262</v>
      </c>
    </row>
    <row r="1576" spans="1:8" x14ac:dyDescent="0.25">
      <c r="E1576" t="str">
        <f>""</f>
        <v/>
      </c>
      <c r="F1576" t="str">
        <f>""</f>
        <v/>
      </c>
      <c r="H1576" t="str">
        <f>"Item# 2623764"</f>
        <v>Item# 2623764</v>
      </c>
    </row>
    <row r="1577" spans="1:8" x14ac:dyDescent="0.25">
      <c r="E1577" t="str">
        <f>""</f>
        <v/>
      </c>
      <c r="F1577" t="str">
        <f>""</f>
        <v/>
      </c>
      <c r="H1577" t="str">
        <f>"Item# 3366684"</f>
        <v>Item# 3366684</v>
      </c>
    </row>
    <row r="1578" spans="1:8" x14ac:dyDescent="0.25">
      <c r="E1578" t="str">
        <f>""</f>
        <v/>
      </c>
      <c r="F1578" t="str">
        <f>""</f>
        <v/>
      </c>
      <c r="H1578" t="str">
        <f>"Item# 258-4158"</f>
        <v>Item# 258-4158</v>
      </c>
    </row>
    <row r="1579" spans="1:8" x14ac:dyDescent="0.25">
      <c r="E1579" t="str">
        <f>""</f>
        <v/>
      </c>
      <c r="F1579" t="str">
        <f>""</f>
        <v/>
      </c>
      <c r="H1579" t="str">
        <f>"Item# 382-6262"</f>
        <v>Item# 382-6262</v>
      </c>
    </row>
    <row r="1580" spans="1:8" x14ac:dyDescent="0.25">
      <c r="E1580" t="str">
        <f>""</f>
        <v/>
      </c>
      <c r="F1580" t="str">
        <f>""</f>
        <v/>
      </c>
      <c r="H1580" t="str">
        <f>"Item# 2623764"</f>
        <v>Item# 2623764</v>
      </c>
    </row>
    <row r="1581" spans="1:8" x14ac:dyDescent="0.25">
      <c r="E1581" t="str">
        <f>""</f>
        <v/>
      </c>
      <c r="F1581" t="str">
        <f>""</f>
        <v/>
      </c>
      <c r="H1581" t="str">
        <f>"Item# 117-9080"</f>
        <v>Item# 117-9080</v>
      </c>
    </row>
    <row r="1582" spans="1:8" x14ac:dyDescent="0.25">
      <c r="E1582" t="str">
        <f>""</f>
        <v/>
      </c>
      <c r="F1582" t="str">
        <f>""</f>
        <v/>
      </c>
      <c r="H1582" t="str">
        <f>"Item# 382-6262"</f>
        <v>Item# 382-6262</v>
      </c>
    </row>
    <row r="1583" spans="1:8" x14ac:dyDescent="0.25">
      <c r="E1583" t="str">
        <f>"PART4763075"</f>
        <v>PART4763075</v>
      </c>
      <c r="F1583" t="str">
        <f>"Skid Steer Teeth"</f>
        <v>Skid Steer Teeth</v>
      </c>
      <c r="G1583" s="2">
        <v>7177.4</v>
      </c>
      <c r="H1583" t="str">
        <f>"382-6262"</f>
        <v>382-6262</v>
      </c>
    </row>
    <row r="1584" spans="1:8" x14ac:dyDescent="0.25">
      <c r="A1584" t="s">
        <v>527</v>
      </c>
      <c r="B1584">
        <v>78857</v>
      </c>
      <c r="C1584" s="3">
        <v>1558.06</v>
      </c>
      <c r="D1584" s="1">
        <v>43367</v>
      </c>
      <c r="E1584" t="str">
        <f>"PART4768713/773237"</f>
        <v>PART4768713/773237</v>
      </c>
      <c r="F1584" t="str">
        <f>"PART4768713 &amp; PART4773237"</f>
        <v>PART4768713 &amp; PART4773237</v>
      </c>
      <c r="G1584" s="2">
        <v>1558.06</v>
      </c>
      <c r="H1584" t="str">
        <f>"PART4768713"</f>
        <v>PART4768713</v>
      </c>
    </row>
    <row r="1585" spans="1:8" x14ac:dyDescent="0.25">
      <c r="E1585" t="str">
        <f>""</f>
        <v/>
      </c>
      <c r="F1585" t="str">
        <f>""</f>
        <v/>
      </c>
      <c r="H1585" t="str">
        <f>"PART4773237"</f>
        <v>PART4773237</v>
      </c>
    </row>
    <row r="1586" spans="1:8" x14ac:dyDescent="0.25">
      <c r="A1586" t="s">
        <v>528</v>
      </c>
      <c r="B1586">
        <v>78673</v>
      </c>
      <c r="C1586" s="3">
        <v>10.210000000000001</v>
      </c>
      <c r="D1586" s="1">
        <v>43353</v>
      </c>
      <c r="E1586" t="str">
        <f>"201808293117"</f>
        <v>201808293117</v>
      </c>
      <c r="F1586" t="str">
        <f>"REIMBURSE FINGERPRINTS"</f>
        <v>REIMBURSE FINGERPRINTS</v>
      </c>
      <c r="G1586" s="2">
        <v>10.210000000000001</v>
      </c>
      <c r="H1586" t="str">
        <f>"REIMBURSE FINGERPRINTS"</f>
        <v>REIMBURSE FINGERPRINTS</v>
      </c>
    </row>
    <row r="1587" spans="1:8" x14ac:dyDescent="0.25">
      <c r="A1587" t="s">
        <v>453</v>
      </c>
      <c r="B1587">
        <v>78858</v>
      </c>
      <c r="C1587" s="3">
        <v>862.76</v>
      </c>
      <c r="D1587" s="1">
        <v>43367</v>
      </c>
      <c r="E1587" t="str">
        <f>"0781059-IN"</f>
        <v>0781059-IN</v>
      </c>
      <c r="F1587" t="str">
        <f>"Order# 0781002"</f>
        <v>Order# 0781002</v>
      </c>
      <c r="G1587" s="2">
        <v>862.76</v>
      </c>
      <c r="H1587" t="str">
        <f>"403006"</f>
        <v>403006</v>
      </c>
    </row>
    <row r="1588" spans="1:8" x14ac:dyDescent="0.25">
      <c r="E1588" t="str">
        <f>""</f>
        <v/>
      </c>
      <c r="F1588" t="str">
        <f>""</f>
        <v/>
      </c>
      <c r="H1588" t="str">
        <f>"602026"</f>
        <v>602026</v>
      </c>
    </row>
    <row r="1589" spans="1:8" x14ac:dyDescent="0.25">
      <c r="E1589" t="str">
        <f>""</f>
        <v/>
      </c>
      <c r="F1589" t="str">
        <f>""</f>
        <v/>
      </c>
      <c r="H1589" t="str">
        <f>"402112"</f>
        <v>402112</v>
      </c>
    </row>
    <row r="1590" spans="1:8" x14ac:dyDescent="0.25">
      <c r="E1590" t="str">
        <f>""</f>
        <v/>
      </c>
      <c r="F1590" t="str">
        <f>""</f>
        <v/>
      </c>
      <c r="H1590" t="str">
        <f>"/FS1.5"</f>
        <v>/FS1.5</v>
      </c>
    </row>
    <row r="1591" spans="1:8" x14ac:dyDescent="0.25">
      <c r="A1591" t="s">
        <v>455</v>
      </c>
      <c r="B1591">
        <v>78859</v>
      </c>
      <c r="C1591" s="3">
        <v>9461.5499999999993</v>
      </c>
      <c r="D1591" s="1">
        <v>43367</v>
      </c>
      <c r="E1591" t="str">
        <f>"96593"</f>
        <v>96593</v>
      </c>
      <c r="F1591" t="str">
        <f>"RIP RAP/PCT#1"</f>
        <v>RIP RAP/PCT#1</v>
      </c>
      <c r="G1591" s="2">
        <v>8458.4500000000007</v>
      </c>
      <c r="H1591" t="str">
        <f>"RIP RAP/PCT#1"</f>
        <v>RIP RAP/PCT#1</v>
      </c>
    </row>
    <row r="1592" spans="1:8" x14ac:dyDescent="0.25">
      <c r="E1592" t="str">
        <f>"96725"</f>
        <v>96725</v>
      </c>
      <c r="F1592" t="str">
        <f>"TICKET#1095808/1095817/PCT#1"</f>
        <v>TICKET#1095808/1095817/PCT#1</v>
      </c>
      <c r="G1592" s="2">
        <v>1003.1</v>
      </c>
      <c r="H1592" t="str">
        <f>"TICKET#1095808/1095817/PCT#1"</f>
        <v>TICKET#1095808/1095817/PCT#1</v>
      </c>
    </row>
    <row r="1593" spans="1:8" x14ac:dyDescent="0.25">
      <c r="A1593" t="s">
        <v>529</v>
      </c>
      <c r="B1593">
        <v>78686</v>
      </c>
      <c r="C1593" s="3">
        <v>47080.75</v>
      </c>
      <c r="D1593" s="1">
        <v>43356</v>
      </c>
      <c r="E1593" t="str">
        <f>"201809133756"</f>
        <v>201809133756</v>
      </c>
      <c r="F1593" t="str">
        <f>"3.098 ACRES - SURVEY A58 - P3"</f>
        <v>3.098 ACRES - SURVEY A58 - P3</v>
      </c>
      <c r="G1593" s="2">
        <v>47080.75</v>
      </c>
      <c r="H1593" t="str">
        <f>"3.098 ACRES - SURVEY A58 - P3"</f>
        <v>3.098 ACRES - SURVEY A58 - P3</v>
      </c>
    </row>
    <row r="1594" spans="1:8" x14ac:dyDescent="0.25">
      <c r="A1594" t="s">
        <v>31</v>
      </c>
      <c r="B1594">
        <v>78860</v>
      </c>
      <c r="C1594" s="3">
        <v>2419.1999999999998</v>
      </c>
      <c r="D1594" s="1">
        <v>43367</v>
      </c>
      <c r="E1594" t="str">
        <f>"20509-WC4  (240)"</f>
        <v>20509-WC4  (240)</v>
      </c>
      <c r="F1594" t="str">
        <f>"4TH QTR WRKRS COMP/MEMBER#0110"</f>
        <v>4TH QTR WRKRS COMP/MEMBER#0110</v>
      </c>
      <c r="G1594" s="2">
        <v>70.62</v>
      </c>
      <c r="H1594" t="str">
        <f>"4TH QTR WRKRS COMP/MEMBER#0110"</f>
        <v>4TH QTR WRKRS COMP/MEMBER#0110</v>
      </c>
    </row>
    <row r="1595" spans="1:8" x14ac:dyDescent="0.25">
      <c r="E1595" t="str">
        <f>"20509-WC4  (245)"</f>
        <v>20509-WC4  (245)</v>
      </c>
      <c r="F1595" t="str">
        <f>"4TH QTR WRKRS COMP/MEMBER#0110"</f>
        <v>4TH QTR WRKRS COMP/MEMBER#0110</v>
      </c>
      <c r="G1595" s="2">
        <v>2348.58</v>
      </c>
      <c r="H1595" t="str">
        <f>"4TH QTR WRKRS COMP/MEMBER#0110"</f>
        <v>4TH QTR WRKRS COMP/MEMBER#0110</v>
      </c>
    </row>
    <row r="1596" spans="1:8" x14ac:dyDescent="0.25">
      <c r="A1596" t="s">
        <v>530</v>
      </c>
      <c r="B1596">
        <v>78674</v>
      </c>
      <c r="C1596" s="3">
        <v>6678.96</v>
      </c>
      <c r="D1596" s="1">
        <v>43353</v>
      </c>
      <c r="E1596" t="str">
        <f>"9-2447-8"</f>
        <v>9-2447-8</v>
      </c>
      <c r="F1596" t="str">
        <f>"Inv# 9-2447-8"</f>
        <v>Inv# 9-2447-8</v>
      </c>
      <c r="G1596" s="2">
        <v>6678.96</v>
      </c>
      <c r="H1596" t="str">
        <f>"Payment"</f>
        <v>Payment</v>
      </c>
    </row>
    <row r="1597" spans="1:8" x14ac:dyDescent="0.25">
      <c r="A1597" t="s">
        <v>492</v>
      </c>
      <c r="B1597">
        <v>78861</v>
      </c>
      <c r="C1597" s="3">
        <v>2875</v>
      </c>
      <c r="D1597" s="1">
        <v>43367</v>
      </c>
      <c r="E1597" t="str">
        <f>"025- 235022"</f>
        <v>025- 235022</v>
      </c>
      <c r="F1597" t="str">
        <f>"CUST#42161/ORD#04508"</f>
        <v>CUST#42161/ORD#04508</v>
      </c>
      <c r="G1597" s="2">
        <v>521.91999999999996</v>
      </c>
      <c r="H1597" t="str">
        <f>"CUST#42161/ORD#04508"</f>
        <v>CUST#42161/ORD#04508</v>
      </c>
    </row>
    <row r="1598" spans="1:8" x14ac:dyDescent="0.25">
      <c r="E1598" t="str">
        <f>"025-234689"</f>
        <v>025-234689</v>
      </c>
      <c r="F1598" t="str">
        <f>"CUST#42161/ORD#94598"</f>
        <v>CUST#42161/ORD#94598</v>
      </c>
      <c r="G1598" s="2">
        <v>1000</v>
      </c>
      <c r="H1598" t="str">
        <f>"CUST#42161/ORD#94598"</f>
        <v>CUST#42161/ORD#94598</v>
      </c>
    </row>
    <row r="1599" spans="1:8" x14ac:dyDescent="0.25">
      <c r="E1599" t="str">
        <f>"025-235022"</f>
        <v>025-235022</v>
      </c>
      <c r="F1599" t="str">
        <f>"CUST#42161/ORD#04508"</f>
        <v>CUST#42161/ORD#04508</v>
      </c>
      <c r="G1599" s="2">
        <v>1353.08</v>
      </c>
      <c r="H1599" t="str">
        <f>"CUST#42161/ORD#04508"</f>
        <v>CUST#42161/ORD#04508</v>
      </c>
    </row>
    <row r="1600" spans="1:8" x14ac:dyDescent="0.25">
      <c r="A1600" t="s">
        <v>500</v>
      </c>
      <c r="B1600">
        <v>78675</v>
      </c>
      <c r="C1600" s="3">
        <v>1917.13</v>
      </c>
      <c r="D1600" s="1">
        <v>43353</v>
      </c>
      <c r="E1600" t="str">
        <f>"869395921834"</f>
        <v>869395921834</v>
      </c>
      <c r="F1600" t="str">
        <f>"Inv# 869395921834"</f>
        <v>Inv# 869395921834</v>
      </c>
      <c r="G1600" s="2">
        <v>1917.13</v>
      </c>
      <c r="H1600" t="str">
        <f>"Tag# 8473"</f>
        <v>Tag# 8473</v>
      </c>
    </row>
    <row r="1601" spans="1:8" x14ac:dyDescent="0.25">
      <c r="E1601" t="str">
        <f>""</f>
        <v/>
      </c>
      <c r="F1601" t="str">
        <f>""</f>
        <v/>
      </c>
      <c r="H1601" t="str">
        <f>"Tag# 8475"</f>
        <v>Tag# 8475</v>
      </c>
    </row>
    <row r="1602" spans="1:8" x14ac:dyDescent="0.25">
      <c r="E1602" t="str">
        <f>""</f>
        <v/>
      </c>
      <c r="F1602" t="str">
        <f>""</f>
        <v/>
      </c>
      <c r="H1602" t="str">
        <f>"Tag# 8476"</f>
        <v>Tag# 8476</v>
      </c>
    </row>
    <row r="1603" spans="1:8" x14ac:dyDescent="0.25">
      <c r="E1603" t="str">
        <f>""</f>
        <v/>
      </c>
      <c r="F1603" t="str">
        <f>""</f>
        <v/>
      </c>
      <c r="H1603" t="str">
        <f>"Tag# 8477"</f>
        <v>Tag# 8477</v>
      </c>
    </row>
    <row r="1604" spans="1:8" x14ac:dyDescent="0.25">
      <c r="E1604" t="str">
        <f>""</f>
        <v/>
      </c>
      <c r="F1604" t="str">
        <f>""</f>
        <v/>
      </c>
      <c r="H1604" t="str">
        <f>"Tag# 8508"</f>
        <v>Tag# 8508</v>
      </c>
    </row>
    <row r="1605" spans="1:8" x14ac:dyDescent="0.25">
      <c r="A1605" t="s">
        <v>507</v>
      </c>
      <c r="B1605">
        <v>78676</v>
      </c>
      <c r="C1605" s="3">
        <v>271.16000000000003</v>
      </c>
      <c r="D1605" s="1">
        <v>43353</v>
      </c>
      <c r="E1605" t="str">
        <f>"007906/002907"</f>
        <v>007906/002907</v>
      </c>
      <c r="F1605" t="str">
        <f>"Acct# 6032202005312476"</f>
        <v>Acct# 6032202005312476</v>
      </c>
      <c r="G1605" s="2">
        <v>271.16000000000003</v>
      </c>
      <c r="H1605" t="str">
        <f>"Inv# 007906"</f>
        <v>Inv# 007906</v>
      </c>
    </row>
    <row r="1606" spans="1:8" x14ac:dyDescent="0.25">
      <c r="E1606" t="str">
        <f>""</f>
        <v/>
      </c>
      <c r="F1606" t="str">
        <f>""</f>
        <v/>
      </c>
      <c r="H1606" t="str">
        <f>"Inv# 002907"</f>
        <v>Inv# 002907</v>
      </c>
    </row>
    <row r="1607" spans="1:8" x14ac:dyDescent="0.25">
      <c r="A1607" t="s">
        <v>518</v>
      </c>
      <c r="B1607">
        <v>78677</v>
      </c>
      <c r="C1607" s="3">
        <v>109.2</v>
      </c>
      <c r="D1607" s="1">
        <v>43353</v>
      </c>
      <c r="E1607" t="str">
        <f>"4911507"</f>
        <v>4911507</v>
      </c>
      <c r="F1607" t="str">
        <f>"Fuels mitigation Items"</f>
        <v>Fuels mitigation Items</v>
      </c>
      <c r="G1607" s="2">
        <v>109.2</v>
      </c>
      <c r="H1607" t="str">
        <f>"Zoro #: G3490943"</f>
        <v>Zoro #: G3490943</v>
      </c>
    </row>
    <row r="1608" spans="1:8" x14ac:dyDescent="0.25">
      <c r="E1608" t="str">
        <f>""</f>
        <v/>
      </c>
      <c r="F1608" t="str">
        <f>""</f>
        <v/>
      </c>
      <c r="H1608" t="str">
        <f>"Zoro #: G5061567"</f>
        <v>Zoro #: G5061567</v>
      </c>
    </row>
    <row r="1609" spans="1:8" x14ac:dyDescent="0.25">
      <c r="E1609" t="str">
        <f>""</f>
        <v/>
      </c>
      <c r="F1609" t="str">
        <f>""</f>
        <v/>
      </c>
      <c r="H1609" t="str">
        <f>"Zoro #: G3314893"</f>
        <v>Zoro #: G3314893</v>
      </c>
    </row>
    <row r="1610" spans="1:8" x14ac:dyDescent="0.25">
      <c r="E1610" t="str">
        <f>""</f>
        <v/>
      </c>
      <c r="F1610" t="str">
        <f>""</f>
        <v/>
      </c>
      <c r="H1610" t="str">
        <f>"Zoro #: G4118375"</f>
        <v>Zoro #: G4118375</v>
      </c>
    </row>
    <row r="1611" spans="1:8" x14ac:dyDescent="0.25">
      <c r="A1611" t="s">
        <v>531</v>
      </c>
      <c r="B1611">
        <v>0</v>
      </c>
      <c r="C1611" s="3">
        <v>6579.64</v>
      </c>
      <c r="D1611" s="1">
        <v>43368</v>
      </c>
      <c r="E1611" t="str">
        <f>"201809253927"</f>
        <v>201809253927</v>
      </c>
      <c r="F1611" t="str">
        <f>"ALLSTATE-AMERICAN HERITAGE LIF"</f>
        <v>ALLSTATE-AMERICAN HERITAGE LIF</v>
      </c>
      <c r="G1611" s="2">
        <v>0.04</v>
      </c>
      <c r="H1611" t="str">
        <f>"ALLSTATE-AMERICAN HERITAGE LIF"</f>
        <v>ALLSTATE-AMERICAN HERITAGE LIF</v>
      </c>
    </row>
    <row r="1612" spans="1:8" x14ac:dyDescent="0.25">
      <c r="E1612" t="str">
        <f>"AS 201809053424"</f>
        <v>AS 201809053424</v>
      </c>
      <c r="F1612" t="str">
        <f t="shared" ref="F1612:F1625" si="13">"ALLSTATE"</f>
        <v>ALLSTATE</v>
      </c>
      <c r="G1612" s="2">
        <v>605.63</v>
      </c>
      <c r="H1612" t="str">
        <f t="shared" ref="H1612:H1625" si="14">"ALLSTATE"</f>
        <v>ALLSTATE</v>
      </c>
    </row>
    <row r="1613" spans="1:8" x14ac:dyDescent="0.25">
      <c r="E1613" t="str">
        <f>"AS 201809053425"</f>
        <v>AS 201809053425</v>
      </c>
      <c r="F1613" t="str">
        <f t="shared" si="13"/>
        <v>ALLSTATE</v>
      </c>
      <c r="G1613" s="2">
        <v>36.14</v>
      </c>
      <c r="H1613" t="str">
        <f t="shared" si="14"/>
        <v>ALLSTATE</v>
      </c>
    </row>
    <row r="1614" spans="1:8" x14ac:dyDescent="0.25">
      <c r="E1614" t="str">
        <f>"AS 201809193851"</f>
        <v>AS 201809193851</v>
      </c>
      <c r="F1614" t="str">
        <f t="shared" si="13"/>
        <v>ALLSTATE</v>
      </c>
      <c r="G1614" s="2">
        <v>605.63</v>
      </c>
      <c r="H1614" t="str">
        <f t="shared" si="14"/>
        <v>ALLSTATE</v>
      </c>
    </row>
    <row r="1615" spans="1:8" x14ac:dyDescent="0.25">
      <c r="E1615" t="str">
        <f>"AS 201809193863"</f>
        <v>AS 201809193863</v>
      </c>
      <c r="F1615" t="str">
        <f t="shared" si="13"/>
        <v>ALLSTATE</v>
      </c>
      <c r="G1615" s="2">
        <v>36.14</v>
      </c>
      <c r="H1615" t="str">
        <f t="shared" si="14"/>
        <v>ALLSTATE</v>
      </c>
    </row>
    <row r="1616" spans="1:8" x14ac:dyDescent="0.25">
      <c r="E1616" t="str">
        <f>"ASD201809053424"</f>
        <v>ASD201809053424</v>
      </c>
      <c r="F1616" t="str">
        <f t="shared" si="13"/>
        <v>ALLSTATE</v>
      </c>
      <c r="G1616" s="2">
        <v>228.95</v>
      </c>
      <c r="H1616" t="str">
        <f t="shared" si="14"/>
        <v>ALLSTATE</v>
      </c>
    </row>
    <row r="1617" spans="1:8" x14ac:dyDescent="0.25">
      <c r="E1617" t="str">
        <f>"ASD201809193851"</f>
        <v>ASD201809193851</v>
      </c>
      <c r="F1617" t="str">
        <f t="shared" si="13"/>
        <v>ALLSTATE</v>
      </c>
      <c r="G1617" s="2">
        <v>228.95</v>
      </c>
      <c r="H1617" t="str">
        <f t="shared" si="14"/>
        <v>ALLSTATE</v>
      </c>
    </row>
    <row r="1618" spans="1:8" x14ac:dyDescent="0.25">
      <c r="E1618" t="str">
        <f>"ASI201809053424"</f>
        <v>ASI201809053424</v>
      </c>
      <c r="F1618" t="str">
        <f t="shared" si="13"/>
        <v>ALLSTATE</v>
      </c>
      <c r="G1618" s="2">
        <v>758.12</v>
      </c>
      <c r="H1618" t="str">
        <f t="shared" si="14"/>
        <v>ALLSTATE</v>
      </c>
    </row>
    <row r="1619" spans="1:8" x14ac:dyDescent="0.25">
      <c r="E1619" t="str">
        <f>"ASI201809053425"</f>
        <v>ASI201809053425</v>
      </c>
      <c r="F1619" t="str">
        <f t="shared" si="13"/>
        <v>ALLSTATE</v>
      </c>
      <c r="G1619" s="2">
        <v>100.63</v>
      </c>
      <c r="H1619" t="str">
        <f t="shared" si="14"/>
        <v>ALLSTATE</v>
      </c>
    </row>
    <row r="1620" spans="1:8" x14ac:dyDescent="0.25">
      <c r="E1620" t="str">
        <f>"ASI201809193851"</f>
        <v>ASI201809193851</v>
      </c>
      <c r="F1620" t="str">
        <f t="shared" si="13"/>
        <v>ALLSTATE</v>
      </c>
      <c r="G1620" s="2">
        <v>758.12</v>
      </c>
      <c r="H1620" t="str">
        <f t="shared" si="14"/>
        <v>ALLSTATE</v>
      </c>
    </row>
    <row r="1621" spans="1:8" x14ac:dyDescent="0.25">
      <c r="E1621" t="str">
        <f>"ASI201809193863"</f>
        <v>ASI201809193863</v>
      </c>
      <c r="F1621" t="str">
        <f t="shared" si="13"/>
        <v>ALLSTATE</v>
      </c>
      <c r="G1621" s="2">
        <v>100.63</v>
      </c>
      <c r="H1621" t="str">
        <f t="shared" si="14"/>
        <v>ALLSTATE</v>
      </c>
    </row>
    <row r="1622" spans="1:8" x14ac:dyDescent="0.25">
      <c r="E1622" t="str">
        <f>"AST201809053424"</f>
        <v>AST201809053424</v>
      </c>
      <c r="F1622" t="str">
        <f t="shared" si="13"/>
        <v>ALLSTATE</v>
      </c>
      <c r="G1622" s="2">
        <v>1506.5</v>
      </c>
      <c r="H1622" t="str">
        <f t="shared" si="14"/>
        <v>ALLSTATE</v>
      </c>
    </row>
    <row r="1623" spans="1:8" x14ac:dyDescent="0.25">
      <c r="E1623" t="str">
        <f>"AST201809053425"</f>
        <v>AST201809053425</v>
      </c>
      <c r="F1623" t="str">
        <f t="shared" si="13"/>
        <v>ALLSTATE</v>
      </c>
      <c r="G1623" s="2">
        <v>53.83</v>
      </c>
      <c r="H1623" t="str">
        <f t="shared" si="14"/>
        <v>ALLSTATE</v>
      </c>
    </row>
    <row r="1624" spans="1:8" x14ac:dyDescent="0.25">
      <c r="E1624" t="str">
        <f>"AST201809193851"</f>
        <v>AST201809193851</v>
      </c>
      <c r="F1624" t="str">
        <f t="shared" si="13"/>
        <v>ALLSTATE</v>
      </c>
      <c r="G1624" s="2">
        <v>1506.5</v>
      </c>
      <c r="H1624" t="str">
        <f t="shared" si="14"/>
        <v>ALLSTATE</v>
      </c>
    </row>
    <row r="1625" spans="1:8" x14ac:dyDescent="0.25">
      <c r="E1625" t="str">
        <f>"AST201809193863"</f>
        <v>AST201809193863</v>
      </c>
      <c r="F1625" t="str">
        <f t="shared" si="13"/>
        <v>ALLSTATE</v>
      </c>
      <c r="G1625" s="2">
        <v>53.83</v>
      </c>
      <c r="H1625" t="str">
        <f t="shared" si="14"/>
        <v>ALLSTATE</v>
      </c>
    </row>
    <row r="1626" spans="1:8" x14ac:dyDescent="0.25">
      <c r="A1626" t="s">
        <v>532</v>
      </c>
      <c r="B1626">
        <v>0</v>
      </c>
      <c r="C1626" s="3">
        <v>2726.37</v>
      </c>
      <c r="D1626" s="1">
        <v>43350</v>
      </c>
      <c r="E1626" t="str">
        <f>"DHM201809053426"</f>
        <v>DHM201809053426</v>
      </c>
      <c r="F1626" t="str">
        <f>"AP - DENTAL HMO"</f>
        <v>AP - DENTAL HMO</v>
      </c>
      <c r="G1626" s="2">
        <v>45.09</v>
      </c>
      <c r="H1626" t="str">
        <f>"AP - DENTAL HMO"</f>
        <v>AP - DENTAL HMO</v>
      </c>
    </row>
    <row r="1627" spans="1:8" x14ac:dyDescent="0.25">
      <c r="E1627" t="str">
        <f>"DTX201809053426"</f>
        <v>DTX201809053426</v>
      </c>
      <c r="F1627" t="str">
        <f>"AP - TEXAS DENTAL"</f>
        <v>AP - TEXAS DENTAL</v>
      </c>
      <c r="G1627" s="2">
        <v>388.16</v>
      </c>
      <c r="H1627" t="str">
        <f>"AP - TEXAS DENTAL"</f>
        <v>AP - TEXAS DENTAL</v>
      </c>
    </row>
    <row r="1628" spans="1:8" x14ac:dyDescent="0.25">
      <c r="E1628" t="str">
        <f>"FD 201809053426"</f>
        <v>FD 201809053426</v>
      </c>
      <c r="F1628" t="str">
        <f>"AP - FT DEARBORN PRE-TAX"</f>
        <v>AP - FT DEARBORN PRE-TAX</v>
      </c>
      <c r="G1628" s="2">
        <v>270.67</v>
      </c>
      <c r="H1628" t="str">
        <f>"AP - FT DEARBORN PRE-TAX"</f>
        <v>AP - FT DEARBORN PRE-TAX</v>
      </c>
    </row>
    <row r="1629" spans="1:8" x14ac:dyDescent="0.25">
      <c r="E1629" t="str">
        <f>"FDT201809053426"</f>
        <v>FDT201809053426</v>
      </c>
      <c r="F1629" t="str">
        <f>"AP - FT DEARBORN AFTER TAX"</f>
        <v>AP - FT DEARBORN AFTER TAX</v>
      </c>
      <c r="G1629" s="2">
        <v>69.56</v>
      </c>
      <c r="H1629" t="str">
        <f>"AP - FT DEARBORN AFTER TAX"</f>
        <v>AP - FT DEARBORN AFTER TAX</v>
      </c>
    </row>
    <row r="1630" spans="1:8" x14ac:dyDescent="0.25">
      <c r="E1630" t="str">
        <f>"FLX201809053426"</f>
        <v>FLX201809053426</v>
      </c>
      <c r="F1630" t="str">
        <f>"AP - TEX FLEX"</f>
        <v>AP - TEX FLEX</v>
      </c>
      <c r="G1630" s="2">
        <v>184</v>
      </c>
      <c r="H1630" t="str">
        <f>"AP - TEX FLEX"</f>
        <v>AP - TEX FLEX</v>
      </c>
    </row>
    <row r="1631" spans="1:8" x14ac:dyDescent="0.25">
      <c r="E1631" t="str">
        <f>"MHS201809053426"</f>
        <v>MHS201809053426</v>
      </c>
      <c r="F1631" t="str">
        <f>"AP - HEALTH SELECT MEDICAL"</f>
        <v>AP - HEALTH SELECT MEDICAL</v>
      </c>
      <c r="G1631" s="2">
        <v>1316.8</v>
      </c>
      <c r="H1631" t="str">
        <f>"AP - HEALTH SELECT MEDICAL"</f>
        <v>AP - HEALTH SELECT MEDICAL</v>
      </c>
    </row>
    <row r="1632" spans="1:8" x14ac:dyDescent="0.25">
      <c r="E1632" t="str">
        <f>"MSW201809053426"</f>
        <v>MSW201809053426</v>
      </c>
      <c r="F1632" t="str">
        <f>"AP - SCOTT &amp; WHITE MEDICAL"</f>
        <v>AP - SCOTT &amp; WHITE MEDICAL</v>
      </c>
      <c r="G1632" s="2">
        <v>431.02</v>
      </c>
      <c r="H1632" t="str">
        <f>"AP - SCOTT &amp; WHITE MEDICAL"</f>
        <v>AP - SCOTT &amp; WHITE MEDICAL</v>
      </c>
    </row>
    <row r="1633" spans="1:8" x14ac:dyDescent="0.25">
      <c r="E1633" t="str">
        <f>"SPE201809053426"</f>
        <v>SPE201809053426</v>
      </c>
      <c r="F1633" t="str">
        <f>"AP - STATE VISION"</f>
        <v>AP - STATE VISION</v>
      </c>
      <c r="G1633" s="2">
        <v>21.07</v>
      </c>
      <c r="H1633" t="str">
        <f>"AP - STATE VISION"</f>
        <v>AP - STATE VISION</v>
      </c>
    </row>
    <row r="1634" spans="1:8" x14ac:dyDescent="0.25">
      <c r="A1634" t="s">
        <v>532</v>
      </c>
      <c r="B1634">
        <v>0</v>
      </c>
      <c r="C1634" s="3">
        <v>2992.42</v>
      </c>
      <c r="D1634" s="1">
        <v>43364</v>
      </c>
      <c r="E1634" t="str">
        <f>"DHM201809193864"</f>
        <v>DHM201809193864</v>
      </c>
      <c r="F1634" t="str">
        <f>"AP - DENTAL HMO"</f>
        <v>AP - DENTAL HMO</v>
      </c>
      <c r="G1634" s="2">
        <v>58.5</v>
      </c>
      <c r="H1634" t="str">
        <f>"AP - DENTAL HMO"</f>
        <v>AP - DENTAL HMO</v>
      </c>
    </row>
    <row r="1635" spans="1:8" x14ac:dyDescent="0.25">
      <c r="E1635" t="str">
        <f>"DTX201809193864"</f>
        <v>DTX201809193864</v>
      </c>
      <c r="F1635" t="str">
        <f>"AP - TEXAS DENTAL"</f>
        <v>AP - TEXAS DENTAL</v>
      </c>
      <c r="G1635" s="2">
        <v>388.16</v>
      </c>
      <c r="H1635" t="str">
        <f>"AP - TEXAS DENTAL"</f>
        <v>AP - TEXAS DENTAL</v>
      </c>
    </row>
    <row r="1636" spans="1:8" x14ac:dyDescent="0.25">
      <c r="E1636" t="str">
        <f>"FD 201809193864"</f>
        <v>FD 201809193864</v>
      </c>
      <c r="F1636" t="str">
        <f>"AP - FT DEARBORN PRE-TAX"</f>
        <v>AP - FT DEARBORN PRE-TAX</v>
      </c>
      <c r="G1636" s="2">
        <v>270.67</v>
      </c>
      <c r="H1636" t="str">
        <f>"AP - FT DEARBORN PRE-TAX"</f>
        <v>AP - FT DEARBORN PRE-TAX</v>
      </c>
    </row>
    <row r="1637" spans="1:8" x14ac:dyDescent="0.25">
      <c r="E1637" t="str">
        <f>"FDT201809193864"</f>
        <v>FDT201809193864</v>
      </c>
      <c r="F1637" t="str">
        <f>"AP - FT DEARBORN AFTER TAX"</f>
        <v>AP - FT DEARBORN AFTER TAX</v>
      </c>
      <c r="G1637" s="2">
        <v>69.56</v>
      </c>
      <c r="H1637" t="str">
        <f>"AP - FT DEARBORN AFTER TAX"</f>
        <v>AP - FT DEARBORN AFTER TAX</v>
      </c>
    </row>
    <row r="1638" spans="1:8" x14ac:dyDescent="0.25">
      <c r="E1638" t="str">
        <f>"FLX201809193864"</f>
        <v>FLX201809193864</v>
      </c>
      <c r="F1638" t="str">
        <f>"AP - TEX FLEX"</f>
        <v>AP - TEX FLEX</v>
      </c>
      <c r="G1638" s="2">
        <v>184</v>
      </c>
      <c r="H1638" t="str">
        <f>"AP - TEX FLEX"</f>
        <v>AP - TEX FLEX</v>
      </c>
    </row>
    <row r="1639" spans="1:8" x14ac:dyDescent="0.25">
      <c r="E1639" t="str">
        <f>"MHS201809193864"</f>
        <v>MHS201809193864</v>
      </c>
      <c r="F1639" t="str">
        <f>"AP - HEALTH SELECT MEDICAL"</f>
        <v>AP - HEALTH SELECT MEDICAL</v>
      </c>
      <c r="G1639" s="2">
        <v>1556.5</v>
      </c>
      <c r="H1639" t="str">
        <f>"AP - HEALTH SELECT MEDICAL"</f>
        <v>AP - HEALTH SELECT MEDICAL</v>
      </c>
    </row>
    <row r="1640" spans="1:8" x14ac:dyDescent="0.25">
      <c r="E1640" t="str">
        <f>"MSW201809193864"</f>
        <v>MSW201809193864</v>
      </c>
      <c r="F1640" t="str">
        <f>"AP - SCOTT &amp; WHITE MEDICAL"</f>
        <v>AP - SCOTT &amp; WHITE MEDICAL</v>
      </c>
      <c r="G1640" s="2">
        <v>431.02</v>
      </c>
      <c r="H1640" t="str">
        <f>"AP - SCOTT &amp; WHITE MEDICAL"</f>
        <v>AP - SCOTT &amp; WHITE MEDICAL</v>
      </c>
    </row>
    <row r="1641" spans="1:8" x14ac:dyDescent="0.25">
      <c r="E1641" t="str">
        <f>"SPE201809193864"</f>
        <v>SPE201809193864</v>
      </c>
      <c r="F1641" t="str">
        <f>"AP - STATE VISION"</f>
        <v>AP - STATE VISION</v>
      </c>
      <c r="G1641" s="2">
        <v>34.01</v>
      </c>
      <c r="H1641" t="str">
        <f>"AP - STATE VISION"</f>
        <v>AP - STATE VISION</v>
      </c>
    </row>
    <row r="1642" spans="1:8" x14ac:dyDescent="0.25">
      <c r="A1642" t="s">
        <v>533</v>
      </c>
      <c r="B1642">
        <v>46625</v>
      </c>
      <c r="C1642" s="3">
        <v>385.79</v>
      </c>
      <c r="D1642" s="1">
        <v>43364</v>
      </c>
      <c r="E1642" t="str">
        <f>"201809213884"</f>
        <v>201809213884</v>
      </c>
      <c r="F1642" t="str">
        <f>"BRENDA MEUTH - Retiree Overpym"</f>
        <v>BRENDA MEUTH - Retiree Overpym</v>
      </c>
      <c r="G1642" s="2">
        <v>385.79</v>
      </c>
      <c r="H1642" t="str">
        <f>"BRENDA MEUTH - Retiree Overpym"</f>
        <v>BRENDA MEUTH - Retiree Overpym</v>
      </c>
    </row>
    <row r="1643" spans="1:8" x14ac:dyDescent="0.25">
      <c r="A1643" t="s">
        <v>534</v>
      </c>
      <c r="B1643">
        <v>0</v>
      </c>
      <c r="C1643" s="3">
        <v>4887.1000000000004</v>
      </c>
      <c r="D1643" s="1">
        <v>43368</v>
      </c>
      <c r="E1643" t="str">
        <f>"201809253926"</f>
        <v>201809253926</v>
      </c>
      <c r="F1643" t="str">
        <f>"COLONIAL LIFE &amp; ACCIDENT INS."</f>
        <v>COLONIAL LIFE &amp; ACCIDENT INS.</v>
      </c>
      <c r="G1643" s="2">
        <v>-0.12</v>
      </c>
      <c r="H1643" t="str">
        <f>"COLONIAL LIFE &amp; ACCIDENT INS."</f>
        <v>COLONIAL LIFE &amp; ACCIDENT INS.</v>
      </c>
    </row>
    <row r="1644" spans="1:8" x14ac:dyDescent="0.25">
      <c r="E1644" t="str">
        <f>"CL 201809053424"</f>
        <v>CL 201809053424</v>
      </c>
      <c r="F1644" t="str">
        <f t="shared" ref="F1644:F1665" si="15">"COLONIAL"</f>
        <v>COLONIAL</v>
      </c>
      <c r="G1644" s="2">
        <v>748.43</v>
      </c>
      <c r="H1644" t="str">
        <f t="shared" ref="H1644:H1665" si="16">"COLONIAL"</f>
        <v>COLONIAL</v>
      </c>
    </row>
    <row r="1645" spans="1:8" x14ac:dyDescent="0.25">
      <c r="E1645" t="str">
        <f>"CL 201809053425"</f>
        <v>CL 201809053425</v>
      </c>
      <c r="F1645" t="str">
        <f t="shared" si="15"/>
        <v>COLONIAL</v>
      </c>
      <c r="G1645" s="2">
        <v>14.49</v>
      </c>
      <c r="H1645" t="str">
        <f t="shared" si="16"/>
        <v>COLONIAL</v>
      </c>
    </row>
    <row r="1646" spans="1:8" x14ac:dyDescent="0.25">
      <c r="E1646" t="str">
        <f>"CL 201809193851"</f>
        <v>CL 201809193851</v>
      </c>
      <c r="F1646" t="str">
        <f t="shared" si="15"/>
        <v>COLONIAL</v>
      </c>
      <c r="G1646" s="2">
        <v>769.59</v>
      </c>
      <c r="H1646" t="str">
        <f t="shared" si="16"/>
        <v>COLONIAL</v>
      </c>
    </row>
    <row r="1647" spans="1:8" x14ac:dyDescent="0.25">
      <c r="E1647" t="str">
        <f>"CL 201809193863"</f>
        <v>CL 201809193863</v>
      </c>
      <c r="F1647" t="str">
        <f t="shared" si="15"/>
        <v>COLONIAL</v>
      </c>
      <c r="G1647" s="2">
        <v>14.49</v>
      </c>
      <c r="H1647" t="str">
        <f t="shared" si="16"/>
        <v>COLONIAL</v>
      </c>
    </row>
    <row r="1648" spans="1:8" x14ac:dyDescent="0.25">
      <c r="E1648" t="str">
        <f>"CLC201809053424"</f>
        <v>CLC201809053424</v>
      </c>
      <c r="F1648" t="str">
        <f t="shared" si="15"/>
        <v>COLONIAL</v>
      </c>
      <c r="G1648" s="2">
        <v>33.99</v>
      </c>
      <c r="H1648" t="str">
        <f t="shared" si="16"/>
        <v>COLONIAL</v>
      </c>
    </row>
    <row r="1649" spans="5:8" x14ac:dyDescent="0.25">
      <c r="E1649" t="str">
        <f>"CLC201809193851"</f>
        <v>CLC201809193851</v>
      </c>
      <c r="F1649" t="str">
        <f t="shared" si="15"/>
        <v>COLONIAL</v>
      </c>
      <c r="G1649" s="2">
        <v>33.99</v>
      </c>
      <c r="H1649" t="str">
        <f t="shared" si="16"/>
        <v>COLONIAL</v>
      </c>
    </row>
    <row r="1650" spans="5:8" x14ac:dyDescent="0.25">
      <c r="E1650" t="str">
        <f>"CLI201809053424"</f>
        <v>CLI201809053424</v>
      </c>
      <c r="F1650" t="str">
        <f t="shared" si="15"/>
        <v>COLONIAL</v>
      </c>
      <c r="G1650" s="2">
        <v>617.97</v>
      </c>
      <c r="H1650" t="str">
        <f t="shared" si="16"/>
        <v>COLONIAL</v>
      </c>
    </row>
    <row r="1651" spans="5:8" x14ac:dyDescent="0.25">
      <c r="E1651" t="str">
        <f>"CLI201809053425"</f>
        <v>CLI201809053425</v>
      </c>
      <c r="F1651" t="str">
        <f t="shared" si="15"/>
        <v>COLONIAL</v>
      </c>
      <c r="G1651" s="2">
        <v>17.53</v>
      </c>
      <c r="H1651" t="str">
        <f t="shared" si="16"/>
        <v>COLONIAL</v>
      </c>
    </row>
    <row r="1652" spans="5:8" x14ac:dyDescent="0.25">
      <c r="E1652" t="str">
        <f>"CLI201809193851"</f>
        <v>CLI201809193851</v>
      </c>
      <c r="F1652" t="str">
        <f t="shared" si="15"/>
        <v>COLONIAL</v>
      </c>
      <c r="G1652" s="2">
        <v>617.97</v>
      </c>
      <c r="H1652" t="str">
        <f t="shared" si="16"/>
        <v>COLONIAL</v>
      </c>
    </row>
    <row r="1653" spans="5:8" x14ac:dyDescent="0.25">
      <c r="E1653" t="str">
        <f>"CLI201809193863"</f>
        <v>CLI201809193863</v>
      </c>
      <c r="F1653" t="str">
        <f t="shared" si="15"/>
        <v>COLONIAL</v>
      </c>
      <c r="G1653" s="2">
        <v>17.53</v>
      </c>
      <c r="H1653" t="str">
        <f t="shared" si="16"/>
        <v>COLONIAL</v>
      </c>
    </row>
    <row r="1654" spans="5:8" x14ac:dyDescent="0.25">
      <c r="E1654" t="str">
        <f>"CLK201809053424"</f>
        <v>CLK201809053424</v>
      </c>
      <c r="F1654" t="str">
        <f t="shared" si="15"/>
        <v>COLONIAL</v>
      </c>
      <c r="G1654" s="2">
        <v>27.09</v>
      </c>
      <c r="H1654" t="str">
        <f t="shared" si="16"/>
        <v>COLONIAL</v>
      </c>
    </row>
    <row r="1655" spans="5:8" x14ac:dyDescent="0.25">
      <c r="E1655" t="str">
        <f>"CLK201809193851"</f>
        <v>CLK201809193851</v>
      </c>
      <c r="F1655" t="str">
        <f t="shared" si="15"/>
        <v>COLONIAL</v>
      </c>
      <c r="G1655" s="2">
        <v>27.09</v>
      </c>
      <c r="H1655" t="str">
        <f t="shared" si="16"/>
        <v>COLONIAL</v>
      </c>
    </row>
    <row r="1656" spans="5:8" x14ac:dyDescent="0.25">
      <c r="E1656" t="str">
        <f>"CLS201809053424"</f>
        <v>CLS201809053424</v>
      </c>
      <c r="F1656" t="str">
        <f t="shared" si="15"/>
        <v>COLONIAL</v>
      </c>
      <c r="G1656" s="2">
        <v>423.24</v>
      </c>
      <c r="H1656" t="str">
        <f t="shared" si="16"/>
        <v>COLONIAL</v>
      </c>
    </row>
    <row r="1657" spans="5:8" x14ac:dyDescent="0.25">
      <c r="E1657" t="str">
        <f>"CLS201809053425"</f>
        <v>CLS201809053425</v>
      </c>
      <c r="F1657" t="str">
        <f t="shared" si="15"/>
        <v>COLONIAL</v>
      </c>
      <c r="G1657" s="2">
        <v>12.84</v>
      </c>
      <c r="H1657" t="str">
        <f t="shared" si="16"/>
        <v>COLONIAL</v>
      </c>
    </row>
    <row r="1658" spans="5:8" x14ac:dyDescent="0.25">
      <c r="E1658" t="str">
        <f>"CLS201809193851"</f>
        <v>CLS201809193851</v>
      </c>
      <c r="F1658" t="str">
        <f t="shared" si="15"/>
        <v>COLONIAL</v>
      </c>
      <c r="G1658" s="2">
        <v>437.52</v>
      </c>
      <c r="H1658" t="str">
        <f t="shared" si="16"/>
        <v>COLONIAL</v>
      </c>
    </row>
    <row r="1659" spans="5:8" x14ac:dyDescent="0.25">
      <c r="E1659" t="str">
        <f>"CLS201809193863"</f>
        <v>CLS201809193863</v>
      </c>
      <c r="F1659" t="str">
        <f t="shared" si="15"/>
        <v>COLONIAL</v>
      </c>
      <c r="G1659" s="2">
        <v>12.84</v>
      </c>
      <c r="H1659" t="str">
        <f t="shared" si="16"/>
        <v>COLONIAL</v>
      </c>
    </row>
    <row r="1660" spans="5:8" x14ac:dyDescent="0.25">
      <c r="E1660" t="str">
        <f>"CLT201809053424"</f>
        <v>CLT201809053424</v>
      </c>
      <c r="F1660" t="str">
        <f t="shared" si="15"/>
        <v>COLONIAL</v>
      </c>
      <c r="G1660" s="2">
        <v>323.23</v>
      </c>
      <c r="H1660" t="str">
        <f t="shared" si="16"/>
        <v>COLONIAL</v>
      </c>
    </row>
    <row r="1661" spans="5:8" x14ac:dyDescent="0.25">
      <c r="E1661" t="str">
        <f>"CLT201809193851"</f>
        <v>CLT201809193851</v>
      </c>
      <c r="F1661" t="str">
        <f t="shared" si="15"/>
        <v>COLONIAL</v>
      </c>
      <c r="G1661" s="2">
        <v>323.23</v>
      </c>
      <c r="H1661" t="str">
        <f t="shared" si="16"/>
        <v>COLONIAL</v>
      </c>
    </row>
    <row r="1662" spans="5:8" x14ac:dyDescent="0.25">
      <c r="E1662" t="str">
        <f>"CLU201809053424"</f>
        <v>CLU201809053424</v>
      </c>
      <c r="F1662" t="str">
        <f t="shared" si="15"/>
        <v>COLONIAL</v>
      </c>
      <c r="G1662" s="2">
        <v>149.02000000000001</v>
      </c>
      <c r="H1662" t="str">
        <f t="shared" si="16"/>
        <v>COLONIAL</v>
      </c>
    </row>
    <row r="1663" spans="5:8" x14ac:dyDescent="0.25">
      <c r="E1663" t="str">
        <f>"CLU201809193851"</f>
        <v>CLU201809193851</v>
      </c>
      <c r="F1663" t="str">
        <f t="shared" si="15"/>
        <v>COLONIAL</v>
      </c>
      <c r="G1663" s="2">
        <v>149.02000000000001</v>
      </c>
      <c r="H1663" t="str">
        <f t="shared" si="16"/>
        <v>COLONIAL</v>
      </c>
    </row>
    <row r="1664" spans="5:8" x14ac:dyDescent="0.25">
      <c r="E1664" t="str">
        <f>"CLW201809053424"</f>
        <v>CLW201809053424</v>
      </c>
      <c r="F1664" t="str">
        <f t="shared" si="15"/>
        <v>COLONIAL</v>
      </c>
      <c r="G1664" s="2">
        <v>58.06</v>
      </c>
      <c r="H1664" t="str">
        <f t="shared" si="16"/>
        <v>COLONIAL</v>
      </c>
    </row>
    <row r="1665" spans="1:8" x14ac:dyDescent="0.25">
      <c r="E1665" t="str">
        <f>"CLW201809193851"</f>
        <v>CLW201809193851</v>
      </c>
      <c r="F1665" t="str">
        <f t="shared" si="15"/>
        <v>COLONIAL</v>
      </c>
      <c r="G1665" s="2">
        <v>58.06</v>
      </c>
      <c r="H1665" t="str">
        <f t="shared" si="16"/>
        <v>COLONIAL</v>
      </c>
    </row>
    <row r="1666" spans="1:8" x14ac:dyDescent="0.25">
      <c r="A1666" t="s">
        <v>535</v>
      </c>
      <c r="B1666">
        <v>0</v>
      </c>
      <c r="C1666" s="3">
        <v>7499.06</v>
      </c>
      <c r="D1666" s="1">
        <v>43350</v>
      </c>
      <c r="E1666" t="str">
        <f>"CPI201809053424"</f>
        <v>CPI201809053424</v>
      </c>
      <c r="F1666" t="str">
        <f>"DEFERRED COMP 457B PAYABLE"</f>
        <v>DEFERRED COMP 457B PAYABLE</v>
      </c>
      <c r="G1666" s="2">
        <v>7391.56</v>
      </c>
      <c r="H1666" t="str">
        <f>"DEFERRED COMP 457B PAYABLE"</f>
        <v>DEFERRED COMP 457B PAYABLE</v>
      </c>
    </row>
    <row r="1667" spans="1:8" x14ac:dyDescent="0.25">
      <c r="E1667" t="str">
        <f>"CPI201809053425"</f>
        <v>CPI201809053425</v>
      </c>
      <c r="F1667" t="str">
        <f>"DEFERRED COMP 457B PAYABLE"</f>
        <v>DEFERRED COMP 457B PAYABLE</v>
      </c>
      <c r="G1667" s="2">
        <v>107.5</v>
      </c>
      <c r="H1667" t="str">
        <f>"DEFERRED COMP 457B PAYABLE"</f>
        <v>DEFERRED COMP 457B PAYABLE</v>
      </c>
    </row>
    <row r="1668" spans="1:8" x14ac:dyDescent="0.25">
      <c r="A1668" t="s">
        <v>535</v>
      </c>
      <c r="B1668">
        <v>0</v>
      </c>
      <c r="C1668" s="3">
        <v>7598.72</v>
      </c>
      <c r="D1668" s="1">
        <v>43364</v>
      </c>
      <c r="E1668" t="str">
        <f>"CPI201809193851"</f>
        <v>CPI201809193851</v>
      </c>
      <c r="F1668" t="str">
        <f>"DEFERRED COMP 457B PAYABLE"</f>
        <v>DEFERRED COMP 457B PAYABLE</v>
      </c>
      <c r="G1668" s="2">
        <v>7491.22</v>
      </c>
      <c r="H1668" t="str">
        <f>"DEFERRED COMP 457B PAYABLE"</f>
        <v>DEFERRED COMP 457B PAYABLE</v>
      </c>
    </row>
    <row r="1669" spans="1:8" x14ac:dyDescent="0.25">
      <c r="E1669" t="str">
        <f>"CPI201809193863"</f>
        <v>CPI201809193863</v>
      </c>
      <c r="F1669" t="str">
        <f>"DEFERRED COMP 457B PAYABLE"</f>
        <v>DEFERRED COMP 457B PAYABLE</v>
      </c>
      <c r="G1669" s="2">
        <v>107.5</v>
      </c>
      <c r="H1669" t="str">
        <f>"DEFERRED COMP 457B PAYABLE"</f>
        <v>DEFERRED COMP 457B PAYABLE</v>
      </c>
    </row>
    <row r="1670" spans="1:8" x14ac:dyDescent="0.25">
      <c r="A1670" t="s">
        <v>536</v>
      </c>
      <c r="B1670">
        <v>46597</v>
      </c>
      <c r="C1670" s="3">
        <v>1368.7</v>
      </c>
      <c r="D1670" s="1">
        <v>43350</v>
      </c>
      <c r="E1670" t="str">
        <f>"B13201809053424"</f>
        <v>B13201809053424</v>
      </c>
      <c r="F1670" t="str">
        <f>"Rosa Warren 15-10357-TMD"</f>
        <v>Rosa Warren 15-10357-TMD</v>
      </c>
      <c r="G1670" s="2">
        <v>853.85</v>
      </c>
      <c r="H1670" t="str">
        <f>"Rosa Warren 15-10357-TMD"</f>
        <v>Rosa Warren 15-10357-TMD</v>
      </c>
    </row>
    <row r="1671" spans="1:8" x14ac:dyDescent="0.25">
      <c r="E1671" t="str">
        <f>"BJL201809053424"</f>
        <v>BJL201809053424</v>
      </c>
      <c r="F1671" t="str">
        <f>"Julian Luna 14-10230-TMD"</f>
        <v>Julian Luna 14-10230-TMD</v>
      </c>
      <c r="G1671" s="2">
        <v>514.85</v>
      </c>
      <c r="H1671" t="str">
        <f>"Julian Luna 14-10230-TMD"</f>
        <v>Julian Luna 14-10230-TMD</v>
      </c>
    </row>
    <row r="1672" spans="1:8" x14ac:dyDescent="0.25">
      <c r="A1672" t="s">
        <v>536</v>
      </c>
      <c r="B1672">
        <v>46622</v>
      </c>
      <c r="C1672" s="3">
        <v>1368.7</v>
      </c>
      <c r="D1672" s="1">
        <v>43364</v>
      </c>
      <c r="E1672" t="str">
        <f>"B13201809193851"</f>
        <v>B13201809193851</v>
      </c>
      <c r="F1672" t="str">
        <f>"Rosa Warren 15-10357-TMD"</f>
        <v>Rosa Warren 15-10357-TMD</v>
      </c>
      <c r="G1672" s="2">
        <v>853.85</v>
      </c>
      <c r="H1672" t="str">
        <f>"Rosa Warren 15-10357-TMD"</f>
        <v>Rosa Warren 15-10357-TMD</v>
      </c>
    </row>
    <row r="1673" spans="1:8" x14ac:dyDescent="0.25">
      <c r="E1673" t="str">
        <f>"BJL201809193851"</f>
        <v>BJL201809193851</v>
      </c>
      <c r="F1673" t="str">
        <f>"Julian Luna 14-10230-TMD"</f>
        <v>Julian Luna 14-10230-TMD</v>
      </c>
      <c r="G1673" s="2">
        <v>514.85</v>
      </c>
      <c r="H1673" t="str">
        <f>"Julian Luna 14-10230-TMD"</f>
        <v>Julian Luna 14-10230-TMD</v>
      </c>
    </row>
    <row r="1674" spans="1:8" x14ac:dyDescent="0.25">
      <c r="A1674" t="s">
        <v>537</v>
      </c>
      <c r="B1674">
        <v>0</v>
      </c>
      <c r="C1674" s="3">
        <v>38031.61</v>
      </c>
      <c r="D1674" s="1">
        <v>43368</v>
      </c>
      <c r="E1674" t="str">
        <f>"201809253915"</f>
        <v>201809253915</v>
      </c>
      <c r="F1674" t="str">
        <f>"Dental Rounding Sept 2018"</f>
        <v>Dental Rounding Sept 2018</v>
      </c>
      <c r="G1674" s="2">
        <v>-6.03</v>
      </c>
      <c r="H1674" t="str">
        <f>"Dental Rounding Sept 2018"</f>
        <v>Dental Rounding Sept 2018</v>
      </c>
    </row>
    <row r="1675" spans="1:8" x14ac:dyDescent="0.25">
      <c r="E1675" t="str">
        <f>"201809253917"</f>
        <v>201809253917</v>
      </c>
      <c r="F1675" t="str">
        <f>"Life Ins Rounding Sept 2018"</f>
        <v>Life Ins Rounding Sept 2018</v>
      </c>
      <c r="G1675" s="2">
        <v>-0.38</v>
      </c>
      <c r="H1675" t="str">
        <f>"Life Ins Rounding Sept 2018"</f>
        <v>Life Ins Rounding Sept 2018</v>
      </c>
    </row>
    <row r="1676" spans="1:8" x14ac:dyDescent="0.25">
      <c r="E1676" t="str">
        <f>"201809253918"</f>
        <v>201809253918</v>
      </c>
      <c r="F1676" t="str">
        <f>"LTD Rounding Sept 2018"</f>
        <v>LTD Rounding Sept 2018</v>
      </c>
      <c r="G1676" s="2">
        <v>-0.11</v>
      </c>
      <c r="H1676" t="str">
        <f>"LTD Rounding Sept 2018"</f>
        <v>LTD Rounding Sept 2018</v>
      </c>
    </row>
    <row r="1677" spans="1:8" x14ac:dyDescent="0.25">
      <c r="E1677" t="str">
        <f>"201809253913"</f>
        <v>201809253913</v>
      </c>
      <c r="F1677" t="str">
        <f>"Retiree Dental/Vision Coverage"</f>
        <v>Retiree Dental/Vision Coverage</v>
      </c>
      <c r="G1677" s="2">
        <v>3039.05</v>
      </c>
      <c r="H1677" t="str">
        <f>"GUARDIAN"</f>
        <v>GUARDIAN</v>
      </c>
    </row>
    <row r="1678" spans="1:8" x14ac:dyDescent="0.25">
      <c r="E1678" t="str">
        <f>"201809253914"</f>
        <v>201809253914</v>
      </c>
      <c r="F1678" t="str">
        <f>"COBRA Sept 2018"</f>
        <v>COBRA Sept 2018</v>
      </c>
      <c r="G1678" s="2">
        <v>29.59</v>
      </c>
      <c r="H1678" t="str">
        <f>"COBRA Sept 2018"</f>
        <v>COBRA Sept 2018</v>
      </c>
    </row>
    <row r="1679" spans="1:8" x14ac:dyDescent="0.25">
      <c r="E1679" t="str">
        <f>"201809253916"</f>
        <v>201809253916</v>
      </c>
      <c r="F1679" t="str">
        <f>"Retiree Life Cover Sept 2018"</f>
        <v>Retiree Life Cover Sept 2018</v>
      </c>
      <c r="G1679" s="2">
        <v>135.29</v>
      </c>
      <c r="H1679" t="str">
        <f t="shared" ref="H1679:H1742" si="17">"GUARDIAN"</f>
        <v>GUARDIAN</v>
      </c>
    </row>
    <row r="1680" spans="1:8" x14ac:dyDescent="0.25">
      <c r="E1680" t="str">
        <f>"ADC201809053424"</f>
        <v>ADC201809053424</v>
      </c>
      <c r="F1680" t="str">
        <f t="shared" ref="F1680:F1692" si="18">"GUARDIAN"</f>
        <v>GUARDIAN</v>
      </c>
      <c r="G1680" s="2">
        <v>4.84</v>
      </c>
      <c r="H1680" t="str">
        <f t="shared" si="17"/>
        <v>GUARDIAN</v>
      </c>
    </row>
    <row r="1681" spans="5:8" x14ac:dyDescent="0.25">
      <c r="E1681" t="str">
        <f>"ADC201809053425"</f>
        <v>ADC201809053425</v>
      </c>
      <c r="F1681" t="str">
        <f t="shared" si="18"/>
        <v>GUARDIAN</v>
      </c>
      <c r="G1681" s="2">
        <v>0.16</v>
      </c>
      <c r="H1681" t="str">
        <f t="shared" si="17"/>
        <v>GUARDIAN</v>
      </c>
    </row>
    <row r="1682" spans="5:8" x14ac:dyDescent="0.25">
      <c r="E1682" t="str">
        <f>"ADC201809193851"</f>
        <v>ADC201809193851</v>
      </c>
      <c r="F1682" t="str">
        <f t="shared" si="18"/>
        <v>GUARDIAN</v>
      </c>
      <c r="G1682" s="2">
        <v>4.84</v>
      </c>
      <c r="H1682" t="str">
        <f t="shared" si="17"/>
        <v>GUARDIAN</v>
      </c>
    </row>
    <row r="1683" spans="5:8" x14ac:dyDescent="0.25">
      <c r="E1683" t="str">
        <f>"ADC201809193863"</f>
        <v>ADC201809193863</v>
      </c>
      <c r="F1683" t="str">
        <f t="shared" si="18"/>
        <v>GUARDIAN</v>
      </c>
      <c r="G1683" s="2">
        <v>0.16</v>
      </c>
      <c r="H1683" t="str">
        <f t="shared" si="17"/>
        <v>GUARDIAN</v>
      </c>
    </row>
    <row r="1684" spans="5:8" x14ac:dyDescent="0.25">
      <c r="E1684" t="str">
        <f>"ADE201809053424"</f>
        <v>ADE201809053424</v>
      </c>
      <c r="F1684" t="str">
        <f t="shared" si="18"/>
        <v>GUARDIAN</v>
      </c>
      <c r="G1684" s="2">
        <v>200.79</v>
      </c>
      <c r="H1684" t="str">
        <f t="shared" si="17"/>
        <v>GUARDIAN</v>
      </c>
    </row>
    <row r="1685" spans="5:8" x14ac:dyDescent="0.25">
      <c r="E1685" t="str">
        <f>"ADE201809053425"</f>
        <v>ADE201809053425</v>
      </c>
      <c r="F1685" t="str">
        <f t="shared" si="18"/>
        <v>GUARDIAN</v>
      </c>
      <c r="G1685" s="2">
        <v>7.8</v>
      </c>
      <c r="H1685" t="str">
        <f t="shared" si="17"/>
        <v>GUARDIAN</v>
      </c>
    </row>
    <row r="1686" spans="5:8" x14ac:dyDescent="0.25">
      <c r="E1686" t="str">
        <f>"ADE201809193851"</f>
        <v>ADE201809193851</v>
      </c>
      <c r="F1686" t="str">
        <f t="shared" si="18"/>
        <v>GUARDIAN</v>
      </c>
      <c r="G1686" s="2">
        <v>203.79</v>
      </c>
      <c r="H1686" t="str">
        <f t="shared" si="17"/>
        <v>GUARDIAN</v>
      </c>
    </row>
    <row r="1687" spans="5:8" x14ac:dyDescent="0.25">
      <c r="E1687" t="str">
        <f>"ADE201809193863"</f>
        <v>ADE201809193863</v>
      </c>
      <c r="F1687" t="str">
        <f t="shared" si="18"/>
        <v>GUARDIAN</v>
      </c>
      <c r="G1687" s="2">
        <v>7.8</v>
      </c>
      <c r="H1687" t="str">
        <f t="shared" si="17"/>
        <v>GUARDIAN</v>
      </c>
    </row>
    <row r="1688" spans="5:8" x14ac:dyDescent="0.25">
      <c r="E1688" t="str">
        <f>"ADS201809053424"</f>
        <v>ADS201809053424</v>
      </c>
      <c r="F1688" t="str">
        <f t="shared" si="18"/>
        <v>GUARDIAN</v>
      </c>
      <c r="G1688" s="2">
        <v>31.62</v>
      </c>
      <c r="H1688" t="str">
        <f t="shared" si="17"/>
        <v>GUARDIAN</v>
      </c>
    </row>
    <row r="1689" spans="5:8" x14ac:dyDescent="0.25">
      <c r="E1689" t="str">
        <f>"ADS201809053425"</f>
        <v>ADS201809053425</v>
      </c>
      <c r="F1689" t="str">
        <f t="shared" si="18"/>
        <v>GUARDIAN</v>
      </c>
      <c r="G1689" s="2">
        <v>0.98</v>
      </c>
      <c r="H1689" t="str">
        <f t="shared" si="17"/>
        <v>GUARDIAN</v>
      </c>
    </row>
    <row r="1690" spans="5:8" x14ac:dyDescent="0.25">
      <c r="E1690" t="str">
        <f>"ADS201809193851"</f>
        <v>ADS201809193851</v>
      </c>
      <c r="F1690" t="str">
        <f t="shared" si="18"/>
        <v>GUARDIAN</v>
      </c>
      <c r="G1690" s="2">
        <v>31.62</v>
      </c>
      <c r="H1690" t="str">
        <f t="shared" si="17"/>
        <v>GUARDIAN</v>
      </c>
    </row>
    <row r="1691" spans="5:8" x14ac:dyDescent="0.25">
      <c r="E1691" t="str">
        <f>"ADS201809193863"</f>
        <v>ADS201809193863</v>
      </c>
      <c r="F1691" t="str">
        <f t="shared" si="18"/>
        <v>GUARDIAN</v>
      </c>
      <c r="G1691" s="2">
        <v>0.98</v>
      </c>
      <c r="H1691" t="str">
        <f t="shared" si="17"/>
        <v>GUARDIAN</v>
      </c>
    </row>
    <row r="1692" spans="5:8" x14ac:dyDescent="0.25">
      <c r="E1692" t="str">
        <f>"GDC201809053424"</f>
        <v>GDC201809053424</v>
      </c>
      <c r="F1692" t="str">
        <f t="shared" si="18"/>
        <v>GUARDIAN</v>
      </c>
      <c r="G1692" s="2">
        <v>2644.65</v>
      </c>
      <c r="H1692" t="str">
        <f t="shared" si="17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17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17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17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17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17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17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17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17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17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17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17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17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17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17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17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17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17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17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17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17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17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17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17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17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17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17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17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17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17"/>
        <v>GUARDIAN</v>
      </c>
    </row>
    <row r="1722" spans="5:8" x14ac:dyDescent="0.25">
      <c r="E1722" t="str">
        <f>"GDC201809053425"</f>
        <v>GDC201809053425</v>
      </c>
      <c r="F1722" t="str">
        <f>"GUARDIAN"</f>
        <v>GUARDIAN</v>
      </c>
      <c r="G1722" s="2">
        <v>97.95</v>
      </c>
      <c r="H1722" t="str">
        <f t="shared" si="17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17"/>
        <v>GUARDIAN</v>
      </c>
    </row>
    <row r="1724" spans="5:8" x14ac:dyDescent="0.25">
      <c r="E1724" t="str">
        <f>"GDC201809193851"</f>
        <v>GDC201809193851</v>
      </c>
      <c r="F1724" t="str">
        <f>"GUARDIAN"</f>
        <v>GUARDIAN</v>
      </c>
      <c r="G1724" s="2">
        <v>2709.95</v>
      </c>
      <c r="H1724" t="str">
        <f t="shared" si="17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17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17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17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17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17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17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17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17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17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17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17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17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17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17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17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17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17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17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ref="H1743:H1806" si="19">"GUARDIAN"</f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19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19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19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19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19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19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19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19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19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19"/>
        <v>GUARDIAN</v>
      </c>
    </row>
    <row r="1754" spans="5:8" x14ac:dyDescent="0.25">
      <c r="E1754" t="str">
        <f>"GDC201809193863"</f>
        <v>GDC201809193863</v>
      </c>
      <c r="F1754" t="str">
        <f>"GUARDIAN"</f>
        <v>GUARDIAN</v>
      </c>
      <c r="G1754" s="2">
        <v>97.95</v>
      </c>
      <c r="H1754" t="str">
        <f t="shared" si="19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19"/>
        <v>GUARDIAN</v>
      </c>
    </row>
    <row r="1756" spans="5:8" x14ac:dyDescent="0.25">
      <c r="E1756" t="str">
        <f>"GDE201809053424"</f>
        <v>GDE201809053424</v>
      </c>
      <c r="F1756" t="str">
        <f>"GUARDIAN"</f>
        <v>GUARDIAN</v>
      </c>
      <c r="G1756" s="2">
        <v>3951.6</v>
      </c>
      <c r="H1756" t="str">
        <f t="shared" si="19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19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19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19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19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19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19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19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19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19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19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19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19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19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19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19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19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19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19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19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19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19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19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19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19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19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19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19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19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19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19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19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19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19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19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19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19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19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19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19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19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19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19"/>
        <v>GUARDIAN</v>
      </c>
    </row>
    <row r="1799" spans="5:8" x14ac:dyDescent="0.25">
      <c r="E1799" t="str">
        <f>"GDE201809053425"</f>
        <v>GDE201809053425</v>
      </c>
      <c r="F1799" t="str">
        <f>"GUARDIAN"</f>
        <v>GUARDIAN</v>
      </c>
      <c r="G1799" s="2">
        <v>148</v>
      </c>
      <c r="H1799" t="str">
        <f t="shared" si="19"/>
        <v>GUARDIAN</v>
      </c>
    </row>
    <row r="1800" spans="5:8" x14ac:dyDescent="0.25">
      <c r="E1800" t="str">
        <f>"GDE201809193851"</f>
        <v>GDE201809193851</v>
      </c>
      <c r="F1800" t="str">
        <f>"GUARDIAN"</f>
        <v>GUARDIAN</v>
      </c>
      <c r="G1800" s="2">
        <v>3981.2</v>
      </c>
      <c r="H1800" t="str">
        <f t="shared" si="19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19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19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19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19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19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19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ref="H1807:H1870" si="20">"GUARDIAN"</f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20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20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20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20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20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20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20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20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20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0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0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0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0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0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0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20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0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20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20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20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20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20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20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20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20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20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20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20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20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20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20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20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20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20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20"/>
        <v>GUARDIAN</v>
      </c>
    </row>
    <row r="1843" spans="5:8" x14ac:dyDescent="0.25">
      <c r="E1843" t="str">
        <f>"GDE201809193863"</f>
        <v>GDE201809193863</v>
      </c>
      <c r="F1843" t="str">
        <f>"GUARDIAN"</f>
        <v>GUARDIAN</v>
      </c>
      <c r="G1843" s="2">
        <v>148</v>
      </c>
      <c r="H1843" t="str">
        <f t="shared" si="20"/>
        <v>GUARDIAN</v>
      </c>
    </row>
    <row r="1844" spans="5:8" x14ac:dyDescent="0.25">
      <c r="E1844" t="str">
        <f>"GDF201809053424"</f>
        <v>GDF201809053424</v>
      </c>
      <c r="F1844" t="str">
        <f>"GUARDIAN"</f>
        <v>GUARDIAN</v>
      </c>
      <c r="G1844" s="2">
        <v>2124.3200000000002</v>
      </c>
      <c r="H1844" t="str">
        <f t="shared" si="20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20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20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20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20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20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20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20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20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20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20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20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20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20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20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20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20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20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20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20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20"/>
        <v>GUARDIAN</v>
      </c>
    </row>
    <row r="1865" spans="5:8" x14ac:dyDescent="0.25">
      <c r="E1865" t="str">
        <f>"GDF201809053425"</f>
        <v>GDF201809053425</v>
      </c>
      <c r="F1865" t="str">
        <f>"GUARDIAN"</f>
        <v>GUARDIAN</v>
      </c>
      <c r="G1865" s="2">
        <v>144.84</v>
      </c>
      <c r="H1865" t="str">
        <f t="shared" si="20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20"/>
        <v>GUARDIAN</v>
      </c>
    </row>
    <row r="1867" spans="5:8" x14ac:dyDescent="0.25">
      <c r="E1867" t="str">
        <f>"GDF201809193851"</f>
        <v>GDF201809193851</v>
      </c>
      <c r="F1867" t="str">
        <f>"GUARDIAN"</f>
        <v>GUARDIAN</v>
      </c>
      <c r="G1867" s="2">
        <v>2124.3200000000002</v>
      </c>
      <c r="H1867" t="str">
        <f t="shared" si="20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20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20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20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ref="H1871:H1934" si="21">"GUARDIAN"</f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21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21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21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21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21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21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21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21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21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21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21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21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21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21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21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21"/>
        <v>GUARDIAN</v>
      </c>
    </row>
    <row r="1888" spans="5:8" x14ac:dyDescent="0.25">
      <c r="E1888" t="str">
        <f>"GDF201809193863"</f>
        <v>GDF201809193863</v>
      </c>
      <c r="F1888" t="str">
        <f>"GUARDIAN"</f>
        <v>GUARDIAN</v>
      </c>
      <c r="G1888" s="2">
        <v>144.84</v>
      </c>
      <c r="H1888" t="str">
        <f t="shared" si="21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21"/>
        <v>GUARDIAN</v>
      </c>
    </row>
    <row r="1890" spans="5:8" x14ac:dyDescent="0.25">
      <c r="E1890" t="str">
        <f>"GDS201809053424"</f>
        <v>GDS201809053424</v>
      </c>
      <c r="F1890" t="str">
        <f>"GUARDIAN"</f>
        <v>GUARDIAN</v>
      </c>
      <c r="G1890" s="2">
        <v>1669.92</v>
      </c>
      <c r="H1890" t="str">
        <f t="shared" si="21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21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21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21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21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21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21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21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21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21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21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21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si="21"/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21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21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21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21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21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21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21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21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21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21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21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21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21"/>
        <v>GUARDIAN</v>
      </c>
    </row>
    <row r="1916" spans="5:8" x14ac:dyDescent="0.25">
      <c r="E1916" t="str">
        <f>"GDS201809193851"</f>
        <v>GDS201809193851</v>
      </c>
      <c r="F1916" t="str">
        <f>"GUARDIAN"</f>
        <v>GUARDIAN</v>
      </c>
      <c r="G1916" s="2">
        <v>1669.92</v>
      </c>
      <c r="H1916" t="str">
        <f t="shared" si="21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21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21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21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21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21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21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21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21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21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21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21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21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21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21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21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21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21"/>
        <v>GUARDIAN</v>
      </c>
    </row>
    <row r="1934" spans="5:8" x14ac:dyDescent="0.25">
      <c r="E1934" t="str">
        <f>""</f>
        <v/>
      </c>
      <c r="F1934" t="str">
        <f>""</f>
        <v/>
      </c>
      <c r="H1934" t="str">
        <f t="shared" si="21"/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ref="H1935:H1941" si="22">"GUARDIAN"</f>
        <v>GUARDIAN</v>
      </c>
    </row>
    <row r="1936" spans="5:8" x14ac:dyDescent="0.25">
      <c r="E1936" t="str">
        <f>""</f>
        <v/>
      </c>
      <c r="F1936" t="str">
        <f>""</f>
        <v/>
      </c>
      <c r="H1936" t="str">
        <f t="shared" si="22"/>
        <v>GUARDIAN</v>
      </c>
    </row>
    <row r="1937" spans="5:8" x14ac:dyDescent="0.25">
      <c r="E1937" t="str">
        <f>""</f>
        <v/>
      </c>
      <c r="F1937" t="str">
        <f>""</f>
        <v/>
      </c>
      <c r="H1937" t="str">
        <f t="shared" si="22"/>
        <v>GUARDIAN</v>
      </c>
    </row>
    <row r="1938" spans="5:8" x14ac:dyDescent="0.25">
      <c r="E1938" t="str">
        <f>""</f>
        <v/>
      </c>
      <c r="F1938" t="str">
        <f>""</f>
        <v/>
      </c>
      <c r="H1938" t="str">
        <f t="shared" si="22"/>
        <v>GUARDIAN</v>
      </c>
    </row>
    <row r="1939" spans="5:8" x14ac:dyDescent="0.25">
      <c r="E1939" t="str">
        <f>""</f>
        <v/>
      </c>
      <c r="F1939" t="str">
        <f>""</f>
        <v/>
      </c>
      <c r="H1939" t="str">
        <f t="shared" si="22"/>
        <v>GUARDIAN</v>
      </c>
    </row>
    <row r="1940" spans="5:8" x14ac:dyDescent="0.25">
      <c r="E1940" t="str">
        <f>""</f>
        <v/>
      </c>
      <c r="F1940" t="str">
        <f>""</f>
        <v/>
      </c>
      <c r="H1940" t="str">
        <f t="shared" si="22"/>
        <v>GUARDIAN</v>
      </c>
    </row>
    <row r="1941" spans="5:8" x14ac:dyDescent="0.25">
      <c r="E1941" t="str">
        <f>""</f>
        <v/>
      </c>
      <c r="F1941" t="str">
        <f>""</f>
        <v/>
      </c>
      <c r="H1941" t="str">
        <f t="shared" si="22"/>
        <v>GUARDIAN</v>
      </c>
    </row>
    <row r="1942" spans="5:8" x14ac:dyDescent="0.25">
      <c r="E1942" t="str">
        <f>"GV1201809053424"</f>
        <v>GV1201809053424</v>
      </c>
      <c r="F1942" t="str">
        <f>"GUARDIAN VISION"</f>
        <v>GUARDIAN VISION</v>
      </c>
      <c r="G1942" s="2">
        <v>358.4</v>
      </c>
      <c r="H1942" t="str">
        <f>"GUARDIAN VISION"</f>
        <v>GUARDIAN VISION</v>
      </c>
    </row>
    <row r="1943" spans="5:8" x14ac:dyDescent="0.25">
      <c r="E1943" t="str">
        <f>"GV1201809193851"</f>
        <v>GV1201809193851</v>
      </c>
      <c r="F1943" t="str">
        <f>"GUARDIAN VISION"</f>
        <v>GUARDIAN VISION</v>
      </c>
      <c r="G1943" s="2">
        <v>358.4</v>
      </c>
      <c r="H1943" t="str">
        <f>"GUARDIAN VISION"</f>
        <v>GUARDIAN VISION</v>
      </c>
    </row>
    <row r="1944" spans="5:8" x14ac:dyDescent="0.25">
      <c r="E1944" t="str">
        <f>"GVE201809053424"</f>
        <v>GVE201809053424</v>
      </c>
      <c r="F1944" t="str">
        <f>"GUARDIAN VISION VENDOR"</f>
        <v>GUARDIAN VISION VENDOR</v>
      </c>
      <c r="G1944" s="2">
        <v>560.88</v>
      </c>
      <c r="H1944" t="str">
        <f>"GUARDIAN VISION VENDOR"</f>
        <v>GUARDIAN VISION VENDOR</v>
      </c>
    </row>
    <row r="1945" spans="5:8" x14ac:dyDescent="0.25">
      <c r="E1945" t="str">
        <f>"GVE201809053425"</f>
        <v>GVE201809053425</v>
      </c>
      <c r="F1945" t="str">
        <f>"GUARDIAN VISION VENDOR"</f>
        <v>GUARDIAN VISION VENDOR</v>
      </c>
      <c r="G1945" s="2">
        <v>25.83</v>
      </c>
      <c r="H1945" t="str">
        <f>"GUARDIAN VISION VENDOR"</f>
        <v>GUARDIAN VISION VENDOR</v>
      </c>
    </row>
    <row r="1946" spans="5:8" x14ac:dyDescent="0.25">
      <c r="E1946" t="str">
        <f>"GVE201809193851"</f>
        <v>GVE201809193851</v>
      </c>
      <c r="F1946" t="str">
        <f>"GUARDIAN VISION VENDOR"</f>
        <v>GUARDIAN VISION VENDOR</v>
      </c>
      <c r="G1946" s="2">
        <v>568.26</v>
      </c>
      <c r="H1946" t="str">
        <f>"GUARDIAN VISION VENDOR"</f>
        <v>GUARDIAN VISION VENDOR</v>
      </c>
    </row>
    <row r="1947" spans="5:8" x14ac:dyDescent="0.25">
      <c r="E1947" t="str">
        <f>"GVE201809193863"</f>
        <v>GVE201809193863</v>
      </c>
      <c r="F1947" t="str">
        <f>"GUARDIAN VISION VENDOR"</f>
        <v>GUARDIAN VISION VENDOR</v>
      </c>
      <c r="G1947" s="2">
        <v>25.83</v>
      </c>
      <c r="H1947" t="str">
        <f>"GUARDIAN VISION VENDOR"</f>
        <v>GUARDIAN VISION VENDOR</v>
      </c>
    </row>
    <row r="1948" spans="5:8" x14ac:dyDescent="0.25">
      <c r="E1948" t="str">
        <f>"GVF201809053424"</f>
        <v>GVF201809053424</v>
      </c>
      <c r="F1948" t="str">
        <f>"GUARDIAN VISION"</f>
        <v>GUARDIAN VISION</v>
      </c>
      <c r="G1948" s="2">
        <v>502.35</v>
      </c>
      <c r="H1948" t="str">
        <f>"GUARDIAN VISION"</f>
        <v>GUARDIAN VISION</v>
      </c>
    </row>
    <row r="1949" spans="5:8" x14ac:dyDescent="0.25">
      <c r="E1949" t="str">
        <f>"GVF201809053425"</f>
        <v>GVF201809053425</v>
      </c>
      <c r="F1949" t="str">
        <f>"GUARDIAN VISION VENDOR"</f>
        <v>GUARDIAN VISION VENDOR</v>
      </c>
      <c r="G1949" s="2">
        <v>29.55</v>
      </c>
      <c r="H1949" t="str">
        <f>"GUARDIAN VISION VENDOR"</f>
        <v>GUARDIAN VISION VENDOR</v>
      </c>
    </row>
    <row r="1950" spans="5:8" x14ac:dyDescent="0.25">
      <c r="E1950" t="str">
        <f>"GVF201809193851"</f>
        <v>GVF201809193851</v>
      </c>
      <c r="F1950" t="str">
        <f>"GUARDIAN VISION"</f>
        <v>GUARDIAN VISION</v>
      </c>
      <c r="G1950" s="2">
        <v>502.35</v>
      </c>
      <c r="H1950" t="str">
        <f>"GUARDIAN VISION"</f>
        <v>GUARDIAN VISION</v>
      </c>
    </row>
    <row r="1951" spans="5:8" x14ac:dyDescent="0.25">
      <c r="E1951" t="str">
        <f>"GVF201809193863"</f>
        <v>GVF201809193863</v>
      </c>
      <c r="F1951" t="str">
        <f>"GUARDIAN VISION VENDOR"</f>
        <v>GUARDIAN VISION VENDOR</v>
      </c>
      <c r="G1951" s="2">
        <v>29.55</v>
      </c>
      <c r="H1951" t="str">
        <f>"GUARDIAN VISION VENDOR"</f>
        <v>GUARDIAN VISION VENDOR</v>
      </c>
    </row>
    <row r="1952" spans="5:8" x14ac:dyDescent="0.25">
      <c r="E1952" t="str">
        <f>"LIA201809053424"</f>
        <v>LIA201809053424</v>
      </c>
      <c r="F1952" t="str">
        <f>"GUARDIAN"</f>
        <v>GUARDIAN</v>
      </c>
      <c r="G1952" s="2">
        <v>185.14</v>
      </c>
      <c r="H1952" t="str">
        <f t="shared" ref="H1952:H1983" si="23">"GUARDIAN"</f>
        <v>GUARDIAN</v>
      </c>
    </row>
    <row r="1953" spans="5:8" x14ac:dyDescent="0.25">
      <c r="E1953" t="str">
        <f>""</f>
        <v/>
      </c>
      <c r="F1953" t="str">
        <f>""</f>
        <v/>
      </c>
      <c r="H1953" t="str">
        <f t="shared" si="23"/>
        <v>GUARDIAN</v>
      </c>
    </row>
    <row r="1954" spans="5:8" x14ac:dyDescent="0.25">
      <c r="E1954" t="str">
        <f>""</f>
        <v/>
      </c>
      <c r="F1954" t="str">
        <f>""</f>
        <v/>
      </c>
      <c r="H1954" t="str">
        <f t="shared" si="23"/>
        <v>GUARDIAN</v>
      </c>
    </row>
    <row r="1955" spans="5:8" x14ac:dyDescent="0.25">
      <c r="E1955" t="str">
        <f>""</f>
        <v/>
      </c>
      <c r="F1955" t="str">
        <f>""</f>
        <v/>
      </c>
      <c r="H1955" t="str">
        <f t="shared" si="23"/>
        <v>GUARDIAN</v>
      </c>
    </row>
    <row r="1956" spans="5:8" x14ac:dyDescent="0.25">
      <c r="E1956" t="str">
        <f>""</f>
        <v/>
      </c>
      <c r="F1956" t="str">
        <f>""</f>
        <v/>
      </c>
      <c r="H1956" t="str">
        <f t="shared" si="23"/>
        <v>GUARDIAN</v>
      </c>
    </row>
    <row r="1957" spans="5:8" x14ac:dyDescent="0.25">
      <c r="E1957" t="str">
        <f>""</f>
        <v/>
      </c>
      <c r="F1957" t="str">
        <f>""</f>
        <v/>
      </c>
      <c r="H1957" t="str">
        <f t="shared" si="23"/>
        <v>GUARDIAN</v>
      </c>
    </row>
    <row r="1958" spans="5:8" x14ac:dyDescent="0.25">
      <c r="E1958" t="str">
        <f>""</f>
        <v/>
      </c>
      <c r="F1958" t="str">
        <f>""</f>
        <v/>
      </c>
      <c r="H1958" t="str">
        <f t="shared" si="23"/>
        <v>GUARDIAN</v>
      </c>
    </row>
    <row r="1959" spans="5:8" x14ac:dyDescent="0.25">
      <c r="E1959" t="str">
        <f>""</f>
        <v/>
      </c>
      <c r="F1959" t="str">
        <f>""</f>
        <v/>
      </c>
      <c r="H1959" t="str">
        <f t="shared" si="23"/>
        <v>GUARDIAN</v>
      </c>
    </row>
    <row r="1960" spans="5:8" x14ac:dyDescent="0.25">
      <c r="E1960" t="str">
        <f>""</f>
        <v/>
      </c>
      <c r="F1960" t="str">
        <f>""</f>
        <v/>
      </c>
      <c r="H1960" t="str">
        <f t="shared" si="23"/>
        <v>GUARDIAN</v>
      </c>
    </row>
    <row r="1961" spans="5:8" x14ac:dyDescent="0.25">
      <c r="E1961" t="str">
        <f>""</f>
        <v/>
      </c>
      <c r="F1961" t="str">
        <f>""</f>
        <v/>
      </c>
      <c r="H1961" t="str">
        <f t="shared" si="23"/>
        <v>GUARDIAN</v>
      </c>
    </row>
    <row r="1962" spans="5:8" x14ac:dyDescent="0.25">
      <c r="E1962" t="str">
        <f>""</f>
        <v/>
      </c>
      <c r="F1962" t="str">
        <f>""</f>
        <v/>
      </c>
      <c r="H1962" t="str">
        <f t="shared" si="23"/>
        <v>GUARDIAN</v>
      </c>
    </row>
    <row r="1963" spans="5:8" x14ac:dyDescent="0.25">
      <c r="E1963" t="str">
        <f>""</f>
        <v/>
      </c>
      <c r="F1963" t="str">
        <f>""</f>
        <v/>
      </c>
      <c r="H1963" t="str">
        <f t="shared" si="23"/>
        <v>GUARDIAN</v>
      </c>
    </row>
    <row r="1964" spans="5:8" x14ac:dyDescent="0.25">
      <c r="E1964" t="str">
        <f>""</f>
        <v/>
      </c>
      <c r="F1964" t="str">
        <f>""</f>
        <v/>
      </c>
      <c r="H1964" t="str">
        <f t="shared" si="23"/>
        <v>GUARDIAN</v>
      </c>
    </row>
    <row r="1965" spans="5:8" x14ac:dyDescent="0.25">
      <c r="E1965" t="str">
        <f>""</f>
        <v/>
      </c>
      <c r="F1965" t="str">
        <f>""</f>
        <v/>
      </c>
      <c r="H1965" t="str">
        <f t="shared" si="23"/>
        <v>GUARDIAN</v>
      </c>
    </row>
    <row r="1966" spans="5:8" x14ac:dyDescent="0.25">
      <c r="E1966" t="str">
        <f>""</f>
        <v/>
      </c>
      <c r="F1966" t="str">
        <f>""</f>
        <v/>
      </c>
      <c r="H1966" t="str">
        <f t="shared" si="23"/>
        <v>GUARDIAN</v>
      </c>
    </row>
    <row r="1967" spans="5:8" x14ac:dyDescent="0.25">
      <c r="E1967" t="str">
        <f>""</f>
        <v/>
      </c>
      <c r="F1967" t="str">
        <f>""</f>
        <v/>
      </c>
      <c r="H1967" t="str">
        <f t="shared" si="23"/>
        <v>GUARDIAN</v>
      </c>
    </row>
    <row r="1968" spans="5:8" x14ac:dyDescent="0.25">
      <c r="E1968" t="str">
        <f>""</f>
        <v/>
      </c>
      <c r="F1968" t="str">
        <f>""</f>
        <v/>
      </c>
      <c r="H1968" t="str">
        <f t="shared" si="23"/>
        <v>GUARDIAN</v>
      </c>
    </row>
    <row r="1969" spans="5:8" x14ac:dyDescent="0.25">
      <c r="E1969" t="str">
        <f>""</f>
        <v/>
      </c>
      <c r="F1969" t="str">
        <f>""</f>
        <v/>
      </c>
      <c r="H1969" t="str">
        <f t="shared" si="23"/>
        <v>GUARDIAN</v>
      </c>
    </row>
    <row r="1970" spans="5:8" x14ac:dyDescent="0.25">
      <c r="E1970" t="str">
        <f>""</f>
        <v/>
      </c>
      <c r="F1970" t="str">
        <f>""</f>
        <v/>
      </c>
      <c r="H1970" t="str">
        <f t="shared" si="23"/>
        <v>GUARDIAN</v>
      </c>
    </row>
    <row r="1971" spans="5:8" x14ac:dyDescent="0.25">
      <c r="E1971" t="str">
        <f>""</f>
        <v/>
      </c>
      <c r="F1971" t="str">
        <f>""</f>
        <v/>
      </c>
      <c r="H1971" t="str">
        <f t="shared" si="23"/>
        <v>GUARDIAN</v>
      </c>
    </row>
    <row r="1972" spans="5:8" x14ac:dyDescent="0.25">
      <c r="E1972" t="str">
        <f>""</f>
        <v/>
      </c>
      <c r="F1972" t="str">
        <f>""</f>
        <v/>
      </c>
      <c r="H1972" t="str">
        <f t="shared" si="23"/>
        <v>GUARDIAN</v>
      </c>
    </row>
    <row r="1973" spans="5:8" x14ac:dyDescent="0.25">
      <c r="E1973" t="str">
        <f>""</f>
        <v/>
      </c>
      <c r="F1973" t="str">
        <f>""</f>
        <v/>
      </c>
      <c r="H1973" t="str">
        <f t="shared" si="23"/>
        <v>GUARDIAN</v>
      </c>
    </row>
    <row r="1974" spans="5:8" x14ac:dyDescent="0.25">
      <c r="E1974" t="str">
        <f>"LIA201809053425"</f>
        <v>LIA201809053425</v>
      </c>
      <c r="F1974" t="str">
        <f>"GUARDIAN"</f>
        <v>GUARDIAN</v>
      </c>
      <c r="G1974" s="2">
        <v>25.78</v>
      </c>
      <c r="H1974" t="str">
        <f t="shared" si="23"/>
        <v>GUARDIAN</v>
      </c>
    </row>
    <row r="1975" spans="5:8" x14ac:dyDescent="0.25">
      <c r="E1975" t="str">
        <f>""</f>
        <v/>
      </c>
      <c r="F1975" t="str">
        <f>""</f>
        <v/>
      </c>
      <c r="H1975" t="str">
        <f t="shared" si="23"/>
        <v>GUARDIAN</v>
      </c>
    </row>
    <row r="1976" spans="5:8" x14ac:dyDescent="0.25">
      <c r="E1976" t="str">
        <f>"LIA201809193851"</f>
        <v>LIA201809193851</v>
      </c>
      <c r="F1976" t="str">
        <f>"GUARDIAN"</f>
        <v>GUARDIAN</v>
      </c>
      <c r="G1976" s="2">
        <v>185.14</v>
      </c>
      <c r="H1976" t="str">
        <f t="shared" si="23"/>
        <v>GUARDIAN</v>
      </c>
    </row>
    <row r="1977" spans="5:8" x14ac:dyDescent="0.25">
      <c r="E1977" t="str">
        <f>""</f>
        <v/>
      </c>
      <c r="F1977" t="str">
        <f>""</f>
        <v/>
      </c>
      <c r="H1977" t="str">
        <f t="shared" si="23"/>
        <v>GUARDIAN</v>
      </c>
    </row>
    <row r="1978" spans="5:8" x14ac:dyDescent="0.25">
      <c r="E1978" t="str">
        <f>""</f>
        <v/>
      </c>
      <c r="F1978" t="str">
        <f>""</f>
        <v/>
      </c>
      <c r="H1978" t="str">
        <f t="shared" si="23"/>
        <v>GUARDIAN</v>
      </c>
    </row>
    <row r="1979" spans="5:8" x14ac:dyDescent="0.25">
      <c r="E1979" t="str">
        <f>""</f>
        <v/>
      </c>
      <c r="F1979" t="str">
        <f>""</f>
        <v/>
      </c>
      <c r="H1979" t="str">
        <f t="shared" si="23"/>
        <v>GUARDIAN</v>
      </c>
    </row>
    <row r="1980" spans="5:8" x14ac:dyDescent="0.25">
      <c r="E1980" t="str">
        <f>""</f>
        <v/>
      </c>
      <c r="F1980" t="str">
        <f>""</f>
        <v/>
      </c>
      <c r="H1980" t="str">
        <f t="shared" si="23"/>
        <v>GUARDIAN</v>
      </c>
    </row>
    <row r="1981" spans="5:8" x14ac:dyDescent="0.25">
      <c r="E1981" t="str">
        <f>""</f>
        <v/>
      </c>
      <c r="F1981" t="str">
        <f>""</f>
        <v/>
      </c>
      <c r="H1981" t="str">
        <f t="shared" si="23"/>
        <v>GUARDIAN</v>
      </c>
    </row>
    <row r="1982" spans="5:8" x14ac:dyDescent="0.25">
      <c r="E1982" t="str">
        <f>""</f>
        <v/>
      </c>
      <c r="F1982" t="str">
        <f>""</f>
        <v/>
      </c>
      <c r="H1982" t="str">
        <f t="shared" si="23"/>
        <v>GUARDIAN</v>
      </c>
    </row>
    <row r="1983" spans="5:8" x14ac:dyDescent="0.25">
      <c r="E1983" t="str">
        <f>""</f>
        <v/>
      </c>
      <c r="F1983" t="str">
        <f>""</f>
        <v/>
      </c>
      <c r="H1983" t="str">
        <f t="shared" si="23"/>
        <v>GUARDIAN</v>
      </c>
    </row>
    <row r="1984" spans="5:8" x14ac:dyDescent="0.25">
      <c r="E1984" t="str">
        <f>""</f>
        <v/>
      </c>
      <c r="F1984" t="str">
        <f>""</f>
        <v/>
      </c>
      <c r="H1984" t="str">
        <f t="shared" ref="H1984:H2015" si="24">"GUARDIAN"</f>
        <v>GUARDIAN</v>
      </c>
    </row>
    <row r="1985" spans="5:8" x14ac:dyDescent="0.25">
      <c r="E1985" t="str">
        <f>""</f>
        <v/>
      </c>
      <c r="F1985" t="str">
        <f>""</f>
        <v/>
      </c>
      <c r="H1985" t="str">
        <f t="shared" si="24"/>
        <v>GUARDIAN</v>
      </c>
    </row>
    <row r="1986" spans="5:8" x14ac:dyDescent="0.25">
      <c r="E1986" t="str">
        <f>""</f>
        <v/>
      </c>
      <c r="F1986" t="str">
        <f>""</f>
        <v/>
      </c>
      <c r="H1986" t="str">
        <f t="shared" si="24"/>
        <v>GUARDIAN</v>
      </c>
    </row>
    <row r="1987" spans="5:8" x14ac:dyDescent="0.25">
      <c r="E1987" t="str">
        <f>""</f>
        <v/>
      </c>
      <c r="F1987" t="str">
        <f>""</f>
        <v/>
      </c>
      <c r="H1987" t="str">
        <f t="shared" si="24"/>
        <v>GUARDIAN</v>
      </c>
    </row>
    <row r="1988" spans="5:8" x14ac:dyDescent="0.25">
      <c r="E1988" t="str">
        <f>""</f>
        <v/>
      </c>
      <c r="F1988" t="str">
        <f>""</f>
        <v/>
      </c>
      <c r="H1988" t="str">
        <f t="shared" si="24"/>
        <v>GUARDIAN</v>
      </c>
    </row>
    <row r="1989" spans="5:8" x14ac:dyDescent="0.25">
      <c r="E1989" t="str">
        <f>""</f>
        <v/>
      </c>
      <c r="F1989" t="str">
        <f>""</f>
        <v/>
      </c>
      <c r="H1989" t="str">
        <f t="shared" si="24"/>
        <v>GUARDIAN</v>
      </c>
    </row>
    <row r="1990" spans="5:8" x14ac:dyDescent="0.25">
      <c r="E1990" t="str">
        <f>""</f>
        <v/>
      </c>
      <c r="F1990" t="str">
        <f>""</f>
        <v/>
      </c>
      <c r="H1990" t="str">
        <f t="shared" si="24"/>
        <v>GUARDIAN</v>
      </c>
    </row>
    <row r="1991" spans="5:8" x14ac:dyDescent="0.25">
      <c r="E1991" t="str">
        <f>""</f>
        <v/>
      </c>
      <c r="F1991" t="str">
        <f>""</f>
        <v/>
      </c>
      <c r="H1991" t="str">
        <f t="shared" si="24"/>
        <v>GUARDIAN</v>
      </c>
    </row>
    <row r="1992" spans="5:8" x14ac:dyDescent="0.25">
      <c r="E1992" t="str">
        <f>""</f>
        <v/>
      </c>
      <c r="F1992" t="str">
        <f>""</f>
        <v/>
      </c>
      <c r="H1992" t="str">
        <f t="shared" si="24"/>
        <v>GUARDIAN</v>
      </c>
    </row>
    <row r="1993" spans="5:8" x14ac:dyDescent="0.25">
      <c r="E1993" t="str">
        <f>""</f>
        <v/>
      </c>
      <c r="F1993" t="str">
        <f>""</f>
        <v/>
      </c>
      <c r="H1993" t="str">
        <f t="shared" si="24"/>
        <v>GUARDIAN</v>
      </c>
    </row>
    <row r="1994" spans="5:8" x14ac:dyDescent="0.25">
      <c r="E1994" t="str">
        <f>""</f>
        <v/>
      </c>
      <c r="F1994" t="str">
        <f>""</f>
        <v/>
      </c>
      <c r="H1994" t="str">
        <f t="shared" si="24"/>
        <v>GUARDIAN</v>
      </c>
    </row>
    <row r="1995" spans="5:8" x14ac:dyDescent="0.25">
      <c r="E1995" t="str">
        <f>""</f>
        <v/>
      </c>
      <c r="F1995" t="str">
        <f>""</f>
        <v/>
      </c>
      <c r="H1995" t="str">
        <f t="shared" si="24"/>
        <v>GUARDIAN</v>
      </c>
    </row>
    <row r="1996" spans="5:8" x14ac:dyDescent="0.25">
      <c r="E1996" t="str">
        <f>""</f>
        <v/>
      </c>
      <c r="F1996" t="str">
        <f>""</f>
        <v/>
      </c>
      <c r="H1996" t="str">
        <f t="shared" si="24"/>
        <v>GUARDIAN</v>
      </c>
    </row>
    <row r="1997" spans="5:8" x14ac:dyDescent="0.25">
      <c r="E1997" t="str">
        <f>""</f>
        <v/>
      </c>
      <c r="F1997" t="str">
        <f>""</f>
        <v/>
      </c>
      <c r="H1997" t="str">
        <f t="shared" si="24"/>
        <v>GUARDIAN</v>
      </c>
    </row>
    <row r="1998" spans="5:8" x14ac:dyDescent="0.25">
      <c r="E1998" t="str">
        <f>"LIA201809193863"</f>
        <v>LIA201809193863</v>
      </c>
      <c r="F1998" t="str">
        <f>"GUARDIAN"</f>
        <v>GUARDIAN</v>
      </c>
      <c r="G1998" s="2">
        <v>25.78</v>
      </c>
      <c r="H1998" t="str">
        <f t="shared" si="24"/>
        <v>GUARDIAN</v>
      </c>
    </row>
    <row r="1999" spans="5:8" x14ac:dyDescent="0.25">
      <c r="E1999" t="str">
        <f>""</f>
        <v/>
      </c>
      <c r="F1999" t="str">
        <f>""</f>
        <v/>
      </c>
      <c r="H1999" t="str">
        <f t="shared" si="24"/>
        <v>GUARDIAN</v>
      </c>
    </row>
    <row r="2000" spans="5:8" x14ac:dyDescent="0.25">
      <c r="E2000" t="str">
        <f>"LIC201809053424"</f>
        <v>LIC201809053424</v>
      </c>
      <c r="F2000" t="str">
        <f>"GUARDIAN"</f>
        <v>GUARDIAN</v>
      </c>
      <c r="G2000" s="2">
        <v>33.9</v>
      </c>
      <c r="H2000" t="str">
        <f t="shared" si="24"/>
        <v>GUARDIAN</v>
      </c>
    </row>
    <row r="2001" spans="5:8" x14ac:dyDescent="0.25">
      <c r="E2001" t="str">
        <f>"LIC201809053425"</f>
        <v>LIC201809053425</v>
      </c>
      <c r="F2001" t="str">
        <f>"GUARDIAN"</f>
        <v>GUARDIAN</v>
      </c>
      <c r="G2001" s="2">
        <v>1.05</v>
      </c>
      <c r="H2001" t="str">
        <f t="shared" si="24"/>
        <v>GUARDIAN</v>
      </c>
    </row>
    <row r="2002" spans="5:8" x14ac:dyDescent="0.25">
      <c r="E2002" t="str">
        <f>"LIC201809193851"</f>
        <v>LIC201809193851</v>
      </c>
      <c r="F2002" t="str">
        <f>"GUARDIAN"</f>
        <v>GUARDIAN</v>
      </c>
      <c r="G2002" s="2">
        <v>33.9</v>
      </c>
      <c r="H2002" t="str">
        <f t="shared" si="24"/>
        <v>GUARDIAN</v>
      </c>
    </row>
    <row r="2003" spans="5:8" x14ac:dyDescent="0.25">
      <c r="E2003" t="str">
        <f>"LIC201809193863"</f>
        <v>LIC201809193863</v>
      </c>
      <c r="F2003" t="str">
        <f>"GUARDIAN"</f>
        <v>GUARDIAN</v>
      </c>
      <c r="G2003" s="2">
        <v>1.05</v>
      </c>
      <c r="H2003" t="str">
        <f t="shared" si="24"/>
        <v>GUARDIAN</v>
      </c>
    </row>
    <row r="2004" spans="5:8" x14ac:dyDescent="0.25">
      <c r="E2004" t="str">
        <f>"LIE201809053424"</f>
        <v>LIE201809053424</v>
      </c>
      <c r="F2004" t="str">
        <f>"GUARDIAN"</f>
        <v>GUARDIAN</v>
      </c>
      <c r="G2004" s="2">
        <v>3212.55</v>
      </c>
      <c r="H2004" t="str">
        <f t="shared" si="24"/>
        <v>GUARDIAN</v>
      </c>
    </row>
    <row r="2005" spans="5:8" x14ac:dyDescent="0.25">
      <c r="E2005" t="str">
        <f>""</f>
        <v/>
      </c>
      <c r="F2005" t="str">
        <f>""</f>
        <v/>
      </c>
      <c r="H2005" t="str">
        <f t="shared" si="24"/>
        <v>GUARDIAN</v>
      </c>
    </row>
    <row r="2006" spans="5:8" x14ac:dyDescent="0.25">
      <c r="E2006" t="str">
        <f>""</f>
        <v/>
      </c>
      <c r="F2006" t="str">
        <f>""</f>
        <v/>
      </c>
      <c r="H2006" t="str">
        <f t="shared" si="24"/>
        <v>GUARDIAN</v>
      </c>
    </row>
    <row r="2007" spans="5:8" x14ac:dyDescent="0.25">
      <c r="E2007" t="str">
        <f>""</f>
        <v/>
      </c>
      <c r="F2007" t="str">
        <f>""</f>
        <v/>
      </c>
      <c r="H2007" t="str">
        <f t="shared" si="24"/>
        <v>GUARDIAN</v>
      </c>
    </row>
    <row r="2008" spans="5:8" x14ac:dyDescent="0.25">
      <c r="E2008" t="str">
        <f>""</f>
        <v/>
      </c>
      <c r="F2008" t="str">
        <f>""</f>
        <v/>
      </c>
      <c r="H2008" t="str">
        <f t="shared" si="24"/>
        <v>GUARDIAN</v>
      </c>
    </row>
    <row r="2009" spans="5:8" x14ac:dyDescent="0.25">
      <c r="E2009" t="str">
        <f>""</f>
        <v/>
      </c>
      <c r="F2009" t="str">
        <f>""</f>
        <v/>
      </c>
      <c r="H2009" t="str">
        <f t="shared" si="24"/>
        <v>GUARDIAN</v>
      </c>
    </row>
    <row r="2010" spans="5:8" x14ac:dyDescent="0.25">
      <c r="E2010" t="str">
        <f>""</f>
        <v/>
      </c>
      <c r="F2010" t="str">
        <f>""</f>
        <v/>
      </c>
      <c r="H2010" t="str">
        <f t="shared" si="24"/>
        <v>GUARDIAN</v>
      </c>
    </row>
    <row r="2011" spans="5:8" x14ac:dyDescent="0.25">
      <c r="E2011" t="str">
        <f>""</f>
        <v/>
      </c>
      <c r="F2011" t="str">
        <f>""</f>
        <v/>
      </c>
      <c r="H2011" t="str">
        <f t="shared" si="24"/>
        <v>GUARDIAN</v>
      </c>
    </row>
    <row r="2012" spans="5:8" x14ac:dyDescent="0.25">
      <c r="E2012" t="str">
        <f>""</f>
        <v/>
      </c>
      <c r="F2012" t="str">
        <f>""</f>
        <v/>
      </c>
      <c r="H2012" t="str">
        <f t="shared" si="24"/>
        <v>GUARDIAN</v>
      </c>
    </row>
    <row r="2013" spans="5:8" x14ac:dyDescent="0.25">
      <c r="E2013" t="str">
        <f>""</f>
        <v/>
      </c>
      <c r="F2013" t="str">
        <f>""</f>
        <v/>
      </c>
      <c r="H2013" t="str">
        <f t="shared" si="24"/>
        <v>GUARDIAN</v>
      </c>
    </row>
    <row r="2014" spans="5:8" x14ac:dyDescent="0.25">
      <c r="E2014" t="str">
        <f>""</f>
        <v/>
      </c>
      <c r="F2014" t="str">
        <f>""</f>
        <v/>
      </c>
      <c r="H2014" t="str">
        <f t="shared" si="24"/>
        <v>GUARDIAN</v>
      </c>
    </row>
    <row r="2015" spans="5:8" x14ac:dyDescent="0.25">
      <c r="E2015" t="str">
        <f>""</f>
        <v/>
      </c>
      <c r="F2015" t="str">
        <f>""</f>
        <v/>
      </c>
      <c r="H2015" t="str">
        <f t="shared" si="24"/>
        <v>GUARDIAN</v>
      </c>
    </row>
    <row r="2016" spans="5:8" x14ac:dyDescent="0.25">
      <c r="E2016" t="str">
        <f>""</f>
        <v/>
      </c>
      <c r="F2016" t="str">
        <f>""</f>
        <v/>
      </c>
      <c r="H2016" t="str">
        <f t="shared" ref="H2016:H2047" si="25">"GUARDIAN"</f>
        <v>GUARDIAN</v>
      </c>
    </row>
    <row r="2017" spans="5:8" x14ac:dyDescent="0.25">
      <c r="E2017" t="str">
        <f>""</f>
        <v/>
      </c>
      <c r="F2017" t="str">
        <f>""</f>
        <v/>
      </c>
      <c r="H2017" t="str">
        <f t="shared" si="25"/>
        <v>GUARDIAN</v>
      </c>
    </row>
    <row r="2018" spans="5:8" x14ac:dyDescent="0.25">
      <c r="E2018" t="str">
        <f>""</f>
        <v/>
      </c>
      <c r="F2018" t="str">
        <f>""</f>
        <v/>
      </c>
      <c r="H2018" t="str">
        <f t="shared" si="25"/>
        <v>GUARDIAN</v>
      </c>
    </row>
    <row r="2019" spans="5:8" x14ac:dyDescent="0.25">
      <c r="E2019" t="str">
        <f>""</f>
        <v/>
      </c>
      <c r="F2019" t="str">
        <f>""</f>
        <v/>
      </c>
      <c r="H2019" t="str">
        <f t="shared" si="25"/>
        <v>GUARDIAN</v>
      </c>
    </row>
    <row r="2020" spans="5:8" x14ac:dyDescent="0.25">
      <c r="E2020" t="str">
        <f>""</f>
        <v/>
      </c>
      <c r="F2020" t="str">
        <f>""</f>
        <v/>
      </c>
      <c r="H2020" t="str">
        <f t="shared" si="25"/>
        <v>GUARDIAN</v>
      </c>
    </row>
    <row r="2021" spans="5:8" x14ac:dyDescent="0.25">
      <c r="E2021" t="str">
        <f>""</f>
        <v/>
      </c>
      <c r="F2021" t="str">
        <f>""</f>
        <v/>
      </c>
      <c r="H2021" t="str">
        <f t="shared" si="25"/>
        <v>GUARDIAN</v>
      </c>
    </row>
    <row r="2022" spans="5:8" x14ac:dyDescent="0.25">
      <c r="E2022" t="str">
        <f>""</f>
        <v/>
      </c>
      <c r="F2022" t="str">
        <f>""</f>
        <v/>
      </c>
      <c r="H2022" t="str">
        <f t="shared" si="25"/>
        <v>GUARDIAN</v>
      </c>
    </row>
    <row r="2023" spans="5:8" x14ac:dyDescent="0.25">
      <c r="E2023" t="str">
        <f>""</f>
        <v/>
      </c>
      <c r="F2023" t="str">
        <f>""</f>
        <v/>
      </c>
      <c r="H2023" t="str">
        <f t="shared" si="25"/>
        <v>GUARDIAN</v>
      </c>
    </row>
    <row r="2024" spans="5:8" x14ac:dyDescent="0.25">
      <c r="E2024" t="str">
        <f>""</f>
        <v/>
      </c>
      <c r="F2024" t="str">
        <f>""</f>
        <v/>
      </c>
      <c r="H2024" t="str">
        <f t="shared" si="25"/>
        <v>GUARDIAN</v>
      </c>
    </row>
    <row r="2025" spans="5:8" x14ac:dyDescent="0.25">
      <c r="E2025" t="str">
        <f>""</f>
        <v/>
      </c>
      <c r="F2025" t="str">
        <f>""</f>
        <v/>
      </c>
      <c r="H2025" t="str">
        <f t="shared" si="25"/>
        <v>GUARDIAN</v>
      </c>
    </row>
    <row r="2026" spans="5:8" x14ac:dyDescent="0.25">
      <c r="E2026" t="str">
        <f>""</f>
        <v/>
      </c>
      <c r="F2026" t="str">
        <f>""</f>
        <v/>
      </c>
      <c r="H2026" t="str">
        <f t="shared" si="25"/>
        <v>GUARDIAN</v>
      </c>
    </row>
    <row r="2027" spans="5:8" x14ac:dyDescent="0.25">
      <c r="E2027" t="str">
        <f>""</f>
        <v/>
      </c>
      <c r="F2027" t="str">
        <f>""</f>
        <v/>
      </c>
      <c r="H2027" t="str">
        <f t="shared" si="25"/>
        <v>GUARDIAN</v>
      </c>
    </row>
    <row r="2028" spans="5:8" x14ac:dyDescent="0.25">
      <c r="E2028" t="str">
        <f>""</f>
        <v/>
      </c>
      <c r="F2028" t="str">
        <f>""</f>
        <v/>
      </c>
      <c r="H2028" t="str">
        <f t="shared" si="25"/>
        <v>GUARDIAN</v>
      </c>
    </row>
    <row r="2029" spans="5:8" x14ac:dyDescent="0.25">
      <c r="E2029" t="str">
        <f>""</f>
        <v/>
      </c>
      <c r="F2029" t="str">
        <f>""</f>
        <v/>
      </c>
      <c r="H2029" t="str">
        <f t="shared" si="25"/>
        <v>GUARDIAN</v>
      </c>
    </row>
    <row r="2030" spans="5:8" x14ac:dyDescent="0.25">
      <c r="E2030" t="str">
        <f>""</f>
        <v/>
      </c>
      <c r="F2030" t="str">
        <f>""</f>
        <v/>
      </c>
      <c r="H2030" t="str">
        <f t="shared" si="25"/>
        <v>GUARDIAN</v>
      </c>
    </row>
    <row r="2031" spans="5:8" x14ac:dyDescent="0.25">
      <c r="E2031" t="str">
        <f>""</f>
        <v/>
      </c>
      <c r="F2031" t="str">
        <f>""</f>
        <v/>
      </c>
      <c r="H2031" t="str">
        <f t="shared" si="25"/>
        <v>GUARDIAN</v>
      </c>
    </row>
    <row r="2032" spans="5:8" x14ac:dyDescent="0.25">
      <c r="E2032" t="str">
        <f>""</f>
        <v/>
      </c>
      <c r="F2032" t="str">
        <f>""</f>
        <v/>
      </c>
      <c r="H2032" t="str">
        <f t="shared" si="25"/>
        <v>GUARDIAN</v>
      </c>
    </row>
    <row r="2033" spans="5:8" x14ac:dyDescent="0.25">
      <c r="E2033" t="str">
        <f>""</f>
        <v/>
      </c>
      <c r="F2033" t="str">
        <f>""</f>
        <v/>
      </c>
      <c r="H2033" t="str">
        <f t="shared" si="25"/>
        <v>GUARDIAN</v>
      </c>
    </row>
    <row r="2034" spans="5:8" x14ac:dyDescent="0.25">
      <c r="E2034" t="str">
        <f>""</f>
        <v/>
      </c>
      <c r="F2034" t="str">
        <f>""</f>
        <v/>
      </c>
      <c r="H2034" t="str">
        <f t="shared" si="25"/>
        <v>GUARDIAN</v>
      </c>
    </row>
    <row r="2035" spans="5:8" x14ac:dyDescent="0.25">
      <c r="E2035" t="str">
        <f>""</f>
        <v/>
      </c>
      <c r="F2035" t="str">
        <f>""</f>
        <v/>
      </c>
      <c r="H2035" t="str">
        <f t="shared" si="25"/>
        <v>GUARDIAN</v>
      </c>
    </row>
    <row r="2036" spans="5:8" x14ac:dyDescent="0.25">
      <c r="E2036" t="str">
        <f>""</f>
        <v/>
      </c>
      <c r="F2036" t="str">
        <f>""</f>
        <v/>
      </c>
      <c r="H2036" t="str">
        <f t="shared" si="25"/>
        <v>GUARDIAN</v>
      </c>
    </row>
    <row r="2037" spans="5:8" x14ac:dyDescent="0.25">
      <c r="E2037" t="str">
        <f>""</f>
        <v/>
      </c>
      <c r="F2037" t="str">
        <f>""</f>
        <v/>
      </c>
      <c r="H2037" t="str">
        <f t="shared" si="25"/>
        <v>GUARDIAN</v>
      </c>
    </row>
    <row r="2038" spans="5:8" x14ac:dyDescent="0.25">
      <c r="E2038" t="str">
        <f>""</f>
        <v/>
      </c>
      <c r="F2038" t="str">
        <f>""</f>
        <v/>
      </c>
      <c r="H2038" t="str">
        <f t="shared" si="25"/>
        <v>GUARDIAN</v>
      </c>
    </row>
    <row r="2039" spans="5:8" x14ac:dyDescent="0.25">
      <c r="E2039" t="str">
        <f>""</f>
        <v/>
      </c>
      <c r="F2039" t="str">
        <f>""</f>
        <v/>
      </c>
      <c r="H2039" t="str">
        <f t="shared" si="25"/>
        <v>GUARDIAN</v>
      </c>
    </row>
    <row r="2040" spans="5:8" x14ac:dyDescent="0.25">
      <c r="E2040" t="str">
        <f>""</f>
        <v/>
      </c>
      <c r="F2040" t="str">
        <f>""</f>
        <v/>
      </c>
      <c r="H2040" t="str">
        <f t="shared" si="25"/>
        <v>GUARDIAN</v>
      </c>
    </row>
    <row r="2041" spans="5:8" x14ac:dyDescent="0.25">
      <c r="E2041" t="str">
        <f>""</f>
        <v/>
      </c>
      <c r="F2041" t="str">
        <f>""</f>
        <v/>
      </c>
      <c r="H2041" t="str">
        <f t="shared" si="25"/>
        <v>GUARDIAN</v>
      </c>
    </row>
    <row r="2042" spans="5:8" x14ac:dyDescent="0.25">
      <c r="E2042" t="str">
        <f>""</f>
        <v/>
      </c>
      <c r="F2042" t="str">
        <f>""</f>
        <v/>
      </c>
      <c r="H2042" t="str">
        <f t="shared" si="25"/>
        <v>GUARDIAN</v>
      </c>
    </row>
    <row r="2043" spans="5:8" x14ac:dyDescent="0.25">
      <c r="E2043" t="str">
        <f>""</f>
        <v/>
      </c>
      <c r="F2043" t="str">
        <f>""</f>
        <v/>
      </c>
      <c r="H2043" t="str">
        <f t="shared" si="25"/>
        <v>GUARDIAN</v>
      </c>
    </row>
    <row r="2044" spans="5:8" x14ac:dyDescent="0.25">
      <c r="E2044" t="str">
        <f>""</f>
        <v/>
      </c>
      <c r="F2044" t="str">
        <f>""</f>
        <v/>
      </c>
      <c r="H2044" t="str">
        <f t="shared" si="25"/>
        <v>GUARDIAN</v>
      </c>
    </row>
    <row r="2045" spans="5:8" x14ac:dyDescent="0.25">
      <c r="E2045" t="str">
        <f>""</f>
        <v/>
      </c>
      <c r="F2045" t="str">
        <f>""</f>
        <v/>
      </c>
      <c r="H2045" t="str">
        <f t="shared" si="25"/>
        <v>GUARDIAN</v>
      </c>
    </row>
    <row r="2046" spans="5:8" x14ac:dyDescent="0.25">
      <c r="E2046" t="str">
        <f>""</f>
        <v/>
      </c>
      <c r="F2046" t="str">
        <f>""</f>
        <v/>
      </c>
      <c r="H2046" t="str">
        <f t="shared" si="25"/>
        <v>GUARDIAN</v>
      </c>
    </row>
    <row r="2047" spans="5:8" x14ac:dyDescent="0.25">
      <c r="E2047" t="str">
        <f>""</f>
        <v/>
      </c>
      <c r="F2047" t="str">
        <f>""</f>
        <v/>
      </c>
      <c r="H2047" t="str">
        <f t="shared" si="25"/>
        <v>GUARDIAN</v>
      </c>
    </row>
    <row r="2048" spans="5:8" x14ac:dyDescent="0.25">
      <c r="E2048" t="str">
        <f>""</f>
        <v/>
      </c>
      <c r="F2048" t="str">
        <f>""</f>
        <v/>
      </c>
      <c r="H2048" t="str">
        <f t="shared" ref="H2048:H2079" si="26">"GUARDIAN"</f>
        <v>GUARDIAN</v>
      </c>
    </row>
    <row r="2049" spans="5:8" x14ac:dyDescent="0.25">
      <c r="E2049" t="str">
        <f>""</f>
        <v/>
      </c>
      <c r="F2049" t="str">
        <f>""</f>
        <v/>
      </c>
      <c r="H2049" t="str">
        <f t="shared" si="26"/>
        <v>GUARDIAN</v>
      </c>
    </row>
    <row r="2050" spans="5:8" x14ac:dyDescent="0.25">
      <c r="E2050" t="str">
        <f>""</f>
        <v/>
      </c>
      <c r="F2050" t="str">
        <f>""</f>
        <v/>
      </c>
      <c r="H2050" t="str">
        <f t="shared" si="26"/>
        <v>GUARDIAN</v>
      </c>
    </row>
    <row r="2051" spans="5:8" x14ac:dyDescent="0.25">
      <c r="E2051" t="str">
        <f>""</f>
        <v/>
      </c>
      <c r="F2051" t="str">
        <f>""</f>
        <v/>
      </c>
      <c r="H2051" t="str">
        <f t="shared" si="26"/>
        <v>GUARDIAN</v>
      </c>
    </row>
    <row r="2052" spans="5:8" x14ac:dyDescent="0.25">
      <c r="E2052" t="str">
        <f>""</f>
        <v/>
      </c>
      <c r="F2052" t="str">
        <f>""</f>
        <v/>
      </c>
      <c r="H2052" t="str">
        <f t="shared" si="26"/>
        <v>GUARDIAN</v>
      </c>
    </row>
    <row r="2053" spans="5:8" x14ac:dyDescent="0.25">
      <c r="E2053" t="str">
        <f>"LIE201809053425"</f>
        <v>LIE201809053425</v>
      </c>
      <c r="F2053" t="str">
        <f>"GUARDIAN"</f>
        <v>GUARDIAN</v>
      </c>
      <c r="G2053" s="2">
        <v>95.5</v>
      </c>
      <c r="H2053" t="str">
        <f t="shared" si="26"/>
        <v>GUARDIAN</v>
      </c>
    </row>
    <row r="2054" spans="5:8" x14ac:dyDescent="0.25">
      <c r="E2054" t="str">
        <f>""</f>
        <v/>
      </c>
      <c r="F2054" t="str">
        <f>""</f>
        <v/>
      </c>
      <c r="H2054" t="str">
        <f t="shared" si="26"/>
        <v>GUARDIAN</v>
      </c>
    </row>
    <row r="2055" spans="5:8" x14ac:dyDescent="0.25">
      <c r="E2055" t="str">
        <f>"LIE201809193851"</f>
        <v>LIE201809193851</v>
      </c>
      <c r="F2055" t="str">
        <f>"GUARDIAN"</f>
        <v>GUARDIAN</v>
      </c>
      <c r="G2055" s="2">
        <v>3226.95</v>
      </c>
      <c r="H2055" t="str">
        <f t="shared" si="26"/>
        <v>GUARDIAN</v>
      </c>
    </row>
    <row r="2056" spans="5:8" x14ac:dyDescent="0.25">
      <c r="E2056" t="str">
        <f>""</f>
        <v/>
      </c>
      <c r="F2056" t="str">
        <f>""</f>
        <v/>
      </c>
      <c r="H2056" t="str">
        <f t="shared" si="26"/>
        <v>GUARDIAN</v>
      </c>
    </row>
    <row r="2057" spans="5:8" x14ac:dyDescent="0.25">
      <c r="E2057" t="str">
        <f>""</f>
        <v/>
      </c>
      <c r="F2057" t="str">
        <f>""</f>
        <v/>
      </c>
      <c r="H2057" t="str">
        <f t="shared" si="26"/>
        <v>GUARDIAN</v>
      </c>
    </row>
    <row r="2058" spans="5:8" x14ac:dyDescent="0.25">
      <c r="E2058" t="str">
        <f>""</f>
        <v/>
      </c>
      <c r="F2058" t="str">
        <f>""</f>
        <v/>
      </c>
      <c r="H2058" t="str">
        <f t="shared" si="26"/>
        <v>GUARDIAN</v>
      </c>
    </row>
    <row r="2059" spans="5:8" x14ac:dyDescent="0.25">
      <c r="E2059" t="str">
        <f>""</f>
        <v/>
      </c>
      <c r="F2059" t="str">
        <f>""</f>
        <v/>
      </c>
      <c r="H2059" t="str">
        <f t="shared" si="26"/>
        <v>GUARDIAN</v>
      </c>
    </row>
    <row r="2060" spans="5:8" x14ac:dyDescent="0.25">
      <c r="E2060" t="str">
        <f>""</f>
        <v/>
      </c>
      <c r="F2060" t="str">
        <f>""</f>
        <v/>
      </c>
      <c r="H2060" t="str">
        <f t="shared" si="26"/>
        <v>GUARDIAN</v>
      </c>
    </row>
    <row r="2061" spans="5:8" x14ac:dyDescent="0.25">
      <c r="E2061" t="str">
        <f>""</f>
        <v/>
      </c>
      <c r="F2061" t="str">
        <f>""</f>
        <v/>
      </c>
      <c r="H2061" t="str">
        <f t="shared" si="26"/>
        <v>GUARDIAN</v>
      </c>
    </row>
    <row r="2062" spans="5:8" x14ac:dyDescent="0.25">
      <c r="E2062" t="str">
        <f>""</f>
        <v/>
      </c>
      <c r="F2062" t="str">
        <f>""</f>
        <v/>
      </c>
      <c r="H2062" t="str">
        <f t="shared" si="26"/>
        <v>GUARDIAN</v>
      </c>
    </row>
    <row r="2063" spans="5:8" x14ac:dyDescent="0.25">
      <c r="E2063" t="str">
        <f>""</f>
        <v/>
      </c>
      <c r="F2063" t="str">
        <f>""</f>
        <v/>
      </c>
      <c r="H2063" t="str">
        <f t="shared" si="26"/>
        <v>GUARDIAN</v>
      </c>
    </row>
    <row r="2064" spans="5:8" x14ac:dyDescent="0.25">
      <c r="E2064" t="str">
        <f>""</f>
        <v/>
      </c>
      <c r="F2064" t="str">
        <f>""</f>
        <v/>
      </c>
      <c r="H2064" t="str">
        <f t="shared" si="26"/>
        <v>GUARDIAN</v>
      </c>
    </row>
    <row r="2065" spans="5:8" x14ac:dyDescent="0.25">
      <c r="E2065" t="str">
        <f>""</f>
        <v/>
      </c>
      <c r="F2065" t="str">
        <f>""</f>
        <v/>
      </c>
      <c r="H2065" t="str">
        <f t="shared" si="26"/>
        <v>GUARDIAN</v>
      </c>
    </row>
    <row r="2066" spans="5:8" x14ac:dyDescent="0.25">
      <c r="E2066" t="str">
        <f>""</f>
        <v/>
      </c>
      <c r="F2066" t="str">
        <f>""</f>
        <v/>
      </c>
      <c r="H2066" t="str">
        <f t="shared" si="26"/>
        <v>GUARDIAN</v>
      </c>
    </row>
    <row r="2067" spans="5:8" x14ac:dyDescent="0.25">
      <c r="E2067" t="str">
        <f>""</f>
        <v/>
      </c>
      <c r="F2067" t="str">
        <f>""</f>
        <v/>
      </c>
      <c r="H2067" t="str">
        <f t="shared" si="26"/>
        <v>GUARDIAN</v>
      </c>
    </row>
    <row r="2068" spans="5:8" x14ac:dyDescent="0.25">
      <c r="E2068" t="str">
        <f>""</f>
        <v/>
      </c>
      <c r="F2068" t="str">
        <f>""</f>
        <v/>
      </c>
      <c r="H2068" t="str">
        <f t="shared" si="26"/>
        <v>GUARDIAN</v>
      </c>
    </row>
    <row r="2069" spans="5:8" x14ac:dyDescent="0.25">
      <c r="E2069" t="str">
        <f>""</f>
        <v/>
      </c>
      <c r="F2069" t="str">
        <f>""</f>
        <v/>
      </c>
      <c r="H2069" t="str">
        <f t="shared" si="26"/>
        <v>GUARDIAN</v>
      </c>
    </row>
    <row r="2070" spans="5:8" x14ac:dyDescent="0.25">
      <c r="E2070" t="str">
        <f>""</f>
        <v/>
      </c>
      <c r="F2070" t="str">
        <f>""</f>
        <v/>
      </c>
      <c r="H2070" t="str">
        <f t="shared" si="26"/>
        <v>GUARDIAN</v>
      </c>
    </row>
    <row r="2071" spans="5:8" x14ac:dyDescent="0.25">
      <c r="E2071" t="str">
        <f>""</f>
        <v/>
      </c>
      <c r="F2071" t="str">
        <f>""</f>
        <v/>
      </c>
      <c r="H2071" t="str">
        <f t="shared" si="26"/>
        <v>GUARDIAN</v>
      </c>
    </row>
    <row r="2072" spans="5:8" x14ac:dyDescent="0.25">
      <c r="E2072" t="str">
        <f>""</f>
        <v/>
      </c>
      <c r="F2072" t="str">
        <f>""</f>
        <v/>
      </c>
      <c r="H2072" t="str">
        <f t="shared" si="26"/>
        <v>GUARDIAN</v>
      </c>
    </row>
    <row r="2073" spans="5:8" x14ac:dyDescent="0.25">
      <c r="E2073" t="str">
        <f>""</f>
        <v/>
      </c>
      <c r="F2073" t="str">
        <f>""</f>
        <v/>
      </c>
      <c r="H2073" t="str">
        <f t="shared" si="26"/>
        <v>GUARDIAN</v>
      </c>
    </row>
    <row r="2074" spans="5:8" x14ac:dyDescent="0.25">
      <c r="E2074" t="str">
        <f>""</f>
        <v/>
      </c>
      <c r="F2074" t="str">
        <f>""</f>
        <v/>
      </c>
      <c r="H2074" t="str">
        <f t="shared" si="26"/>
        <v>GUARDIAN</v>
      </c>
    </row>
    <row r="2075" spans="5:8" x14ac:dyDescent="0.25">
      <c r="E2075" t="str">
        <f>""</f>
        <v/>
      </c>
      <c r="F2075" t="str">
        <f>""</f>
        <v/>
      </c>
      <c r="H2075" t="str">
        <f t="shared" si="26"/>
        <v>GUARDIAN</v>
      </c>
    </row>
    <row r="2076" spans="5:8" x14ac:dyDescent="0.25">
      <c r="E2076" t="str">
        <f>""</f>
        <v/>
      </c>
      <c r="F2076" t="str">
        <f>""</f>
        <v/>
      </c>
      <c r="H2076" t="str">
        <f t="shared" si="26"/>
        <v>GUARDIAN</v>
      </c>
    </row>
    <row r="2077" spans="5:8" x14ac:dyDescent="0.25">
      <c r="E2077" t="str">
        <f>""</f>
        <v/>
      </c>
      <c r="F2077" t="str">
        <f>""</f>
        <v/>
      </c>
      <c r="H2077" t="str">
        <f t="shared" si="26"/>
        <v>GUARDIAN</v>
      </c>
    </row>
    <row r="2078" spans="5:8" x14ac:dyDescent="0.25">
      <c r="E2078" t="str">
        <f>""</f>
        <v/>
      </c>
      <c r="F2078" t="str">
        <f>""</f>
        <v/>
      </c>
      <c r="H2078" t="str">
        <f t="shared" si="26"/>
        <v>GUARDIAN</v>
      </c>
    </row>
    <row r="2079" spans="5:8" x14ac:dyDescent="0.25">
      <c r="E2079" t="str">
        <f>""</f>
        <v/>
      </c>
      <c r="F2079" t="str">
        <f>""</f>
        <v/>
      </c>
      <c r="H2079" t="str">
        <f t="shared" si="26"/>
        <v>GUARDIAN</v>
      </c>
    </row>
    <row r="2080" spans="5:8" x14ac:dyDescent="0.25">
      <c r="E2080" t="str">
        <f>""</f>
        <v/>
      </c>
      <c r="F2080" t="str">
        <f>""</f>
        <v/>
      </c>
      <c r="H2080" t="str">
        <f t="shared" ref="H2080:H2115" si="27">"GUARDIAN"</f>
        <v>GUARDIAN</v>
      </c>
    </row>
    <row r="2081" spans="5:8" x14ac:dyDescent="0.25">
      <c r="E2081" t="str">
        <f>""</f>
        <v/>
      </c>
      <c r="F2081" t="str">
        <f>""</f>
        <v/>
      </c>
      <c r="H2081" t="str">
        <f t="shared" si="27"/>
        <v>GUARDIAN</v>
      </c>
    </row>
    <row r="2082" spans="5:8" x14ac:dyDescent="0.25">
      <c r="E2082" t="str">
        <f>""</f>
        <v/>
      </c>
      <c r="F2082" t="str">
        <f>""</f>
        <v/>
      </c>
      <c r="H2082" t="str">
        <f t="shared" si="27"/>
        <v>GUARDIAN</v>
      </c>
    </row>
    <row r="2083" spans="5:8" x14ac:dyDescent="0.25">
      <c r="E2083" t="str">
        <f>""</f>
        <v/>
      </c>
      <c r="F2083" t="str">
        <f>""</f>
        <v/>
      </c>
      <c r="H2083" t="str">
        <f t="shared" si="27"/>
        <v>GUARDIAN</v>
      </c>
    </row>
    <row r="2084" spans="5:8" x14ac:dyDescent="0.25">
      <c r="E2084" t="str">
        <f>""</f>
        <v/>
      </c>
      <c r="F2084" t="str">
        <f>""</f>
        <v/>
      </c>
      <c r="H2084" t="str">
        <f t="shared" si="27"/>
        <v>GUARDIAN</v>
      </c>
    </row>
    <row r="2085" spans="5:8" x14ac:dyDescent="0.25">
      <c r="E2085" t="str">
        <f>""</f>
        <v/>
      </c>
      <c r="F2085" t="str">
        <f>""</f>
        <v/>
      </c>
      <c r="H2085" t="str">
        <f t="shared" si="27"/>
        <v>GUARDIAN</v>
      </c>
    </row>
    <row r="2086" spans="5:8" x14ac:dyDescent="0.25">
      <c r="E2086" t="str">
        <f>""</f>
        <v/>
      </c>
      <c r="F2086" t="str">
        <f>""</f>
        <v/>
      </c>
      <c r="H2086" t="str">
        <f t="shared" si="27"/>
        <v>GUARDIAN</v>
      </c>
    </row>
    <row r="2087" spans="5:8" x14ac:dyDescent="0.25">
      <c r="E2087" t="str">
        <f>""</f>
        <v/>
      </c>
      <c r="F2087" t="str">
        <f>""</f>
        <v/>
      </c>
      <c r="H2087" t="str">
        <f t="shared" si="27"/>
        <v>GUARDIAN</v>
      </c>
    </row>
    <row r="2088" spans="5:8" x14ac:dyDescent="0.25">
      <c r="E2088" t="str">
        <f>""</f>
        <v/>
      </c>
      <c r="F2088" t="str">
        <f>""</f>
        <v/>
      </c>
      <c r="H2088" t="str">
        <f t="shared" si="27"/>
        <v>GUARDIAN</v>
      </c>
    </row>
    <row r="2089" spans="5:8" x14ac:dyDescent="0.25">
      <c r="E2089" t="str">
        <f>""</f>
        <v/>
      </c>
      <c r="F2089" t="str">
        <f>""</f>
        <v/>
      </c>
      <c r="H2089" t="str">
        <f t="shared" si="27"/>
        <v>GUARDIAN</v>
      </c>
    </row>
    <row r="2090" spans="5:8" x14ac:dyDescent="0.25">
      <c r="E2090" t="str">
        <f>""</f>
        <v/>
      </c>
      <c r="F2090" t="str">
        <f>""</f>
        <v/>
      </c>
      <c r="H2090" t="str">
        <f t="shared" si="27"/>
        <v>GUARDIAN</v>
      </c>
    </row>
    <row r="2091" spans="5:8" x14ac:dyDescent="0.25">
      <c r="E2091" t="str">
        <f>""</f>
        <v/>
      </c>
      <c r="F2091" t="str">
        <f>""</f>
        <v/>
      </c>
      <c r="H2091" t="str">
        <f t="shared" si="27"/>
        <v>GUARDIAN</v>
      </c>
    </row>
    <row r="2092" spans="5:8" x14ac:dyDescent="0.25">
      <c r="E2092" t="str">
        <f>""</f>
        <v/>
      </c>
      <c r="F2092" t="str">
        <f>""</f>
        <v/>
      </c>
      <c r="H2092" t="str">
        <f t="shared" si="27"/>
        <v>GUARDIAN</v>
      </c>
    </row>
    <row r="2093" spans="5:8" x14ac:dyDescent="0.25">
      <c r="E2093" t="str">
        <f>""</f>
        <v/>
      </c>
      <c r="F2093" t="str">
        <f>""</f>
        <v/>
      </c>
      <c r="H2093" t="str">
        <f t="shared" si="27"/>
        <v>GUARDIAN</v>
      </c>
    </row>
    <row r="2094" spans="5:8" x14ac:dyDescent="0.25">
      <c r="E2094" t="str">
        <f>""</f>
        <v/>
      </c>
      <c r="F2094" t="str">
        <f>""</f>
        <v/>
      </c>
      <c r="H2094" t="str">
        <f t="shared" si="27"/>
        <v>GUARDIAN</v>
      </c>
    </row>
    <row r="2095" spans="5:8" x14ac:dyDescent="0.25">
      <c r="E2095" t="str">
        <f>""</f>
        <v/>
      </c>
      <c r="F2095" t="str">
        <f>""</f>
        <v/>
      </c>
      <c r="H2095" t="str">
        <f t="shared" si="27"/>
        <v>GUARDIAN</v>
      </c>
    </row>
    <row r="2096" spans="5:8" x14ac:dyDescent="0.25">
      <c r="E2096" t="str">
        <f>""</f>
        <v/>
      </c>
      <c r="F2096" t="str">
        <f>""</f>
        <v/>
      </c>
      <c r="H2096" t="str">
        <f t="shared" si="27"/>
        <v>GUARDIAN</v>
      </c>
    </row>
    <row r="2097" spans="1:8" x14ac:dyDescent="0.25">
      <c r="E2097" t="str">
        <f>""</f>
        <v/>
      </c>
      <c r="F2097" t="str">
        <f>""</f>
        <v/>
      </c>
      <c r="H2097" t="str">
        <f t="shared" si="27"/>
        <v>GUARDIAN</v>
      </c>
    </row>
    <row r="2098" spans="1:8" x14ac:dyDescent="0.25">
      <c r="E2098" t="str">
        <f>""</f>
        <v/>
      </c>
      <c r="F2098" t="str">
        <f>""</f>
        <v/>
      </c>
      <c r="H2098" t="str">
        <f t="shared" si="27"/>
        <v>GUARDIAN</v>
      </c>
    </row>
    <row r="2099" spans="1:8" x14ac:dyDescent="0.25">
      <c r="E2099" t="str">
        <f>""</f>
        <v/>
      </c>
      <c r="F2099" t="str">
        <f>""</f>
        <v/>
      </c>
      <c r="H2099" t="str">
        <f t="shared" si="27"/>
        <v>GUARDIAN</v>
      </c>
    </row>
    <row r="2100" spans="1:8" x14ac:dyDescent="0.25">
      <c r="E2100" t="str">
        <f>""</f>
        <v/>
      </c>
      <c r="F2100" t="str">
        <f>""</f>
        <v/>
      </c>
      <c r="H2100" t="str">
        <f t="shared" si="27"/>
        <v>GUARDIAN</v>
      </c>
    </row>
    <row r="2101" spans="1:8" x14ac:dyDescent="0.25">
      <c r="E2101" t="str">
        <f>""</f>
        <v/>
      </c>
      <c r="F2101" t="str">
        <f>""</f>
        <v/>
      </c>
      <c r="H2101" t="str">
        <f t="shared" si="27"/>
        <v>GUARDIAN</v>
      </c>
    </row>
    <row r="2102" spans="1:8" x14ac:dyDescent="0.25">
      <c r="E2102" t="str">
        <f>""</f>
        <v/>
      </c>
      <c r="F2102" t="str">
        <f>""</f>
        <v/>
      </c>
      <c r="H2102" t="str">
        <f t="shared" si="27"/>
        <v>GUARDIAN</v>
      </c>
    </row>
    <row r="2103" spans="1:8" x14ac:dyDescent="0.25">
      <c r="E2103" t="str">
        <f>""</f>
        <v/>
      </c>
      <c r="F2103" t="str">
        <f>""</f>
        <v/>
      </c>
      <c r="H2103" t="str">
        <f t="shared" si="27"/>
        <v>GUARDIAN</v>
      </c>
    </row>
    <row r="2104" spans="1:8" x14ac:dyDescent="0.25">
      <c r="E2104" t="str">
        <f>"LIE201809193863"</f>
        <v>LIE201809193863</v>
      </c>
      <c r="F2104" t="str">
        <f>"GUARDIAN"</f>
        <v>GUARDIAN</v>
      </c>
      <c r="G2104" s="2">
        <v>95.5</v>
      </c>
      <c r="H2104" t="str">
        <f t="shared" si="27"/>
        <v>GUARDIAN</v>
      </c>
    </row>
    <row r="2105" spans="1:8" x14ac:dyDescent="0.25">
      <c r="E2105" t="str">
        <f>""</f>
        <v/>
      </c>
      <c r="F2105" t="str">
        <f>""</f>
        <v/>
      </c>
      <c r="H2105" t="str">
        <f t="shared" si="27"/>
        <v>GUARDIAN</v>
      </c>
    </row>
    <row r="2106" spans="1:8" x14ac:dyDescent="0.25">
      <c r="E2106" t="str">
        <f>"LIS201809053424"</f>
        <v>LIS201809053424</v>
      </c>
      <c r="F2106" t="str">
        <f t="shared" ref="F2106:F2115" si="28">"GUARDIAN"</f>
        <v>GUARDIAN</v>
      </c>
      <c r="G2106" s="2">
        <v>385.77</v>
      </c>
      <c r="H2106" t="str">
        <f t="shared" si="27"/>
        <v>GUARDIAN</v>
      </c>
    </row>
    <row r="2107" spans="1:8" x14ac:dyDescent="0.25">
      <c r="E2107" t="str">
        <f>"LIS201809053425"</f>
        <v>LIS201809053425</v>
      </c>
      <c r="F2107" t="str">
        <f t="shared" si="28"/>
        <v>GUARDIAN</v>
      </c>
      <c r="G2107" s="2">
        <v>31.03</v>
      </c>
      <c r="H2107" t="str">
        <f t="shared" si="27"/>
        <v>GUARDIAN</v>
      </c>
    </row>
    <row r="2108" spans="1:8" x14ac:dyDescent="0.25">
      <c r="E2108" t="str">
        <f>"LIS201809193851"</f>
        <v>LIS201809193851</v>
      </c>
      <c r="F2108" t="str">
        <f t="shared" si="28"/>
        <v>GUARDIAN</v>
      </c>
      <c r="G2108" s="2">
        <v>385.77</v>
      </c>
      <c r="H2108" t="str">
        <f t="shared" si="27"/>
        <v>GUARDIAN</v>
      </c>
    </row>
    <row r="2109" spans="1:8" x14ac:dyDescent="0.25">
      <c r="E2109" t="str">
        <f>"LIS201809193863"</f>
        <v>LIS201809193863</v>
      </c>
      <c r="F2109" t="str">
        <f t="shared" si="28"/>
        <v>GUARDIAN</v>
      </c>
      <c r="G2109" s="2">
        <v>31.03</v>
      </c>
      <c r="H2109" t="str">
        <f t="shared" si="27"/>
        <v>GUARDIAN</v>
      </c>
    </row>
    <row r="2110" spans="1:8" x14ac:dyDescent="0.25">
      <c r="E2110" t="str">
        <f>"LTD201809053424"</f>
        <v>LTD201809053424</v>
      </c>
      <c r="F2110" t="str">
        <f t="shared" si="28"/>
        <v>GUARDIAN</v>
      </c>
      <c r="G2110" s="2">
        <v>882.06</v>
      </c>
      <c r="H2110" t="str">
        <f t="shared" si="27"/>
        <v>GUARDIAN</v>
      </c>
    </row>
    <row r="2111" spans="1:8" x14ac:dyDescent="0.25">
      <c r="E2111" t="str">
        <f>"LTD201809193851"</f>
        <v>LTD201809193851</v>
      </c>
      <c r="F2111" t="str">
        <f t="shared" si="28"/>
        <v>GUARDIAN</v>
      </c>
      <c r="G2111" s="2">
        <v>882.06</v>
      </c>
      <c r="H2111" t="str">
        <f t="shared" si="27"/>
        <v>GUARDIAN</v>
      </c>
    </row>
    <row r="2112" spans="1:8" x14ac:dyDescent="0.25">
      <c r="A2112" t="s">
        <v>537</v>
      </c>
      <c r="B2112">
        <v>0</v>
      </c>
      <c r="C2112" s="3">
        <v>112.44</v>
      </c>
      <c r="D2112" s="1">
        <v>43368</v>
      </c>
      <c r="E2112" t="str">
        <f>"AEG201809053424"</f>
        <v>AEG201809053424</v>
      </c>
      <c r="F2112" t="str">
        <f t="shared" si="28"/>
        <v>GUARDIAN</v>
      </c>
      <c r="G2112" s="2">
        <v>6.66</v>
      </c>
      <c r="H2112" t="str">
        <f t="shared" si="27"/>
        <v>GUARDIAN</v>
      </c>
    </row>
    <row r="2113" spans="1:8" x14ac:dyDescent="0.25">
      <c r="E2113" t="str">
        <f>"AEG201809193851"</f>
        <v>AEG201809193851</v>
      </c>
      <c r="F2113" t="str">
        <f t="shared" si="28"/>
        <v>GUARDIAN</v>
      </c>
      <c r="G2113" s="2">
        <v>6.66</v>
      </c>
      <c r="H2113" t="str">
        <f t="shared" si="27"/>
        <v>GUARDIAN</v>
      </c>
    </row>
    <row r="2114" spans="1:8" x14ac:dyDescent="0.25">
      <c r="E2114" t="str">
        <f>"AFG201809053424"</f>
        <v>AFG201809053424</v>
      </c>
      <c r="F2114" t="str">
        <f t="shared" si="28"/>
        <v>GUARDIAN</v>
      </c>
      <c r="G2114" s="2">
        <v>49.56</v>
      </c>
      <c r="H2114" t="str">
        <f t="shared" si="27"/>
        <v>GUARDIAN</v>
      </c>
    </row>
    <row r="2115" spans="1:8" x14ac:dyDescent="0.25">
      <c r="E2115" t="str">
        <f>"AFG201809193851"</f>
        <v>AFG201809193851</v>
      </c>
      <c r="F2115" t="str">
        <f t="shared" si="28"/>
        <v>GUARDIAN</v>
      </c>
      <c r="G2115" s="2">
        <v>49.56</v>
      </c>
      <c r="H2115" t="str">
        <f t="shared" si="27"/>
        <v>GUARDIAN</v>
      </c>
    </row>
    <row r="2116" spans="1:8" x14ac:dyDescent="0.25">
      <c r="A2116" t="s">
        <v>538</v>
      </c>
      <c r="B2116">
        <v>46596</v>
      </c>
      <c r="C2116" s="3">
        <v>238.43</v>
      </c>
      <c r="D2116" s="1">
        <v>43350</v>
      </c>
      <c r="E2116" t="str">
        <f>"IJ2201809053424"</f>
        <v>IJ2201809053424</v>
      </c>
      <c r="F2116" t="str">
        <f>"LISA JACKSON 2 IRS LEVY"</f>
        <v>LISA JACKSON 2 IRS LEVY</v>
      </c>
      <c r="G2116" s="2">
        <v>238.43</v>
      </c>
      <c r="H2116" t="str">
        <f>"LISA JACKSON 2 IRS LEVY"</f>
        <v>LISA JACKSON 2 IRS LEVY</v>
      </c>
    </row>
    <row r="2117" spans="1:8" x14ac:dyDescent="0.25">
      <c r="A2117" t="s">
        <v>538</v>
      </c>
      <c r="B2117">
        <v>46621</v>
      </c>
      <c r="C2117" s="3">
        <v>238.43</v>
      </c>
      <c r="D2117" s="1">
        <v>43364</v>
      </c>
      <c r="E2117" t="str">
        <f>"IJ2201809193851"</f>
        <v>IJ2201809193851</v>
      </c>
      <c r="F2117" t="str">
        <f>"LISA JACKSON 2 IRS LEVY"</f>
        <v>LISA JACKSON 2 IRS LEVY</v>
      </c>
      <c r="G2117" s="2">
        <v>238.43</v>
      </c>
      <c r="H2117" t="str">
        <f>"LISA JACKSON 2 IRS LEVY"</f>
        <v>LISA JACKSON 2 IRS LEVY</v>
      </c>
    </row>
    <row r="2118" spans="1:8" x14ac:dyDescent="0.25">
      <c r="A2118" t="s">
        <v>539</v>
      </c>
      <c r="B2118">
        <v>0</v>
      </c>
      <c r="C2118" s="3">
        <v>210735.55</v>
      </c>
      <c r="D2118" s="1">
        <v>43350</v>
      </c>
      <c r="E2118" t="str">
        <f>"T1 201809053424"</f>
        <v>T1 201809053424</v>
      </c>
      <c r="F2118" t="str">
        <f>"FEDERAL WITHHOLDING"</f>
        <v>FEDERAL WITHHOLDING</v>
      </c>
      <c r="G2118" s="2">
        <v>67529.509999999995</v>
      </c>
      <c r="H2118" t="str">
        <f>"FEDERAL WITHHOLDING"</f>
        <v>FEDERAL WITHHOLDING</v>
      </c>
    </row>
    <row r="2119" spans="1:8" x14ac:dyDescent="0.25">
      <c r="E2119" t="str">
        <f>"T1 201809053425"</f>
        <v>T1 201809053425</v>
      </c>
      <c r="F2119" t="str">
        <f>"FEDERAL WITHHOLDING"</f>
        <v>FEDERAL WITHHOLDING</v>
      </c>
      <c r="G2119" s="2">
        <v>2900.7</v>
      </c>
      <c r="H2119" t="str">
        <f>"FEDERAL WITHHOLDING"</f>
        <v>FEDERAL WITHHOLDING</v>
      </c>
    </row>
    <row r="2120" spans="1:8" x14ac:dyDescent="0.25">
      <c r="E2120" t="str">
        <f>"T1 201809053426"</f>
        <v>T1 201809053426</v>
      </c>
      <c r="F2120" t="str">
        <f>"FEDERAL WITHHOLDING"</f>
        <v>FEDERAL WITHHOLDING</v>
      </c>
      <c r="G2120" s="2">
        <v>3740.6</v>
      </c>
      <c r="H2120" t="str">
        <f>"FEDERAL WITHHOLDING"</f>
        <v>FEDERAL WITHHOLDING</v>
      </c>
    </row>
    <row r="2121" spans="1:8" x14ac:dyDescent="0.25">
      <c r="E2121" t="str">
        <f>"T3 201809053424"</f>
        <v>T3 201809053424</v>
      </c>
      <c r="F2121" t="str">
        <f>"SOCIAL SECURITY TAXES"</f>
        <v>SOCIAL SECURITY TAXES</v>
      </c>
      <c r="G2121" s="2">
        <v>101059.8</v>
      </c>
      <c r="H2121" t="str">
        <f t="shared" ref="H2121:H2152" si="29">"SOCIAL SECURITY TAXES"</f>
        <v>SOCIAL SECURITY TAXES</v>
      </c>
    </row>
    <row r="2122" spans="1:8" x14ac:dyDescent="0.25">
      <c r="E2122" t="str">
        <f>""</f>
        <v/>
      </c>
      <c r="F2122" t="str">
        <f>""</f>
        <v/>
      </c>
      <c r="H2122" t="str">
        <f t="shared" si="29"/>
        <v>SOCIAL SECURITY TAXES</v>
      </c>
    </row>
    <row r="2123" spans="1:8" x14ac:dyDescent="0.25">
      <c r="E2123" t="str">
        <f>""</f>
        <v/>
      </c>
      <c r="F2123" t="str">
        <f>""</f>
        <v/>
      </c>
      <c r="H2123" t="str">
        <f t="shared" si="29"/>
        <v>SOCIAL SECURITY TAXES</v>
      </c>
    </row>
    <row r="2124" spans="1:8" x14ac:dyDescent="0.25">
      <c r="E2124" t="str">
        <f>""</f>
        <v/>
      </c>
      <c r="F2124" t="str">
        <f>""</f>
        <v/>
      </c>
      <c r="H2124" t="str">
        <f t="shared" si="29"/>
        <v>SOCIAL SECURITY TAXES</v>
      </c>
    </row>
    <row r="2125" spans="1:8" x14ac:dyDescent="0.25">
      <c r="E2125" t="str">
        <f>""</f>
        <v/>
      </c>
      <c r="F2125" t="str">
        <f>""</f>
        <v/>
      </c>
      <c r="H2125" t="str">
        <f t="shared" si="29"/>
        <v>SOCIAL SECURITY TAXES</v>
      </c>
    </row>
    <row r="2126" spans="1:8" x14ac:dyDescent="0.25">
      <c r="E2126" t="str">
        <f>""</f>
        <v/>
      </c>
      <c r="F2126" t="str">
        <f>""</f>
        <v/>
      </c>
      <c r="H2126" t="str">
        <f t="shared" si="29"/>
        <v>SOCIAL SECURITY TAXES</v>
      </c>
    </row>
    <row r="2127" spans="1:8" x14ac:dyDescent="0.25">
      <c r="E2127" t="str">
        <f>""</f>
        <v/>
      </c>
      <c r="F2127" t="str">
        <f>""</f>
        <v/>
      </c>
      <c r="H2127" t="str">
        <f t="shared" si="29"/>
        <v>SOCIAL SECURITY TAXES</v>
      </c>
    </row>
    <row r="2128" spans="1:8" x14ac:dyDescent="0.25">
      <c r="E2128" t="str">
        <f>""</f>
        <v/>
      </c>
      <c r="F2128" t="str">
        <f>""</f>
        <v/>
      </c>
      <c r="H2128" t="str">
        <f t="shared" si="29"/>
        <v>SOCIAL SECURITY TAXES</v>
      </c>
    </row>
    <row r="2129" spans="5:8" x14ac:dyDescent="0.25">
      <c r="E2129" t="str">
        <f>""</f>
        <v/>
      </c>
      <c r="F2129" t="str">
        <f>""</f>
        <v/>
      </c>
      <c r="H2129" t="str">
        <f t="shared" si="29"/>
        <v>SOCIAL SECURITY TAXES</v>
      </c>
    </row>
    <row r="2130" spans="5:8" x14ac:dyDescent="0.25">
      <c r="E2130" t="str">
        <f>""</f>
        <v/>
      </c>
      <c r="F2130" t="str">
        <f>""</f>
        <v/>
      </c>
      <c r="H2130" t="str">
        <f t="shared" si="29"/>
        <v>SOCIAL SECURITY TAXES</v>
      </c>
    </row>
    <row r="2131" spans="5:8" x14ac:dyDescent="0.25">
      <c r="E2131" t="str">
        <f>""</f>
        <v/>
      </c>
      <c r="F2131" t="str">
        <f>""</f>
        <v/>
      </c>
      <c r="H2131" t="str">
        <f t="shared" si="29"/>
        <v>SOCIAL SECURITY TAXES</v>
      </c>
    </row>
    <row r="2132" spans="5:8" x14ac:dyDescent="0.25">
      <c r="E2132" t="str">
        <f>""</f>
        <v/>
      </c>
      <c r="F2132" t="str">
        <f>""</f>
        <v/>
      </c>
      <c r="H2132" t="str">
        <f t="shared" si="29"/>
        <v>SOCIAL SECURITY TAXES</v>
      </c>
    </row>
    <row r="2133" spans="5:8" x14ac:dyDescent="0.25">
      <c r="E2133" t="str">
        <f>""</f>
        <v/>
      </c>
      <c r="F2133" t="str">
        <f>""</f>
        <v/>
      </c>
      <c r="H2133" t="str">
        <f t="shared" si="29"/>
        <v>SOCIAL SECURITY TAXES</v>
      </c>
    </row>
    <row r="2134" spans="5:8" x14ac:dyDescent="0.25">
      <c r="E2134" t="str">
        <f>""</f>
        <v/>
      </c>
      <c r="F2134" t="str">
        <f>""</f>
        <v/>
      </c>
      <c r="H2134" t="str">
        <f t="shared" si="29"/>
        <v>SOCIAL SECURITY TAXES</v>
      </c>
    </row>
    <row r="2135" spans="5:8" x14ac:dyDescent="0.25">
      <c r="E2135" t="str">
        <f>""</f>
        <v/>
      </c>
      <c r="F2135" t="str">
        <f>""</f>
        <v/>
      </c>
      <c r="H2135" t="str">
        <f t="shared" si="29"/>
        <v>SOCIAL SECURITY TAXES</v>
      </c>
    </row>
    <row r="2136" spans="5:8" x14ac:dyDescent="0.25">
      <c r="E2136" t="str">
        <f>""</f>
        <v/>
      </c>
      <c r="F2136" t="str">
        <f>""</f>
        <v/>
      </c>
      <c r="H2136" t="str">
        <f t="shared" si="29"/>
        <v>SOCIAL SECURITY TAXES</v>
      </c>
    </row>
    <row r="2137" spans="5:8" x14ac:dyDescent="0.25">
      <c r="E2137" t="str">
        <f>""</f>
        <v/>
      </c>
      <c r="F2137" t="str">
        <f>""</f>
        <v/>
      </c>
      <c r="H2137" t="str">
        <f t="shared" si="29"/>
        <v>SOCIAL SECURITY TAXES</v>
      </c>
    </row>
    <row r="2138" spans="5:8" x14ac:dyDescent="0.25">
      <c r="E2138" t="str">
        <f>""</f>
        <v/>
      </c>
      <c r="F2138" t="str">
        <f>""</f>
        <v/>
      </c>
      <c r="H2138" t="str">
        <f t="shared" si="29"/>
        <v>SOCIAL SECURITY TAXES</v>
      </c>
    </row>
    <row r="2139" spans="5:8" x14ac:dyDescent="0.25">
      <c r="E2139" t="str">
        <f>""</f>
        <v/>
      </c>
      <c r="F2139" t="str">
        <f>""</f>
        <v/>
      </c>
      <c r="H2139" t="str">
        <f t="shared" si="29"/>
        <v>SOCIAL SECURITY TAXES</v>
      </c>
    </row>
    <row r="2140" spans="5:8" x14ac:dyDescent="0.25">
      <c r="E2140" t="str">
        <f>""</f>
        <v/>
      </c>
      <c r="F2140" t="str">
        <f>""</f>
        <v/>
      </c>
      <c r="H2140" t="str">
        <f t="shared" si="29"/>
        <v>SOCIAL SECURITY TAXES</v>
      </c>
    </row>
    <row r="2141" spans="5:8" x14ac:dyDescent="0.25">
      <c r="E2141" t="str">
        <f>""</f>
        <v/>
      </c>
      <c r="F2141" t="str">
        <f>""</f>
        <v/>
      </c>
      <c r="H2141" t="str">
        <f t="shared" si="29"/>
        <v>SOCIAL SECURITY TAXES</v>
      </c>
    </row>
    <row r="2142" spans="5:8" x14ac:dyDescent="0.25">
      <c r="E2142" t="str">
        <f>""</f>
        <v/>
      </c>
      <c r="F2142" t="str">
        <f>""</f>
        <v/>
      </c>
      <c r="H2142" t="str">
        <f t="shared" si="29"/>
        <v>SOCIAL SECURITY TAXES</v>
      </c>
    </row>
    <row r="2143" spans="5:8" x14ac:dyDescent="0.25">
      <c r="E2143" t="str">
        <f>""</f>
        <v/>
      </c>
      <c r="F2143" t="str">
        <f>""</f>
        <v/>
      </c>
      <c r="H2143" t="str">
        <f t="shared" si="29"/>
        <v>SOCIAL SECURITY TAXES</v>
      </c>
    </row>
    <row r="2144" spans="5:8" x14ac:dyDescent="0.25">
      <c r="E2144" t="str">
        <f>""</f>
        <v/>
      </c>
      <c r="F2144" t="str">
        <f>""</f>
        <v/>
      </c>
      <c r="H2144" t="str">
        <f t="shared" si="29"/>
        <v>SOCIAL SECURITY TAXES</v>
      </c>
    </row>
    <row r="2145" spans="5:8" x14ac:dyDescent="0.25">
      <c r="E2145" t="str">
        <f>""</f>
        <v/>
      </c>
      <c r="F2145" t="str">
        <f>""</f>
        <v/>
      </c>
      <c r="H2145" t="str">
        <f t="shared" si="29"/>
        <v>SOCIAL SECURITY TAXES</v>
      </c>
    </row>
    <row r="2146" spans="5:8" x14ac:dyDescent="0.25">
      <c r="E2146" t="str">
        <f>""</f>
        <v/>
      </c>
      <c r="F2146" t="str">
        <f>""</f>
        <v/>
      </c>
      <c r="H2146" t="str">
        <f t="shared" si="29"/>
        <v>SOCIAL SECURITY TAXES</v>
      </c>
    </row>
    <row r="2147" spans="5:8" x14ac:dyDescent="0.25">
      <c r="E2147" t="str">
        <f>""</f>
        <v/>
      </c>
      <c r="F2147" t="str">
        <f>""</f>
        <v/>
      </c>
      <c r="H2147" t="str">
        <f t="shared" si="29"/>
        <v>SOCIAL SECURITY TAXES</v>
      </c>
    </row>
    <row r="2148" spans="5:8" x14ac:dyDescent="0.25">
      <c r="E2148" t="str">
        <f>""</f>
        <v/>
      </c>
      <c r="F2148" t="str">
        <f>""</f>
        <v/>
      </c>
      <c r="H2148" t="str">
        <f t="shared" si="29"/>
        <v>SOCIAL SECURITY TAXES</v>
      </c>
    </row>
    <row r="2149" spans="5:8" x14ac:dyDescent="0.25">
      <c r="E2149" t="str">
        <f>""</f>
        <v/>
      </c>
      <c r="F2149" t="str">
        <f>""</f>
        <v/>
      </c>
      <c r="H2149" t="str">
        <f t="shared" si="29"/>
        <v>SOCIAL SECURITY TAXES</v>
      </c>
    </row>
    <row r="2150" spans="5:8" x14ac:dyDescent="0.25">
      <c r="E2150" t="str">
        <f>""</f>
        <v/>
      </c>
      <c r="F2150" t="str">
        <f>""</f>
        <v/>
      </c>
      <c r="H2150" t="str">
        <f t="shared" si="29"/>
        <v>SOCIAL SECURITY TAXES</v>
      </c>
    </row>
    <row r="2151" spans="5:8" x14ac:dyDescent="0.25">
      <c r="E2151" t="str">
        <f>""</f>
        <v/>
      </c>
      <c r="F2151" t="str">
        <f>""</f>
        <v/>
      </c>
      <c r="H2151" t="str">
        <f t="shared" si="29"/>
        <v>SOCIAL SECURITY TAXES</v>
      </c>
    </row>
    <row r="2152" spans="5:8" x14ac:dyDescent="0.25">
      <c r="E2152" t="str">
        <f>""</f>
        <v/>
      </c>
      <c r="F2152" t="str">
        <f>""</f>
        <v/>
      </c>
      <c r="H2152" t="str">
        <f t="shared" si="29"/>
        <v>SOCIAL SECURITY TAXES</v>
      </c>
    </row>
    <row r="2153" spans="5:8" x14ac:dyDescent="0.25">
      <c r="E2153" t="str">
        <f>""</f>
        <v/>
      </c>
      <c r="F2153" t="str">
        <f>""</f>
        <v/>
      </c>
      <c r="H2153" t="str">
        <f t="shared" ref="H2153:H2179" si="30">"SOCIAL SECURITY TAXES"</f>
        <v>SOCIAL SECURITY TAXES</v>
      </c>
    </row>
    <row r="2154" spans="5:8" x14ac:dyDescent="0.25">
      <c r="E2154" t="str">
        <f>""</f>
        <v/>
      </c>
      <c r="F2154" t="str">
        <f>""</f>
        <v/>
      </c>
      <c r="H2154" t="str">
        <f t="shared" si="30"/>
        <v>SOCIAL SECURITY TAXES</v>
      </c>
    </row>
    <row r="2155" spans="5:8" x14ac:dyDescent="0.25">
      <c r="E2155" t="str">
        <f>""</f>
        <v/>
      </c>
      <c r="F2155" t="str">
        <f>""</f>
        <v/>
      </c>
      <c r="H2155" t="str">
        <f t="shared" si="30"/>
        <v>SOCIAL SECURITY TAXES</v>
      </c>
    </row>
    <row r="2156" spans="5:8" x14ac:dyDescent="0.25">
      <c r="E2156" t="str">
        <f>""</f>
        <v/>
      </c>
      <c r="F2156" t="str">
        <f>""</f>
        <v/>
      </c>
      <c r="H2156" t="str">
        <f t="shared" si="30"/>
        <v>SOCIAL SECURITY TAXES</v>
      </c>
    </row>
    <row r="2157" spans="5:8" x14ac:dyDescent="0.25">
      <c r="E2157" t="str">
        <f>""</f>
        <v/>
      </c>
      <c r="F2157" t="str">
        <f>""</f>
        <v/>
      </c>
      <c r="H2157" t="str">
        <f t="shared" si="30"/>
        <v>SOCIAL SECURITY TAXES</v>
      </c>
    </row>
    <row r="2158" spans="5:8" x14ac:dyDescent="0.25">
      <c r="E2158" t="str">
        <f>""</f>
        <v/>
      </c>
      <c r="F2158" t="str">
        <f>""</f>
        <v/>
      </c>
      <c r="H2158" t="str">
        <f t="shared" si="30"/>
        <v>SOCIAL SECURITY TAXES</v>
      </c>
    </row>
    <row r="2159" spans="5:8" x14ac:dyDescent="0.25">
      <c r="E2159" t="str">
        <f>""</f>
        <v/>
      </c>
      <c r="F2159" t="str">
        <f>""</f>
        <v/>
      </c>
      <c r="H2159" t="str">
        <f t="shared" si="30"/>
        <v>SOCIAL SECURITY TAXES</v>
      </c>
    </row>
    <row r="2160" spans="5:8" x14ac:dyDescent="0.25">
      <c r="E2160" t="str">
        <f>""</f>
        <v/>
      </c>
      <c r="F2160" t="str">
        <f>""</f>
        <v/>
      </c>
      <c r="H2160" t="str">
        <f t="shared" si="30"/>
        <v>SOCIAL SECURITY TAXES</v>
      </c>
    </row>
    <row r="2161" spans="5:8" x14ac:dyDescent="0.25">
      <c r="E2161" t="str">
        <f>""</f>
        <v/>
      </c>
      <c r="F2161" t="str">
        <f>""</f>
        <v/>
      </c>
      <c r="H2161" t="str">
        <f t="shared" si="30"/>
        <v>SOCIAL SECURITY TAXES</v>
      </c>
    </row>
    <row r="2162" spans="5:8" x14ac:dyDescent="0.25">
      <c r="E2162" t="str">
        <f>""</f>
        <v/>
      </c>
      <c r="F2162" t="str">
        <f>""</f>
        <v/>
      </c>
      <c r="H2162" t="str">
        <f t="shared" si="30"/>
        <v>SOCIAL SECURITY TAXES</v>
      </c>
    </row>
    <row r="2163" spans="5:8" x14ac:dyDescent="0.25">
      <c r="E2163" t="str">
        <f>""</f>
        <v/>
      </c>
      <c r="F2163" t="str">
        <f>""</f>
        <v/>
      </c>
      <c r="H2163" t="str">
        <f t="shared" si="30"/>
        <v>SOCIAL SECURITY TAXES</v>
      </c>
    </row>
    <row r="2164" spans="5:8" x14ac:dyDescent="0.25">
      <c r="E2164" t="str">
        <f>""</f>
        <v/>
      </c>
      <c r="F2164" t="str">
        <f>""</f>
        <v/>
      </c>
      <c r="H2164" t="str">
        <f t="shared" si="30"/>
        <v>SOCIAL SECURITY TAXES</v>
      </c>
    </row>
    <row r="2165" spans="5:8" x14ac:dyDescent="0.25">
      <c r="E2165" t="str">
        <f>""</f>
        <v/>
      </c>
      <c r="F2165" t="str">
        <f>""</f>
        <v/>
      </c>
      <c r="H2165" t="str">
        <f t="shared" si="30"/>
        <v>SOCIAL SECURITY TAXES</v>
      </c>
    </row>
    <row r="2166" spans="5:8" x14ac:dyDescent="0.25">
      <c r="E2166" t="str">
        <f>""</f>
        <v/>
      </c>
      <c r="F2166" t="str">
        <f>""</f>
        <v/>
      </c>
      <c r="H2166" t="str">
        <f t="shared" si="30"/>
        <v>SOCIAL SECURITY TAXES</v>
      </c>
    </row>
    <row r="2167" spans="5:8" x14ac:dyDescent="0.25">
      <c r="E2167" t="str">
        <f>""</f>
        <v/>
      </c>
      <c r="F2167" t="str">
        <f>""</f>
        <v/>
      </c>
      <c r="H2167" t="str">
        <f t="shared" si="30"/>
        <v>SOCIAL SECURITY TAXES</v>
      </c>
    </row>
    <row r="2168" spans="5:8" x14ac:dyDescent="0.25">
      <c r="E2168" t="str">
        <f>""</f>
        <v/>
      </c>
      <c r="F2168" t="str">
        <f>""</f>
        <v/>
      </c>
      <c r="H2168" t="str">
        <f t="shared" si="30"/>
        <v>SOCIAL SECURITY TAXES</v>
      </c>
    </row>
    <row r="2169" spans="5:8" x14ac:dyDescent="0.25">
      <c r="E2169" t="str">
        <f>""</f>
        <v/>
      </c>
      <c r="F2169" t="str">
        <f>""</f>
        <v/>
      </c>
      <c r="H2169" t="str">
        <f t="shared" si="30"/>
        <v>SOCIAL SECURITY TAXES</v>
      </c>
    </row>
    <row r="2170" spans="5:8" x14ac:dyDescent="0.25">
      <c r="E2170" t="str">
        <f>""</f>
        <v/>
      </c>
      <c r="F2170" t="str">
        <f>""</f>
        <v/>
      </c>
      <c r="H2170" t="str">
        <f t="shared" si="30"/>
        <v>SOCIAL SECURITY TAXES</v>
      </c>
    </row>
    <row r="2171" spans="5:8" x14ac:dyDescent="0.25">
      <c r="E2171" t="str">
        <f>""</f>
        <v/>
      </c>
      <c r="F2171" t="str">
        <f>""</f>
        <v/>
      </c>
      <c r="H2171" t="str">
        <f t="shared" si="30"/>
        <v>SOCIAL SECURITY TAXES</v>
      </c>
    </row>
    <row r="2172" spans="5:8" x14ac:dyDescent="0.25">
      <c r="E2172" t="str">
        <f>""</f>
        <v/>
      </c>
      <c r="F2172" t="str">
        <f>""</f>
        <v/>
      </c>
      <c r="H2172" t="str">
        <f t="shared" si="30"/>
        <v>SOCIAL SECURITY TAXES</v>
      </c>
    </row>
    <row r="2173" spans="5:8" x14ac:dyDescent="0.25">
      <c r="E2173" t="str">
        <f>""</f>
        <v/>
      </c>
      <c r="F2173" t="str">
        <f>""</f>
        <v/>
      </c>
      <c r="H2173" t="str">
        <f t="shared" si="30"/>
        <v>SOCIAL SECURITY TAXES</v>
      </c>
    </row>
    <row r="2174" spans="5:8" x14ac:dyDescent="0.25">
      <c r="E2174" t="str">
        <f>"T3 201809053425"</f>
        <v>T3 201809053425</v>
      </c>
      <c r="F2174" t="str">
        <f>"SOCIAL SECURITY TAXES"</f>
        <v>SOCIAL SECURITY TAXES</v>
      </c>
      <c r="G2174" s="2">
        <v>4084.72</v>
      </c>
      <c r="H2174" t="str">
        <f t="shared" si="30"/>
        <v>SOCIAL SECURITY TAXES</v>
      </c>
    </row>
    <row r="2175" spans="5:8" x14ac:dyDescent="0.25">
      <c r="E2175" t="str">
        <f>""</f>
        <v/>
      </c>
      <c r="F2175" t="str">
        <f>""</f>
        <v/>
      </c>
      <c r="H2175" t="str">
        <f t="shared" si="30"/>
        <v>SOCIAL SECURITY TAXES</v>
      </c>
    </row>
    <row r="2176" spans="5:8" x14ac:dyDescent="0.25">
      <c r="E2176" t="str">
        <f>"T3 201809053426"</f>
        <v>T3 201809053426</v>
      </c>
      <c r="F2176" t="str">
        <f>"SOCIAL SECURITY TAXES"</f>
        <v>SOCIAL SECURITY TAXES</v>
      </c>
      <c r="G2176" s="2">
        <v>5493.88</v>
      </c>
      <c r="H2176" t="str">
        <f t="shared" si="30"/>
        <v>SOCIAL SECURITY TAXES</v>
      </c>
    </row>
    <row r="2177" spans="5:8" x14ac:dyDescent="0.25">
      <c r="E2177" t="str">
        <f>""</f>
        <v/>
      </c>
      <c r="F2177" t="str">
        <f>""</f>
        <v/>
      </c>
      <c r="H2177" t="str">
        <f t="shared" si="30"/>
        <v>SOCIAL SECURITY TAXES</v>
      </c>
    </row>
    <row r="2178" spans="5:8" x14ac:dyDescent="0.25">
      <c r="E2178" t="str">
        <f>"T3 201809063553"</f>
        <v>T3 201809063553</v>
      </c>
      <c r="F2178" t="str">
        <f>"SOCIAL SECURITY TAXES"</f>
        <v>SOCIAL SECURITY TAXES</v>
      </c>
      <c r="G2178" s="2">
        <v>41.58</v>
      </c>
      <c r="H2178" t="str">
        <f t="shared" si="30"/>
        <v>SOCIAL SECURITY TAXES</v>
      </c>
    </row>
    <row r="2179" spans="5:8" x14ac:dyDescent="0.25">
      <c r="E2179" t="str">
        <f>""</f>
        <v/>
      </c>
      <c r="F2179" t="str">
        <f>""</f>
        <v/>
      </c>
      <c r="H2179" t="str">
        <f t="shared" si="30"/>
        <v>SOCIAL SECURITY TAXES</v>
      </c>
    </row>
    <row r="2180" spans="5:8" x14ac:dyDescent="0.25">
      <c r="E2180" t="str">
        <f>"T4 201809053424"</f>
        <v>T4 201809053424</v>
      </c>
      <c r="F2180" t="str">
        <f>"MEDICARE TAXES"</f>
        <v>MEDICARE TAXES</v>
      </c>
      <c r="G2180" s="2">
        <v>23634.86</v>
      </c>
      <c r="H2180" t="str">
        <f t="shared" ref="H2180:H2211" si="31">"MEDICARE TAXES"</f>
        <v>MEDICARE TAXES</v>
      </c>
    </row>
    <row r="2181" spans="5:8" x14ac:dyDescent="0.25">
      <c r="E2181" t="str">
        <f>""</f>
        <v/>
      </c>
      <c r="F2181" t="str">
        <f>""</f>
        <v/>
      </c>
      <c r="H2181" t="str">
        <f t="shared" si="31"/>
        <v>MEDICARE TAXES</v>
      </c>
    </row>
    <row r="2182" spans="5:8" x14ac:dyDescent="0.25">
      <c r="E2182" t="str">
        <f>""</f>
        <v/>
      </c>
      <c r="F2182" t="str">
        <f>""</f>
        <v/>
      </c>
      <c r="H2182" t="str">
        <f t="shared" si="31"/>
        <v>MEDICARE TAXES</v>
      </c>
    </row>
    <row r="2183" spans="5:8" x14ac:dyDescent="0.25">
      <c r="E2183" t="str">
        <f>""</f>
        <v/>
      </c>
      <c r="F2183" t="str">
        <f>""</f>
        <v/>
      </c>
      <c r="H2183" t="str">
        <f t="shared" si="31"/>
        <v>MEDICARE TAXES</v>
      </c>
    </row>
    <row r="2184" spans="5:8" x14ac:dyDescent="0.25">
      <c r="E2184" t="str">
        <f>""</f>
        <v/>
      </c>
      <c r="F2184" t="str">
        <f>""</f>
        <v/>
      </c>
      <c r="H2184" t="str">
        <f t="shared" si="31"/>
        <v>MEDICARE TAXES</v>
      </c>
    </row>
    <row r="2185" spans="5:8" x14ac:dyDescent="0.25">
      <c r="E2185" t="str">
        <f>""</f>
        <v/>
      </c>
      <c r="F2185" t="str">
        <f>""</f>
        <v/>
      </c>
      <c r="H2185" t="str">
        <f t="shared" si="31"/>
        <v>MEDICARE TAXES</v>
      </c>
    </row>
    <row r="2186" spans="5:8" x14ac:dyDescent="0.25">
      <c r="E2186" t="str">
        <f>""</f>
        <v/>
      </c>
      <c r="F2186" t="str">
        <f>""</f>
        <v/>
      </c>
      <c r="H2186" t="str">
        <f t="shared" si="31"/>
        <v>MEDICARE TAXES</v>
      </c>
    </row>
    <row r="2187" spans="5:8" x14ac:dyDescent="0.25">
      <c r="E2187" t="str">
        <f>""</f>
        <v/>
      </c>
      <c r="F2187" t="str">
        <f>""</f>
        <v/>
      </c>
      <c r="H2187" t="str">
        <f t="shared" si="31"/>
        <v>MEDICARE TAXES</v>
      </c>
    </row>
    <row r="2188" spans="5:8" x14ac:dyDescent="0.25">
      <c r="E2188" t="str">
        <f>""</f>
        <v/>
      </c>
      <c r="F2188" t="str">
        <f>""</f>
        <v/>
      </c>
      <c r="H2188" t="str">
        <f t="shared" si="31"/>
        <v>MEDICARE TAXES</v>
      </c>
    </row>
    <row r="2189" spans="5:8" x14ac:dyDescent="0.25">
      <c r="E2189" t="str">
        <f>""</f>
        <v/>
      </c>
      <c r="F2189" t="str">
        <f>""</f>
        <v/>
      </c>
      <c r="H2189" t="str">
        <f t="shared" si="31"/>
        <v>MEDICARE TAXES</v>
      </c>
    </row>
    <row r="2190" spans="5:8" x14ac:dyDescent="0.25">
      <c r="E2190" t="str">
        <f>""</f>
        <v/>
      </c>
      <c r="F2190" t="str">
        <f>""</f>
        <v/>
      </c>
      <c r="H2190" t="str">
        <f t="shared" si="31"/>
        <v>MEDICARE TAXES</v>
      </c>
    </row>
    <row r="2191" spans="5:8" x14ac:dyDescent="0.25">
      <c r="E2191" t="str">
        <f>""</f>
        <v/>
      </c>
      <c r="F2191" t="str">
        <f>""</f>
        <v/>
      </c>
      <c r="H2191" t="str">
        <f t="shared" si="31"/>
        <v>MEDICARE TAXES</v>
      </c>
    </row>
    <row r="2192" spans="5:8" x14ac:dyDescent="0.25">
      <c r="E2192" t="str">
        <f>""</f>
        <v/>
      </c>
      <c r="F2192" t="str">
        <f>""</f>
        <v/>
      </c>
      <c r="H2192" t="str">
        <f t="shared" si="31"/>
        <v>MEDICARE TAXES</v>
      </c>
    </row>
    <row r="2193" spans="5:8" x14ac:dyDescent="0.25">
      <c r="E2193" t="str">
        <f>""</f>
        <v/>
      </c>
      <c r="F2193" t="str">
        <f>""</f>
        <v/>
      </c>
      <c r="H2193" t="str">
        <f t="shared" si="31"/>
        <v>MEDICARE TAXES</v>
      </c>
    </row>
    <row r="2194" spans="5:8" x14ac:dyDescent="0.25">
      <c r="E2194" t="str">
        <f>""</f>
        <v/>
      </c>
      <c r="F2194" t="str">
        <f>""</f>
        <v/>
      </c>
      <c r="H2194" t="str">
        <f t="shared" si="31"/>
        <v>MEDICARE TAXES</v>
      </c>
    </row>
    <row r="2195" spans="5:8" x14ac:dyDescent="0.25">
      <c r="E2195" t="str">
        <f>""</f>
        <v/>
      </c>
      <c r="F2195" t="str">
        <f>""</f>
        <v/>
      </c>
      <c r="H2195" t="str">
        <f t="shared" si="31"/>
        <v>MEDICARE TAXES</v>
      </c>
    </row>
    <row r="2196" spans="5:8" x14ac:dyDescent="0.25">
      <c r="E2196" t="str">
        <f>""</f>
        <v/>
      </c>
      <c r="F2196" t="str">
        <f>""</f>
        <v/>
      </c>
      <c r="H2196" t="str">
        <f t="shared" si="31"/>
        <v>MEDICARE TAXES</v>
      </c>
    </row>
    <row r="2197" spans="5:8" x14ac:dyDescent="0.25">
      <c r="E2197" t="str">
        <f>""</f>
        <v/>
      </c>
      <c r="F2197" t="str">
        <f>""</f>
        <v/>
      </c>
      <c r="H2197" t="str">
        <f t="shared" si="31"/>
        <v>MEDICARE TAXES</v>
      </c>
    </row>
    <row r="2198" spans="5:8" x14ac:dyDescent="0.25">
      <c r="E2198" t="str">
        <f>""</f>
        <v/>
      </c>
      <c r="F2198" t="str">
        <f>""</f>
        <v/>
      </c>
      <c r="H2198" t="str">
        <f t="shared" si="31"/>
        <v>MEDICARE TAXES</v>
      </c>
    </row>
    <row r="2199" spans="5:8" x14ac:dyDescent="0.25">
      <c r="E2199" t="str">
        <f>""</f>
        <v/>
      </c>
      <c r="F2199" t="str">
        <f>""</f>
        <v/>
      </c>
      <c r="H2199" t="str">
        <f t="shared" si="31"/>
        <v>MEDICARE TAXES</v>
      </c>
    </row>
    <row r="2200" spans="5:8" x14ac:dyDescent="0.25">
      <c r="E2200" t="str">
        <f>""</f>
        <v/>
      </c>
      <c r="F2200" t="str">
        <f>""</f>
        <v/>
      </c>
      <c r="H2200" t="str">
        <f t="shared" si="31"/>
        <v>MEDICARE TAXES</v>
      </c>
    </row>
    <row r="2201" spans="5:8" x14ac:dyDescent="0.25">
      <c r="E2201" t="str">
        <f>""</f>
        <v/>
      </c>
      <c r="F2201" t="str">
        <f>""</f>
        <v/>
      </c>
      <c r="H2201" t="str">
        <f t="shared" si="31"/>
        <v>MEDICARE TAXES</v>
      </c>
    </row>
    <row r="2202" spans="5:8" x14ac:dyDescent="0.25">
      <c r="E2202" t="str">
        <f>""</f>
        <v/>
      </c>
      <c r="F2202" t="str">
        <f>""</f>
        <v/>
      </c>
      <c r="H2202" t="str">
        <f t="shared" si="31"/>
        <v>MEDICARE TAXES</v>
      </c>
    </row>
    <row r="2203" spans="5:8" x14ac:dyDescent="0.25">
      <c r="E2203" t="str">
        <f>""</f>
        <v/>
      </c>
      <c r="F2203" t="str">
        <f>""</f>
        <v/>
      </c>
      <c r="H2203" t="str">
        <f t="shared" si="31"/>
        <v>MEDICARE TAXES</v>
      </c>
    </row>
    <row r="2204" spans="5:8" x14ac:dyDescent="0.25">
      <c r="E2204" t="str">
        <f>""</f>
        <v/>
      </c>
      <c r="F2204" t="str">
        <f>""</f>
        <v/>
      </c>
      <c r="H2204" t="str">
        <f t="shared" si="31"/>
        <v>MEDICARE TAXES</v>
      </c>
    </row>
    <row r="2205" spans="5:8" x14ac:dyDescent="0.25">
      <c r="E2205" t="str">
        <f>""</f>
        <v/>
      </c>
      <c r="F2205" t="str">
        <f>""</f>
        <v/>
      </c>
      <c r="H2205" t="str">
        <f t="shared" si="31"/>
        <v>MEDICARE TAXES</v>
      </c>
    </row>
    <row r="2206" spans="5:8" x14ac:dyDescent="0.25">
      <c r="E2206" t="str">
        <f>""</f>
        <v/>
      </c>
      <c r="F2206" t="str">
        <f>""</f>
        <v/>
      </c>
      <c r="H2206" t="str">
        <f t="shared" si="31"/>
        <v>MEDICARE TAXES</v>
      </c>
    </row>
    <row r="2207" spans="5:8" x14ac:dyDescent="0.25">
      <c r="E2207" t="str">
        <f>""</f>
        <v/>
      </c>
      <c r="F2207" t="str">
        <f>""</f>
        <v/>
      </c>
      <c r="H2207" t="str">
        <f t="shared" si="31"/>
        <v>MEDICARE TAXES</v>
      </c>
    </row>
    <row r="2208" spans="5:8" x14ac:dyDescent="0.25">
      <c r="E2208" t="str">
        <f>""</f>
        <v/>
      </c>
      <c r="F2208" t="str">
        <f>""</f>
        <v/>
      </c>
      <c r="H2208" t="str">
        <f t="shared" si="31"/>
        <v>MEDICARE TAXES</v>
      </c>
    </row>
    <row r="2209" spans="5:8" x14ac:dyDescent="0.25">
      <c r="E2209" t="str">
        <f>""</f>
        <v/>
      </c>
      <c r="F2209" t="str">
        <f>""</f>
        <v/>
      </c>
      <c r="H2209" t="str">
        <f t="shared" si="31"/>
        <v>MEDICARE TAXES</v>
      </c>
    </row>
    <row r="2210" spans="5:8" x14ac:dyDescent="0.25">
      <c r="E2210" t="str">
        <f>""</f>
        <v/>
      </c>
      <c r="F2210" t="str">
        <f>""</f>
        <v/>
      </c>
      <c r="H2210" t="str">
        <f t="shared" si="31"/>
        <v>MEDICARE TAXES</v>
      </c>
    </row>
    <row r="2211" spans="5:8" x14ac:dyDescent="0.25">
      <c r="E2211" t="str">
        <f>""</f>
        <v/>
      </c>
      <c r="F2211" t="str">
        <f>""</f>
        <v/>
      </c>
      <c r="H2211" t="str">
        <f t="shared" si="31"/>
        <v>MEDICARE TAXES</v>
      </c>
    </row>
    <row r="2212" spans="5:8" x14ac:dyDescent="0.25">
      <c r="E2212" t="str">
        <f>""</f>
        <v/>
      </c>
      <c r="F2212" t="str">
        <f>""</f>
        <v/>
      </c>
      <c r="H2212" t="str">
        <f t="shared" ref="H2212:H2238" si="32">"MEDICARE TAXES"</f>
        <v>MEDICARE TAXES</v>
      </c>
    </row>
    <row r="2213" spans="5:8" x14ac:dyDescent="0.25">
      <c r="E2213" t="str">
        <f>""</f>
        <v/>
      </c>
      <c r="F2213" t="str">
        <f>""</f>
        <v/>
      </c>
      <c r="H2213" t="str">
        <f t="shared" si="32"/>
        <v>MEDICARE TAXES</v>
      </c>
    </row>
    <row r="2214" spans="5:8" x14ac:dyDescent="0.25">
      <c r="E2214" t="str">
        <f>""</f>
        <v/>
      </c>
      <c r="F2214" t="str">
        <f>""</f>
        <v/>
      </c>
      <c r="H2214" t="str">
        <f t="shared" si="32"/>
        <v>MEDICARE TAXES</v>
      </c>
    </row>
    <row r="2215" spans="5:8" x14ac:dyDescent="0.25">
      <c r="E2215" t="str">
        <f>""</f>
        <v/>
      </c>
      <c r="F2215" t="str">
        <f>""</f>
        <v/>
      </c>
      <c r="H2215" t="str">
        <f t="shared" si="32"/>
        <v>MEDICARE TAXES</v>
      </c>
    </row>
    <row r="2216" spans="5:8" x14ac:dyDescent="0.25">
      <c r="E2216" t="str">
        <f>""</f>
        <v/>
      </c>
      <c r="F2216" t="str">
        <f>""</f>
        <v/>
      </c>
      <c r="H2216" t="str">
        <f t="shared" si="32"/>
        <v>MEDICARE TAXES</v>
      </c>
    </row>
    <row r="2217" spans="5:8" x14ac:dyDescent="0.25">
      <c r="E2217" t="str">
        <f>""</f>
        <v/>
      </c>
      <c r="F2217" t="str">
        <f>""</f>
        <v/>
      </c>
      <c r="H2217" t="str">
        <f t="shared" si="32"/>
        <v>MEDICARE TAXES</v>
      </c>
    </row>
    <row r="2218" spans="5:8" x14ac:dyDescent="0.25">
      <c r="E2218" t="str">
        <f>""</f>
        <v/>
      </c>
      <c r="F2218" t="str">
        <f>""</f>
        <v/>
      </c>
      <c r="H2218" t="str">
        <f t="shared" si="32"/>
        <v>MEDICARE TAXES</v>
      </c>
    </row>
    <row r="2219" spans="5:8" x14ac:dyDescent="0.25">
      <c r="E2219" t="str">
        <f>""</f>
        <v/>
      </c>
      <c r="F2219" t="str">
        <f>""</f>
        <v/>
      </c>
      <c r="H2219" t="str">
        <f t="shared" si="32"/>
        <v>MEDICARE TAXES</v>
      </c>
    </row>
    <row r="2220" spans="5:8" x14ac:dyDescent="0.25">
      <c r="E2220" t="str">
        <f>""</f>
        <v/>
      </c>
      <c r="F2220" t="str">
        <f>""</f>
        <v/>
      </c>
      <c r="H2220" t="str">
        <f t="shared" si="32"/>
        <v>MEDICARE TAXES</v>
      </c>
    </row>
    <row r="2221" spans="5:8" x14ac:dyDescent="0.25">
      <c r="E2221" t="str">
        <f>""</f>
        <v/>
      </c>
      <c r="F2221" t="str">
        <f>""</f>
        <v/>
      </c>
      <c r="H2221" t="str">
        <f t="shared" si="32"/>
        <v>MEDICARE TAXES</v>
      </c>
    </row>
    <row r="2222" spans="5:8" x14ac:dyDescent="0.25">
      <c r="E2222" t="str">
        <f>""</f>
        <v/>
      </c>
      <c r="F2222" t="str">
        <f>""</f>
        <v/>
      </c>
      <c r="H2222" t="str">
        <f t="shared" si="32"/>
        <v>MEDICARE TAXES</v>
      </c>
    </row>
    <row r="2223" spans="5:8" x14ac:dyDescent="0.25">
      <c r="E2223" t="str">
        <f>""</f>
        <v/>
      </c>
      <c r="F2223" t="str">
        <f>""</f>
        <v/>
      </c>
      <c r="H2223" t="str">
        <f t="shared" si="32"/>
        <v>MEDICARE TAXES</v>
      </c>
    </row>
    <row r="2224" spans="5:8" x14ac:dyDescent="0.25">
      <c r="E2224" t="str">
        <f>""</f>
        <v/>
      </c>
      <c r="F2224" t="str">
        <f>""</f>
        <v/>
      </c>
      <c r="H2224" t="str">
        <f t="shared" si="32"/>
        <v>MEDICARE TAXES</v>
      </c>
    </row>
    <row r="2225" spans="1:8" x14ac:dyDescent="0.25">
      <c r="E2225" t="str">
        <f>""</f>
        <v/>
      </c>
      <c r="F2225" t="str">
        <f>""</f>
        <v/>
      </c>
      <c r="H2225" t="str">
        <f t="shared" si="32"/>
        <v>MEDICARE TAXES</v>
      </c>
    </row>
    <row r="2226" spans="1:8" x14ac:dyDescent="0.25">
      <c r="E2226" t="str">
        <f>""</f>
        <v/>
      </c>
      <c r="F2226" t="str">
        <f>""</f>
        <v/>
      </c>
      <c r="H2226" t="str">
        <f t="shared" si="32"/>
        <v>MEDICARE TAXES</v>
      </c>
    </row>
    <row r="2227" spans="1:8" x14ac:dyDescent="0.25">
      <c r="E2227" t="str">
        <f>""</f>
        <v/>
      </c>
      <c r="F2227" t="str">
        <f>""</f>
        <v/>
      </c>
      <c r="H2227" t="str">
        <f t="shared" si="32"/>
        <v>MEDICARE TAXES</v>
      </c>
    </row>
    <row r="2228" spans="1:8" x14ac:dyDescent="0.25">
      <c r="E2228" t="str">
        <f>""</f>
        <v/>
      </c>
      <c r="F2228" t="str">
        <f>""</f>
        <v/>
      </c>
      <c r="H2228" t="str">
        <f t="shared" si="32"/>
        <v>MEDICARE TAXES</v>
      </c>
    </row>
    <row r="2229" spans="1:8" x14ac:dyDescent="0.25">
      <c r="E2229" t="str">
        <f>""</f>
        <v/>
      </c>
      <c r="F2229" t="str">
        <f>""</f>
        <v/>
      </c>
      <c r="H2229" t="str">
        <f t="shared" si="32"/>
        <v>MEDICARE TAXES</v>
      </c>
    </row>
    <row r="2230" spans="1:8" x14ac:dyDescent="0.25">
      <c r="E2230" t="str">
        <f>""</f>
        <v/>
      </c>
      <c r="F2230" t="str">
        <f>""</f>
        <v/>
      </c>
      <c r="H2230" t="str">
        <f t="shared" si="32"/>
        <v>MEDICARE TAXES</v>
      </c>
    </row>
    <row r="2231" spans="1:8" x14ac:dyDescent="0.25">
      <c r="E2231" t="str">
        <f>""</f>
        <v/>
      </c>
      <c r="F2231" t="str">
        <f>""</f>
        <v/>
      </c>
      <c r="H2231" t="str">
        <f t="shared" si="32"/>
        <v>MEDICARE TAXES</v>
      </c>
    </row>
    <row r="2232" spans="1:8" x14ac:dyDescent="0.25">
      <c r="E2232" t="str">
        <f>""</f>
        <v/>
      </c>
      <c r="F2232" t="str">
        <f>""</f>
        <v/>
      </c>
      <c r="H2232" t="str">
        <f t="shared" si="32"/>
        <v>MEDICARE TAXES</v>
      </c>
    </row>
    <row r="2233" spans="1:8" x14ac:dyDescent="0.25">
      <c r="E2233" t="str">
        <f>"T4 201809053425"</f>
        <v>T4 201809053425</v>
      </c>
      <c r="F2233" t="str">
        <f>"MEDICARE TAXES"</f>
        <v>MEDICARE TAXES</v>
      </c>
      <c r="G2233" s="2">
        <v>955.26</v>
      </c>
      <c r="H2233" t="str">
        <f t="shared" si="32"/>
        <v>MEDICARE TAXES</v>
      </c>
    </row>
    <row r="2234" spans="1:8" x14ac:dyDescent="0.25">
      <c r="E2234" t="str">
        <f>""</f>
        <v/>
      </c>
      <c r="F2234" t="str">
        <f>""</f>
        <v/>
      </c>
      <c r="H2234" t="str">
        <f t="shared" si="32"/>
        <v>MEDICARE TAXES</v>
      </c>
    </row>
    <row r="2235" spans="1:8" x14ac:dyDescent="0.25">
      <c r="E2235" t="str">
        <f>"T4 201809053426"</f>
        <v>T4 201809053426</v>
      </c>
      <c r="F2235" t="str">
        <f>"MEDICARE TAXES"</f>
        <v>MEDICARE TAXES</v>
      </c>
      <c r="G2235" s="2">
        <v>1284.92</v>
      </c>
      <c r="H2235" t="str">
        <f t="shared" si="32"/>
        <v>MEDICARE TAXES</v>
      </c>
    </row>
    <row r="2236" spans="1:8" x14ac:dyDescent="0.25">
      <c r="E2236" t="str">
        <f>""</f>
        <v/>
      </c>
      <c r="F2236" t="str">
        <f>""</f>
        <v/>
      </c>
      <c r="H2236" t="str">
        <f t="shared" si="32"/>
        <v>MEDICARE TAXES</v>
      </c>
    </row>
    <row r="2237" spans="1:8" x14ac:dyDescent="0.25">
      <c r="E2237" t="str">
        <f>"T4 201809063553"</f>
        <v>T4 201809063553</v>
      </c>
      <c r="F2237" t="str">
        <f>"MEDICARE TAXES"</f>
        <v>MEDICARE TAXES</v>
      </c>
      <c r="G2237" s="2">
        <v>9.7200000000000006</v>
      </c>
      <c r="H2237" t="str">
        <f t="shared" si="32"/>
        <v>MEDICARE TAXES</v>
      </c>
    </row>
    <row r="2238" spans="1:8" x14ac:dyDescent="0.25">
      <c r="E2238" t="str">
        <f>""</f>
        <v/>
      </c>
      <c r="F2238" t="str">
        <f>""</f>
        <v/>
      </c>
      <c r="H2238" t="str">
        <f t="shared" si="32"/>
        <v>MEDICARE TAXES</v>
      </c>
    </row>
    <row r="2239" spans="1:8" x14ac:dyDescent="0.25">
      <c r="A2239" t="s">
        <v>539</v>
      </c>
      <c r="B2239">
        <v>0</v>
      </c>
      <c r="C2239" s="3">
        <v>207602.75</v>
      </c>
      <c r="D2239" s="1">
        <v>43364</v>
      </c>
      <c r="E2239" t="str">
        <f>"T1 201809193851"</f>
        <v>T1 201809193851</v>
      </c>
      <c r="F2239" t="str">
        <f>"FEDERAL WITHHOLDING"</f>
        <v>FEDERAL WITHHOLDING</v>
      </c>
      <c r="G2239" s="2">
        <v>66740.72</v>
      </c>
      <c r="H2239" t="str">
        <f>"FEDERAL WITHHOLDING"</f>
        <v>FEDERAL WITHHOLDING</v>
      </c>
    </row>
    <row r="2240" spans="1:8" x14ac:dyDescent="0.25">
      <c r="E2240" t="str">
        <f>"T1 201809193863"</f>
        <v>T1 201809193863</v>
      </c>
      <c r="F2240" t="str">
        <f>"FEDERAL WITHHOLDING"</f>
        <v>FEDERAL WITHHOLDING</v>
      </c>
      <c r="G2240" s="2">
        <v>2952.8</v>
      </c>
      <c r="H2240" t="str">
        <f>"FEDERAL WITHHOLDING"</f>
        <v>FEDERAL WITHHOLDING</v>
      </c>
    </row>
    <row r="2241" spans="5:8" x14ac:dyDescent="0.25">
      <c r="E2241" t="str">
        <f>"T1 201809193864"</f>
        <v>T1 201809193864</v>
      </c>
      <c r="F2241" t="str">
        <f>"FEDERAL WITHHOLDING"</f>
        <v>FEDERAL WITHHOLDING</v>
      </c>
      <c r="G2241" s="2">
        <v>3289.13</v>
      </c>
      <c r="H2241" t="str">
        <f>"FEDERAL WITHHOLDING"</f>
        <v>FEDERAL WITHHOLDING</v>
      </c>
    </row>
    <row r="2242" spans="5:8" x14ac:dyDescent="0.25">
      <c r="E2242" t="str">
        <f>"T3 201809193851"</f>
        <v>T3 201809193851</v>
      </c>
      <c r="F2242" t="str">
        <f>"SOCIAL SECURITY TAXES"</f>
        <v>SOCIAL SECURITY TAXES</v>
      </c>
      <c r="G2242" s="2">
        <v>100126.86</v>
      </c>
      <c r="H2242" t="str">
        <f t="shared" ref="H2242:H2273" si="33">"SOCIAL SECURITY TAXES"</f>
        <v>SOCIAL SECURITY TAXES</v>
      </c>
    </row>
    <row r="2243" spans="5:8" x14ac:dyDescent="0.25">
      <c r="E2243" t="str">
        <f>""</f>
        <v/>
      </c>
      <c r="F2243" t="str">
        <f>""</f>
        <v/>
      </c>
      <c r="H2243" t="str">
        <f t="shared" si="33"/>
        <v>SOCIAL SECURITY TAXES</v>
      </c>
    </row>
    <row r="2244" spans="5:8" x14ac:dyDescent="0.25">
      <c r="E2244" t="str">
        <f>""</f>
        <v/>
      </c>
      <c r="F2244" t="str">
        <f>""</f>
        <v/>
      </c>
      <c r="H2244" t="str">
        <f t="shared" si="33"/>
        <v>SOCIAL SECURITY TAXES</v>
      </c>
    </row>
    <row r="2245" spans="5:8" x14ac:dyDescent="0.25">
      <c r="E2245" t="str">
        <f>""</f>
        <v/>
      </c>
      <c r="F2245" t="str">
        <f>""</f>
        <v/>
      </c>
      <c r="H2245" t="str">
        <f t="shared" si="33"/>
        <v>SOCIAL SECURITY TAXES</v>
      </c>
    </row>
    <row r="2246" spans="5:8" x14ac:dyDescent="0.25">
      <c r="E2246" t="str">
        <f>""</f>
        <v/>
      </c>
      <c r="F2246" t="str">
        <f>""</f>
        <v/>
      </c>
      <c r="H2246" t="str">
        <f t="shared" si="33"/>
        <v>SOCIAL SECURITY TAXES</v>
      </c>
    </row>
    <row r="2247" spans="5:8" x14ac:dyDescent="0.25">
      <c r="E2247" t="str">
        <f>""</f>
        <v/>
      </c>
      <c r="F2247" t="str">
        <f>""</f>
        <v/>
      </c>
      <c r="H2247" t="str">
        <f t="shared" si="33"/>
        <v>SOCIAL SECURITY TAXES</v>
      </c>
    </row>
    <row r="2248" spans="5:8" x14ac:dyDescent="0.25">
      <c r="E2248" t="str">
        <f>""</f>
        <v/>
      </c>
      <c r="F2248" t="str">
        <f>""</f>
        <v/>
      </c>
      <c r="H2248" t="str">
        <f t="shared" si="33"/>
        <v>SOCIAL SECURITY TAXES</v>
      </c>
    </row>
    <row r="2249" spans="5:8" x14ac:dyDescent="0.25">
      <c r="E2249" t="str">
        <f>""</f>
        <v/>
      </c>
      <c r="F2249" t="str">
        <f>""</f>
        <v/>
      </c>
      <c r="H2249" t="str">
        <f t="shared" si="33"/>
        <v>SOCIAL SECURITY TAXES</v>
      </c>
    </row>
    <row r="2250" spans="5:8" x14ac:dyDescent="0.25">
      <c r="E2250" t="str">
        <f>""</f>
        <v/>
      </c>
      <c r="F2250" t="str">
        <f>""</f>
        <v/>
      </c>
      <c r="H2250" t="str">
        <f t="shared" si="33"/>
        <v>SOCIAL SECURITY TAXES</v>
      </c>
    </row>
    <row r="2251" spans="5:8" x14ac:dyDescent="0.25">
      <c r="E2251" t="str">
        <f>""</f>
        <v/>
      </c>
      <c r="F2251" t="str">
        <f>""</f>
        <v/>
      </c>
      <c r="H2251" t="str">
        <f t="shared" si="33"/>
        <v>SOCIAL SECURITY TAXES</v>
      </c>
    </row>
    <row r="2252" spans="5:8" x14ac:dyDescent="0.25">
      <c r="E2252" t="str">
        <f>""</f>
        <v/>
      </c>
      <c r="F2252" t="str">
        <f>""</f>
        <v/>
      </c>
      <c r="H2252" t="str">
        <f t="shared" si="33"/>
        <v>SOCIAL SECURITY TAXES</v>
      </c>
    </row>
    <row r="2253" spans="5:8" x14ac:dyDescent="0.25">
      <c r="E2253" t="str">
        <f>""</f>
        <v/>
      </c>
      <c r="F2253" t="str">
        <f>""</f>
        <v/>
      </c>
      <c r="H2253" t="str">
        <f t="shared" si="33"/>
        <v>SOCIAL SECURITY TAXES</v>
      </c>
    </row>
    <row r="2254" spans="5:8" x14ac:dyDescent="0.25">
      <c r="E2254" t="str">
        <f>""</f>
        <v/>
      </c>
      <c r="F2254" t="str">
        <f>""</f>
        <v/>
      </c>
      <c r="H2254" t="str">
        <f t="shared" si="33"/>
        <v>SOCIAL SECURITY TAXES</v>
      </c>
    </row>
    <row r="2255" spans="5:8" x14ac:dyDescent="0.25">
      <c r="E2255" t="str">
        <f>""</f>
        <v/>
      </c>
      <c r="F2255" t="str">
        <f>""</f>
        <v/>
      </c>
      <c r="H2255" t="str">
        <f t="shared" si="33"/>
        <v>SOCIAL SECURITY TAXES</v>
      </c>
    </row>
    <row r="2256" spans="5:8" x14ac:dyDescent="0.25">
      <c r="E2256" t="str">
        <f>""</f>
        <v/>
      </c>
      <c r="F2256" t="str">
        <f>""</f>
        <v/>
      </c>
      <c r="H2256" t="str">
        <f t="shared" si="33"/>
        <v>SOCIAL SECURITY TAXES</v>
      </c>
    </row>
    <row r="2257" spans="5:8" x14ac:dyDescent="0.25">
      <c r="E2257" t="str">
        <f>""</f>
        <v/>
      </c>
      <c r="F2257" t="str">
        <f>""</f>
        <v/>
      </c>
      <c r="H2257" t="str">
        <f t="shared" si="33"/>
        <v>SOCIAL SECURITY TAXES</v>
      </c>
    </row>
    <row r="2258" spans="5:8" x14ac:dyDescent="0.25">
      <c r="E2258" t="str">
        <f>""</f>
        <v/>
      </c>
      <c r="F2258" t="str">
        <f>""</f>
        <v/>
      </c>
      <c r="H2258" t="str">
        <f t="shared" si="33"/>
        <v>SOCIAL SECURITY TAXES</v>
      </c>
    </row>
    <row r="2259" spans="5:8" x14ac:dyDescent="0.25">
      <c r="E2259" t="str">
        <f>""</f>
        <v/>
      </c>
      <c r="F2259" t="str">
        <f>""</f>
        <v/>
      </c>
      <c r="H2259" t="str">
        <f t="shared" si="33"/>
        <v>SOCIAL SECURITY TAXES</v>
      </c>
    </row>
    <row r="2260" spans="5:8" x14ac:dyDescent="0.25">
      <c r="E2260" t="str">
        <f>""</f>
        <v/>
      </c>
      <c r="F2260" t="str">
        <f>""</f>
        <v/>
      </c>
      <c r="H2260" t="str">
        <f t="shared" si="33"/>
        <v>SOCIAL SECURITY TAXES</v>
      </c>
    </row>
    <row r="2261" spans="5:8" x14ac:dyDescent="0.25">
      <c r="E2261" t="str">
        <f>""</f>
        <v/>
      </c>
      <c r="F2261" t="str">
        <f>""</f>
        <v/>
      </c>
      <c r="H2261" t="str">
        <f t="shared" si="33"/>
        <v>SOCIAL SECURITY TAXES</v>
      </c>
    </row>
    <row r="2262" spans="5:8" x14ac:dyDescent="0.25">
      <c r="E2262" t="str">
        <f>""</f>
        <v/>
      </c>
      <c r="F2262" t="str">
        <f>""</f>
        <v/>
      </c>
      <c r="H2262" t="str">
        <f t="shared" si="33"/>
        <v>SOCIAL SECURITY TAXES</v>
      </c>
    </row>
    <row r="2263" spans="5:8" x14ac:dyDescent="0.25">
      <c r="E2263" t="str">
        <f>""</f>
        <v/>
      </c>
      <c r="F2263" t="str">
        <f>""</f>
        <v/>
      </c>
      <c r="H2263" t="str">
        <f t="shared" si="33"/>
        <v>SOCIAL SECURITY TAXES</v>
      </c>
    </row>
    <row r="2264" spans="5:8" x14ac:dyDescent="0.25">
      <c r="E2264" t="str">
        <f>""</f>
        <v/>
      </c>
      <c r="F2264" t="str">
        <f>""</f>
        <v/>
      </c>
      <c r="H2264" t="str">
        <f t="shared" si="33"/>
        <v>SOCIAL SECURITY TAXES</v>
      </c>
    </row>
    <row r="2265" spans="5:8" x14ac:dyDescent="0.25">
      <c r="E2265" t="str">
        <f>""</f>
        <v/>
      </c>
      <c r="F2265" t="str">
        <f>""</f>
        <v/>
      </c>
      <c r="H2265" t="str">
        <f t="shared" si="33"/>
        <v>SOCIAL SECURITY TAXES</v>
      </c>
    </row>
    <row r="2266" spans="5:8" x14ac:dyDescent="0.25">
      <c r="E2266" t="str">
        <f>""</f>
        <v/>
      </c>
      <c r="F2266" t="str">
        <f>""</f>
        <v/>
      </c>
      <c r="H2266" t="str">
        <f t="shared" si="33"/>
        <v>SOCIAL SECURITY TAXES</v>
      </c>
    </row>
    <row r="2267" spans="5:8" x14ac:dyDescent="0.25">
      <c r="E2267" t="str">
        <f>""</f>
        <v/>
      </c>
      <c r="F2267" t="str">
        <f>""</f>
        <v/>
      </c>
      <c r="H2267" t="str">
        <f t="shared" si="33"/>
        <v>SOCIAL SECURITY TAXES</v>
      </c>
    </row>
    <row r="2268" spans="5:8" x14ac:dyDescent="0.25">
      <c r="E2268" t="str">
        <f>""</f>
        <v/>
      </c>
      <c r="F2268" t="str">
        <f>""</f>
        <v/>
      </c>
      <c r="H2268" t="str">
        <f t="shared" si="33"/>
        <v>SOCIAL SECURITY TAXES</v>
      </c>
    </row>
    <row r="2269" spans="5:8" x14ac:dyDescent="0.25">
      <c r="E2269" t="str">
        <f>""</f>
        <v/>
      </c>
      <c r="F2269" t="str">
        <f>""</f>
        <v/>
      </c>
      <c r="H2269" t="str">
        <f t="shared" si="33"/>
        <v>SOCIAL SECURITY TAXES</v>
      </c>
    </row>
    <row r="2270" spans="5:8" x14ac:dyDescent="0.25">
      <c r="E2270" t="str">
        <f>""</f>
        <v/>
      </c>
      <c r="F2270" t="str">
        <f>""</f>
        <v/>
      </c>
      <c r="H2270" t="str">
        <f t="shared" si="33"/>
        <v>SOCIAL SECURITY TAXES</v>
      </c>
    </row>
    <row r="2271" spans="5:8" x14ac:dyDescent="0.25">
      <c r="E2271" t="str">
        <f>""</f>
        <v/>
      </c>
      <c r="F2271" t="str">
        <f>""</f>
        <v/>
      </c>
      <c r="H2271" t="str">
        <f t="shared" si="33"/>
        <v>SOCIAL SECURITY TAXES</v>
      </c>
    </row>
    <row r="2272" spans="5:8" x14ac:dyDescent="0.25">
      <c r="E2272" t="str">
        <f>""</f>
        <v/>
      </c>
      <c r="F2272" t="str">
        <f>""</f>
        <v/>
      </c>
      <c r="H2272" t="str">
        <f t="shared" si="33"/>
        <v>SOCIAL SECURITY TAXES</v>
      </c>
    </row>
    <row r="2273" spans="5:8" x14ac:dyDescent="0.25">
      <c r="E2273" t="str">
        <f>""</f>
        <v/>
      </c>
      <c r="F2273" t="str">
        <f>""</f>
        <v/>
      </c>
      <c r="H2273" t="str">
        <f t="shared" si="33"/>
        <v>SOCIAL SECURITY TAXES</v>
      </c>
    </row>
    <row r="2274" spans="5:8" x14ac:dyDescent="0.25">
      <c r="E2274" t="str">
        <f>""</f>
        <v/>
      </c>
      <c r="F2274" t="str">
        <f>""</f>
        <v/>
      </c>
      <c r="H2274" t="str">
        <f t="shared" ref="H2274:H2298" si="34">"SOCIAL SECURITY TAXES"</f>
        <v>SOCIAL SECURITY TAXES</v>
      </c>
    </row>
    <row r="2275" spans="5:8" x14ac:dyDescent="0.25">
      <c r="E2275" t="str">
        <f>""</f>
        <v/>
      </c>
      <c r="F2275" t="str">
        <f>""</f>
        <v/>
      </c>
      <c r="H2275" t="str">
        <f t="shared" si="34"/>
        <v>SOCIAL SECURITY TAXES</v>
      </c>
    </row>
    <row r="2276" spans="5:8" x14ac:dyDescent="0.25">
      <c r="E2276" t="str">
        <f>""</f>
        <v/>
      </c>
      <c r="F2276" t="str">
        <f>""</f>
        <v/>
      </c>
      <c r="H2276" t="str">
        <f t="shared" si="34"/>
        <v>SOCIAL SECURITY TAXES</v>
      </c>
    </row>
    <row r="2277" spans="5:8" x14ac:dyDescent="0.25">
      <c r="E2277" t="str">
        <f>""</f>
        <v/>
      </c>
      <c r="F2277" t="str">
        <f>""</f>
        <v/>
      </c>
      <c r="H2277" t="str">
        <f t="shared" si="34"/>
        <v>SOCIAL SECURITY TAXES</v>
      </c>
    </row>
    <row r="2278" spans="5:8" x14ac:dyDescent="0.25">
      <c r="E2278" t="str">
        <f>""</f>
        <v/>
      </c>
      <c r="F2278" t="str">
        <f>""</f>
        <v/>
      </c>
      <c r="H2278" t="str">
        <f t="shared" si="34"/>
        <v>SOCIAL SECURITY TAXES</v>
      </c>
    </row>
    <row r="2279" spans="5:8" x14ac:dyDescent="0.25">
      <c r="E2279" t="str">
        <f>""</f>
        <v/>
      </c>
      <c r="F2279" t="str">
        <f>""</f>
        <v/>
      </c>
      <c r="H2279" t="str">
        <f t="shared" si="34"/>
        <v>SOCIAL SECURITY TAXES</v>
      </c>
    </row>
    <row r="2280" spans="5:8" x14ac:dyDescent="0.25">
      <c r="E2280" t="str">
        <f>""</f>
        <v/>
      </c>
      <c r="F2280" t="str">
        <f>""</f>
        <v/>
      </c>
      <c r="H2280" t="str">
        <f t="shared" si="34"/>
        <v>SOCIAL SECURITY TAXES</v>
      </c>
    </row>
    <row r="2281" spans="5:8" x14ac:dyDescent="0.25">
      <c r="E2281" t="str">
        <f>""</f>
        <v/>
      </c>
      <c r="F2281" t="str">
        <f>""</f>
        <v/>
      </c>
      <c r="H2281" t="str">
        <f t="shared" si="34"/>
        <v>SOCIAL SECURITY TAXES</v>
      </c>
    </row>
    <row r="2282" spans="5:8" x14ac:dyDescent="0.25">
      <c r="E2282" t="str">
        <f>""</f>
        <v/>
      </c>
      <c r="F2282" t="str">
        <f>""</f>
        <v/>
      </c>
      <c r="H2282" t="str">
        <f t="shared" si="34"/>
        <v>SOCIAL SECURITY TAXES</v>
      </c>
    </row>
    <row r="2283" spans="5:8" x14ac:dyDescent="0.25">
      <c r="E2283" t="str">
        <f>""</f>
        <v/>
      </c>
      <c r="F2283" t="str">
        <f>""</f>
        <v/>
      </c>
      <c r="H2283" t="str">
        <f t="shared" si="34"/>
        <v>SOCIAL SECURITY TAXES</v>
      </c>
    </row>
    <row r="2284" spans="5:8" x14ac:dyDescent="0.25">
      <c r="E2284" t="str">
        <f>""</f>
        <v/>
      </c>
      <c r="F2284" t="str">
        <f>""</f>
        <v/>
      </c>
      <c r="H2284" t="str">
        <f t="shared" si="34"/>
        <v>SOCIAL SECURITY TAXES</v>
      </c>
    </row>
    <row r="2285" spans="5:8" x14ac:dyDescent="0.25">
      <c r="E2285" t="str">
        <f>""</f>
        <v/>
      </c>
      <c r="F2285" t="str">
        <f>""</f>
        <v/>
      </c>
      <c r="H2285" t="str">
        <f t="shared" si="34"/>
        <v>SOCIAL SECURITY TAXES</v>
      </c>
    </row>
    <row r="2286" spans="5:8" x14ac:dyDescent="0.25">
      <c r="E2286" t="str">
        <f>""</f>
        <v/>
      </c>
      <c r="F2286" t="str">
        <f>""</f>
        <v/>
      </c>
      <c r="H2286" t="str">
        <f t="shared" si="34"/>
        <v>SOCIAL SECURITY TAXES</v>
      </c>
    </row>
    <row r="2287" spans="5:8" x14ac:dyDescent="0.25">
      <c r="E2287" t="str">
        <f>""</f>
        <v/>
      </c>
      <c r="F2287" t="str">
        <f>""</f>
        <v/>
      </c>
      <c r="H2287" t="str">
        <f t="shared" si="34"/>
        <v>SOCIAL SECURITY TAXES</v>
      </c>
    </row>
    <row r="2288" spans="5:8" x14ac:dyDescent="0.25">
      <c r="E2288" t="str">
        <f>""</f>
        <v/>
      </c>
      <c r="F2288" t="str">
        <f>""</f>
        <v/>
      </c>
      <c r="H2288" t="str">
        <f t="shared" si="34"/>
        <v>SOCIAL SECURITY TAXES</v>
      </c>
    </row>
    <row r="2289" spans="5:8" x14ac:dyDescent="0.25">
      <c r="E2289" t="str">
        <f>""</f>
        <v/>
      </c>
      <c r="F2289" t="str">
        <f>""</f>
        <v/>
      </c>
      <c r="H2289" t="str">
        <f t="shared" si="34"/>
        <v>SOCIAL SECURITY TAXES</v>
      </c>
    </row>
    <row r="2290" spans="5:8" x14ac:dyDescent="0.25">
      <c r="E2290" t="str">
        <f>""</f>
        <v/>
      </c>
      <c r="F2290" t="str">
        <f>""</f>
        <v/>
      </c>
      <c r="H2290" t="str">
        <f t="shared" si="34"/>
        <v>SOCIAL SECURITY TAXES</v>
      </c>
    </row>
    <row r="2291" spans="5:8" x14ac:dyDescent="0.25">
      <c r="E2291" t="str">
        <f>""</f>
        <v/>
      </c>
      <c r="F2291" t="str">
        <f>""</f>
        <v/>
      </c>
      <c r="H2291" t="str">
        <f t="shared" si="34"/>
        <v>SOCIAL SECURITY TAXES</v>
      </c>
    </row>
    <row r="2292" spans="5:8" x14ac:dyDescent="0.25">
      <c r="E2292" t="str">
        <f>""</f>
        <v/>
      </c>
      <c r="F2292" t="str">
        <f>""</f>
        <v/>
      </c>
      <c r="H2292" t="str">
        <f t="shared" si="34"/>
        <v>SOCIAL SECURITY TAXES</v>
      </c>
    </row>
    <row r="2293" spans="5:8" x14ac:dyDescent="0.25">
      <c r="E2293" t="str">
        <f>""</f>
        <v/>
      </c>
      <c r="F2293" t="str">
        <f>""</f>
        <v/>
      </c>
      <c r="H2293" t="str">
        <f t="shared" si="34"/>
        <v>SOCIAL SECURITY TAXES</v>
      </c>
    </row>
    <row r="2294" spans="5:8" x14ac:dyDescent="0.25">
      <c r="E2294" t="str">
        <f>""</f>
        <v/>
      </c>
      <c r="F2294" t="str">
        <f>""</f>
        <v/>
      </c>
      <c r="H2294" t="str">
        <f t="shared" si="34"/>
        <v>SOCIAL SECURITY TAXES</v>
      </c>
    </row>
    <row r="2295" spans="5:8" x14ac:dyDescent="0.25">
      <c r="E2295" t="str">
        <f>"T3 201809193863"</f>
        <v>T3 201809193863</v>
      </c>
      <c r="F2295" t="str">
        <f>"SOCIAL SECURITY TAXES"</f>
        <v>SOCIAL SECURITY TAXES</v>
      </c>
      <c r="G2295" s="2">
        <v>4134.4399999999996</v>
      </c>
      <c r="H2295" t="str">
        <f t="shared" si="34"/>
        <v>SOCIAL SECURITY TAXES</v>
      </c>
    </row>
    <row r="2296" spans="5:8" x14ac:dyDescent="0.25">
      <c r="E2296" t="str">
        <f>""</f>
        <v/>
      </c>
      <c r="F2296" t="str">
        <f>""</f>
        <v/>
      </c>
      <c r="H2296" t="str">
        <f t="shared" si="34"/>
        <v>SOCIAL SECURITY TAXES</v>
      </c>
    </row>
    <row r="2297" spans="5:8" x14ac:dyDescent="0.25">
      <c r="E2297" t="str">
        <f>"T3 201809193864"</f>
        <v>T3 201809193864</v>
      </c>
      <c r="F2297" t="str">
        <f>"SOCIAL SECURITY TAXES"</f>
        <v>SOCIAL SECURITY TAXES</v>
      </c>
      <c r="G2297" s="2">
        <v>4842.54</v>
      </c>
      <c r="H2297" t="str">
        <f t="shared" si="34"/>
        <v>SOCIAL SECURITY TAXES</v>
      </c>
    </row>
    <row r="2298" spans="5:8" x14ac:dyDescent="0.25">
      <c r="E2298" t="str">
        <f>""</f>
        <v/>
      </c>
      <c r="F2298" t="str">
        <f>""</f>
        <v/>
      </c>
      <c r="H2298" t="str">
        <f t="shared" si="34"/>
        <v>SOCIAL SECURITY TAXES</v>
      </c>
    </row>
    <row r="2299" spans="5:8" x14ac:dyDescent="0.25">
      <c r="E2299" t="str">
        <f>"T4 201809193851"</f>
        <v>T4 201809193851</v>
      </c>
      <c r="F2299" t="str">
        <f>"MEDICARE TAXES"</f>
        <v>MEDICARE TAXES</v>
      </c>
      <c r="G2299" s="2">
        <v>23416.7</v>
      </c>
      <c r="H2299" t="str">
        <f t="shared" ref="H2299:H2330" si="35">"MEDICARE TAXES"</f>
        <v>MEDICARE TAXES</v>
      </c>
    </row>
    <row r="2300" spans="5:8" x14ac:dyDescent="0.25">
      <c r="E2300" t="str">
        <f>""</f>
        <v/>
      </c>
      <c r="F2300" t="str">
        <f>""</f>
        <v/>
      </c>
      <c r="H2300" t="str">
        <f t="shared" si="35"/>
        <v>MEDICARE TAXES</v>
      </c>
    </row>
    <row r="2301" spans="5:8" x14ac:dyDescent="0.25">
      <c r="E2301" t="str">
        <f>""</f>
        <v/>
      </c>
      <c r="F2301" t="str">
        <f>""</f>
        <v/>
      </c>
      <c r="H2301" t="str">
        <f t="shared" si="35"/>
        <v>MEDICARE TAXES</v>
      </c>
    </row>
    <row r="2302" spans="5:8" x14ac:dyDescent="0.25">
      <c r="E2302" t="str">
        <f>""</f>
        <v/>
      </c>
      <c r="F2302" t="str">
        <f>""</f>
        <v/>
      </c>
      <c r="H2302" t="str">
        <f t="shared" si="35"/>
        <v>MEDICARE TAXES</v>
      </c>
    </row>
    <row r="2303" spans="5:8" x14ac:dyDescent="0.25">
      <c r="E2303" t="str">
        <f>""</f>
        <v/>
      </c>
      <c r="F2303" t="str">
        <f>""</f>
        <v/>
      </c>
      <c r="H2303" t="str">
        <f t="shared" si="35"/>
        <v>MEDICARE TAXES</v>
      </c>
    </row>
    <row r="2304" spans="5:8" x14ac:dyDescent="0.25">
      <c r="E2304" t="str">
        <f>""</f>
        <v/>
      </c>
      <c r="F2304" t="str">
        <f>""</f>
        <v/>
      </c>
      <c r="H2304" t="str">
        <f t="shared" si="35"/>
        <v>MEDICARE TAXES</v>
      </c>
    </row>
    <row r="2305" spans="5:8" x14ac:dyDescent="0.25">
      <c r="E2305" t="str">
        <f>""</f>
        <v/>
      </c>
      <c r="F2305" t="str">
        <f>""</f>
        <v/>
      </c>
      <c r="H2305" t="str">
        <f t="shared" si="35"/>
        <v>MEDICARE TAXES</v>
      </c>
    </row>
    <row r="2306" spans="5:8" x14ac:dyDescent="0.25">
      <c r="E2306" t="str">
        <f>""</f>
        <v/>
      </c>
      <c r="F2306" t="str">
        <f>""</f>
        <v/>
      </c>
      <c r="H2306" t="str">
        <f t="shared" si="35"/>
        <v>MEDICARE TAXES</v>
      </c>
    </row>
    <row r="2307" spans="5:8" x14ac:dyDescent="0.25">
      <c r="E2307" t="str">
        <f>""</f>
        <v/>
      </c>
      <c r="F2307" t="str">
        <f>""</f>
        <v/>
      </c>
      <c r="H2307" t="str">
        <f t="shared" si="35"/>
        <v>MEDICARE TAXES</v>
      </c>
    </row>
    <row r="2308" spans="5:8" x14ac:dyDescent="0.25">
      <c r="E2308" t="str">
        <f>""</f>
        <v/>
      </c>
      <c r="F2308" t="str">
        <f>""</f>
        <v/>
      </c>
      <c r="H2308" t="str">
        <f t="shared" si="35"/>
        <v>MEDICARE TAXES</v>
      </c>
    </row>
    <row r="2309" spans="5:8" x14ac:dyDescent="0.25">
      <c r="E2309" t="str">
        <f>""</f>
        <v/>
      </c>
      <c r="F2309" t="str">
        <f>""</f>
        <v/>
      </c>
      <c r="H2309" t="str">
        <f t="shared" si="35"/>
        <v>MEDICARE TAXES</v>
      </c>
    </row>
    <row r="2310" spans="5:8" x14ac:dyDescent="0.25">
      <c r="E2310" t="str">
        <f>""</f>
        <v/>
      </c>
      <c r="F2310" t="str">
        <f>""</f>
        <v/>
      </c>
      <c r="H2310" t="str">
        <f t="shared" si="35"/>
        <v>MEDICARE TAXES</v>
      </c>
    </row>
    <row r="2311" spans="5:8" x14ac:dyDescent="0.25">
      <c r="E2311" t="str">
        <f>""</f>
        <v/>
      </c>
      <c r="F2311" t="str">
        <f>""</f>
        <v/>
      </c>
      <c r="H2311" t="str">
        <f t="shared" si="35"/>
        <v>MEDICARE TAXES</v>
      </c>
    </row>
    <row r="2312" spans="5:8" x14ac:dyDescent="0.25">
      <c r="E2312" t="str">
        <f>""</f>
        <v/>
      </c>
      <c r="F2312" t="str">
        <f>""</f>
        <v/>
      </c>
      <c r="H2312" t="str">
        <f t="shared" si="35"/>
        <v>MEDICARE TAXES</v>
      </c>
    </row>
    <row r="2313" spans="5:8" x14ac:dyDescent="0.25">
      <c r="E2313" t="str">
        <f>""</f>
        <v/>
      </c>
      <c r="F2313" t="str">
        <f>""</f>
        <v/>
      </c>
      <c r="H2313" t="str">
        <f t="shared" si="35"/>
        <v>MEDICARE TAXES</v>
      </c>
    </row>
    <row r="2314" spans="5:8" x14ac:dyDescent="0.25">
      <c r="E2314" t="str">
        <f>""</f>
        <v/>
      </c>
      <c r="F2314" t="str">
        <f>""</f>
        <v/>
      </c>
      <c r="H2314" t="str">
        <f t="shared" si="35"/>
        <v>MEDICARE TAXES</v>
      </c>
    </row>
    <row r="2315" spans="5:8" x14ac:dyDescent="0.25">
      <c r="E2315" t="str">
        <f>""</f>
        <v/>
      </c>
      <c r="F2315" t="str">
        <f>""</f>
        <v/>
      </c>
      <c r="H2315" t="str">
        <f t="shared" si="35"/>
        <v>MEDICARE TAXES</v>
      </c>
    </row>
    <row r="2316" spans="5:8" x14ac:dyDescent="0.25">
      <c r="E2316" t="str">
        <f>""</f>
        <v/>
      </c>
      <c r="F2316" t="str">
        <f>""</f>
        <v/>
      </c>
      <c r="H2316" t="str">
        <f t="shared" si="35"/>
        <v>MEDICARE TAXES</v>
      </c>
    </row>
    <row r="2317" spans="5:8" x14ac:dyDescent="0.25">
      <c r="E2317" t="str">
        <f>""</f>
        <v/>
      </c>
      <c r="F2317" t="str">
        <f>""</f>
        <v/>
      </c>
      <c r="H2317" t="str">
        <f t="shared" si="35"/>
        <v>MEDICARE TAXES</v>
      </c>
    </row>
    <row r="2318" spans="5:8" x14ac:dyDescent="0.25">
      <c r="E2318" t="str">
        <f>""</f>
        <v/>
      </c>
      <c r="F2318" t="str">
        <f>""</f>
        <v/>
      </c>
      <c r="H2318" t="str">
        <f t="shared" si="35"/>
        <v>MEDICARE TAXES</v>
      </c>
    </row>
    <row r="2319" spans="5:8" x14ac:dyDescent="0.25">
      <c r="E2319" t="str">
        <f>""</f>
        <v/>
      </c>
      <c r="F2319" t="str">
        <f>""</f>
        <v/>
      </c>
      <c r="H2319" t="str">
        <f t="shared" si="35"/>
        <v>MEDICARE TAXES</v>
      </c>
    </row>
    <row r="2320" spans="5:8" x14ac:dyDescent="0.25">
      <c r="E2320" t="str">
        <f>""</f>
        <v/>
      </c>
      <c r="F2320" t="str">
        <f>""</f>
        <v/>
      </c>
      <c r="H2320" t="str">
        <f t="shared" si="35"/>
        <v>MEDICARE TAXES</v>
      </c>
    </row>
    <row r="2321" spans="5:8" x14ac:dyDescent="0.25">
      <c r="E2321" t="str">
        <f>""</f>
        <v/>
      </c>
      <c r="F2321" t="str">
        <f>""</f>
        <v/>
      </c>
      <c r="H2321" t="str">
        <f t="shared" si="35"/>
        <v>MEDICARE TAXES</v>
      </c>
    </row>
    <row r="2322" spans="5:8" x14ac:dyDescent="0.25">
      <c r="E2322" t="str">
        <f>""</f>
        <v/>
      </c>
      <c r="F2322" t="str">
        <f>""</f>
        <v/>
      </c>
      <c r="H2322" t="str">
        <f t="shared" si="35"/>
        <v>MEDICARE TAXES</v>
      </c>
    </row>
    <row r="2323" spans="5:8" x14ac:dyDescent="0.25">
      <c r="E2323" t="str">
        <f>""</f>
        <v/>
      </c>
      <c r="F2323" t="str">
        <f>""</f>
        <v/>
      </c>
      <c r="H2323" t="str">
        <f t="shared" si="35"/>
        <v>MEDICARE TAXES</v>
      </c>
    </row>
    <row r="2324" spans="5:8" x14ac:dyDescent="0.25">
      <c r="E2324" t="str">
        <f>""</f>
        <v/>
      </c>
      <c r="F2324" t="str">
        <f>""</f>
        <v/>
      </c>
      <c r="H2324" t="str">
        <f t="shared" si="35"/>
        <v>MEDICARE TAXES</v>
      </c>
    </row>
    <row r="2325" spans="5:8" x14ac:dyDescent="0.25">
      <c r="E2325" t="str">
        <f>""</f>
        <v/>
      </c>
      <c r="F2325" t="str">
        <f>""</f>
        <v/>
      </c>
      <c r="H2325" t="str">
        <f t="shared" si="35"/>
        <v>MEDICARE TAXES</v>
      </c>
    </row>
    <row r="2326" spans="5:8" x14ac:dyDescent="0.25">
      <c r="E2326" t="str">
        <f>""</f>
        <v/>
      </c>
      <c r="F2326" t="str">
        <f>""</f>
        <v/>
      </c>
      <c r="H2326" t="str">
        <f t="shared" si="35"/>
        <v>MEDICARE TAXES</v>
      </c>
    </row>
    <row r="2327" spans="5:8" x14ac:dyDescent="0.25">
      <c r="E2327" t="str">
        <f>""</f>
        <v/>
      </c>
      <c r="F2327" t="str">
        <f>""</f>
        <v/>
      </c>
      <c r="H2327" t="str">
        <f t="shared" si="35"/>
        <v>MEDICARE TAXES</v>
      </c>
    </row>
    <row r="2328" spans="5:8" x14ac:dyDescent="0.25">
      <c r="E2328" t="str">
        <f>""</f>
        <v/>
      </c>
      <c r="F2328" t="str">
        <f>""</f>
        <v/>
      </c>
      <c r="H2328" t="str">
        <f t="shared" si="35"/>
        <v>MEDICARE TAXES</v>
      </c>
    </row>
    <row r="2329" spans="5:8" x14ac:dyDescent="0.25">
      <c r="E2329" t="str">
        <f>""</f>
        <v/>
      </c>
      <c r="F2329" t="str">
        <f>""</f>
        <v/>
      </c>
      <c r="H2329" t="str">
        <f t="shared" si="35"/>
        <v>MEDICARE TAXES</v>
      </c>
    </row>
    <row r="2330" spans="5:8" x14ac:dyDescent="0.25">
      <c r="E2330" t="str">
        <f>""</f>
        <v/>
      </c>
      <c r="F2330" t="str">
        <f>""</f>
        <v/>
      </c>
      <c r="H2330" t="str">
        <f t="shared" si="35"/>
        <v>MEDICARE TAXES</v>
      </c>
    </row>
    <row r="2331" spans="5:8" x14ac:dyDescent="0.25">
      <c r="E2331" t="str">
        <f>""</f>
        <v/>
      </c>
      <c r="F2331" t="str">
        <f>""</f>
        <v/>
      </c>
      <c r="H2331" t="str">
        <f t="shared" ref="H2331:H2355" si="36">"MEDICARE TAXES"</f>
        <v>MEDICARE TAXES</v>
      </c>
    </row>
    <row r="2332" spans="5:8" x14ac:dyDescent="0.25">
      <c r="E2332" t="str">
        <f>""</f>
        <v/>
      </c>
      <c r="F2332" t="str">
        <f>""</f>
        <v/>
      </c>
      <c r="H2332" t="str">
        <f t="shared" si="36"/>
        <v>MEDICARE TAXES</v>
      </c>
    </row>
    <row r="2333" spans="5:8" x14ac:dyDescent="0.25">
      <c r="E2333" t="str">
        <f>""</f>
        <v/>
      </c>
      <c r="F2333" t="str">
        <f>""</f>
        <v/>
      </c>
      <c r="H2333" t="str">
        <f t="shared" si="36"/>
        <v>MEDICARE TAXES</v>
      </c>
    </row>
    <row r="2334" spans="5:8" x14ac:dyDescent="0.25">
      <c r="E2334" t="str">
        <f>""</f>
        <v/>
      </c>
      <c r="F2334" t="str">
        <f>""</f>
        <v/>
      </c>
      <c r="H2334" t="str">
        <f t="shared" si="36"/>
        <v>MEDICARE TAXES</v>
      </c>
    </row>
    <row r="2335" spans="5:8" x14ac:dyDescent="0.25">
      <c r="E2335" t="str">
        <f>""</f>
        <v/>
      </c>
      <c r="F2335" t="str">
        <f>""</f>
        <v/>
      </c>
      <c r="H2335" t="str">
        <f t="shared" si="36"/>
        <v>MEDICARE TAXES</v>
      </c>
    </row>
    <row r="2336" spans="5:8" x14ac:dyDescent="0.25">
      <c r="E2336" t="str">
        <f>""</f>
        <v/>
      </c>
      <c r="F2336" t="str">
        <f>""</f>
        <v/>
      </c>
      <c r="H2336" t="str">
        <f t="shared" si="36"/>
        <v>MEDICARE TAXES</v>
      </c>
    </row>
    <row r="2337" spans="5:8" x14ac:dyDescent="0.25">
      <c r="E2337" t="str">
        <f>""</f>
        <v/>
      </c>
      <c r="F2337" t="str">
        <f>""</f>
        <v/>
      </c>
      <c r="H2337" t="str">
        <f t="shared" si="36"/>
        <v>MEDICARE TAXES</v>
      </c>
    </row>
    <row r="2338" spans="5:8" x14ac:dyDescent="0.25">
      <c r="E2338" t="str">
        <f>""</f>
        <v/>
      </c>
      <c r="F2338" t="str">
        <f>""</f>
        <v/>
      </c>
      <c r="H2338" t="str">
        <f t="shared" si="36"/>
        <v>MEDICARE TAXES</v>
      </c>
    </row>
    <row r="2339" spans="5:8" x14ac:dyDescent="0.25">
      <c r="E2339" t="str">
        <f>""</f>
        <v/>
      </c>
      <c r="F2339" t="str">
        <f>""</f>
        <v/>
      </c>
      <c r="H2339" t="str">
        <f t="shared" si="36"/>
        <v>MEDICARE TAXES</v>
      </c>
    </row>
    <row r="2340" spans="5:8" x14ac:dyDescent="0.25">
      <c r="E2340" t="str">
        <f>""</f>
        <v/>
      </c>
      <c r="F2340" t="str">
        <f>""</f>
        <v/>
      </c>
      <c r="H2340" t="str">
        <f t="shared" si="36"/>
        <v>MEDICARE TAXES</v>
      </c>
    </row>
    <row r="2341" spans="5:8" x14ac:dyDescent="0.25">
      <c r="E2341" t="str">
        <f>""</f>
        <v/>
      </c>
      <c r="F2341" t="str">
        <f>""</f>
        <v/>
      </c>
      <c r="H2341" t="str">
        <f t="shared" si="36"/>
        <v>MEDICARE TAXES</v>
      </c>
    </row>
    <row r="2342" spans="5:8" x14ac:dyDescent="0.25">
      <c r="E2342" t="str">
        <f>""</f>
        <v/>
      </c>
      <c r="F2342" t="str">
        <f>""</f>
        <v/>
      </c>
      <c r="H2342" t="str">
        <f t="shared" si="36"/>
        <v>MEDICARE TAXES</v>
      </c>
    </row>
    <row r="2343" spans="5:8" x14ac:dyDescent="0.25">
      <c r="E2343" t="str">
        <f>""</f>
        <v/>
      </c>
      <c r="F2343" t="str">
        <f>""</f>
        <v/>
      </c>
      <c r="H2343" t="str">
        <f t="shared" si="36"/>
        <v>MEDICARE TAXES</v>
      </c>
    </row>
    <row r="2344" spans="5:8" x14ac:dyDescent="0.25">
      <c r="E2344" t="str">
        <f>""</f>
        <v/>
      </c>
      <c r="F2344" t="str">
        <f>""</f>
        <v/>
      </c>
      <c r="H2344" t="str">
        <f t="shared" si="36"/>
        <v>MEDICARE TAXES</v>
      </c>
    </row>
    <row r="2345" spans="5:8" x14ac:dyDescent="0.25">
      <c r="E2345" t="str">
        <f>""</f>
        <v/>
      </c>
      <c r="F2345" t="str">
        <f>""</f>
        <v/>
      </c>
      <c r="H2345" t="str">
        <f t="shared" si="36"/>
        <v>MEDICARE TAXES</v>
      </c>
    </row>
    <row r="2346" spans="5:8" x14ac:dyDescent="0.25">
      <c r="E2346" t="str">
        <f>""</f>
        <v/>
      </c>
      <c r="F2346" t="str">
        <f>""</f>
        <v/>
      </c>
      <c r="H2346" t="str">
        <f t="shared" si="36"/>
        <v>MEDICARE TAXES</v>
      </c>
    </row>
    <row r="2347" spans="5:8" x14ac:dyDescent="0.25">
      <c r="E2347" t="str">
        <f>""</f>
        <v/>
      </c>
      <c r="F2347" t="str">
        <f>""</f>
        <v/>
      </c>
      <c r="H2347" t="str">
        <f t="shared" si="36"/>
        <v>MEDICARE TAXES</v>
      </c>
    </row>
    <row r="2348" spans="5:8" x14ac:dyDescent="0.25">
      <c r="E2348" t="str">
        <f>""</f>
        <v/>
      </c>
      <c r="F2348" t="str">
        <f>""</f>
        <v/>
      </c>
      <c r="H2348" t="str">
        <f t="shared" si="36"/>
        <v>MEDICARE TAXES</v>
      </c>
    </row>
    <row r="2349" spans="5:8" x14ac:dyDescent="0.25">
      <c r="E2349" t="str">
        <f>""</f>
        <v/>
      </c>
      <c r="F2349" t="str">
        <f>""</f>
        <v/>
      </c>
      <c r="H2349" t="str">
        <f t="shared" si="36"/>
        <v>MEDICARE TAXES</v>
      </c>
    </row>
    <row r="2350" spans="5:8" x14ac:dyDescent="0.25">
      <c r="E2350" t="str">
        <f>""</f>
        <v/>
      </c>
      <c r="F2350" t="str">
        <f>""</f>
        <v/>
      </c>
      <c r="H2350" t="str">
        <f t="shared" si="36"/>
        <v>MEDICARE TAXES</v>
      </c>
    </row>
    <row r="2351" spans="5:8" x14ac:dyDescent="0.25">
      <c r="E2351" t="str">
        <f>""</f>
        <v/>
      </c>
      <c r="F2351" t="str">
        <f>""</f>
        <v/>
      </c>
      <c r="H2351" t="str">
        <f t="shared" si="36"/>
        <v>MEDICARE TAXES</v>
      </c>
    </row>
    <row r="2352" spans="5:8" x14ac:dyDescent="0.25">
      <c r="E2352" t="str">
        <f>"T4 201809193863"</f>
        <v>T4 201809193863</v>
      </c>
      <c r="F2352" t="str">
        <f>"MEDICARE TAXES"</f>
        <v>MEDICARE TAXES</v>
      </c>
      <c r="G2352" s="2">
        <v>966.98</v>
      </c>
      <c r="H2352" t="str">
        <f t="shared" si="36"/>
        <v>MEDICARE TAXES</v>
      </c>
    </row>
    <row r="2353" spans="1:8" x14ac:dyDescent="0.25">
      <c r="E2353" t="str">
        <f>""</f>
        <v/>
      </c>
      <c r="F2353" t="str">
        <f>""</f>
        <v/>
      </c>
      <c r="H2353" t="str">
        <f t="shared" si="36"/>
        <v>MEDICARE TAXES</v>
      </c>
    </row>
    <row r="2354" spans="1:8" x14ac:dyDescent="0.25">
      <c r="E2354" t="str">
        <f>"T4 201809193864"</f>
        <v>T4 201809193864</v>
      </c>
      <c r="F2354" t="str">
        <f>"MEDICARE TAXES"</f>
        <v>MEDICARE TAXES</v>
      </c>
      <c r="G2354" s="2">
        <v>1132.58</v>
      </c>
      <c r="H2354" t="str">
        <f t="shared" si="36"/>
        <v>MEDICARE TAXES</v>
      </c>
    </row>
    <row r="2355" spans="1:8" x14ac:dyDescent="0.25">
      <c r="E2355" t="str">
        <f>""</f>
        <v/>
      </c>
      <c r="F2355" t="str">
        <f>""</f>
        <v/>
      </c>
      <c r="H2355" t="str">
        <f t="shared" si="36"/>
        <v>MEDICARE TAXES</v>
      </c>
    </row>
    <row r="2356" spans="1:8" x14ac:dyDescent="0.25">
      <c r="A2356" t="s">
        <v>540</v>
      </c>
      <c r="B2356">
        <v>46595</v>
      </c>
      <c r="C2356" s="3">
        <v>10.74</v>
      </c>
      <c r="D2356" s="1">
        <v>43350</v>
      </c>
      <c r="E2356" t="str">
        <f>"C64201809053424"</f>
        <v>C64201809053424</v>
      </c>
      <c r="F2356" t="str">
        <f>"CASE #912745322"</f>
        <v>CASE #912745322</v>
      </c>
      <c r="G2356" s="2">
        <v>10.74</v>
      </c>
      <c r="H2356" t="str">
        <f>"CASE #912745322"</f>
        <v>CASE #912745322</v>
      </c>
    </row>
    <row r="2357" spans="1:8" x14ac:dyDescent="0.25">
      <c r="A2357" t="s">
        <v>540</v>
      </c>
      <c r="B2357">
        <v>46620</v>
      </c>
      <c r="C2357" s="3">
        <v>222.76</v>
      </c>
      <c r="D2357" s="1">
        <v>43364</v>
      </c>
      <c r="E2357" t="str">
        <f>"C64201809193851"</f>
        <v>C64201809193851</v>
      </c>
      <c r="F2357" t="str">
        <f>"CASE #912745322"</f>
        <v>CASE #912745322</v>
      </c>
      <c r="G2357" s="2">
        <v>222.76</v>
      </c>
      <c r="H2357" t="str">
        <f>"CASE #912745322"</f>
        <v>CASE #912745322</v>
      </c>
    </row>
    <row r="2358" spans="1:8" x14ac:dyDescent="0.25">
      <c r="A2358" t="s">
        <v>541</v>
      </c>
      <c r="B2358">
        <v>0</v>
      </c>
      <c r="C2358" s="3">
        <v>28503</v>
      </c>
      <c r="D2358" s="1">
        <v>43368</v>
      </c>
      <c r="E2358" t="str">
        <f>"201809253919"</f>
        <v>201809253919</v>
      </c>
      <c r="F2358" t="str">
        <f>"MONUMENTAL Sept 2018"</f>
        <v>MONUMENTAL Sept 2018</v>
      </c>
      <c r="G2358" s="2">
        <v>28503</v>
      </c>
      <c r="H2358" t="str">
        <f>"MONUMENTAL LIFE INS CO"</f>
        <v>MONUMENTAL LIFE INS CO</v>
      </c>
    </row>
    <row r="2359" spans="1:8" x14ac:dyDescent="0.25">
      <c r="A2359" t="s">
        <v>542</v>
      </c>
      <c r="B2359">
        <v>46594</v>
      </c>
      <c r="C2359" s="3">
        <v>319.83999999999997</v>
      </c>
      <c r="D2359" s="1">
        <v>43350</v>
      </c>
      <c r="E2359" t="str">
        <f>"C33201809053425"</f>
        <v>C33201809053425</v>
      </c>
      <c r="F2359" t="str">
        <f>"NR58888M1"</f>
        <v>NR58888M1</v>
      </c>
      <c r="G2359" s="2">
        <v>319.83999999999997</v>
      </c>
      <c r="H2359" t="str">
        <f>"NR58888M1"</f>
        <v>NR58888M1</v>
      </c>
    </row>
    <row r="2360" spans="1:8" x14ac:dyDescent="0.25">
      <c r="A2360" t="s">
        <v>542</v>
      </c>
      <c r="B2360">
        <v>46619</v>
      </c>
      <c r="C2360" s="3">
        <v>319.83999999999997</v>
      </c>
      <c r="D2360" s="1">
        <v>43364</v>
      </c>
      <c r="E2360" t="str">
        <f>"C33201809193863"</f>
        <v>C33201809193863</v>
      </c>
      <c r="F2360" t="str">
        <f>"NR58888M1"</f>
        <v>NR58888M1</v>
      </c>
      <c r="G2360" s="2">
        <v>319.83999999999997</v>
      </c>
      <c r="H2360" t="str">
        <f>"NR58888M1"</f>
        <v>NR58888M1</v>
      </c>
    </row>
    <row r="2361" spans="1:8" x14ac:dyDescent="0.25">
      <c r="A2361" t="s">
        <v>543</v>
      </c>
      <c r="B2361">
        <v>0</v>
      </c>
      <c r="C2361" s="3">
        <v>674.82</v>
      </c>
      <c r="D2361" s="1">
        <v>43368</v>
      </c>
      <c r="E2361" t="str">
        <f>"LIX201809053424"</f>
        <v>LIX201809053424</v>
      </c>
      <c r="F2361" t="str">
        <f>"TEXAS LIFE/OLIVO GROUP"</f>
        <v>TEXAS LIFE/OLIVO GROUP</v>
      </c>
      <c r="G2361" s="2">
        <v>337.41</v>
      </c>
      <c r="H2361" t="str">
        <f>"TEXAS LIFE/OLIVO GROUP"</f>
        <v>TEXAS LIFE/OLIVO GROUP</v>
      </c>
    </row>
    <row r="2362" spans="1:8" x14ac:dyDescent="0.25">
      <c r="E2362" t="str">
        <f>"LIX201809193851"</f>
        <v>LIX201809193851</v>
      </c>
      <c r="F2362" t="str">
        <f>"TEXAS LIFE/OLIVO GROUP"</f>
        <v>TEXAS LIFE/OLIVO GROUP</v>
      </c>
      <c r="G2362" s="2">
        <v>337.41</v>
      </c>
      <c r="H2362" t="str">
        <f>"TEXAS LIFE/OLIVO GROUP"</f>
        <v>TEXAS LIFE/OLIVO GROUP</v>
      </c>
    </row>
    <row r="2363" spans="1:8" x14ac:dyDescent="0.25">
      <c r="A2363" t="s">
        <v>544</v>
      </c>
      <c r="B2363">
        <v>46627</v>
      </c>
      <c r="C2363" s="3">
        <v>338382.94</v>
      </c>
      <c r="D2363" s="1">
        <v>43368</v>
      </c>
      <c r="E2363" t="str">
        <f>"201809253922"</f>
        <v>201809253922</v>
      </c>
      <c r="F2363" t="str">
        <f>"Retiree Sept 2018"</f>
        <v>Retiree Sept 2018</v>
      </c>
      <c r="G2363" s="2">
        <v>15138.88</v>
      </c>
      <c r="H2363" t="str">
        <f>"TAC HEALTH BENEFITS POOL"</f>
        <v>TAC HEALTH BENEFITS POOL</v>
      </c>
    </row>
    <row r="2364" spans="1:8" x14ac:dyDescent="0.25">
      <c r="E2364" t="str">
        <f>"201809253923"</f>
        <v>201809253923</v>
      </c>
      <c r="F2364" t="str">
        <f>"COBRA Kirsten Ruehman Sept 18"</f>
        <v>COBRA Kirsten Ruehman Sept 18</v>
      </c>
      <c r="G2364" s="2">
        <v>653.05999999999995</v>
      </c>
      <c r="H2364" t="str">
        <f>"TAC HEALTH BENEFITS POOL"</f>
        <v>TAC HEALTH BENEFITS POOL</v>
      </c>
    </row>
    <row r="2365" spans="1:8" x14ac:dyDescent="0.25">
      <c r="E2365" t="str">
        <f>"2EC201809053424"</f>
        <v>2EC201809053424</v>
      </c>
      <c r="F2365" t="str">
        <f>"BCBS PAYABLE"</f>
        <v>BCBS PAYABLE</v>
      </c>
      <c r="G2365" s="2">
        <v>47125.05</v>
      </c>
      <c r="H2365" t="str">
        <f t="shared" ref="H2365:H2428" si="37">"BCBS PAYABLE"</f>
        <v>BCBS PAYABLE</v>
      </c>
    </row>
    <row r="2366" spans="1:8" x14ac:dyDescent="0.25">
      <c r="E2366" t="str">
        <f>""</f>
        <v/>
      </c>
      <c r="F2366" t="str">
        <f>""</f>
        <v/>
      </c>
      <c r="H2366" t="str">
        <f t="shared" si="37"/>
        <v>BCBS PAYABLE</v>
      </c>
    </row>
    <row r="2367" spans="1:8" x14ac:dyDescent="0.25">
      <c r="E2367" t="str">
        <f>""</f>
        <v/>
      </c>
      <c r="F2367" t="str">
        <f>""</f>
        <v/>
      </c>
      <c r="H2367" t="str">
        <f t="shared" si="37"/>
        <v>BCBS PAYABLE</v>
      </c>
    </row>
    <row r="2368" spans="1:8" x14ac:dyDescent="0.25">
      <c r="E2368" t="str">
        <f>""</f>
        <v/>
      </c>
      <c r="F2368" t="str">
        <f>""</f>
        <v/>
      </c>
      <c r="H2368" t="str">
        <f t="shared" si="37"/>
        <v>BCBS PAYABLE</v>
      </c>
    </row>
    <row r="2369" spans="5:8" x14ac:dyDescent="0.25">
      <c r="E2369" t="str">
        <f>""</f>
        <v/>
      </c>
      <c r="F2369" t="str">
        <f>""</f>
        <v/>
      </c>
      <c r="H2369" t="str">
        <f t="shared" si="37"/>
        <v>BCBS PAYABLE</v>
      </c>
    </row>
    <row r="2370" spans="5:8" x14ac:dyDescent="0.25">
      <c r="E2370" t="str">
        <f>""</f>
        <v/>
      </c>
      <c r="F2370" t="str">
        <f>""</f>
        <v/>
      </c>
      <c r="H2370" t="str">
        <f t="shared" si="37"/>
        <v>BCBS PAYABLE</v>
      </c>
    </row>
    <row r="2371" spans="5:8" x14ac:dyDescent="0.25">
      <c r="E2371" t="str">
        <f>""</f>
        <v/>
      </c>
      <c r="F2371" t="str">
        <f>""</f>
        <v/>
      </c>
      <c r="H2371" t="str">
        <f t="shared" si="37"/>
        <v>BCBS PAYABLE</v>
      </c>
    </row>
    <row r="2372" spans="5:8" x14ac:dyDescent="0.25">
      <c r="E2372" t="str">
        <f>""</f>
        <v/>
      </c>
      <c r="F2372" t="str">
        <f>""</f>
        <v/>
      </c>
      <c r="H2372" t="str">
        <f t="shared" si="37"/>
        <v>BCBS PAYABLE</v>
      </c>
    </row>
    <row r="2373" spans="5:8" x14ac:dyDescent="0.25">
      <c r="E2373" t="str">
        <f>""</f>
        <v/>
      </c>
      <c r="F2373" t="str">
        <f>""</f>
        <v/>
      </c>
      <c r="H2373" t="str">
        <f t="shared" si="37"/>
        <v>BCBS PAYABLE</v>
      </c>
    </row>
    <row r="2374" spans="5:8" x14ac:dyDescent="0.25">
      <c r="E2374" t="str">
        <f>""</f>
        <v/>
      </c>
      <c r="F2374" t="str">
        <f>""</f>
        <v/>
      </c>
      <c r="H2374" t="str">
        <f t="shared" si="37"/>
        <v>BCBS PAYABLE</v>
      </c>
    </row>
    <row r="2375" spans="5:8" x14ac:dyDescent="0.25">
      <c r="E2375" t="str">
        <f>""</f>
        <v/>
      </c>
      <c r="F2375" t="str">
        <f>""</f>
        <v/>
      </c>
      <c r="H2375" t="str">
        <f t="shared" si="37"/>
        <v>BCBS PAYABLE</v>
      </c>
    </row>
    <row r="2376" spans="5:8" x14ac:dyDescent="0.25">
      <c r="E2376" t="str">
        <f>""</f>
        <v/>
      </c>
      <c r="F2376" t="str">
        <f>""</f>
        <v/>
      </c>
      <c r="H2376" t="str">
        <f t="shared" si="37"/>
        <v>BCBS PAYABLE</v>
      </c>
    </row>
    <row r="2377" spans="5:8" x14ac:dyDescent="0.25">
      <c r="E2377" t="str">
        <f>""</f>
        <v/>
      </c>
      <c r="F2377" t="str">
        <f>""</f>
        <v/>
      </c>
      <c r="H2377" t="str">
        <f t="shared" si="37"/>
        <v>BCBS PAYABLE</v>
      </c>
    </row>
    <row r="2378" spans="5:8" x14ac:dyDescent="0.25">
      <c r="E2378" t="str">
        <f>""</f>
        <v/>
      </c>
      <c r="F2378" t="str">
        <f>""</f>
        <v/>
      </c>
      <c r="H2378" t="str">
        <f t="shared" si="37"/>
        <v>BCBS PAYABLE</v>
      </c>
    </row>
    <row r="2379" spans="5:8" x14ac:dyDescent="0.25">
      <c r="E2379" t="str">
        <f>""</f>
        <v/>
      </c>
      <c r="F2379" t="str">
        <f>""</f>
        <v/>
      </c>
      <c r="H2379" t="str">
        <f t="shared" si="37"/>
        <v>BCBS PAYABLE</v>
      </c>
    </row>
    <row r="2380" spans="5:8" x14ac:dyDescent="0.25">
      <c r="E2380" t="str">
        <f>""</f>
        <v/>
      </c>
      <c r="F2380" t="str">
        <f>""</f>
        <v/>
      </c>
      <c r="H2380" t="str">
        <f t="shared" si="37"/>
        <v>BCBS PAYABLE</v>
      </c>
    </row>
    <row r="2381" spans="5:8" x14ac:dyDescent="0.25">
      <c r="E2381" t="str">
        <f>""</f>
        <v/>
      </c>
      <c r="F2381" t="str">
        <f>""</f>
        <v/>
      </c>
      <c r="H2381" t="str">
        <f t="shared" si="37"/>
        <v>BCBS PAYABLE</v>
      </c>
    </row>
    <row r="2382" spans="5:8" x14ac:dyDescent="0.25">
      <c r="E2382" t="str">
        <f>""</f>
        <v/>
      </c>
      <c r="F2382" t="str">
        <f>""</f>
        <v/>
      </c>
      <c r="H2382" t="str">
        <f t="shared" si="37"/>
        <v>BCBS PAYABLE</v>
      </c>
    </row>
    <row r="2383" spans="5:8" x14ac:dyDescent="0.25">
      <c r="E2383" t="str">
        <f>""</f>
        <v/>
      </c>
      <c r="F2383" t="str">
        <f>""</f>
        <v/>
      </c>
      <c r="H2383" t="str">
        <f t="shared" si="37"/>
        <v>BCBS PAYABLE</v>
      </c>
    </row>
    <row r="2384" spans="5:8" x14ac:dyDescent="0.25">
      <c r="E2384" t="str">
        <f>""</f>
        <v/>
      </c>
      <c r="F2384" t="str">
        <f>""</f>
        <v/>
      </c>
      <c r="H2384" t="str">
        <f t="shared" si="37"/>
        <v>BCBS PAYABLE</v>
      </c>
    </row>
    <row r="2385" spans="5:8" x14ac:dyDescent="0.25">
      <c r="E2385" t="str">
        <f>""</f>
        <v/>
      </c>
      <c r="F2385" t="str">
        <f>""</f>
        <v/>
      </c>
      <c r="H2385" t="str">
        <f t="shared" si="37"/>
        <v>BCBS PAYABLE</v>
      </c>
    </row>
    <row r="2386" spans="5:8" x14ac:dyDescent="0.25">
      <c r="E2386" t="str">
        <f>""</f>
        <v/>
      </c>
      <c r="F2386" t="str">
        <f>""</f>
        <v/>
      </c>
      <c r="H2386" t="str">
        <f t="shared" si="37"/>
        <v>BCBS PAYABLE</v>
      </c>
    </row>
    <row r="2387" spans="5:8" x14ac:dyDescent="0.25">
      <c r="E2387" t="str">
        <f>""</f>
        <v/>
      </c>
      <c r="F2387" t="str">
        <f>""</f>
        <v/>
      </c>
      <c r="H2387" t="str">
        <f t="shared" si="37"/>
        <v>BCBS PAYABLE</v>
      </c>
    </row>
    <row r="2388" spans="5:8" x14ac:dyDescent="0.25">
      <c r="E2388" t="str">
        <f>""</f>
        <v/>
      </c>
      <c r="F2388" t="str">
        <f>""</f>
        <v/>
      </c>
      <c r="H2388" t="str">
        <f t="shared" si="37"/>
        <v>BCBS PAYABLE</v>
      </c>
    </row>
    <row r="2389" spans="5:8" x14ac:dyDescent="0.25">
      <c r="E2389" t="str">
        <f>""</f>
        <v/>
      </c>
      <c r="F2389" t="str">
        <f>""</f>
        <v/>
      </c>
      <c r="H2389" t="str">
        <f t="shared" si="37"/>
        <v>BCBS PAYABLE</v>
      </c>
    </row>
    <row r="2390" spans="5:8" x14ac:dyDescent="0.25">
      <c r="E2390" t="str">
        <f>""</f>
        <v/>
      </c>
      <c r="F2390" t="str">
        <f>""</f>
        <v/>
      </c>
      <c r="H2390" t="str">
        <f t="shared" si="37"/>
        <v>BCBS PAYABLE</v>
      </c>
    </row>
    <row r="2391" spans="5:8" x14ac:dyDescent="0.25">
      <c r="E2391" t="str">
        <f>""</f>
        <v/>
      </c>
      <c r="F2391" t="str">
        <f>""</f>
        <v/>
      </c>
      <c r="H2391" t="str">
        <f t="shared" si="37"/>
        <v>BCBS PAYABLE</v>
      </c>
    </row>
    <row r="2392" spans="5:8" x14ac:dyDescent="0.25">
      <c r="E2392" t="str">
        <f>""</f>
        <v/>
      </c>
      <c r="F2392" t="str">
        <f>""</f>
        <v/>
      </c>
      <c r="H2392" t="str">
        <f t="shared" si="37"/>
        <v>BCBS PAYABLE</v>
      </c>
    </row>
    <row r="2393" spans="5:8" x14ac:dyDescent="0.25">
      <c r="E2393" t="str">
        <f>""</f>
        <v/>
      </c>
      <c r="F2393" t="str">
        <f>""</f>
        <v/>
      </c>
      <c r="H2393" t="str">
        <f t="shared" si="37"/>
        <v>BCBS PAYABLE</v>
      </c>
    </row>
    <row r="2394" spans="5:8" x14ac:dyDescent="0.25">
      <c r="E2394" t="str">
        <f>""</f>
        <v/>
      </c>
      <c r="F2394" t="str">
        <f>""</f>
        <v/>
      </c>
      <c r="H2394" t="str">
        <f t="shared" si="37"/>
        <v>BCBS PAYABLE</v>
      </c>
    </row>
    <row r="2395" spans="5:8" x14ac:dyDescent="0.25">
      <c r="E2395" t="str">
        <f>""</f>
        <v/>
      </c>
      <c r="F2395" t="str">
        <f>""</f>
        <v/>
      </c>
      <c r="H2395" t="str">
        <f t="shared" si="37"/>
        <v>BCBS PAYABLE</v>
      </c>
    </row>
    <row r="2396" spans="5:8" x14ac:dyDescent="0.25">
      <c r="E2396" t="str">
        <f>""</f>
        <v/>
      </c>
      <c r="F2396" t="str">
        <f>""</f>
        <v/>
      </c>
      <c r="H2396" t="str">
        <f t="shared" si="37"/>
        <v>BCBS PAYABLE</v>
      </c>
    </row>
    <row r="2397" spans="5:8" x14ac:dyDescent="0.25">
      <c r="E2397" t="str">
        <f>""</f>
        <v/>
      </c>
      <c r="F2397" t="str">
        <f>""</f>
        <v/>
      </c>
      <c r="H2397" t="str">
        <f t="shared" si="37"/>
        <v>BCBS PAYABLE</v>
      </c>
    </row>
    <row r="2398" spans="5:8" x14ac:dyDescent="0.25">
      <c r="E2398" t="str">
        <f>"2EC201809053425"</f>
        <v>2EC201809053425</v>
      </c>
      <c r="F2398" t="str">
        <f>"BCBS PAYABLE"</f>
        <v>BCBS PAYABLE</v>
      </c>
      <c r="G2398" s="2">
        <v>1795.24</v>
      </c>
      <c r="H2398" t="str">
        <f t="shared" si="37"/>
        <v>BCBS PAYABLE</v>
      </c>
    </row>
    <row r="2399" spans="5:8" x14ac:dyDescent="0.25">
      <c r="E2399" t="str">
        <f>""</f>
        <v/>
      </c>
      <c r="F2399" t="str">
        <f>""</f>
        <v/>
      </c>
      <c r="H2399" t="str">
        <f t="shared" si="37"/>
        <v>BCBS PAYABLE</v>
      </c>
    </row>
    <row r="2400" spans="5:8" x14ac:dyDescent="0.25">
      <c r="E2400" t="str">
        <f>"2EC201809193851"</f>
        <v>2EC201809193851</v>
      </c>
      <c r="F2400" t="str">
        <f>"BCBS PAYABLE"</f>
        <v>BCBS PAYABLE</v>
      </c>
      <c r="G2400" s="2">
        <v>48022.67</v>
      </c>
      <c r="H2400" t="str">
        <f t="shared" si="37"/>
        <v>BCBS PAYABLE</v>
      </c>
    </row>
    <row r="2401" spans="5:8" x14ac:dyDescent="0.25">
      <c r="E2401" t="str">
        <f>""</f>
        <v/>
      </c>
      <c r="F2401" t="str">
        <f>""</f>
        <v/>
      </c>
      <c r="H2401" t="str">
        <f t="shared" si="37"/>
        <v>BCBS PAYABLE</v>
      </c>
    </row>
    <row r="2402" spans="5:8" x14ac:dyDescent="0.25">
      <c r="E2402" t="str">
        <f>""</f>
        <v/>
      </c>
      <c r="F2402" t="str">
        <f>""</f>
        <v/>
      </c>
      <c r="H2402" t="str">
        <f t="shared" si="37"/>
        <v>BCBS PAYABLE</v>
      </c>
    </row>
    <row r="2403" spans="5:8" x14ac:dyDescent="0.25">
      <c r="E2403" t="str">
        <f>""</f>
        <v/>
      </c>
      <c r="F2403" t="str">
        <f>""</f>
        <v/>
      </c>
      <c r="H2403" t="str">
        <f t="shared" si="37"/>
        <v>BCBS PAYABLE</v>
      </c>
    </row>
    <row r="2404" spans="5:8" x14ac:dyDescent="0.25">
      <c r="E2404" t="str">
        <f>""</f>
        <v/>
      </c>
      <c r="F2404" t="str">
        <f>""</f>
        <v/>
      </c>
      <c r="H2404" t="str">
        <f t="shared" si="37"/>
        <v>BCBS PAYABLE</v>
      </c>
    </row>
    <row r="2405" spans="5:8" x14ac:dyDescent="0.25">
      <c r="E2405" t="str">
        <f>""</f>
        <v/>
      </c>
      <c r="F2405" t="str">
        <f>""</f>
        <v/>
      </c>
      <c r="H2405" t="str">
        <f t="shared" si="37"/>
        <v>BCBS PAYABLE</v>
      </c>
    </row>
    <row r="2406" spans="5:8" x14ac:dyDescent="0.25">
      <c r="E2406" t="str">
        <f>""</f>
        <v/>
      </c>
      <c r="F2406" t="str">
        <f>""</f>
        <v/>
      </c>
      <c r="H2406" t="str">
        <f t="shared" si="37"/>
        <v>BCBS PAYABLE</v>
      </c>
    </row>
    <row r="2407" spans="5:8" x14ac:dyDescent="0.25">
      <c r="E2407" t="str">
        <f>""</f>
        <v/>
      </c>
      <c r="F2407" t="str">
        <f>""</f>
        <v/>
      </c>
      <c r="H2407" t="str">
        <f t="shared" si="37"/>
        <v>BCBS PAYABLE</v>
      </c>
    </row>
    <row r="2408" spans="5:8" x14ac:dyDescent="0.25">
      <c r="E2408" t="str">
        <f>""</f>
        <v/>
      </c>
      <c r="F2408" t="str">
        <f>""</f>
        <v/>
      </c>
      <c r="H2408" t="str">
        <f t="shared" si="37"/>
        <v>BCBS PAYABLE</v>
      </c>
    </row>
    <row r="2409" spans="5:8" x14ac:dyDescent="0.25">
      <c r="E2409" t="str">
        <f>""</f>
        <v/>
      </c>
      <c r="F2409" t="str">
        <f>""</f>
        <v/>
      </c>
      <c r="H2409" t="str">
        <f t="shared" si="37"/>
        <v>BCBS PAYABLE</v>
      </c>
    </row>
    <row r="2410" spans="5:8" x14ac:dyDescent="0.25">
      <c r="E2410" t="str">
        <f>""</f>
        <v/>
      </c>
      <c r="F2410" t="str">
        <f>""</f>
        <v/>
      </c>
      <c r="H2410" t="str">
        <f t="shared" si="37"/>
        <v>BCBS PAYABLE</v>
      </c>
    </row>
    <row r="2411" spans="5:8" x14ac:dyDescent="0.25">
      <c r="E2411" t="str">
        <f>""</f>
        <v/>
      </c>
      <c r="F2411" t="str">
        <f>""</f>
        <v/>
      </c>
      <c r="H2411" t="str">
        <f t="shared" si="37"/>
        <v>BCBS PAYABLE</v>
      </c>
    </row>
    <row r="2412" spans="5:8" x14ac:dyDescent="0.25">
      <c r="E2412" t="str">
        <f>""</f>
        <v/>
      </c>
      <c r="F2412" t="str">
        <f>""</f>
        <v/>
      </c>
      <c r="H2412" t="str">
        <f t="shared" si="37"/>
        <v>BCBS PAYABLE</v>
      </c>
    </row>
    <row r="2413" spans="5:8" x14ac:dyDescent="0.25">
      <c r="E2413" t="str">
        <f>""</f>
        <v/>
      </c>
      <c r="F2413" t="str">
        <f>""</f>
        <v/>
      </c>
      <c r="H2413" t="str">
        <f t="shared" si="37"/>
        <v>BCBS PAYABLE</v>
      </c>
    </row>
    <row r="2414" spans="5:8" x14ac:dyDescent="0.25">
      <c r="E2414" t="str">
        <f>""</f>
        <v/>
      </c>
      <c r="F2414" t="str">
        <f>""</f>
        <v/>
      </c>
      <c r="H2414" t="str">
        <f t="shared" si="37"/>
        <v>BCBS PAYABLE</v>
      </c>
    </row>
    <row r="2415" spans="5:8" x14ac:dyDescent="0.25">
      <c r="E2415" t="str">
        <f>""</f>
        <v/>
      </c>
      <c r="F2415" t="str">
        <f>""</f>
        <v/>
      </c>
      <c r="H2415" t="str">
        <f t="shared" si="37"/>
        <v>BCBS PAYABLE</v>
      </c>
    </row>
    <row r="2416" spans="5:8" x14ac:dyDescent="0.25">
      <c r="E2416" t="str">
        <f>""</f>
        <v/>
      </c>
      <c r="F2416" t="str">
        <f>""</f>
        <v/>
      </c>
      <c r="H2416" t="str">
        <f t="shared" si="37"/>
        <v>BCBS PAYABLE</v>
      </c>
    </row>
    <row r="2417" spans="5:8" x14ac:dyDescent="0.25">
      <c r="E2417" t="str">
        <f>""</f>
        <v/>
      </c>
      <c r="F2417" t="str">
        <f>""</f>
        <v/>
      </c>
      <c r="H2417" t="str">
        <f t="shared" si="37"/>
        <v>BCBS PAYABLE</v>
      </c>
    </row>
    <row r="2418" spans="5:8" x14ac:dyDescent="0.25">
      <c r="E2418" t="str">
        <f>""</f>
        <v/>
      </c>
      <c r="F2418" t="str">
        <f>""</f>
        <v/>
      </c>
      <c r="H2418" t="str">
        <f t="shared" si="37"/>
        <v>BCBS PAYABLE</v>
      </c>
    </row>
    <row r="2419" spans="5:8" x14ac:dyDescent="0.25">
      <c r="E2419" t="str">
        <f>""</f>
        <v/>
      </c>
      <c r="F2419" t="str">
        <f>""</f>
        <v/>
      </c>
      <c r="H2419" t="str">
        <f t="shared" si="37"/>
        <v>BCBS PAYABLE</v>
      </c>
    </row>
    <row r="2420" spans="5:8" x14ac:dyDescent="0.25">
      <c r="E2420" t="str">
        <f>""</f>
        <v/>
      </c>
      <c r="F2420" t="str">
        <f>""</f>
        <v/>
      </c>
      <c r="H2420" t="str">
        <f t="shared" si="37"/>
        <v>BCBS PAYABLE</v>
      </c>
    </row>
    <row r="2421" spans="5:8" x14ac:dyDescent="0.25">
      <c r="E2421" t="str">
        <f>""</f>
        <v/>
      </c>
      <c r="F2421" t="str">
        <f>""</f>
        <v/>
      </c>
      <c r="H2421" t="str">
        <f t="shared" si="37"/>
        <v>BCBS PAYABLE</v>
      </c>
    </row>
    <row r="2422" spans="5:8" x14ac:dyDescent="0.25">
      <c r="E2422" t="str">
        <f>""</f>
        <v/>
      </c>
      <c r="F2422" t="str">
        <f>""</f>
        <v/>
      </c>
      <c r="H2422" t="str">
        <f t="shared" si="37"/>
        <v>BCBS PAYABLE</v>
      </c>
    </row>
    <row r="2423" spans="5:8" x14ac:dyDescent="0.25">
      <c r="E2423" t="str">
        <f>""</f>
        <v/>
      </c>
      <c r="F2423" t="str">
        <f>""</f>
        <v/>
      </c>
      <c r="H2423" t="str">
        <f t="shared" si="37"/>
        <v>BCBS PAYABLE</v>
      </c>
    </row>
    <row r="2424" spans="5:8" x14ac:dyDescent="0.25">
      <c r="E2424" t="str">
        <f>""</f>
        <v/>
      </c>
      <c r="F2424" t="str">
        <f>""</f>
        <v/>
      </c>
      <c r="H2424" t="str">
        <f t="shared" si="37"/>
        <v>BCBS PAYABLE</v>
      </c>
    </row>
    <row r="2425" spans="5:8" x14ac:dyDescent="0.25">
      <c r="E2425" t="str">
        <f>""</f>
        <v/>
      </c>
      <c r="F2425" t="str">
        <f>""</f>
        <v/>
      </c>
      <c r="H2425" t="str">
        <f t="shared" si="37"/>
        <v>BCBS PAYABLE</v>
      </c>
    </row>
    <row r="2426" spans="5:8" x14ac:dyDescent="0.25">
      <c r="E2426" t="str">
        <f>""</f>
        <v/>
      </c>
      <c r="F2426" t="str">
        <f>""</f>
        <v/>
      </c>
      <c r="H2426" t="str">
        <f t="shared" si="37"/>
        <v>BCBS PAYABLE</v>
      </c>
    </row>
    <row r="2427" spans="5:8" x14ac:dyDescent="0.25">
      <c r="E2427" t="str">
        <f>""</f>
        <v/>
      </c>
      <c r="F2427" t="str">
        <f>""</f>
        <v/>
      </c>
      <c r="H2427" t="str">
        <f t="shared" si="37"/>
        <v>BCBS PAYABLE</v>
      </c>
    </row>
    <row r="2428" spans="5:8" x14ac:dyDescent="0.25">
      <c r="E2428" t="str">
        <f>""</f>
        <v/>
      </c>
      <c r="F2428" t="str">
        <f>""</f>
        <v/>
      </c>
      <c r="H2428" t="str">
        <f t="shared" si="37"/>
        <v>BCBS PAYABLE</v>
      </c>
    </row>
    <row r="2429" spans="5:8" x14ac:dyDescent="0.25">
      <c r="E2429" t="str">
        <f>""</f>
        <v/>
      </c>
      <c r="F2429" t="str">
        <f>""</f>
        <v/>
      </c>
      <c r="H2429" t="str">
        <f t="shared" ref="H2429:H2492" si="38">"BCBS PAYABLE"</f>
        <v>BCBS PAYABLE</v>
      </c>
    </row>
    <row r="2430" spans="5:8" x14ac:dyDescent="0.25">
      <c r="E2430" t="str">
        <f>""</f>
        <v/>
      </c>
      <c r="F2430" t="str">
        <f>""</f>
        <v/>
      </c>
      <c r="H2430" t="str">
        <f t="shared" si="38"/>
        <v>BCBS PAYABLE</v>
      </c>
    </row>
    <row r="2431" spans="5:8" x14ac:dyDescent="0.25">
      <c r="E2431" t="str">
        <f>""</f>
        <v/>
      </c>
      <c r="F2431" t="str">
        <f>""</f>
        <v/>
      </c>
      <c r="H2431" t="str">
        <f t="shared" si="38"/>
        <v>BCBS PAYABLE</v>
      </c>
    </row>
    <row r="2432" spans="5:8" x14ac:dyDescent="0.25">
      <c r="E2432" t="str">
        <f>""</f>
        <v/>
      </c>
      <c r="F2432" t="str">
        <f>""</f>
        <v/>
      </c>
      <c r="H2432" t="str">
        <f t="shared" si="38"/>
        <v>BCBS PAYABLE</v>
      </c>
    </row>
    <row r="2433" spans="5:8" x14ac:dyDescent="0.25">
      <c r="E2433" t="str">
        <f>"2EC201809193863"</f>
        <v>2EC201809193863</v>
      </c>
      <c r="F2433" t="str">
        <f>"BCBS PAYABLE"</f>
        <v>BCBS PAYABLE</v>
      </c>
      <c r="G2433" s="2">
        <v>1795.24</v>
      </c>
      <c r="H2433" t="str">
        <f t="shared" si="38"/>
        <v>BCBS PAYABLE</v>
      </c>
    </row>
    <row r="2434" spans="5:8" x14ac:dyDescent="0.25">
      <c r="E2434" t="str">
        <f>""</f>
        <v/>
      </c>
      <c r="F2434" t="str">
        <f>""</f>
        <v/>
      </c>
      <c r="H2434" t="str">
        <f t="shared" si="38"/>
        <v>BCBS PAYABLE</v>
      </c>
    </row>
    <row r="2435" spans="5:8" x14ac:dyDescent="0.25">
      <c r="E2435" t="str">
        <f>"2EF201809053424"</f>
        <v>2EF201809053424</v>
      </c>
      <c r="F2435" t="str">
        <f>"BCBS PAYABLE"</f>
        <v>BCBS PAYABLE</v>
      </c>
      <c r="G2435" s="2">
        <v>891.87</v>
      </c>
      <c r="H2435" t="str">
        <f t="shared" si="38"/>
        <v>BCBS PAYABLE</v>
      </c>
    </row>
    <row r="2436" spans="5:8" x14ac:dyDescent="0.25">
      <c r="E2436" t="str">
        <f>""</f>
        <v/>
      </c>
      <c r="F2436" t="str">
        <f>""</f>
        <v/>
      </c>
      <c r="H2436" t="str">
        <f t="shared" si="38"/>
        <v>BCBS PAYABLE</v>
      </c>
    </row>
    <row r="2437" spans="5:8" x14ac:dyDescent="0.25">
      <c r="E2437" t="str">
        <f>"2EF201809053425"</f>
        <v>2EF201809053425</v>
      </c>
      <c r="F2437" t="str">
        <f>"BCBS PAYABLE"</f>
        <v>BCBS PAYABLE</v>
      </c>
      <c r="G2437" s="2">
        <v>891.87</v>
      </c>
      <c r="H2437" t="str">
        <f t="shared" si="38"/>
        <v>BCBS PAYABLE</v>
      </c>
    </row>
    <row r="2438" spans="5:8" x14ac:dyDescent="0.25">
      <c r="E2438" t="str">
        <f>""</f>
        <v/>
      </c>
      <c r="F2438" t="str">
        <f>""</f>
        <v/>
      </c>
      <c r="H2438" t="str">
        <f t="shared" si="38"/>
        <v>BCBS PAYABLE</v>
      </c>
    </row>
    <row r="2439" spans="5:8" x14ac:dyDescent="0.25">
      <c r="E2439" t="str">
        <f>"2EF201809193851"</f>
        <v>2EF201809193851</v>
      </c>
      <c r="F2439" t="str">
        <f>"BCBS PAYABLE"</f>
        <v>BCBS PAYABLE</v>
      </c>
      <c r="G2439" s="2">
        <v>891.87</v>
      </c>
      <c r="H2439" t="str">
        <f t="shared" si="38"/>
        <v>BCBS PAYABLE</v>
      </c>
    </row>
    <row r="2440" spans="5:8" x14ac:dyDescent="0.25">
      <c r="E2440" t="str">
        <f>""</f>
        <v/>
      </c>
      <c r="F2440" t="str">
        <f>""</f>
        <v/>
      </c>
      <c r="H2440" t="str">
        <f t="shared" si="38"/>
        <v>BCBS PAYABLE</v>
      </c>
    </row>
    <row r="2441" spans="5:8" x14ac:dyDescent="0.25">
      <c r="E2441" t="str">
        <f>"2EF201809193863"</f>
        <v>2EF201809193863</v>
      </c>
      <c r="F2441" t="str">
        <f>"BCBS PAYABLE"</f>
        <v>BCBS PAYABLE</v>
      </c>
      <c r="G2441" s="2">
        <v>891.87</v>
      </c>
      <c r="H2441" t="str">
        <f t="shared" si="38"/>
        <v>BCBS PAYABLE</v>
      </c>
    </row>
    <row r="2442" spans="5:8" x14ac:dyDescent="0.25">
      <c r="E2442" t="str">
        <f>""</f>
        <v/>
      </c>
      <c r="F2442" t="str">
        <f>""</f>
        <v/>
      </c>
      <c r="H2442" t="str">
        <f t="shared" si="38"/>
        <v>BCBS PAYABLE</v>
      </c>
    </row>
    <row r="2443" spans="5:8" x14ac:dyDescent="0.25">
      <c r="E2443" t="str">
        <f>"2EO201809053424"</f>
        <v>2EO201809053424</v>
      </c>
      <c r="F2443" t="str">
        <f>"BCBS PAYABLE"</f>
        <v>BCBS PAYABLE</v>
      </c>
      <c r="G2443" s="2">
        <v>90448.81</v>
      </c>
      <c r="H2443" t="str">
        <f t="shared" si="38"/>
        <v>BCBS PAYABLE</v>
      </c>
    </row>
    <row r="2444" spans="5:8" x14ac:dyDescent="0.25">
      <c r="E2444" t="str">
        <f>""</f>
        <v/>
      </c>
      <c r="F2444" t="str">
        <f>""</f>
        <v/>
      </c>
      <c r="H2444" t="str">
        <f t="shared" si="38"/>
        <v>BCBS PAYABLE</v>
      </c>
    </row>
    <row r="2445" spans="5:8" x14ac:dyDescent="0.25">
      <c r="E2445" t="str">
        <f>""</f>
        <v/>
      </c>
      <c r="F2445" t="str">
        <f>""</f>
        <v/>
      </c>
      <c r="H2445" t="str">
        <f t="shared" si="38"/>
        <v>BCBS PAYABLE</v>
      </c>
    </row>
    <row r="2446" spans="5:8" x14ac:dyDescent="0.25">
      <c r="E2446" t="str">
        <f>""</f>
        <v/>
      </c>
      <c r="F2446" t="str">
        <f>""</f>
        <v/>
      </c>
      <c r="H2446" t="str">
        <f t="shared" si="38"/>
        <v>BCBS PAYABLE</v>
      </c>
    </row>
    <row r="2447" spans="5:8" x14ac:dyDescent="0.25">
      <c r="E2447" t="str">
        <f>""</f>
        <v/>
      </c>
      <c r="F2447" t="str">
        <f>""</f>
        <v/>
      </c>
      <c r="H2447" t="str">
        <f t="shared" si="38"/>
        <v>BCBS PAYABLE</v>
      </c>
    </row>
    <row r="2448" spans="5:8" x14ac:dyDescent="0.25">
      <c r="E2448" t="str">
        <f>""</f>
        <v/>
      </c>
      <c r="F2448" t="str">
        <f>""</f>
        <v/>
      </c>
      <c r="H2448" t="str">
        <f t="shared" si="38"/>
        <v>BCBS PAYABLE</v>
      </c>
    </row>
    <row r="2449" spans="5:8" x14ac:dyDescent="0.25">
      <c r="E2449" t="str">
        <f>""</f>
        <v/>
      </c>
      <c r="F2449" t="str">
        <f>""</f>
        <v/>
      </c>
      <c r="H2449" t="str">
        <f t="shared" si="38"/>
        <v>BCBS PAYABLE</v>
      </c>
    </row>
    <row r="2450" spans="5:8" x14ac:dyDescent="0.25">
      <c r="E2450" t="str">
        <f>""</f>
        <v/>
      </c>
      <c r="F2450" t="str">
        <f>""</f>
        <v/>
      </c>
      <c r="H2450" t="str">
        <f t="shared" si="38"/>
        <v>BCBS PAYABLE</v>
      </c>
    </row>
    <row r="2451" spans="5:8" x14ac:dyDescent="0.25">
      <c r="E2451" t="str">
        <f>""</f>
        <v/>
      </c>
      <c r="F2451" t="str">
        <f>""</f>
        <v/>
      </c>
      <c r="H2451" t="str">
        <f t="shared" si="38"/>
        <v>BCBS PAYABLE</v>
      </c>
    </row>
    <row r="2452" spans="5:8" x14ac:dyDescent="0.25">
      <c r="E2452" t="str">
        <f>""</f>
        <v/>
      </c>
      <c r="F2452" t="str">
        <f>""</f>
        <v/>
      </c>
      <c r="H2452" t="str">
        <f t="shared" si="38"/>
        <v>BCBS PAYABLE</v>
      </c>
    </row>
    <row r="2453" spans="5:8" x14ac:dyDescent="0.25">
      <c r="E2453" t="str">
        <f>""</f>
        <v/>
      </c>
      <c r="F2453" t="str">
        <f>""</f>
        <v/>
      </c>
      <c r="H2453" t="str">
        <f t="shared" si="38"/>
        <v>BCBS PAYABLE</v>
      </c>
    </row>
    <row r="2454" spans="5:8" x14ac:dyDescent="0.25">
      <c r="E2454" t="str">
        <f>""</f>
        <v/>
      </c>
      <c r="F2454" t="str">
        <f>""</f>
        <v/>
      </c>
      <c r="H2454" t="str">
        <f t="shared" si="38"/>
        <v>BCBS PAYABLE</v>
      </c>
    </row>
    <row r="2455" spans="5:8" x14ac:dyDescent="0.25">
      <c r="E2455" t="str">
        <f>""</f>
        <v/>
      </c>
      <c r="F2455" t="str">
        <f>""</f>
        <v/>
      </c>
      <c r="H2455" t="str">
        <f t="shared" si="38"/>
        <v>BCBS PAYABLE</v>
      </c>
    </row>
    <row r="2456" spans="5:8" x14ac:dyDescent="0.25">
      <c r="E2456" t="str">
        <f>""</f>
        <v/>
      </c>
      <c r="F2456" t="str">
        <f>""</f>
        <v/>
      </c>
      <c r="H2456" t="str">
        <f t="shared" si="38"/>
        <v>BCBS PAYABLE</v>
      </c>
    </row>
    <row r="2457" spans="5:8" x14ac:dyDescent="0.25">
      <c r="E2457" t="str">
        <f>""</f>
        <v/>
      </c>
      <c r="F2457" t="str">
        <f>""</f>
        <v/>
      </c>
      <c r="H2457" t="str">
        <f t="shared" si="38"/>
        <v>BCBS PAYABLE</v>
      </c>
    </row>
    <row r="2458" spans="5:8" x14ac:dyDescent="0.25">
      <c r="E2458" t="str">
        <f>""</f>
        <v/>
      </c>
      <c r="F2458" t="str">
        <f>""</f>
        <v/>
      </c>
      <c r="H2458" t="str">
        <f t="shared" si="38"/>
        <v>BCBS PAYABLE</v>
      </c>
    </row>
    <row r="2459" spans="5:8" x14ac:dyDescent="0.25">
      <c r="E2459" t="str">
        <f>""</f>
        <v/>
      </c>
      <c r="F2459" t="str">
        <f>""</f>
        <v/>
      </c>
      <c r="H2459" t="str">
        <f t="shared" si="38"/>
        <v>BCBS PAYABLE</v>
      </c>
    </row>
    <row r="2460" spans="5:8" x14ac:dyDescent="0.25">
      <c r="E2460" t="str">
        <f>""</f>
        <v/>
      </c>
      <c r="F2460" t="str">
        <f>""</f>
        <v/>
      </c>
      <c r="H2460" t="str">
        <f t="shared" si="38"/>
        <v>BCBS PAYABLE</v>
      </c>
    </row>
    <row r="2461" spans="5:8" x14ac:dyDescent="0.25">
      <c r="E2461" t="str">
        <f>""</f>
        <v/>
      </c>
      <c r="F2461" t="str">
        <f>""</f>
        <v/>
      </c>
      <c r="H2461" t="str">
        <f t="shared" si="38"/>
        <v>BCBS PAYABLE</v>
      </c>
    </row>
    <row r="2462" spans="5:8" x14ac:dyDescent="0.25">
      <c r="E2462" t="str">
        <f>""</f>
        <v/>
      </c>
      <c r="F2462" t="str">
        <f>""</f>
        <v/>
      </c>
      <c r="H2462" t="str">
        <f t="shared" si="38"/>
        <v>BCBS PAYABLE</v>
      </c>
    </row>
    <row r="2463" spans="5:8" x14ac:dyDescent="0.25">
      <c r="E2463" t="str">
        <f>""</f>
        <v/>
      </c>
      <c r="F2463" t="str">
        <f>""</f>
        <v/>
      </c>
      <c r="H2463" t="str">
        <f t="shared" si="38"/>
        <v>BCBS PAYABLE</v>
      </c>
    </row>
    <row r="2464" spans="5:8" x14ac:dyDescent="0.25">
      <c r="E2464" t="str">
        <f>""</f>
        <v/>
      </c>
      <c r="F2464" t="str">
        <f>""</f>
        <v/>
      </c>
      <c r="H2464" t="str">
        <f t="shared" si="38"/>
        <v>BCBS PAYABLE</v>
      </c>
    </row>
    <row r="2465" spans="5:8" x14ac:dyDescent="0.25">
      <c r="E2465" t="str">
        <f>""</f>
        <v/>
      </c>
      <c r="F2465" t="str">
        <f>""</f>
        <v/>
      </c>
      <c r="H2465" t="str">
        <f t="shared" si="38"/>
        <v>BCBS PAYABLE</v>
      </c>
    </row>
    <row r="2466" spans="5:8" x14ac:dyDescent="0.25">
      <c r="E2466" t="str">
        <f>""</f>
        <v/>
      </c>
      <c r="F2466" t="str">
        <f>""</f>
        <v/>
      </c>
      <c r="H2466" t="str">
        <f t="shared" si="38"/>
        <v>BCBS PAYABLE</v>
      </c>
    </row>
    <row r="2467" spans="5:8" x14ac:dyDescent="0.25">
      <c r="E2467" t="str">
        <f>""</f>
        <v/>
      </c>
      <c r="F2467" t="str">
        <f>""</f>
        <v/>
      </c>
      <c r="H2467" t="str">
        <f t="shared" si="38"/>
        <v>BCBS PAYABLE</v>
      </c>
    </row>
    <row r="2468" spans="5:8" x14ac:dyDescent="0.25">
      <c r="E2468" t="str">
        <f>""</f>
        <v/>
      </c>
      <c r="F2468" t="str">
        <f>""</f>
        <v/>
      </c>
      <c r="H2468" t="str">
        <f t="shared" si="38"/>
        <v>BCBS PAYABLE</v>
      </c>
    </row>
    <row r="2469" spans="5:8" x14ac:dyDescent="0.25">
      <c r="E2469" t="str">
        <f>""</f>
        <v/>
      </c>
      <c r="F2469" t="str">
        <f>""</f>
        <v/>
      </c>
      <c r="H2469" t="str">
        <f t="shared" si="38"/>
        <v>BCBS PAYABLE</v>
      </c>
    </row>
    <row r="2470" spans="5:8" x14ac:dyDescent="0.25">
      <c r="E2470" t="str">
        <f>""</f>
        <v/>
      </c>
      <c r="F2470" t="str">
        <f>""</f>
        <v/>
      </c>
      <c r="H2470" t="str">
        <f t="shared" si="38"/>
        <v>BCBS PAYABLE</v>
      </c>
    </row>
    <row r="2471" spans="5:8" x14ac:dyDescent="0.25">
      <c r="E2471" t="str">
        <f>""</f>
        <v/>
      </c>
      <c r="F2471" t="str">
        <f>""</f>
        <v/>
      </c>
      <c r="H2471" t="str">
        <f t="shared" si="38"/>
        <v>BCBS PAYABLE</v>
      </c>
    </row>
    <row r="2472" spans="5:8" x14ac:dyDescent="0.25">
      <c r="E2472" t="str">
        <f>""</f>
        <v/>
      </c>
      <c r="F2472" t="str">
        <f>""</f>
        <v/>
      </c>
      <c r="H2472" t="str">
        <f t="shared" si="38"/>
        <v>BCBS PAYABLE</v>
      </c>
    </row>
    <row r="2473" spans="5:8" x14ac:dyDescent="0.25">
      <c r="E2473" t="str">
        <f>""</f>
        <v/>
      </c>
      <c r="F2473" t="str">
        <f>""</f>
        <v/>
      </c>
      <c r="H2473" t="str">
        <f t="shared" si="38"/>
        <v>BCBS PAYABLE</v>
      </c>
    </row>
    <row r="2474" spans="5:8" x14ac:dyDescent="0.25">
      <c r="E2474" t="str">
        <f>""</f>
        <v/>
      </c>
      <c r="F2474" t="str">
        <f>""</f>
        <v/>
      </c>
      <c r="H2474" t="str">
        <f t="shared" si="38"/>
        <v>BCBS PAYABLE</v>
      </c>
    </row>
    <row r="2475" spans="5:8" x14ac:dyDescent="0.25">
      <c r="E2475" t="str">
        <f>""</f>
        <v/>
      </c>
      <c r="F2475" t="str">
        <f>""</f>
        <v/>
      </c>
      <c r="H2475" t="str">
        <f t="shared" si="38"/>
        <v>BCBS PAYABLE</v>
      </c>
    </row>
    <row r="2476" spans="5:8" x14ac:dyDescent="0.25">
      <c r="E2476" t="str">
        <f>""</f>
        <v/>
      </c>
      <c r="F2476" t="str">
        <f>""</f>
        <v/>
      </c>
      <c r="H2476" t="str">
        <f t="shared" si="38"/>
        <v>BCBS PAYABLE</v>
      </c>
    </row>
    <row r="2477" spans="5:8" x14ac:dyDescent="0.25">
      <c r="E2477" t="str">
        <f>""</f>
        <v/>
      </c>
      <c r="F2477" t="str">
        <f>""</f>
        <v/>
      </c>
      <c r="H2477" t="str">
        <f t="shared" si="38"/>
        <v>BCBS PAYABLE</v>
      </c>
    </row>
    <row r="2478" spans="5:8" x14ac:dyDescent="0.25">
      <c r="E2478" t="str">
        <f>""</f>
        <v/>
      </c>
      <c r="F2478" t="str">
        <f>""</f>
        <v/>
      </c>
      <c r="H2478" t="str">
        <f t="shared" si="38"/>
        <v>BCBS PAYABLE</v>
      </c>
    </row>
    <row r="2479" spans="5:8" x14ac:dyDescent="0.25">
      <c r="E2479" t="str">
        <f>""</f>
        <v/>
      </c>
      <c r="F2479" t="str">
        <f>""</f>
        <v/>
      </c>
      <c r="H2479" t="str">
        <f t="shared" si="38"/>
        <v>BCBS PAYABLE</v>
      </c>
    </row>
    <row r="2480" spans="5:8" x14ac:dyDescent="0.25">
      <c r="E2480" t="str">
        <f>""</f>
        <v/>
      </c>
      <c r="F2480" t="str">
        <f>""</f>
        <v/>
      </c>
      <c r="H2480" t="str">
        <f t="shared" si="38"/>
        <v>BCBS PAYABLE</v>
      </c>
    </row>
    <row r="2481" spans="5:8" x14ac:dyDescent="0.25">
      <c r="E2481" t="str">
        <f>""</f>
        <v/>
      </c>
      <c r="F2481" t="str">
        <f>""</f>
        <v/>
      </c>
      <c r="H2481" t="str">
        <f t="shared" si="38"/>
        <v>BCBS PAYABLE</v>
      </c>
    </row>
    <row r="2482" spans="5:8" x14ac:dyDescent="0.25">
      <c r="E2482" t="str">
        <f>""</f>
        <v/>
      </c>
      <c r="F2482" t="str">
        <f>""</f>
        <v/>
      </c>
      <c r="H2482" t="str">
        <f t="shared" si="38"/>
        <v>BCBS PAYABLE</v>
      </c>
    </row>
    <row r="2483" spans="5:8" x14ac:dyDescent="0.25">
      <c r="E2483" t="str">
        <f>""</f>
        <v/>
      </c>
      <c r="F2483" t="str">
        <f>""</f>
        <v/>
      </c>
      <c r="H2483" t="str">
        <f t="shared" si="38"/>
        <v>BCBS PAYABLE</v>
      </c>
    </row>
    <row r="2484" spans="5:8" x14ac:dyDescent="0.25">
      <c r="E2484" t="str">
        <f>""</f>
        <v/>
      </c>
      <c r="F2484" t="str">
        <f>""</f>
        <v/>
      </c>
      <c r="H2484" t="str">
        <f t="shared" si="38"/>
        <v>BCBS PAYABLE</v>
      </c>
    </row>
    <row r="2485" spans="5:8" x14ac:dyDescent="0.25">
      <c r="E2485" t="str">
        <f>""</f>
        <v/>
      </c>
      <c r="F2485" t="str">
        <f>""</f>
        <v/>
      </c>
      <c r="H2485" t="str">
        <f t="shared" si="38"/>
        <v>BCBS PAYABLE</v>
      </c>
    </row>
    <row r="2486" spans="5:8" x14ac:dyDescent="0.25">
      <c r="E2486" t="str">
        <f>""</f>
        <v/>
      </c>
      <c r="F2486" t="str">
        <f>""</f>
        <v/>
      </c>
      <c r="H2486" t="str">
        <f t="shared" si="38"/>
        <v>BCBS PAYABLE</v>
      </c>
    </row>
    <row r="2487" spans="5:8" x14ac:dyDescent="0.25">
      <c r="E2487" t="str">
        <f>""</f>
        <v/>
      </c>
      <c r="F2487" t="str">
        <f>""</f>
        <v/>
      </c>
      <c r="H2487" t="str">
        <f t="shared" si="38"/>
        <v>BCBS PAYABLE</v>
      </c>
    </row>
    <row r="2488" spans="5:8" x14ac:dyDescent="0.25">
      <c r="E2488" t="str">
        <f>"2EO201809053425"</f>
        <v>2EO201809053425</v>
      </c>
      <c r="F2488" t="str">
        <f>"BCBS PAYABLE"</f>
        <v>BCBS PAYABLE</v>
      </c>
      <c r="G2488" s="2">
        <v>3265.3</v>
      </c>
      <c r="H2488" t="str">
        <f t="shared" si="38"/>
        <v>BCBS PAYABLE</v>
      </c>
    </row>
    <row r="2489" spans="5:8" x14ac:dyDescent="0.25">
      <c r="E2489" t="str">
        <f>"2EO201809193851"</f>
        <v>2EO201809193851</v>
      </c>
      <c r="F2489" t="str">
        <f>"BCBS PAYABLE"</f>
        <v>BCBS PAYABLE</v>
      </c>
      <c r="G2489" s="2">
        <v>91101.87</v>
      </c>
      <c r="H2489" t="str">
        <f t="shared" si="38"/>
        <v>BCBS PAYABLE</v>
      </c>
    </row>
    <row r="2490" spans="5:8" x14ac:dyDescent="0.25">
      <c r="E2490" t="str">
        <f>""</f>
        <v/>
      </c>
      <c r="F2490" t="str">
        <f>""</f>
        <v/>
      </c>
      <c r="H2490" t="str">
        <f t="shared" si="38"/>
        <v>BCBS PAYABLE</v>
      </c>
    </row>
    <row r="2491" spans="5:8" x14ac:dyDescent="0.25">
      <c r="E2491" t="str">
        <f>""</f>
        <v/>
      </c>
      <c r="F2491" t="str">
        <f>""</f>
        <v/>
      </c>
      <c r="H2491" t="str">
        <f t="shared" si="38"/>
        <v>BCBS PAYABLE</v>
      </c>
    </row>
    <row r="2492" spans="5:8" x14ac:dyDescent="0.25">
      <c r="E2492" t="str">
        <f>""</f>
        <v/>
      </c>
      <c r="F2492" t="str">
        <f>""</f>
        <v/>
      </c>
      <c r="H2492" t="str">
        <f t="shared" si="38"/>
        <v>BCBS PAYABLE</v>
      </c>
    </row>
    <row r="2493" spans="5:8" x14ac:dyDescent="0.25">
      <c r="E2493" t="str">
        <f>""</f>
        <v/>
      </c>
      <c r="F2493" t="str">
        <f>""</f>
        <v/>
      </c>
      <c r="H2493" t="str">
        <f t="shared" ref="H2493:H2556" si="39">"BCBS PAYABLE"</f>
        <v>BCBS PAYABLE</v>
      </c>
    </row>
    <row r="2494" spans="5:8" x14ac:dyDescent="0.25">
      <c r="E2494" t="str">
        <f>""</f>
        <v/>
      </c>
      <c r="F2494" t="str">
        <f>""</f>
        <v/>
      </c>
      <c r="H2494" t="str">
        <f t="shared" si="39"/>
        <v>BCBS PAYABLE</v>
      </c>
    </row>
    <row r="2495" spans="5:8" x14ac:dyDescent="0.25">
      <c r="E2495" t="str">
        <f>""</f>
        <v/>
      </c>
      <c r="F2495" t="str">
        <f>""</f>
        <v/>
      </c>
      <c r="H2495" t="str">
        <f t="shared" si="39"/>
        <v>BCBS PAYABLE</v>
      </c>
    </row>
    <row r="2496" spans="5:8" x14ac:dyDescent="0.25">
      <c r="E2496" t="str">
        <f>""</f>
        <v/>
      </c>
      <c r="F2496" t="str">
        <f>""</f>
        <v/>
      </c>
      <c r="H2496" t="str">
        <f t="shared" si="39"/>
        <v>BCBS PAYABLE</v>
      </c>
    </row>
    <row r="2497" spans="5:8" x14ac:dyDescent="0.25">
      <c r="E2497" t="str">
        <f>""</f>
        <v/>
      </c>
      <c r="F2497" t="str">
        <f>""</f>
        <v/>
      </c>
      <c r="H2497" t="str">
        <f t="shared" si="39"/>
        <v>BCBS PAYABLE</v>
      </c>
    </row>
    <row r="2498" spans="5:8" x14ac:dyDescent="0.25">
      <c r="E2498" t="str">
        <f>""</f>
        <v/>
      </c>
      <c r="F2498" t="str">
        <f>""</f>
        <v/>
      </c>
      <c r="H2498" t="str">
        <f t="shared" si="39"/>
        <v>BCBS PAYABLE</v>
      </c>
    </row>
    <row r="2499" spans="5:8" x14ac:dyDescent="0.25">
      <c r="E2499" t="str">
        <f>""</f>
        <v/>
      </c>
      <c r="F2499" t="str">
        <f>""</f>
        <v/>
      </c>
      <c r="H2499" t="str">
        <f t="shared" si="39"/>
        <v>BCBS PAYABLE</v>
      </c>
    </row>
    <row r="2500" spans="5:8" x14ac:dyDescent="0.25">
      <c r="E2500" t="str">
        <f>""</f>
        <v/>
      </c>
      <c r="F2500" t="str">
        <f>""</f>
        <v/>
      </c>
      <c r="H2500" t="str">
        <f t="shared" si="39"/>
        <v>BCBS PAYABLE</v>
      </c>
    </row>
    <row r="2501" spans="5:8" x14ac:dyDescent="0.25">
      <c r="E2501" t="str">
        <f>""</f>
        <v/>
      </c>
      <c r="F2501" t="str">
        <f>""</f>
        <v/>
      </c>
      <c r="H2501" t="str">
        <f t="shared" si="39"/>
        <v>BCBS PAYABLE</v>
      </c>
    </row>
    <row r="2502" spans="5:8" x14ac:dyDescent="0.25">
      <c r="E2502" t="str">
        <f>""</f>
        <v/>
      </c>
      <c r="F2502" t="str">
        <f>""</f>
        <v/>
      </c>
      <c r="H2502" t="str">
        <f t="shared" si="39"/>
        <v>BCBS PAYABLE</v>
      </c>
    </row>
    <row r="2503" spans="5:8" x14ac:dyDescent="0.25">
      <c r="E2503" t="str">
        <f>""</f>
        <v/>
      </c>
      <c r="F2503" t="str">
        <f>""</f>
        <v/>
      </c>
      <c r="H2503" t="str">
        <f t="shared" si="39"/>
        <v>BCBS PAYABLE</v>
      </c>
    </row>
    <row r="2504" spans="5:8" x14ac:dyDescent="0.25">
      <c r="E2504" t="str">
        <f>""</f>
        <v/>
      </c>
      <c r="F2504" t="str">
        <f>""</f>
        <v/>
      </c>
      <c r="H2504" t="str">
        <f t="shared" si="39"/>
        <v>BCBS PAYABLE</v>
      </c>
    </row>
    <row r="2505" spans="5:8" x14ac:dyDescent="0.25">
      <c r="E2505" t="str">
        <f>""</f>
        <v/>
      </c>
      <c r="F2505" t="str">
        <f>""</f>
        <v/>
      </c>
      <c r="H2505" t="str">
        <f t="shared" si="39"/>
        <v>BCBS PAYABLE</v>
      </c>
    </row>
    <row r="2506" spans="5:8" x14ac:dyDescent="0.25">
      <c r="E2506" t="str">
        <f>""</f>
        <v/>
      </c>
      <c r="F2506" t="str">
        <f>""</f>
        <v/>
      </c>
      <c r="H2506" t="str">
        <f t="shared" si="39"/>
        <v>BCBS PAYABLE</v>
      </c>
    </row>
    <row r="2507" spans="5:8" x14ac:dyDescent="0.25">
      <c r="E2507" t="str">
        <f>""</f>
        <v/>
      </c>
      <c r="F2507" t="str">
        <f>""</f>
        <v/>
      </c>
      <c r="H2507" t="str">
        <f t="shared" si="39"/>
        <v>BCBS PAYABLE</v>
      </c>
    </row>
    <row r="2508" spans="5:8" x14ac:dyDescent="0.25">
      <c r="E2508" t="str">
        <f>""</f>
        <v/>
      </c>
      <c r="F2508" t="str">
        <f>""</f>
        <v/>
      </c>
      <c r="H2508" t="str">
        <f t="shared" si="39"/>
        <v>BCBS PAYABLE</v>
      </c>
    </row>
    <row r="2509" spans="5:8" x14ac:dyDescent="0.25">
      <c r="E2509" t="str">
        <f>""</f>
        <v/>
      </c>
      <c r="F2509" t="str">
        <f>""</f>
        <v/>
      </c>
      <c r="H2509" t="str">
        <f t="shared" si="39"/>
        <v>BCBS PAYABLE</v>
      </c>
    </row>
    <row r="2510" spans="5:8" x14ac:dyDescent="0.25">
      <c r="E2510" t="str">
        <f>""</f>
        <v/>
      </c>
      <c r="F2510" t="str">
        <f>""</f>
        <v/>
      </c>
      <c r="H2510" t="str">
        <f t="shared" si="39"/>
        <v>BCBS PAYABLE</v>
      </c>
    </row>
    <row r="2511" spans="5:8" x14ac:dyDescent="0.25">
      <c r="E2511" t="str">
        <f>""</f>
        <v/>
      </c>
      <c r="F2511" t="str">
        <f>""</f>
        <v/>
      </c>
      <c r="H2511" t="str">
        <f t="shared" si="39"/>
        <v>BCBS PAYABLE</v>
      </c>
    </row>
    <row r="2512" spans="5:8" x14ac:dyDescent="0.25">
      <c r="E2512" t="str">
        <f>""</f>
        <v/>
      </c>
      <c r="F2512" t="str">
        <f>""</f>
        <v/>
      </c>
      <c r="H2512" t="str">
        <f t="shared" si="39"/>
        <v>BCBS PAYABLE</v>
      </c>
    </row>
    <row r="2513" spans="5:8" x14ac:dyDescent="0.25">
      <c r="E2513" t="str">
        <f>""</f>
        <v/>
      </c>
      <c r="F2513" t="str">
        <f>""</f>
        <v/>
      </c>
      <c r="H2513" t="str">
        <f t="shared" si="39"/>
        <v>BCBS PAYABLE</v>
      </c>
    </row>
    <row r="2514" spans="5:8" x14ac:dyDescent="0.25">
      <c r="E2514" t="str">
        <f>""</f>
        <v/>
      </c>
      <c r="F2514" t="str">
        <f>""</f>
        <v/>
      </c>
      <c r="H2514" t="str">
        <f t="shared" si="39"/>
        <v>BCBS PAYABLE</v>
      </c>
    </row>
    <row r="2515" spans="5:8" x14ac:dyDescent="0.25">
      <c r="E2515" t="str">
        <f>""</f>
        <v/>
      </c>
      <c r="F2515" t="str">
        <f>""</f>
        <v/>
      </c>
      <c r="H2515" t="str">
        <f t="shared" si="39"/>
        <v>BCBS PAYABLE</v>
      </c>
    </row>
    <row r="2516" spans="5:8" x14ac:dyDescent="0.25">
      <c r="E2516" t="str">
        <f>""</f>
        <v/>
      </c>
      <c r="F2516" t="str">
        <f>""</f>
        <v/>
      </c>
      <c r="H2516" t="str">
        <f t="shared" si="39"/>
        <v>BCBS PAYABLE</v>
      </c>
    </row>
    <row r="2517" spans="5:8" x14ac:dyDescent="0.25">
      <c r="E2517" t="str">
        <f>""</f>
        <v/>
      </c>
      <c r="F2517" t="str">
        <f>""</f>
        <v/>
      </c>
      <c r="H2517" t="str">
        <f t="shared" si="39"/>
        <v>BCBS PAYABLE</v>
      </c>
    </row>
    <row r="2518" spans="5:8" x14ac:dyDescent="0.25">
      <c r="E2518" t="str">
        <f>""</f>
        <v/>
      </c>
      <c r="F2518" t="str">
        <f>""</f>
        <v/>
      </c>
      <c r="H2518" t="str">
        <f t="shared" si="39"/>
        <v>BCBS PAYABLE</v>
      </c>
    </row>
    <row r="2519" spans="5:8" x14ac:dyDescent="0.25">
      <c r="E2519" t="str">
        <f>""</f>
        <v/>
      </c>
      <c r="F2519" t="str">
        <f>""</f>
        <v/>
      </c>
      <c r="H2519" t="str">
        <f t="shared" si="39"/>
        <v>BCBS PAYABLE</v>
      </c>
    </row>
    <row r="2520" spans="5:8" x14ac:dyDescent="0.25">
      <c r="E2520" t="str">
        <f>""</f>
        <v/>
      </c>
      <c r="F2520" t="str">
        <f>""</f>
        <v/>
      </c>
      <c r="H2520" t="str">
        <f t="shared" si="39"/>
        <v>BCBS PAYABLE</v>
      </c>
    </row>
    <row r="2521" spans="5:8" x14ac:dyDescent="0.25">
      <c r="E2521" t="str">
        <f>""</f>
        <v/>
      </c>
      <c r="F2521" t="str">
        <f>""</f>
        <v/>
      </c>
      <c r="H2521" t="str">
        <f t="shared" si="39"/>
        <v>BCBS PAYABLE</v>
      </c>
    </row>
    <row r="2522" spans="5:8" x14ac:dyDescent="0.25">
      <c r="E2522" t="str">
        <f>""</f>
        <v/>
      </c>
      <c r="F2522" t="str">
        <f>""</f>
        <v/>
      </c>
      <c r="H2522" t="str">
        <f t="shared" si="39"/>
        <v>BCBS PAYABLE</v>
      </c>
    </row>
    <row r="2523" spans="5:8" x14ac:dyDescent="0.25">
      <c r="E2523" t="str">
        <f>""</f>
        <v/>
      </c>
      <c r="F2523" t="str">
        <f>""</f>
        <v/>
      </c>
      <c r="H2523" t="str">
        <f t="shared" si="39"/>
        <v>BCBS PAYABLE</v>
      </c>
    </row>
    <row r="2524" spans="5:8" x14ac:dyDescent="0.25">
      <c r="E2524" t="str">
        <f>""</f>
        <v/>
      </c>
      <c r="F2524" t="str">
        <f>""</f>
        <v/>
      </c>
      <c r="H2524" t="str">
        <f t="shared" si="39"/>
        <v>BCBS PAYABLE</v>
      </c>
    </row>
    <row r="2525" spans="5:8" x14ac:dyDescent="0.25">
      <c r="E2525" t="str">
        <f>""</f>
        <v/>
      </c>
      <c r="F2525" t="str">
        <f>""</f>
        <v/>
      </c>
      <c r="H2525" t="str">
        <f t="shared" si="39"/>
        <v>BCBS PAYABLE</v>
      </c>
    </row>
    <row r="2526" spans="5:8" x14ac:dyDescent="0.25">
      <c r="E2526" t="str">
        <f>""</f>
        <v/>
      </c>
      <c r="F2526" t="str">
        <f>""</f>
        <v/>
      </c>
      <c r="H2526" t="str">
        <f t="shared" si="39"/>
        <v>BCBS PAYABLE</v>
      </c>
    </row>
    <row r="2527" spans="5:8" x14ac:dyDescent="0.25">
      <c r="E2527" t="str">
        <f>""</f>
        <v/>
      </c>
      <c r="F2527" t="str">
        <f>""</f>
        <v/>
      </c>
      <c r="H2527" t="str">
        <f t="shared" si="39"/>
        <v>BCBS PAYABLE</v>
      </c>
    </row>
    <row r="2528" spans="5:8" x14ac:dyDescent="0.25">
      <c r="E2528" t="str">
        <f>""</f>
        <v/>
      </c>
      <c r="F2528" t="str">
        <f>""</f>
        <v/>
      </c>
      <c r="H2528" t="str">
        <f t="shared" si="39"/>
        <v>BCBS PAYABLE</v>
      </c>
    </row>
    <row r="2529" spans="5:8" x14ac:dyDescent="0.25">
      <c r="E2529" t="str">
        <f>""</f>
        <v/>
      </c>
      <c r="F2529" t="str">
        <f>""</f>
        <v/>
      </c>
      <c r="H2529" t="str">
        <f t="shared" si="39"/>
        <v>BCBS PAYABLE</v>
      </c>
    </row>
    <row r="2530" spans="5:8" x14ac:dyDescent="0.25">
      <c r="E2530" t="str">
        <f>""</f>
        <v/>
      </c>
      <c r="F2530" t="str">
        <f>""</f>
        <v/>
      </c>
      <c r="H2530" t="str">
        <f t="shared" si="39"/>
        <v>BCBS PAYABLE</v>
      </c>
    </row>
    <row r="2531" spans="5:8" x14ac:dyDescent="0.25">
      <c r="E2531" t="str">
        <f>""</f>
        <v/>
      </c>
      <c r="F2531" t="str">
        <f>""</f>
        <v/>
      </c>
      <c r="H2531" t="str">
        <f t="shared" si="39"/>
        <v>BCBS PAYABLE</v>
      </c>
    </row>
    <row r="2532" spans="5:8" x14ac:dyDescent="0.25">
      <c r="E2532" t="str">
        <f>""</f>
        <v/>
      </c>
      <c r="F2532" t="str">
        <f>""</f>
        <v/>
      </c>
      <c r="H2532" t="str">
        <f t="shared" si="39"/>
        <v>BCBS PAYABLE</v>
      </c>
    </row>
    <row r="2533" spans="5:8" x14ac:dyDescent="0.25">
      <c r="E2533" t="str">
        <f>""</f>
        <v/>
      </c>
      <c r="F2533" t="str">
        <f>""</f>
        <v/>
      </c>
      <c r="H2533" t="str">
        <f t="shared" si="39"/>
        <v>BCBS PAYABLE</v>
      </c>
    </row>
    <row r="2534" spans="5:8" x14ac:dyDescent="0.25">
      <c r="E2534" t="str">
        <f>"2EO201809193863"</f>
        <v>2EO201809193863</v>
      </c>
      <c r="F2534" t="str">
        <f>"BCBS PAYABLE"</f>
        <v>BCBS PAYABLE</v>
      </c>
      <c r="G2534" s="2">
        <v>3265.3</v>
      </c>
      <c r="H2534" t="str">
        <f t="shared" si="39"/>
        <v>BCBS PAYABLE</v>
      </c>
    </row>
    <row r="2535" spans="5:8" x14ac:dyDescent="0.25">
      <c r="E2535" t="str">
        <f>"2ES201809053424"</f>
        <v>2ES201809053424</v>
      </c>
      <c r="F2535" t="str">
        <f>"BCBS PAYABLE"</f>
        <v>BCBS PAYABLE</v>
      </c>
      <c r="G2535" s="2">
        <v>16102.02</v>
      </c>
      <c r="H2535" t="str">
        <f t="shared" si="39"/>
        <v>BCBS PAYABLE</v>
      </c>
    </row>
    <row r="2536" spans="5:8" x14ac:dyDescent="0.25">
      <c r="E2536" t="str">
        <f>""</f>
        <v/>
      </c>
      <c r="F2536" t="str">
        <f>""</f>
        <v/>
      </c>
      <c r="H2536" t="str">
        <f t="shared" si="39"/>
        <v>BCBS PAYABLE</v>
      </c>
    </row>
    <row r="2537" spans="5:8" x14ac:dyDescent="0.25">
      <c r="E2537" t="str">
        <f>""</f>
        <v/>
      </c>
      <c r="F2537" t="str">
        <f>""</f>
        <v/>
      </c>
      <c r="H2537" t="str">
        <f t="shared" si="39"/>
        <v>BCBS PAYABLE</v>
      </c>
    </row>
    <row r="2538" spans="5:8" x14ac:dyDescent="0.25">
      <c r="E2538" t="str">
        <f>""</f>
        <v/>
      </c>
      <c r="F2538" t="str">
        <f>""</f>
        <v/>
      </c>
      <c r="H2538" t="str">
        <f t="shared" si="39"/>
        <v>BCBS PAYABLE</v>
      </c>
    </row>
    <row r="2539" spans="5:8" x14ac:dyDescent="0.25">
      <c r="E2539" t="str">
        <f>""</f>
        <v/>
      </c>
      <c r="F2539" t="str">
        <f>""</f>
        <v/>
      </c>
      <c r="H2539" t="str">
        <f t="shared" si="39"/>
        <v>BCBS PAYABLE</v>
      </c>
    </row>
    <row r="2540" spans="5:8" x14ac:dyDescent="0.25">
      <c r="E2540" t="str">
        <f>""</f>
        <v/>
      </c>
      <c r="F2540" t="str">
        <f>""</f>
        <v/>
      </c>
      <c r="H2540" t="str">
        <f t="shared" si="39"/>
        <v>BCBS PAYABLE</v>
      </c>
    </row>
    <row r="2541" spans="5:8" x14ac:dyDescent="0.25">
      <c r="E2541" t="str">
        <f>""</f>
        <v/>
      </c>
      <c r="F2541" t="str">
        <f>""</f>
        <v/>
      </c>
      <c r="H2541" t="str">
        <f t="shared" si="39"/>
        <v>BCBS PAYABLE</v>
      </c>
    </row>
    <row r="2542" spans="5:8" x14ac:dyDescent="0.25">
      <c r="E2542" t="str">
        <f>""</f>
        <v/>
      </c>
      <c r="F2542" t="str">
        <f>""</f>
        <v/>
      </c>
      <c r="H2542" t="str">
        <f t="shared" si="39"/>
        <v>BCBS PAYABLE</v>
      </c>
    </row>
    <row r="2543" spans="5:8" x14ac:dyDescent="0.25">
      <c r="E2543" t="str">
        <f>""</f>
        <v/>
      </c>
      <c r="F2543" t="str">
        <f>""</f>
        <v/>
      </c>
      <c r="H2543" t="str">
        <f t="shared" si="39"/>
        <v>BCBS PAYABLE</v>
      </c>
    </row>
    <row r="2544" spans="5:8" x14ac:dyDescent="0.25">
      <c r="E2544" t="str">
        <f>""</f>
        <v/>
      </c>
      <c r="F2544" t="str">
        <f>""</f>
        <v/>
      </c>
      <c r="H2544" t="str">
        <f t="shared" si="39"/>
        <v>BCBS PAYABLE</v>
      </c>
    </row>
    <row r="2545" spans="5:8" x14ac:dyDescent="0.25">
      <c r="E2545" t="str">
        <f>""</f>
        <v/>
      </c>
      <c r="F2545" t="str">
        <f>""</f>
        <v/>
      </c>
      <c r="H2545" t="str">
        <f t="shared" si="39"/>
        <v>BCBS PAYABLE</v>
      </c>
    </row>
    <row r="2546" spans="5:8" x14ac:dyDescent="0.25">
      <c r="E2546" t="str">
        <f>""</f>
        <v/>
      </c>
      <c r="F2546" t="str">
        <f>""</f>
        <v/>
      </c>
      <c r="H2546" t="str">
        <f t="shared" si="39"/>
        <v>BCBS PAYABLE</v>
      </c>
    </row>
    <row r="2547" spans="5:8" x14ac:dyDescent="0.25">
      <c r="E2547" t="str">
        <f>""</f>
        <v/>
      </c>
      <c r="F2547" t="str">
        <f>""</f>
        <v/>
      </c>
      <c r="H2547" t="str">
        <f t="shared" si="39"/>
        <v>BCBS PAYABLE</v>
      </c>
    </row>
    <row r="2548" spans="5:8" x14ac:dyDescent="0.25">
      <c r="E2548" t="str">
        <f>""</f>
        <v/>
      </c>
      <c r="F2548" t="str">
        <f>""</f>
        <v/>
      </c>
      <c r="H2548" t="str">
        <f t="shared" si="39"/>
        <v>BCBS PAYABLE</v>
      </c>
    </row>
    <row r="2549" spans="5:8" x14ac:dyDescent="0.25">
      <c r="E2549" t="str">
        <f>""</f>
        <v/>
      </c>
      <c r="F2549" t="str">
        <f>""</f>
        <v/>
      </c>
      <c r="H2549" t="str">
        <f t="shared" si="39"/>
        <v>BCBS PAYABLE</v>
      </c>
    </row>
    <row r="2550" spans="5:8" x14ac:dyDescent="0.25">
      <c r="E2550" t="str">
        <f>""</f>
        <v/>
      </c>
      <c r="F2550" t="str">
        <f>""</f>
        <v/>
      </c>
      <c r="H2550" t="str">
        <f t="shared" si="39"/>
        <v>BCBS PAYABLE</v>
      </c>
    </row>
    <row r="2551" spans="5:8" x14ac:dyDescent="0.25">
      <c r="E2551" t="str">
        <f>""</f>
        <v/>
      </c>
      <c r="F2551" t="str">
        <f>""</f>
        <v/>
      </c>
      <c r="H2551" t="str">
        <f t="shared" si="39"/>
        <v>BCBS PAYABLE</v>
      </c>
    </row>
    <row r="2552" spans="5:8" x14ac:dyDescent="0.25">
      <c r="E2552" t="str">
        <f>""</f>
        <v/>
      </c>
      <c r="F2552" t="str">
        <f>""</f>
        <v/>
      </c>
      <c r="H2552" t="str">
        <f t="shared" si="39"/>
        <v>BCBS PAYABLE</v>
      </c>
    </row>
    <row r="2553" spans="5:8" x14ac:dyDescent="0.25">
      <c r="E2553" t="str">
        <f>""</f>
        <v/>
      </c>
      <c r="F2553" t="str">
        <f>""</f>
        <v/>
      </c>
      <c r="H2553" t="str">
        <f t="shared" si="39"/>
        <v>BCBS PAYABLE</v>
      </c>
    </row>
    <row r="2554" spans="5:8" x14ac:dyDescent="0.25">
      <c r="E2554" t="str">
        <f>"2ES201809193851"</f>
        <v>2ES201809193851</v>
      </c>
      <c r="F2554" t="str">
        <f>"BCBS PAYABLE"</f>
        <v>BCBS PAYABLE</v>
      </c>
      <c r="G2554" s="2">
        <v>16102.02</v>
      </c>
      <c r="H2554" t="str">
        <f t="shared" si="39"/>
        <v>BCBS PAYABLE</v>
      </c>
    </row>
    <row r="2555" spans="5:8" x14ac:dyDescent="0.25">
      <c r="E2555" t="str">
        <f>""</f>
        <v/>
      </c>
      <c r="F2555" t="str">
        <f>""</f>
        <v/>
      </c>
      <c r="H2555" t="str">
        <f t="shared" si="39"/>
        <v>BCBS PAYABLE</v>
      </c>
    </row>
    <row r="2556" spans="5:8" x14ac:dyDescent="0.25">
      <c r="E2556" t="str">
        <f>""</f>
        <v/>
      </c>
      <c r="F2556" t="str">
        <f>""</f>
        <v/>
      </c>
      <c r="H2556" t="str">
        <f t="shared" si="39"/>
        <v>BCBS PAYABLE</v>
      </c>
    </row>
    <row r="2557" spans="5:8" x14ac:dyDescent="0.25">
      <c r="E2557" t="str">
        <f>""</f>
        <v/>
      </c>
      <c r="F2557" t="str">
        <f>""</f>
        <v/>
      </c>
      <c r="H2557" t="str">
        <f t="shared" ref="H2557:H2572" si="40">"BCBS PAYABLE"</f>
        <v>BCBS PAYABLE</v>
      </c>
    </row>
    <row r="2558" spans="5:8" x14ac:dyDescent="0.25">
      <c r="E2558" t="str">
        <f>""</f>
        <v/>
      </c>
      <c r="F2558" t="str">
        <f>""</f>
        <v/>
      </c>
      <c r="H2558" t="str">
        <f t="shared" si="40"/>
        <v>BCBS PAYABLE</v>
      </c>
    </row>
    <row r="2559" spans="5:8" x14ac:dyDescent="0.25">
      <c r="E2559" t="str">
        <f>""</f>
        <v/>
      </c>
      <c r="F2559" t="str">
        <f>""</f>
        <v/>
      </c>
      <c r="H2559" t="str">
        <f t="shared" si="40"/>
        <v>BCBS PAYABLE</v>
      </c>
    </row>
    <row r="2560" spans="5:8" x14ac:dyDescent="0.25">
      <c r="E2560" t="str">
        <f>""</f>
        <v/>
      </c>
      <c r="F2560" t="str">
        <f>""</f>
        <v/>
      </c>
      <c r="H2560" t="str">
        <f t="shared" si="40"/>
        <v>BCBS PAYABLE</v>
      </c>
    </row>
    <row r="2561" spans="1:8" x14ac:dyDescent="0.25">
      <c r="E2561" t="str">
        <f>""</f>
        <v/>
      </c>
      <c r="F2561" t="str">
        <f>""</f>
        <v/>
      </c>
      <c r="H2561" t="str">
        <f t="shared" si="40"/>
        <v>BCBS PAYABLE</v>
      </c>
    </row>
    <row r="2562" spans="1:8" x14ac:dyDescent="0.25">
      <c r="E2562" t="str">
        <f>""</f>
        <v/>
      </c>
      <c r="F2562" t="str">
        <f>""</f>
        <v/>
      </c>
      <c r="H2562" t="str">
        <f t="shared" si="40"/>
        <v>BCBS PAYABLE</v>
      </c>
    </row>
    <row r="2563" spans="1:8" x14ac:dyDescent="0.25">
      <c r="E2563" t="str">
        <f>""</f>
        <v/>
      </c>
      <c r="F2563" t="str">
        <f>""</f>
        <v/>
      </c>
      <c r="H2563" t="str">
        <f t="shared" si="40"/>
        <v>BCBS PAYABLE</v>
      </c>
    </row>
    <row r="2564" spans="1:8" x14ac:dyDescent="0.25">
      <c r="E2564" t="str">
        <f>""</f>
        <v/>
      </c>
      <c r="F2564" t="str">
        <f>""</f>
        <v/>
      </c>
      <c r="H2564" t="str">
        <f t="shared" si="40"/>
        <v>BCBS PAYABLE</v>
      </c>
    </row>
    <row r="2565" spans="1:8" x14ac:dyDescent="0.25">
      <c r="E2565" t="str">
        <f>""</f>
        <v/>
      </c>
      <c r="F2565" t="str">
        <f>""</f>
        <v/>
      </c>
      <c r="H2565" t="str">
        <f t="shared" si="40"/>
        <v>BCBS PAYABLE</v>
      </c>
    </row>
    <row r="2566" spans="1:8" x14ac:dyDescent="0.25">
      <c r="E2566" t="str">
        <f>""</f>
        <v/>
      </c>
      <c r="F2566" t="str">
        <f>""</f>
        <v/>
      </c>
      <c r="H2566" t="str">
        <f t="shared" si="40"/>
        <v>BCBS PAYABLE</v>
      </c>
    </row>
    <row r="2567" spans="1:8" x14ac:dyDescent="0.25">
      <c r="E2567" t="str">
        <f>""</f>
        <v/>
      </c>
      <c r="F2567" t="str">
        <f>""</f>
        <v/>
      </c>
      <c r="H2567" t="str">
        <f t="shared" si="40"/>
        <v>BCBS PAYABLE</v>
      </c>
    </row>
    <row r="2568" spans="1:8" x14ac:dyDescent="0.25">
      <c r="E2568" t="str">
        <f>""</f>
        <v/>
      </c>
      <c r="F2568" t="str">
        <f>""</f>
        <v/>
      </c>
      <c r="H2568" t="str">
        <f t="shared" si="40"/>
        <v>BCBS PAYABLE</v>
      </c>
    </row>
    <row r="2569" spans="1:8" x14ac:dyDescent="0.25">
      <c r="E2569" t="str">
        <f>""</f>
        <v/>
      </c>
      <c r="F2569" t="str">
        <f>""</f>
        <v/>
      </c>
      <c r="H2569" t="str">
        <f t="shared" si="40"/>
        <v>BCBS PAYABLE</v>
      </c>
    </row>
    <row r="2570" spans="1:8" x14ac:dyDescent="0.25">
      <c r="E2570" t="str">
        <f>""</f>
        <v/>
      </c>
      <c r="F2570" t="str">
        <f>""</f>
        <v/>
      </c>
      <c r="H2570" t="str">
        <f t="shared" si="40"/>
        <v>BCBS PAYABLE</v>
      </c>
    </row>
    <row r="2571" spans="1:8" x14ac:dyDescent="0.25">
      <c r="E2571" t="str">
        <f>""</f>
        <v/>
      </c>
      <c r="F2571" t="str">
        <f>""</f>
        <v/>
      </c>
      <c r="H2571" t="str">
        <f t="shared" si="40"/>
        <v>BCBS PAYABLE</v>
      </c>
    </row>
    <row r="2572" spans="1:8" x14ac:dyDescent="0.25">
      <c r="E2572" t="str">
        <f>""</f>
        <v/>
      </c>
      <c r="F2572" t="str">
        <f>""</f>
        <v/>
      </c>
      <c r="H2572" t="str">
        <f t="shared" si="40"/>
        <v>BCBS PAYABLE</v>
      </c>
    </row>
    <row r="2573" spans="1:8" x14ac:dyDescent="0.25">
      <c r="A2573" t="s">
        <v>545</v>
      </c>
      <c r="B2573">
        <v>0</v>
      </c>
      <c r="C2573" s="3">
        <v>3852.94</v>
      </c>
      <c r="D2573" s="1">
        <v>43350</v>
      </c>
      <c r="E2573" t="str">
        <f>"C18201809053425"</f>
        <v>C18201809053425</v>
      </c>
      <c r="F2573" t="str">
        <f>"CAUSE# 0011635329"</f>
        <v>CAUSE# 0011635329</v>
      </c>
      <c r="G2573" s="2">
        <v>603.23</v>
      </c>
      <c r="H2573" t="str">
        <f>"CAUSE# 0011635329"</f>
        <v>CAUSE# 0011635329</v>
      </c>
    </row>
    <row r="2574" spans="1:8" x14ac:dyDescent="0.25">
      <c r="E2574" t="str">
        <f>"C2 201809053425"</f>
        <v>C2 201809053425</v>
      </c>
      <c r="F2574" t="str">
        <f>"0012982132CCL7445"</f>
        <v>0012982132CCL7445</v>
      </c>
      <c r="G2574" s="2">
        <v>692.31</v>
      </c>
      <c r="H2574" t="str">
        <f>"0012982132CCL7445"</f>
        <v>0012982132CCL7445</v>
      </c>
    </row>
    <row r="2575" spans="1:8" x14ac:dyDescent="0.25">
      <c r="E2575" t="str">
        <f>"C20201809053424"</f>
        <v>C20201809053424</v>
      </c>
      <c r="F2575" t="str">
        <f>"001003981107-12252"</f>
        <v>001003981107-12252</v>
      </c>
      <c r="G2575" s="2">
        <v>115.39</v>
      </c>
      <c r="H2575" t="str">
        <f>"001003981107-12252"</f>
        <v>001003981107-12252</v>
      </c>
    </row>
    <row r="2576" spans="1:8" x14ac:dyDescent="0.25">
      <c r="E2576" t="str">
        <f>"C42201809053424"</f>
        <v>C42201809053424</v>
      </c>
      <c r="F2576" t="str">
        <f>"001236769211-14410"</f>
        <v>001236769211-14410</v>
      </c>
      <c r="G2576" s="2">
        <v>230.31</v>
      </c>
      <c r="H2576" t="str">
        <f>"001236769211-14410"</f>
        <v>001236769211-14410</v>
      </c>
    </row>
    <row r="2577" spans="1:8" x14ac:dyDescent="0.25">
      <c r="E2577" t="str">
        <f>"C46201809053424"</f>
        <v>C46201809053424</v>
      </c>
      <c r="F2577" t="str">
        <f>"CAUSE# 11-14911"</f>
        <v>CAUSE# 11-14911</v>
      </c>
      <c r="G2577" s="2">
        <v>238.62</v>
      </c>
      <c r="H2577" t="str">
        <f>"CAUSE# 11-14911"</f>
        <v>CAUSE# 11-14911</v>
      </c>
    </row>
    <row r="2578" spans="1:8" x14ac:dyDescent="0.25">
      <c r="E2578" t="str">
        <f>"C53201809053424"</f>
        <v>C53201809053424</v>
      </c>
      <c r="F2578" t="str">
        <f>"0012453366"</f>
        <v>0012453366</v>
      </c>
      <c r="G2578" s="2">
        <v>138.46</v>
      </c>
      <c r="H2578" t="str">
        <f>"0012453366"</f>
        <v>0012453366</v>
      </c>
    </row>
    <row r="2579" spans="1:8" x14ac:dyDescent="0.25">
      <c r="E2579" t="str">
        <f>"C60201809053424"</f>
        <v>C60201809053424</v>
      </c>
      <c r="F2579" t="str">
        <f>"00130730762012V300"</f>
        <v>00130730762012V300</v>
      </c>
      <c r="G2579" s="2">
        <v>399.32</v>
      </c>
      <c r="H2579" t="str">
        <f>"00130730762012V300"</f>
        <v>00130730762012V300</v>
      </c>
    </row>
    <row r="2580" spans="1:8" x14ac:dyDescent="0.25">
      <c r="E2580" t="str">
        <f>"C62201809053424"</f>
        <v>C62201809053424</v>
      </c>
      <c r="F2580" t="str">
        <f>"# 0012128865"</f>
        <v># 0012128865</v>
      </c>
      <c r="G2580" s="2">
        <v>243.23</v>
      </c>
      <c r="H2580" t="str">
        <f>"# 0012128865"</f>
        <v># 0012128865</v>
      </c>
    </row>
    <row r="2581" spans="1:8" x14ac:dyDescent="0.25">
      <c r="E2581" t="str">
        <f>"C66201809053424"</f>
        <v>C66201809053424</v>
      </c>
      <c r="F2581" t="str">
        <f>"# 0012871801"</f>
        <v># 0012871801</v>
      </c>
      <c r="G2581" s="2">
        <v>90</v>
      </c>
      <c r="H2581" t="str">
        <f>"# 0012871801"</f>
        <v># 0012871801</v>
      </c>
    </row>
    <row r="2582" spans="1:8" x14ac:dyDescent="0.25">
      <c r="E2582" t="str">
        <f>"C66201809053426"</f>
        <v>C66201809053426</v>
      </c>
      <c r="F2582" t="str">
        <f>"CAUSE#D1FM13007058"</f>
        <v>CAUSE#D1FM13007058</v>
      </c>
      <c r="G2582" s="2">
        <v>138.46</v>
      </c>
      <c r="H2582" t="str">
        <f>"CAUSE#D1FM13007058"</f>
        <v>CAUSE#D1FM13007058</v>
      </c>
    </row>
    <row r="2583" spans="1:8" x14ac:dyDescent="0.25">
      <c r="E2583" t="str">
        <f>"C69201809053424"</f>
        <v>C69201809053424</v>
      </c>
      <c r="F2583" t="str">
        <f>"0012046911423672"</f>
        <v>0012046911423672</v>
      </c>
      <c r="G2583" s="2">
        <v>187.38</v>
      </c>
      <c r="H2583" t="str">
        <f>"0012046911423672"</f>
        <v>0012046911423672</v>
      </c>
    </row>
    <row r="2584" spans="1:8" x14ac:dyDescent="0.25">
      <c r="E2584" t="str">
        <f>"C70201809053424"</f>
        <v>C70201809053424</v>
      </c>
      <c r="F2584" t="str">
        <f>"00136881334235026"</f>
        <v>00136881334235026</v>
      </c>
      <c r="G2584" s="2">
        <v>257.45999999999998</v>
      </c>
      <c r="H2584" t="str">
        <f>"00136881334235026"</f>
        <v>00136881334235026</v>
      </c>
    </row>
    <row r="2585" spans="1:8" x14ac:dyDescent="0.25">
      <c r="E2585" t="str">
        <f>"C71201809053424"</f>
        <v>C71201809053424</v>
      </c>
      <c r="F2585" t="str">
        <f>"00137390532018V215"</f>
        <v>00137390532018V215</v>
      </c>
      <c r="G2585" s="2">
        <v>276.92</v>
      </c>
      <c r="H2585" t="str">
        <f>"00137390532018V215"</f>
        <v>00137390532018V215</v>
      </c>
    </row>
    <row r="2586" spans="1:8" x14ac:dyDescent="0.25">
      <c r="E2586" t="str">
        <f>"C72201809053424"</f>
        <v>C72201809053424</v>
      </c>
      <c r="F2586" t="str">
        <f>"0012797601C20130529B"</f>
        <v>0012797601C20130529B</v>
      </c>
      <c r="G2586" s="2">
        <v>241.85</v>
      </c>
      <c r="H2586" t="str">
        <f>"0012797601C20130529B"</f>
        <v>0012797601C20130529B</v>
      </c>
    </row>
    <row r="2587" spans="1:8" x14ac:dyDescent="0.25">
      <c r="A2587" t="s">
        <v>545</v>
      </c>
      <c r="B2587">
        <v>0</v>
      </c>
      <c r="C2587" s="3">
        <v>3852.94</v>
      </c>
      <c r="D2587" s="1">
        <v>43364</v>
      </c>
      <c r="E2587" t="str">
        <f>"C18201809193863"</f>
        <v>C18201809193863</v>
      </c>
      <c r="F2587" t="str">
        <f>"CAUSE# 0011635329"</f>
        <v>CAUSE# 0011635329</v>
      </c>
      <c r="G2587" s="2">
        <v>603.23</v>
      </c>
      <c r="H2587" t="str">
        <f>"CAUSE# 0011635329"</f>
        <v>CAUSE# 0011635329</v>
      </c>
    </row>
    <row r="2588" spans="1:8" x14ac:dyDescent="0.25">
      <c r="E2588" t="str">
        <f>"C2 201809193863"</f>
        <v>C2 201809193863</v>
      </c>
      <c r="F2588" t="str">
        <f>"0012982132CCL7445"</f>
        <v>0012982132CCL7445</v>
      </c>
      <c r="G2588" s="2">
        <v>692.31</v>
      </c>
      <c r="H2588" t="str">
        <f>"0012982132CCL7445"</f>
        <v>0012982132CCL7445</v>
      </c>
    </row>
    <row r="2589" spans="1:8" x14ac:dyDescent="0.25">
      <c r="E2589" t="str">
        <f>"C20201809193851"</f>
        <v>C20201809193851</v>
      </c>
      <c r="F2589" t="str">
        <f>"001003981107-12252"</f>
        <v>001003981107-12252</v>
      </c>
      <c r="G2589" s="2">
        <v>115.39</v>
      </c>
      <c r="H2589" t="str">
        <f>"001003981107-12252"</f>
        <v>001003981107-12252</v>
      </c>
    </row>
    <row r="2590" spans="1:8" x14ac:dyDescent="0.25">
      <c r="E2590" t="str">
        <f>"C42201809193851"</f>
        <v>C42201809193851</v>
      </c>
      <c r="F2590" t="str">
        <f>"001236769211-14410"</f>
        <v>001236769211-14410</v>
      </c>
      <c r="G2590" s="2">
        <v>230.31</v>
      </c>
      <c r="H2590" t="str">
        <f>"001236769211-14410"</f>
        <v>001236769211-14410</v>
      </c>
    </row>
    <row r="2591" spans="1:8" x14ac:dyDescent="0.25">
      <c r="E2591" t="str">
        <f>"C46201809193851"</f>
        <v>C46201809193851</v>
      </c>
      <c r="F2591" t="str">
        <f>"CAUSE# 11-14911"</f>
        <v>CAUSE# 11-14911</v>
      </c>
      <c r="G2591" s="2">
        <v>238.62</v>
      </c>
      <c r="H2591" t="str">
        <f>"CAUSE# 11-14911"</f>
        <v>CAUSE# 11-14911</v>
      </c>
    </row>
    <row r="2592" spans="1:8" x14ac:dyDescent="0.25">
      <c r="E2592" t="str">
        <f>"C53201809193851"</f>
        <v>C53201809193851</v>
      </c>
      <c r="F2592" t="str">
        <f>"0012453366"</f>
        <v>0012453366</v>
      </c>
      <c r="G2592" s="2">
        <v>138.46</v>
      </c>
      <c r="H2592" t="str">
        <f>"0012453366"</f>
        <v>0012453366</v>
      </c>
    </row>
    <row r="2593" spans="1:8" x14ac:dyDescent="0.25">
      <c r="E2593" t="str">
        <f>"C60201809193851"</f>
        <v>C60201809193851</v>
      </c>
      <c r="F2593" t="str">
        <f>"00130730762012V300"</f>
        <v>00130730762012V300</v>
      </c>
      <c r="G2593" s="2">
        <v>399.32</v>
      </c>
      <c r="H2593" t="str">
        <f>"00130730762012V300"</f>
        <v>00130730762012V300</v>
      </c>
    </row>
    <row r="2594" spans="1:8" x14ac:dyDescent="0.25">
      <c r="E2594" t="str">
        <f>"C62201809193851"</f>
        <v>C62201809193851</v>
      </c>
      <c r="F2594" t="str">
        <f>"# 0012128865"</f>
        <v># 0012128865</v>
      </c>
      <c r="G2594" s="2">
        <v>243.23</v>
      </c>
      <c r="H2594" t="str">
        <f>"# 0012128865"</f>
        <v># 0012128865</v>
      </c>
    </row>
    <row r="2595" spans="1:8" x14ac:dyDescent="0.25">
      <c r="E2595" t="str">
        <f>"C66201809193851"</f>
        <v>C66201809193851</v>
      </c>
      <c r="F2595" t="str">
        <f>"# 0012871801"</f>
        <v># 0012871801</v>
      </c>
      <c r="G2595" s="2">
        <v>90</v>
      </c>
      <c r="H2595" t="str">
        <f>"# 0012871801"</f>
        <v># 0012871801</v>
      </c>
    </row>
    <row r="2596" spans="1:8" x14ac:dyDescent="0.25">
      <c r="E2596" t="str">
        <f>"C66201809193864"</f>
        <v>C66201809193864</v>
      </c>
      <c r="F2596" t="str">
        <f>"CAUSE#D1FM13007058"</f>
        <v>CAUSE#D1FM13007058</v>
      </c>
      <c r="G2596" s="2">
        <v>138.46</v>
      </c>
      <c r="H2596" t="str">
        <f>"CAUSE#D1FM13007058"</f>
        <v>CAUSE#D1FM13007058</v>
      </c>
    </row>
    <row r="2597" spans="1:8" x14ac:dyDescent="0.25">
      <c r="E2597" t="str">
        <f>"C69201809193851"</f>
        <v>C69201809193851</v>
      </c>
      <c r="F2597" t="str">
        <f>"0012046911423672"</f>
        <v>0012046911423672</v>
      </c>
      <c r="G2597" s="2">
        <v>187.38</v>
      </c>
      <c r="H2597" t="str">
        <f>"0012046911423672"</f>
        <v>0012046911423672</v>
      </c>
    </row>
    <row r="2598" spans="1:8" x14ac:dyDescent="0.25">
      <c r="E2598" t="str">
        <f>"C70201809193851"</f>
        <v>C70201809193851</v>
      </c>
      <c r="F2598" t="str">
        <f>"00136881334235026"</f>
        <v>00136881334235026</v>
      </c>
      <c r="G2598" s="2">
        <v>257.45999999999998</v>
      </c>
      <c r="H2598" t="str">
        <f>"00136881334235026"</f>
        <v>00136881334235026</v>
      </c>
    </row>
    <row r="2599" spans="1:8" x14ac:dyDescent="0.25">
      <c r="E2599" t="str">
        <f>"C71201809193851"</f>
        <v>C71201809193851</v>
      </c>
      <c r="F2599" t="str">
        <f>"00137390532018V215"</f>
        <v>00137390532018V215</v>
      </c>
      <c r="G2599" s="2">
        <v>276.92</v>
      </c>
      <c r="H2599" t="str">
        <f>"00137390532018V215"</f>
        <v>00137390532018V215</v>
      </c>
    </row>
    <row r="2600" spans="1:8" x14ac:dyDescent="0.25">
      <c r="E2600" t="str">
        <f>"C72201809193851"</f>
        <v>C72201809193851</v>
      </c>
      <c r="F2600" t="str">
        <f>"0012797601C20130529B"</f>
        <v>0012797601C20130529B</v>
      </c>
      <c r="G2600" s="2">
        <v>241.85</v>
      </c>
      <c r="H2600" t="str">
        <f>"0012797601C20130529B"</f>
        <v>0012797601C20130529B</v>
      </c>
    </row>
    <row r="2601" spans="1:8" x14ac:dyDescent="0.25">
      <c r="A2601" t="s">
        <v>546</v>
      </c>
      <c r="B2601">
        <v>0</v>
      </c>
      <c r="C2601" s="3">
        <v>320965.40999999997</v>
      </c>
      <c r="D2601" s="1">
        <v>43364</v>
      </c>
      <c r="E2601" t="str">
        <f>"RET201809053424"</f>
        <v>RET201809053424</v>
      </c>
      <c r="F2601" t="str">
        <f>"TEXAS COUNTY &amp; DISTRICT RET"</f>
        <v>TEXAS COUNTY &amp; DISTRICT RET</v>
      </c>
      <c r="G2601" s="2">
        <v>147048.65</v>
      </c>
      <c r="H2601" t="str">
        <f t="shared" ref="H2601:H2632" si="41">"TEXAS COUNTY &amp; DISTRICT RET"</f>
        <v>TEXAS COUNTY &amp; DISTRICT RET</v>
      </c>
    </row>
    <row r="2602" spans="1:8" x14ac:dyDescent="0.25">
      <c r="E2602" t="str">
        <f>""</f>
        <v/>
      </c>
      <c r="F2602" t="str">
        <f>""</f>
        <v/>
      </c>
      <c r="H2602" t="str">
        <f t="shared" si="41"/>
        <v>TEXAS COUNTY &amp; DISTRICT RET</v>
      </c>
    </row>
    <row r="2603" spans="1:8" x14ac:dyDescent="0.25">
      <c r="E2603" t="str">
        <f>""</f>
        <v/>
      </c>
      <c r="F2603" t="str">
        <f>""</f>
        <v/>
      </c>
      <c r="H2603" t="str">
        <f t="shared" si="41"/>
        <v>TEXAS COUNTY &amp; DISTRICT RET</v>
      </c>
    </row>
    <row r="2604" spans="1:8" x14ac:dyDescent="0.25">
      <c r="E2604" t="str">
        <f>""</f>
        <v/>
      </c>
      <c r="F2604" t="str">
        <f>""</f>
        <v/>
      </c>
      <c r="H2604" t="str">
        <f t="shared" si="41"/>
        <v>TEXAS COUNTY &amp; DISTRICT RET</v>
      </c>
    </row>
    <row r="2605" spans="1:8" x14ac:dyDescent="0.25">
      <c r="E2605" t="str">
        <f>""</f>
        <v/>
      </c>
      <c r="F2605" t="str">
        <f>""</f>
        <v/>
      </c>
      <c r="H2605" t="str">
        <f t="shared" si="41"/>
        <v>TEXAS COUNTY &amp; DISTRICT RET</v>
      </c>
    </row>
    <row r="2606" spans="1:8" x14ac:dyDescent="0.25">
      <c r="E2606" t="str">
        <f>""</f>
        <v/>
      </c>
      <c r="F2606" t="str">
        <f>""</f>
        <v/>
      </c>
      <c r="H2606" t="str">
        <f t="shared" si="41"/>
        <v>TEXAS COUNTY &amp; DISTRICT RET</v>
      </c>
    </row>
    <row r="2607" spans="1:8" x14ac:dyDescent="0.25">
      <c r="E2607" t="str">
        <f>""</f>
        <v/>
      </c>
      <c r="F2607" t="str">
        <f>""</f>
        <v/>
      </c>
      <c r="H2607" t="str">
        <f t="shared" si="41"/>
        <v>TEXAS COUNTY &amp; DISTRICT RET</v>
      </c>
    </row>
    <row r="2608" spans="1:8" x14ac:dyDescent="0.25">
      <c r="E2608" t="str">
        <f>""</f>
        <v/>
      </c>
      <c r="F2608" t="str">
        <f>""</f>
        <v/>
      </c>
      <c r="H2608" t="str">
        <f t="shared" si="41"/>
        <v>TEXAS COUNTY &amp; DISTRICT RET</v>
      </c>
    </row>
    <row r="2609" spans="5:8" x14ac:dyDescent="0.25">
      <c r="E2609" t="str">
        <f>""</f>
        <v/>
      </c>
      <c r="F2609" t="str">
        <f>""</f>
        <v/>
      </c>
      <c r="H2609" t="str">
        <f t="shared" si="41"/>
        <v>TEXAS COUNTY &amp; DISTRICT RET</v>
      </c>
    </row>
    <row r="2610" spans="5:8" x14ac:dyDescent="0.25">
      <c r="E2610" t="str">
        <f>""</f>
        <v/>
      </c>
      <c r="F2610" t="str">
        <f>""</f>
        <v/>
      </c>
      <c r="H2610" t="str">
        <f t="shared" si="41"/>
        <v>TEXAS COUNTY &amp; DISTRICT RET</v>
      </c>
    </row>
    <row r="2611" spans="5:8" x14ac:dyDescent="0.25">
      <c r="E2611" t="str">
        <f>""</f>
        <v/>
      </c>
      <c r="F2611" t="str">
        <f>""</f>
        <v/>
      </c>
      <c r="H2611" t="str">
        <f t="shared" si="41"/>
        <v>TEXAS COUNTY &amp; DISTRICT RET</v>
      </c>
    </row>
    <row r="2612" spans="5:8" x14ac:dyDescent="0.25">
      <c r="E2612" t="str">
        <f>""</f>
        <v/>
      </c>
      <c r="F2612" t="str">
        <f>""</f>
        <v/>
      </c>
      <c r="H2612" t="str">
        <f t="shared" si="41"/>
        <v>TEXAS COUNTY &amp; DISTRICT RET</v>
      </c>
    </row>
    <row r="2613" spans="5:8" x14ac:dyDescent="0.25">
      <c r="E2613" t="str">
        <f>""</f>
        <v/>
      </c>
      <c r="F2613" t="str">
        <f>""</f>
        <v/>
      </c>
      <c r="H2613" t="str">
        <f t="shared" si="41"/>
        <v>TEXAS COUNTY &amp; DISTRICT RET</v>
      </c>
    </row>
    <row r="2614" spans="5:8" x14ac:dyDescent="0.25">
      <c r="E2614" t="str">
        <f>""</f>
        <v/>
      </c>
      <c r="F2614" t="str">
        <f>""</f>
        <v/>
      </c>
      <c r="H2614" t="str">
        <f t="shared" si="41"/>
        <v>TEXAS COUNTY &amp; DISTRICT RET</v>
      </c>
    </row>
    <row r="2615" spans="5:8" x14ac:dyDescent="0.25">
      <c r="E2615" t="str">
        <f>""</f>
        <v/>
      </c>
      <c r="F2615" t="str">
        <f>""</f>
        <v/>
      </c>
      <c r="H2615" t="str">
        <f t="shared" si="41"/>
        <v>TEXAS COUNTY &amp; DISTRICT RET</v>
      </c>
    </row>
    <row r="2616" spans="5:8" x14ac:dyDescent="0.25">
      <c r="E2616" t="str">
        <f>""</f>
        <v/>
      </c>
      <c r="F2616" t="str">
        <f>""</f>
        <v/>
      </c>
      <c r="H2616" t="str">
        <f t="shared" si="41"/>
        <v>TEXAS COUNTY &amp; DISTRICT RET</v>
      </c>
    </row>
    <row r="2617" spans="5:8" x14ac:dyDescent="0.25">
      <c r="E2617" t="str">
        <f>""</f>
        <v/>
      </c>
      <c r="F2617" t="str">
        <f>""</f>
        <v/>
      </c>
      <c r="H2617" t="str">
        <f t="shared" si="41"/>
        <v>TEXAS COUNTY &amp; DISTRICT RET</v>
      </c>
    </row>
    <row r="2618" spans="5:8" x14ac:dyDescent="0.25">
      <c r="E2618" t="str">
        <f>""</f>
        <v/>
      </c>
      <c r="F2618" t="str">
        <f>""</f>
        <v/>
      </c>
      <c r="H2618" t="str">
        <f t="shared" si="41"/>
        <v>TEXAS COUNTY &amp; DISTRICT RET</v>
      </c>
    </row>
    <row r="2619" spans="5:8" x14ac:dyDescent="0.25">
      <c r="E2619" t="str">
        <f>""</f>
        <v/>
      </c>
      <c r="F2619" t="str">
        <f>""</f>
        <v/>
      </c>
      <c r="H2619" t="str">
        <f t="shared" si="41"/>
        <v>TEXAS COUNTY &amp; DISTRICT RET</v>
      </c>
    </row>
    <row r="2620" spans="5:8" x14ac:dyDescent="0.25">
      <c r="E2620" t="str">
        <f>""</f>
        <v/>
      </c>
      <c r="F2620" t="str">
        <f>""</f>
        <v/>
      </c>
      <c r="H2620" t="str">
        <f t="shared" si="41"/>
        <v>TEXAS COUNTY &amp; DISTRICT RET</v>
      </c>
    </row>
    <row r="2621" spans="5:8" x14ac:dyDescent="0.25">
      <c r="E2621" t="str">
        <f>""</f>
        <v/>
      </c>
      <c r="F2621" t="str">
        <f>""</f>
        <v/>
      </c>
      <c r="H2621" t="str">
        <f t="shared" si="41"/>
        <v>TEXAS COUNTY &amp; DISTRICT RET</v>
      </c>
    </row>
    <row r="2622" spans="5:8" x14ac:dyDescent="0.25">
      <c r="E2622" t="str">
        <f>""</f>
        <v/>
      </c>
      <c r="F2622" t="str">
        <f>""</f>
        <v/>
      </c>
      <c r="H2622" t="str">
        <f t="shared" si="41"/>
        <v>TEXAS COUNTY &amp; DISTRICT RET</v>
      </c>
    </row>
    <row r="2623" spans="5:8" x14ac:dyDescent="0.25">
      <c r="E2623" t="str">
        <f>""</f>
        <v/>
      </c>
      <c r="F2623" t="str">
        <f>""</f>
        <v/>
      </c>
      <c r="H2623" t="str">
        <f t="shared" si="41"/>
        <v>TEXAS COUNTY &amp; DISTRICT RET</v>
      </c>
    </row>
    <row r="2624" spans="5:8" x14ac:dyDescent="0.25">
      <c r="E2624" t="str">
        <f>""</f>
        <v/>
      </c>
      <c r="F2624" t="str">
        <f>""</f>
        <v/>
      </c>
      <c r="H2624" t="str">
        <f t="shared" si="41"/>
        <v>TEXAS COUNTY &amp; DISTRICT RET</v>
      </c>
    </row>
    <row r="2625" spans="5:8" x14ac:dyDescent="0.25">
      <c r="E2625" t="str">
        <f>""</f>
        <v/>
      </c>
      <c r="F2625" t="str">
        <f>""</f>
        <v/>
      </c>
      <c r="H2625" t="str">
        <f t="shared" si="41"/>
        <v>TEXAS COUNTY &amp; DISTRICT RET</v>
      </c>
    </row>
    <row r="2626" spans="5:8" x14ac:dyDescent="0.25">
      <c r="E2626" t="str">
        <f>""</f>
        <v/>
      </c>
      <c r="F2626" t="str">
        <f>""</f>
        <v/>
      </c>
      <c r="H2626" t="str">
        <f t="shared" si="41"/>
        <v>TEXAS COUNTY &amp; DISTRICT RET</v>
      </c>
    </row>
    <row r="2627" spans="5:8" x14ac:dyDescent="0.25">
      <c r="E2627" t="str">
        <f>""</f>
        <v/>
      </c>
      <c r="F2627" t="str">
        <f>""</f>
        <v/>
      </c>
      <c r="H2627" t="str">
        <f t="shared" si="41"/>
        <v>TEXAS COUNTY &amp; DISTRICT RET</v>
      </c>
    </row>
    <row r="2628" spans="5:8" x14ac:dyDescent="0.25">
      <c r="E2628" t="str">
        <f>""</f>
        <v/>
      </c>
      <c r="F2628" t="str">
        <f>""</f>
        <v/>
      </c>
      <c r="H2628" t="str">
        <f t="shared" si="41"/>
        <v>TEXAS COUNTY &amp; DISTRICT RET</v>
      </c>
    </row>
    <row r="2629" spans="5:8" x14ac:dyDescent="0.25">
      <c r="E2629" t="str">
        <f>""</f>
        <v/>
      </c>
      <c r="F2629" t="str">
        <f>""</f>
        <v/>
      </c>
      <c r="H2629" t="str">
        <f t="shared" si="41"/>
        <v>TEXAS COUNTY &amp; DISTRICT RET</v>
      </c>
    </row>
    <row r="2630" spans="5:8" x14ac:dyDescent="0.25">
      <c r="E2630" t="str">
        <f>""</f>
        <v/>
      </c>
      <c r="F2630" t="str">
        <f>""</f>
        <v/>
      </c>
      <c r="H2630" t="str">
        <f t="shared" si="41"/>
        <v>TEXAS COUNTY &amp; DISTRICT RET</v>
      </c>
    </row>
    <row r="2631" spans="5:8" x14ac:dyDescent="0.25">
      <c r="E2631" t="str">
        <f>""</f>
        <v/>
      </c>
      <c r="F2631" t="str">
        <f>""</f>
        <v/>
      </c>
      <c r="H2631" t="str">
        <f t="shared" si="41"/>
        <v>TEXAS COUNTY &amp; DISTRICT RET</v>
      </c>
    </row>
    <row r="2632" spans="5:8" x14ac:dyDescent="0.25">
      <c r="E2632" t="str">
        <f>""</f>
        <v/>
      </c>
      <c r="F2632" t="str">
        <f>""</f>
        <v/>
      </c>
      <c r="H2632" t="str">
        <f t="shared" si="41"/>
        <v>TEXAS COUNTY &amp; DISTRICT RET</v>
      </c>
    </row>
    <row r="2633" spans="5:8" x14ac:dyDescent="0.25">
      <c r="E2633" t="str">
        <f>""</f>
        <v/>
      </c>
      <c r="F2633" t="str">
        <f>""</f>
        <v/>
      </c>
      <c r="H2633" t="str">
        <f t="shared" ref="H2633:H2652" si="42">"TEXAS COUNTY &amp; DISTRICT RET"</f>
        <v>TEXAS COUNTY &amp; DISTRICT RET</v>
      </c>
    </row>
    <row r="2634" spans="5:8" x14ac:dyDescent="0.25">
      <c r="E2634" t="str">
        <f>""</f>
        <v/>
      </c>
      <c r="F2634" t="str">
        <f>""</f>
        <v/>
      </c>
      <c r="H2634" t="str">
        <f t="shared" si="42"/>
        <v>TEXAS COUNTY &amp; DISTRICT RET</v>
      </c>
    </row>
    <row r="2635" spans="5:8" x14ac:dyDescent="0.25">
      <c r="E2635" t="str">
        <f>""</f>
        <v/>
      </c>
      <c r="F2635" t="str">
        <f>""</f>
        <v/>
      </c>
      <c r="H2635" t="str">
        <f t="shared" si="42"/>
        <v>TEXAS COUNTY &amp; DISTRICT RET</v>
      </c>
    </row>
    <row r="2636" spans="5:8" x14ac:dyDescent="0.25">
      <c r="E2636" t="str">
        <f>""</f>
        <v/>
      </c>
      <c r="F2636" t="str">
        <f>""</f>
        <v/>
      </c>
      <c r="H2636" t="str">
        <f t="shared" si="42"/>
        <v>TEXAS COUNTY &amp; DISTRICT RET</v>
      </c>
    </row>
    <row r="2637" spans="5:8" x14ac:dyDescent="0.25">
      <c r="E2637" t="str">
        <f>""</f>
        <v/>
      </c>
      <c r="F2637" t="str">
        <f>""</f>
        <v/>
      </c>
      <c r="H2637" t="str">
        <f t="shared" si="42"/>
        <v>TEXAS COUNTY &amp; DISTRICT RET</v>
      </c>
    </row>
    <row r="2638" spans="5:8" x14ac:dyDescent="0.25">
      <c r="E2638" t="str">
        <f>""</f>
        <v/>
      </c>
      <c r="F2638" t="str">
        <f>""</f>
        <v/>
      </c>
      <c r="H2638" t="str">
        <f t="shared" si="42"/>
        <v>TEXAS COUNTY &amp; DISTRICT RET</v>
      </c>
    </row>
    <row r="2639" spans="5:8" x14ac:dyDescent="0.25">
      <c r="E2639" t="str">
        <f>""</f>
        <v/>
      </c>
      <c r="F2639" t="str">
        <f>""</f>
        <v/>
      </c>
      <c r="H2639" t="str">
        <f t="shared" si="42"/>
        <v>TEXAS COUNTY &amp; DISTRICT RET</v>
      </c>
    </row>
    <row r="2640" spans="5:8" x14ac:dyDescent="0.25">
      <c r="E2640" t="str">
        <f>""</f>
        <v/>
      </c>
      <c r="F2640" t="str">
        <f>""</f>
        <v/>
      </c>
      <c r="H2640" t="str">
        <f t="shared" si="42"/>
        <v>TEXAS COUNTY &amp; DISTRICT RET</v>
      </c>
    </row>
    <row r="2641" spans="5:8" x14ac:dyDescent="0.25">
      <c r="E2641" t="str">
        <f>""</f>
        <v/>
      </c>
      <c r="F2641" t="str">
        <f>""</f>
        <v/>
      </c>
      <c r="H2641" t="str">
        <f t="shared" si="42"/>
        <v>TEXAS COUNTY &amp; DISTRICT RET</v>
      </c>
    </row>
    <row r="2642" spans="5:8" x14ac:dyDescent="0.25">
      <c r="E2642" t="str">
        <f>""</f>
        <v/>
      </c>
      <c r="F2642" t="str">
        <f>""</f>
        <v/>
      </c>
      <c r="H2642" t="str">
        <f t="shared" si="42"/>
        <v>TEXAS COUNTY &amp; DISTRICT RET</v>
      </c>
    </row>
    <row r="2643" spans="5:8" x14ac:dyDescent="0.25">
      <c r="E2643" t="str">
        <f>""</f>
        <v/>
      </c>
      <c r="F2643" t="str">
        <f>""</f>
        <v/>
      </c>
      <c r="H2643" t="str">
        <f t="shared" si="42"/>
        <v>TEXAS COUNTY &amp; DISTRICT RET</v>
      </c>
    </row>
    <row r="2644" spans="5:8" x14ac:dyDescent="0.25">
      <c r="E2644" t="str">
        <f>""</f>
        <v/>
      </c>
      <c r="F2644" t="str">
        <f>""</f>
        <v/>
      </c>
      <c r="H2644" t="str">
        <f t="shared" si="42"/>
        <v>TEXAS COUNTY &amp; DISTRICT RET</v>
      </c>
    </row>
    <row r="2645" spans="5:8" x14ac:dyDescent="0.25">
      <c r="E2645" t="str">
        <f>""</f>
        <v/>
      </c>
      <c r="F2645" t="str">
        <f>""</f>
        <v/>
      </c>
      <c r="H2645" t="str">
        <f t="shared" si="42"/>
        <v>TEXAS COUNTY &amp; DISTRICT RET</v>
      </c>
    </row>
    <row r="2646" spans="5:8" x14ac:dyDescent="0.25">
      <c r="E2646" t="str">
        <f>""</f>
        <v/>
      </c>
      <c r="F2646" t="str">
        <f>""</f>
        <v/>
      </c>
      <c r="H2646" t="str">
        <f t="shared" si="42"/>
        <v>TEXAS COUNTY &amp; DISTRICT RET</v>
      </c>
    </row>
    <row r="2647" spans="5:8" x14ac:dyDescent="0.25">
      <c r="E2647" t="str">
        <f>""</f>
        <v/>
      </c>
      <c r="F2647" t="str">
        <f>""</f>
        <v/>
      </c>
      <c r="H2647" t="str">
        <f t="shared" si="42"/>
        <v>TEXAS COUNTY &amp; DISTRICT RET</v>
      </c>
    </row>
    <row r="2648" spans="5:8" x14ac:dyDescent="0.25">
      <c r="E2648" t="str">
        <f>""</f>
        <v/>
      </c>
      <c r="F2648" t="str">
        <f>""</f>
        <v/>
      </c>
      <c r="H2648" t="str">
        <f t="shared" si="42"/>
        <v>TEXAS COUNTY &amp; DISTRICT RET</v>
      </c>
    </row>
    <row r="2649" spans="5:8" x14ac:dyDescent="0.25">
      <c r="E2649" t="str">
        <f>""</f>
        <v/>
      </c>
      <c r="F2649" t="str">
        <f>""</f>
        <v/>
      </c>
      <c r="H2649" t="str">
        <f t="shared" si="42"/>
        <v>TEXAS COUNTY &amp; DISTRICT RET</v>
      </c>
    </row>
    <row r="2650" spans="5:8" x14ac:dyDescent="0.25">
      <c r="E2650" t="str">
        <f>""</f>
        <v/>
      </c>
      <c r="F2650" t="str">
        <f>""</f>
        <v/>
      </c>
      <c r="H2650" t="str">
        <f t="shared" si="42"/>
        <v>TEXAS COUNTY &amp; DISTRICT RET</v>
      </c>
    </row>
    <row r="2651" spans="5:8" x14ac:dyDescent="0.25">
      <c r="E2651" t="str">
        <f>""</f>
        <v/>
      </c>
      <c r="F2651" t="str">
        <f>""</f>
        <v/>
      </c>
      <c r="H2651" t="str">
        <f t="shared" si="42"/>
        <v>TEXAS COUNTY &amp; DISTRICT RET</v>
      </c>
    </row>
    <row r="2652" spans="5:8" x14ac:dyDescent="0.25">
      <c r="E2652" t="str">
        <f>""</f>
        <v/>
      </c>
      <c r="F2652" t="str">
        <f>""</f>
        <v/>
      </c>
      <c r="H2652" t="str">
        <f t="shared" si="42"/>
        <v>TEXAS COUNTY &amp; DISTRICT RET</v>
      </c>
    </row>
    <row r="2653" spans="5:8" x14ac:dyDescent="0.25">
      <c r="E2653" t="str">
        <f>"RET201809053425"</f>
        <v>RET201809053425</v>
      </c>
      <c r="F2653" t="str">
        <f>"TEXAS COUNTY  DISTRICT RET"</f>
        <v>TEXAS COUNTY  DISTRICT RET</v>
      </c>
      <c r="G2653" s="2">
        <v>6077.81</v>
      </c>
      <c r="H2653" t="str">
        <f>"TEXAS COUNTY  DISTRICT RET"</f>
        <v>TEXAS COUNTY  DISTRICT RET</v>
      </c>
    </row>
    <row r="2654" spans="5:8" x14ac:dyDescent="0.25">
      <c r="E2654" t="str">
        <f>""</f>
        <v/>
      </c>
      <c r="F2654" t="str">
        <f>""</f>
        <v/>
      </c>
      <c r="H2654" t="str">
        <f>"TEXAS COUNTY  DISTRICT RET"</f>
        <v>TEXAS COUNTY  DISTRICT RET</v>
      </c>
    </row>
    <row r="2655" spans="5:8" x14ac:dyDescent="0.25">
      <c r="E2655" t="str">
        <f>"RET201809053426"</f>
        <v>RET201809053426</v>
      </c>
      <c r="F2655" t="str">
        <f>"TEXAS COUNTY &amp; DISTRICT RET"</f>
        <v>TEXAS COUNTY &amp; DISTRICT RET</v>
      </c>
      <c r="G2655" s="2">
        <v>8063.74</v>
      </c>
      <c r="H2655" t="str">
        <f t="shared" ref="H2655:H2686" si="43">"TEXAS COUNTY &amp; DISTRICT RET"</f>
        <v>TEXAS COUNTY &amp; DISTRICT RET</v>
      </c>
    </row>
    <row r="2656" spans="5:8" x14ac:dyDescent="0.25">
      <c r="E2656" t="str">
        <f>""</f>
        <v/>
      </c>
      <c r="F2656" t="str">
        <f>""</f>
        <v/>
      </c>
      <c r="H2656" t="str">
        <f t="shared" si="43"/>
        <v>TEXAS COUNTY &amp; DISTRICT RET</v>
      </c>
    </row>
    <row r="2657" spans="5:8" x14ac:dyDescent="0.25">
      <c r="E2657" t="str">
        <f>"RET201809063553"</f>
        <v>RET201809063553</v>
      </c>
      <c r="F2657" t="str">
        <f>"TEXAS COUNTY &amp; DISTRICT RET"</f>
        <v>TEXAS COUNTY &amp; DISTRICT RET</v>
      </c>
      <c r="G2657" s="2">
        <v>58.51</v>
      </c>
      <c r="H2657" t="str">
        <f t="shared" si="43"/>
        <v>TEXAS COUNTY &amp; DISTRICT RET</v>
      </c>
    </row>
    <row r="2658" spans="5:8" x14ac:dyDescent="0.25">
      <c r="E2658" t="str">
        <f>""</f>
        <v/>
      </c>
      <c r="F2658" t="str">
        <f>""</f>
        <v/>
      </c>
      <c r="H2658" t="str">
        <f t="shared" si="43"/>
        <v>TEXAS COUNTY &amp; DISTRICT RET</v>
      </c>
    </row>
    <row r="2659" spans="5:8" x14ac:dyDescent="0.25">
      <c r="E2659" t="str">
        <f>"RET201809193851"</f>
        <v>RET201809193851</v>
      </c>
      <c r="F2659" t="str">
        <f>"TEXAS COUNTY &amp; DISTRICT RET"</f>
        <v>TEXAS COUNTY &amp; DISTRICT RET</v>
      </c>
      <c r="G2659" s="2">
        <v>146244.20000000001</v>
      </c>
      <c r="H2659" t="str">
        <f t="shared" si="43"/>
        <v>TEXAS COUNTY &amp; DISTRICT RET</v>
      </c>
    </row>
    <row r="2660" spans="5:8" x14ac:dyDescent="0.25">
      <c r="E2660" t="str">
        <f>""</f>
        <v/>
      </c>
      <c r="F2660" t="str">
        <f>""</f>
        <v/>
      </c>
      <c r="H2660" t="str">
        <f t="shared" si="43"/>
        <v>TEXAS COUNTY &amp; DISTRICT RET</v>
      </c>
    </row>
    <row r="2661" spans="5:8" x14ac:dyDescent="0.25">
      <c r="E2661" t="str">
        <f>""</f>
        <v/>
      </c>
      <c r="F2661" t="str">
        <f>""</f>
        <v/>
      </c>
      <c r="H2661" t="str">
        <f t="shared" si="43"/>
        <v>TEXAS COUNTY &amp; DISTRICT RET</v>
      </c>
    </row>
    <row r="2662" spans="5:8" x14ac:dyDescent="0.25">
      <c r="E2662" t="str">
        <f>""</f>
        <v/>
      </c>
      <c r="F2662" t="str">
        <f>""</f>
        <v/>
      </c>
      <c r="H2662" t="str">
        <f t="shared" si="43"/>
        <v>TEXAS COUNTY &amp; DISTRICT RET</v>
      </c>
    </row>
    <row r="2663" spans="5:8" x14ac:dyDescent="0.25">
      <c r="E2663" t="str">
        <f>""</f>
        <v/>
      </c>
      <c r="F2663" t="str">
        <f>""</f>
        <v/>
      </c>
      <c r="H2663" t="str">
        <f t="shared" si="43"/>
        <v>TEXAS COUNTY &amp; DISTRICT RET</v>
      </c>
    </row>
    <row r="2664" spans="5:8" x14ac:dyDescent="0.25">
      <c r="E2664" t="str">
        <f>""</f>
        <v/>
      </c>
      <c r="F2664" t="str">
        <f>""</f>
        <v/>
      </c>
      <c r="H2664" t="str">
        <f t="shared" si="43"/>
        <v>TEXAS COUNTY &amp; DISTRICT RET</v>
      </c>
    </row>
    <row r="2665" spans="5:8" x14ac:dyDescent="0.25">
      <c r="E2665" t="str">
        <f>""</f>
        <v/>
      </c>
      <c r="F2665" t="str">
        <f>""</f>
        <v/>
      </c>
      <c r="H2665" t="str">
        <f t="shared" si="43"/>
        <v>TEXAS COUNTY &amp; DISTRICT RET</v>
      </c>
    </row>
    <row r="2666" spans="5:8" x14ac:dyDescent="0.25">
      <c r="E2666" t="str">
        <f>""</f>
        <v/>
      </c>
      <c r="F2666" t="str">
        <f>""</f>
        <v/>
      </c>
      <c r="H2666" t="str">
        <f t="shared" si="43"/>
        <v>TEXAS COUNTY &amp; DISTRICT RET</v>
      </c>
    </row>
    <row r="2667" spans="5:8" x14ac:dyDescent="0.25">
      <c r="E2667" t="str">
        <f>""</f>
        <v/>
      </c>
      <c r="F2667" t="str">
        <f>""</f>
        <v/>
      </c>
      <c r="H2667" t="str">
        <f t="shared" si="43"/>
        <v>TEXAS COUNTY &amp; DISTRICT RET</v>
      </c>
    </row>
    <row r="2668" spans="5:8" x14ac:dyDescent="0.25">
      <c r="E2668" t="str">
        <f>""</f>
        <v/>
      </c>
      <c r="F2668" t="str">
        <f>""</f>
        <v/>
      </c>
      <c r="H2668" t="str">
        <f t="shared" si="43"/>
        <v>TEXAS COUNTY &amp; DISTRICT RET</v>
      </c>
    </row>
    <row r="2669" spans="5:8" x14ac:dyDescent="0.25">
      <c r="E2669" t="str">
        <f>""</f>
        <v/>
      </c>
      <c r="F2669" t="str">
        <f>""</f>
        <v/>
      </c>
      <c r="H2669" t="str">
        <f t="shared" si="43"/>
        <v>TEXAS COUNTY &amp; DISTRICT RET</v>
      </c>
    </row>
    <row r="2670" spans="5:8" x14ac:dyDescent="0.25">
      <c r="E2670" t="str">
        <f>""</f>
        <v/>
      </c>
      <c r="F2670" t="str">
        <f>""</f>
        <v/>
      </c>
      <c r="H2670" t="str">
        <f t="shared" si="43"/>
        <v>TEXAS COUNTY &amp; DISTRICT RET</v>
      </c>
    </row>
    <row r="2671" spans="5:8" x14ac:dyDescent="0.25">
      <c r="E2671" t="str">
        <f>""</f>
        <v/>
      </c>
      <c r="F2671" t="str">
        <f>""</f>
        <v/>
      </c>
      <c r="H2671" t="str">
        <f t="shared" si="43"/>
        <v>TEXAS COUNTY &amp; DISTRICT RET</v>
      </c>
    </row>
    <row r="2672" spans="5:8" x14ac:dyDescent="0.25">
      <c r="E2672" t="str">
        <f>""</f>
        <v/>
      </c>
      <c r="F2672" t="str">
        <f>""</f>
        <v/>
      </c>
      <c r="H2672" t="str">
        <f t="shared" si="43"/>
        <v>TEXAS COUNTY &amp; DISTRICT RET</v>
      </c>
    </row>
    <row r="2673" spans="5:8" x14ac:dyDescent="0.25">
      <c r="E2673" t="str">
        <f>""</f>
        <v/>
      </c>
      <c r="F2673" t="str">
        <f>""</f>
        <v/>
      </c>
      <c r="H2673" t="str">
        <f t="shared" si="43"/>
        <v>TEXAS COUNTY &amp; DISTRICT RET</v>
      </c>
    </row>
    <row r="2674" spans="5:8" x14ac:dyDescent="0.25">
      <c r="E2674" t="str">
        <f>""</f>
        <v/>
      </c>
      <c r="F2674" t="str">
        <f>""</f>
        <v/>
      </c>
      <c r="H2674" t="str">
        <f t="shared" si="43"/>
        <v>TEXAS COUNTY &amp; DISTRICT RET</v>
      </c>
    </row>
    <row r="2675" spans="5:8" x14ac:dyDescent="0.25">
      <c r="E2675" t="str">
        <f>""</f>
        <v/>
      </c>
      <c r="F2675" t="str">
        <f>""</f>
        <v/>
      </c>
      <c r="H2675" t="str">
        <f t="shared" si="43"/>
        <v>TEXAS COUNTY &amp; DISTRICT RET</v>
      </c>
    </row>
    <row r="2676" spans="5:8" x14ac:dyDescent="0.25">
      <c r="E2676" t="str">
        <f>""</f>
        <v/>
      </c>
      <c r="F2676" t="str">
        <f>""</f>
        <v/>
      </c>
      <c r="H2676" t="str">
        <f t="shared" si="43"/>
        <v>TEXAS COUNTY &amp; DISTRICT RET</v>
      </c>
    </row>
    <row r="2677" spans="5:8" x14ac:dyDescent="0.25">
      <c r="E2677" t="str">
        <f>""</f>
        <v/>
      </c>
      <c r="F2677" t="str">
        <f>""</f>
        <v/>
      </c>
      <c r="H2677" t="str">
        <f t="shared" si="43"/>
        <v>TEXAS COUNTY &amp; DISTRICT RET</v>
      </c>
    </row>
    <row r="2678" spans="5:8" x14ac:dyDescent="0.25">
      <c r="E2678" t="str">
        <f>""</f>
        <v/>
      </c>
      <c r="F2678" t="str">
        <f>""</f>
        <v/>
      </c>
      <c r="H2678" t="str">
        <f t="shared" si="43"/>
        <v>TEXAS COUNTY &amp; DISTRICT RET</v>
      </c>
    </row>
    <row r="2679" spans="5:8" x14ac:dyDescent="0.25">
      <c r="E2679" t="str">
        <f>""</f>
        <v/>
      </c>
      <c r="F2679" t="str">
        <f>""</f>
        <v/>
      </c>
      <c r="H2679" t="str">
        <f t="shared" si="43"/>
        <v>TEXAS COUNTY &amp; DISTRICT RET</v>
      </c>
    </row>
    <row r="2680" spans="5:8" x14ac:dyDescent="0.25">
      <c r="E2680" t="str">
        <f>""</f>
        <v/>
      </c>
      <c r="F2680" t="str">
        <f>""</f>
        <v/>
      </c>
      <c r="H2680" t="str">
        <f t="shared" si="43"/>
        <v>TEXAS COUNTY &amp; DISTRICT RET</v>
      </c>
    </row>
    <row r="2681" spans="5:8" x14ac:dyDescent="0.25">
      <c r="E2681" t="str">
        <f>""</f>
        <v/>
      </c>
      <c r="F2681" t="str">
        <f>""</f>
        <v/>
      </c>
      <c r="H2681" t="str">
        <f t="shared" si="43"/>
        <v>TEXAS COUNTY &amp; DISTRICT RET</v>
      </c>
    </row>
    <row r="2682" spans="5:8" x14ac:dyDescent="0.25">
      <c r="E2682" t="str">
        <f>""</f>
        <v/>
      </c>
      <c r="F2682" t="str">
        <f>""</f>
        <v/>
      </c>
      <c r="H2682" t="str">
        <f t="shared" si="43"/>
        <v>TEXAS COUNTY &amp; DISTRICT RET</v>
      </c>
    </row>
    <row r="2683" spans="5:8" x14ac:dyDescent="0.25">
      <c r="E2683" t="str">
        <f>""</f>
        <v/>
      </c>
      <c r="F2683" t="str">
        <f>""</f>
        <v/>
      </c>
      <c r="H2683" t="str">
        <f t="shared" si="43"/>
        <v>TEXAS COUNTY &amp; DISTRICT RET</v>
      </c>
    </row>
    <row r="2684" spans="5:8" x14ac:dyDescent="0.25">
      <c r="E2684" t="str">
        <f>""</f>
        <v/>
      </c>
      <c r="F2684" t="str">
        <f>""</f>
        <v/>
      </c>
      <c r="H2684" t="str">
        <f t="shared" si="43"/>
        <v>TEXAS COUNTY &amp; DISTRICT RET</v>
      </c>
    </row>
    <row r="2685" spans="5:8" x14ac:dyDescent="0.25">
      <c r="E2685" t="str">
        <f>""</f>
        <v/>
      </c>
      <c r="F2685" t="str">
        <f>""</f>
        <v/>
      </c>
      <c r="H2685" t="str">
        <f t="shared" si="43"/>
        <v>TEXAS COUNTY &amp; DISTRICT RET</v>
      </c>
    </row>
    <row r="2686" spans="5:8" x14ac:dyDescent="0.25">
      <c r="E2686" t="str">
        <f>""</f>
        <v/>
      </c>
      <c r="F2686" t="str">
        <f>""</f>
        <v/>
      </c>
      <c r="H2686" t="str">
        <f t="shared" si="43"/>
        <v>TEXAS COUNTY &amp; DISTRICT RET</v>
      </c>
    </row>
    <row r="2687" spans="5:8" x14ac:dyDescent="0.25">
      <c r="E2687" t="str">
        <f>""</f>
        <v/>
      </c>
      <c r="F2687" t="str">
        <f>""</f>
        <v/>
      </c>
      <c r="H2687" t="str">
        <f t="shared" ref="H2687:H2710" si="44">"TEXAS COUNTY &amp; DISTRICT RET"</f>
        <v>TEXAS COUNTY &amp; DISTRICT RET</v>
      </c>
    </row>
    <row r="2688" spans="5:8" x14ac:dyDescent="0.25">
      <c r="E2688" t="str">
        <f>""</f>
        <v/>
      </c>
      <c r="F2688" t="str">
        <f>""</f>
        <v/>
      </c>
      <c r="H2688" t="str">
        <f t="shared" si="44"/>
        <v>TEXAS COUNTY &amp; DISTRICT RET</v>
      </c>
    </row>
    <row r="2689" spans="5:8" x14ac:dyDescent="0.25">
      <c r="E2689" t="str">
        <f>""</f>
        <v/>
      </c>
      <c r="F2689" t="str">
        <f>""</f>
        <v/>
      </c>
      <c r="H2689" t="str">
        <f t="shared" si="44"/>
        <v>TEXAS COUNTY &amp; DISTRICT RET</v>
      </c>
    </row>
    <row r="2690" spans="5:8" x14ac:dyDescent="0.25">
      <c r="E2690" t="str">
        <f>""</f>
        <v/>
      </c>
      <c r="F2690" t="str">
        <f>""</f>
        <v/>
      </c>
      <c r="H2690" t="str">
        <f t="shared" si="44"/>
        <v>TEXAS COUNTY &amp; DISTRICT RET</v>
      </c>
    </row>
    <row r="2691" spans="5:8" x14ac:dyDescent="0.25">
      <c r="E2691" t="str">
        <f>""</f>
        <v/>
      </c>
      <c r="F2691" t="str">
        <f>""</f>
        <v/>
      </c>
      <c r="H2691" t="str">
        <f t="shared" si="44"/>
        <v>TEXAS COUNTY &amp; DISTRICT RET</v>
      </c>
    </row>
    <row r="2692" spans="5:8" x14ac:dyDescent="0.25">
      <c r="E2692" t="str">
        <f>""</f>
        <v/>
      </c>
      <c r="F2692" t="str">
        <f>""</f>
        <v/>
      </c>
      <c r="H2692" t="str">
        <f t="shared" si="44"/>
        <v>TEXAS COUNTY &amp; DISTRICT RET</v>
      </c>
    </row>
    <row r="2693" spans="5:8" x14ac:dyDescent="0.25">
      <c r="E2693" t="str">
        <f>""</f>
        <v/>
      </c>
      <c r="F2693" t="str">
        <f>""</f>
        <v/>
      </c>
      <c r="H2693" t="str">
        <f t="shared" si="44"/>
        <v>TEXAS COUNTY &amp; DISTRICT RET</v>
      </c>
    </row>
    <row r="2694" spans="5:8" x14ac:dyDescent="0.25">
      <c r="E2694" t="str">
        <f>""</f>
        <v/>
      </c>
      <c r="F2694" t="str">
        <f>""</f>
        <v/>
      </c>
      <c r="H2694" t="str">
        <f t="shared" si="44"/>
        <v>TEXAS COUNTY &amp; DISTRICT RET</v>
      </c>
    </row>
    <row r="2695" spans="5:8" x14ac:dyDescent="0.25">
      <c r="E2695" t="str">
        <f>""</f>
        <v/>
      </c>
      <c r="F2695" t="str">
        <f>""</f>
        <v/>
      </c>
      <c r="H2695" t="str">
        <f t="shared" si="44"/>
        <v>TEXAS COUNTY &amp; DISTRICT RET</v>
      </c>
    </row>
    <row r="2696" spans="5:8" x14ac:dyDescent="0.25">
      <c r="E2696" t="str">
        <f>""</f>
        <v/>
      </c>
      <c r="F2696" t="str">
        <f>""</f>
        <v/>
      </c>
      <c r="H2696" t="str">
        <f t="shared" si="44"/>
        <v>TEXAS COUNTY &amp; DISTRICT RET</v>
      </c>
    </row>
    <row r="2697" spans="5:8" x14ac:dyDescent="0.25">
      <c r="E2697" t="str">
        <f>""</f>
        <v/>
      </c>
      <c r="F2697" t="str">
        <f>""</f>
        <v/>
      </c>
      <c r="H2697" t="str">
        <f t="shared" si="44"/>
        <v>TEXAS COUNTY &amp; DISTRICT RET</v>
      </c>
    </row>
    <row r="2698" spans="5:8" x14ac:dyDescent="0.25">
      <c r="E2698" t="str">
        <f>""</f>
        <v/>
      </c>
      <c r="F2698" t="str">
        <f>""</f>
        <v/>
      </c>
      <c r="H2698" t="str">
        <f t="shared" si="44"/>
        <v>TEXAS COUNTY &amp; DISTRICT RET</v>
      </c>
    </row>
    <row r="2699" spans="5:8" x14ac:dyDescent="0.25">
      <c r="E2699" t="str">
        <f>""</f>
        <v/>
      </c>
      <c r="F2699" t="str">
        <f>""</f>
        <v/>
      </c>
      <c r="H2699" t="str">
        <f t="shared" si="44"/>
        <v>TEXAS COUNTY &amp; DISTRICT RET</v>
      </c>
    </row>
    <row r="2700" spans="5:8" x14ac:dyDescent="0.25">
      <c r="E2700" t="str">
        <f>""</f>
        <v/>
      </c>
      <c r="F2700" t="str">
        <f>""</f>
        <v/>
      </c>
      <c r="H2700" t="str">
        <f t="shared" si="44"/>
        <v>TEXAS COUNTY &amp; DISTRICT RET</v>
      </c>
    </row>
    <row r="2701" spans="5:8" x14ac:dyDescent="0.25">
      <c r="E2701" t="str">
        <f>""</f>
        <v/>
      </c>
      <c r="F2701" t="str">
        <f>""</f>
        <v/>
      </c>
      <c r="H2701" t="str">
        <f t="shared" si="44"/>
        <v>TEXAS COUNTY &amp; DISTRICT RET</v>
      </c>
    </row>
    <row r="2702" spans="5:8" x14ac:dyDescent="0.25">
      <c r="E2702" t="str">
        <f>""</f>
        <v/>
      </c>
      <c r="F2702" t="str">
        <f>""</f>
        <v/>
      </c>
      <c r="H2702" t="str">
        <f t="shared" si="44"/>
        <v>TEXAS COUNTY &amp; DISTRICT RET</v>
      </c>
    </row>
    <row r="2703" spans="5:8" x14ac:dyDescent="0.25">
      <c r="E2703" t="str">
        <f>""</f>
        <v/>
      </c>
      <c r="F2703" t="str">
        <f>""</f>
        <v/>
      </c>
      <c r="H2703" t="str">
        <f t="shared" si="44"/>
        <v>TEXAS COUNTY &amp; DISTRICT RET</v>
      </c>
    </row>
    <row r="2704" spans="5:8" x14ac:dyDescent="0.25">
      <c r="E2704" t="str">
        <f>""</f>
        <v/>
      </c>
      <c r="F2704" t="str">
        <f>""</f>
        <v/>
      </c>
      <c r="H2704" t="str">
        <f t="shared" si="44"/>
        <v>TEXAS COUNTY &amp; DISTRICT RET</v>
      </c>
    </row>
    <row r="2705" spans="1:8" x14ac:dyDescent="0.25">
      <c r="E2705" t="str">
        <f>""</f>
        <v/>
      </c>
      <c r="F2705" t="str">
        <f>""</f>
        <v/>
      </c>
      <c r="H2705" t="str">
        <f t="shared" si="44"/>
        <v>TEXAS COUNTY &amp; DISTRICT RET</v>
      </c>
    </row>
    <row r="2706" spans="1:8" x14ac:dyDescent="0.25">
      <c r="E2706" t="str">
        <f>""</f>
        <v/>
      </c>
      <c r="F2706" t="str">
        <f>""</f>
        <v/>
      </c>
      <c r="H2706" t="str">
        <f t="shared" si="44"/>
        <v>TEXAS COUNTY &amp; DISTRICT RET</v>
      </c>
    </row>
    <row r="2707" spans="1:8" x14ac:dyDescent="0.25">
      <c r="E2707" t="str">
        <f>""</f>
        <v/>
      </c>
      <c r="F2707" t="str">
        <f>""</f>
        <v/>
      </c>
      <c r="H2707" t="str">
        <f t="shared" si="44"/>
        <v>TEXAS COUNTY &amp; DISTRICT RET</v>
      </c>
    </row>
    <row r="2708" spans="1:8" x14ac:dyDescent="0.25">
      <c r="E2708" t="str">
        <f>""</f>
        <v/>
      </c>
      <c r="F2708" t="str">
        <f>""</f>
        <v/>
      </c>
      <c r="H2708" t="str">
        <f t="shared" si="44"/>
        <v>TEXAS COUNTY &amp; DISTRICT RET</v>
      </c>
    </row>
    <row r="2709" spans="1:8" x14ac:dyDescent="0.25">
      <c r="E2709" t="str">
        <f>""</f>
        <v/>
      </c>
      <c r="F2709" t="str">
        <f>""</f>
        <v/>
      </c>
      <c r="H2709" t="str">
        <f t="shared" si="44"/>
        <v>TEXAS COUNTY &amp; DISTRICT RET</v>
      </c>
    </row>
    <row r="2710" spans="1:8" x14ac:dyDescent="0.25">
      <c r="E2710" t="str">
        <f>""</f>
        <v/>
      </c>
      <c r="F2710" t="str">
        <f>""</f>
        <v/>
      </c>
      <c r="H2710" t="str">
        <f t="shared" si="44"/>
        <v>TEXAS COUNTY &amp; DISTRICT RET</v>
      </c>
    </row>
    <row r="2711" spans="1:8" x14ac:dyDescent="0.25">
      <c r="E2711" t="str">
        <f>"RET201809193863"</f>
        <v>RET201809193863</v>
      </c>
      <c r="F2711" t="str">
        <f>"TEXAS COUNTY  DISTRICT RET"</f>
        <v>TEXAS COUNTY  DISTRICT RET</v>
      </c>
      <c r="G2711" s="2">
        <v>6147.75</v>
      </c>
      <c r="H2711" t="str">
        <f>"TEXAS COUNTY  DISTRICT RET"</f>
        <v>TEXAS COUNTY  DISTRICT RET</v>
      </c>
    </row>
    <row r="2712" spans="1:8" x14ac:dyDescent="0.25">
      <c r="E2712" t="str">
        <f>""</f>
        <v/>
      </c>
      <c r="F2712" t="str">
        <f>""</f>
        <v/>
      </c>
      <c r="H2712" t="str">
        <f>"TEXAS COUNTY  DISTRICT RET"</f>
        <v>TEXAS COUNTY  DISTRICT RET</v>
      </c>
    </row>
    <row r="2713" spans="1:8" x14ac:dyDescent="0.25">
      <c r="E2713" t="str">
        <f>"RET201809193864"</f>
        <v>RET201809193864</v>
      </c>
      <c r="F2713" t="str">
        <f>"TEXAS COUNTY &amp; DISTRICT RET"</f>
        <v>TEXAS COUNTY &amp; DISTRICT RET</v>
      </c>
      <c r="G2713" s="2">
        <v>7324.75</v>
      </c>
      <c r="H2713" t="str">
        <f>"TEXAS COUNTY &amp; DISTRICT RET"</f>
        <v>TEXAS COUNTY &amp; DISTRICT RET</v>
      </c>
    </row>
    <row r="2714" spans="1:8" x14ac:dyDescent="0.25">
      <c r="E2714" t="str">
        <f>""</f>
        <v/>
      </c>
      <c r="F2714" t="str">
        <f>""</f>
        <v/>
      </c>
      <c r="H2714" t="str">
        <f>"TEXAS COUNTY &amp; DISTRICT RET"</f>
        <v>TEXAS COUNTY &amp; DISTRICT RET</v>
      </c>
    </row>
    <row r="2715" spans="1:8" x14ac:dyDescent="0.25">
      <c r="A2715" t="s">
        <v>547</v>
      </c>
      <c r="B2715">
        <v>46626</v>
      </c>
      <c r="C2715" s="3">
        <v>1110</v>
      </c>
      <c r="D2715" s="1">
        <v>43368</v>
      </c>
      <c r="E2715" t="str">
        <f>"LEG201809053424"</f>
        <v>LEG201809053424</v>
      </c>
      <c r="F2715" t="str">
        <f>"TEXAS LEGAL PROTECTION PLAN"</f>
        <v>TEXAS LEGAL PROTECTION PLAN</v>
      </c>
      <c r="G2715" s="2">
        <v>555</v>
      </c>
      <c r="H2715" t="str">
        <f>"TEXAS LEGAL PROTECTION PLAN"</f>
        <v>TEXAS LEGAL PROTECTION PLAN</v>
      </c>
    </row>
    <row r="2716" spans="1:8" x14ac:dyDescent="0.25">
      <c r="E2716" t="str">
        <f>"LEG201809193851"</f>
        <v>LEG201809193851</v>
      </c>
      <c r="F2716" t="str">
        <f>"TEXAS LEGAL PROTECTION PLAN"</f>
        <v>TEXAS LEGAL PROTECTION PLAN</v>
      </c>
      <c r="G2716" s="2">
        <v>555</v>
      </c>
      <c r="H2716" t="str">
        <f>"TEXAS LEGAL PROTECTION PLAN"</f>
        <v>TEXAS LEGAL PROTECTION PLAN</v>
      </c>
    </row>
    <row r="2717" spans="1:8" x14ac:dyDescent="0.25">
      <c r="A2717" t="s">
        <v>548</v>
      </c>
      <c r="B2717">
        <v>46599</v>
      </c>
      <c r="C2717" s="3">
        <v>218.61</v>
      </c>
      <c r="D2717" s="1">
        <v>43350</v>
      </c>
      <c r="E2717" t="str">
        <f>"SL6201809053424"</f>
        <v>SL6201809053424</v>
      </c>
      <c r="F2717" t="str">
        <f>"TG STUDENT LOAN - P CROUCH"</f>
        <v>TG STUDENT LOAN - P CROUCH</v>
      </c>
      <c r="G2717" s="2">
        <v>218.61</v>
      </c>
      <c r="H2717" t="str">
        <f>"TG STUDENT LOAN - P CROUCH"</f>
        <v>TG STUDENT LOAN - P CROUCH</v>
      </c>
    </row>
    <row r="2718" spans="1:8" x14ac:dyDescent="0.25">
      <c r="A2718" t="s">
        <v>548</v>
      </c>
      <c r="B2718">
        <v>46624</v>
      </c>
      <c r="C2718" s="3">
        <v>218.61</v>
      </c>
      <c r="D2718" s="1">
        <v>43364</v>
      </c>
      <c r="E2718" t="str">
        <f>"SL6201809193851"</f>
        <v>SL6201809193851</v>
      </c>
      <c r="F2718" t="str">
        <f>"TG STUDENT LOAN - P CROUCH"</f>
        <v>TG STUDENT LOAN - P CROUCH</v>
      </c>
      <c r="G2718" s="2">
        <v>218.61</v>
      </c>
      <c r="H2718" t="str">
        <f>"TG STUDENT LOAN - P CROUCH"</f>
        <v>TG STUDENT LOAN - P CROUCH</v>
      </c>
    </row>
    <row r="2719" spans="1:8" x14ac:dyDescent="0.25">
      <c r="A2719" t="s">
        <v>549</v>
      </c>
      <c r="B2719">
        <v>46598</v>
      </c>
      <c r="C2719" s="3">
        <v>388.48</v>
      </c>
      <c r="D2719" s="1">
        <v>43350</v>
      </c>
      <c r="E2719" t="str">
        <f>"S11201809053424"</f>
        <v>S11201809053424</v>
      </c>
      <c r="F2719" t="str">
        <f>"STUDENT LOAN KIRKPATRICK"</f>
        <v>STUDENT LOAN KIRKPATRICK</v>
      </c>
      <c r="G2719" s="2">
        <v>175.83</v>
      </c>
      <c r="H2719" t="str">
        <f>"STUDENT LOAN KIRKPATRICK"</f>
        <v>STUDENT LOAN KIRKPATRICK</v>
      </c>
    </row>
    <row r="2720" spans="1:8" x14ac:dyDescent="0.25">
      <c r="E2720" t="str">
        <f>"SL9201809053424"</f>
        <v>SL9201809053424</v>
      </c>
      <c r="F2720" t="str">
        <f>"STUDENT LOAN"</f>
        <v>STUDENT LOAN</v>
      </c>
      <c r="G2720" s="2">
        <v>212.65</v>
      </c>
      <c r="H2720" t="str">
        <f>"STUDENT LOAN"</f>
        <v>STUDENT LOAN</v>
      </c>
    </row>
    <row r="2721" spans="1:8" x14ac:dyDescent="0.25">
      <c r="A2721" t="s">
        <v>549</v>
      </c>
      <c r="B2721">
        <v>46623</v>
      </c>
      <c r="C2721" s="3">
        <v>388.48</v>
      </c>
      <c r="D2721" s="1">
        <v>43364</v>
      </c>
      <c r="E2721" t="str">
        <f>"S11201809193851"</f>
        <v>S11201809193851</v>
      </c>
      <c r="F2721" t="str">
        <f>"STUDENT LOAN KIRKPATRICK"</f>
        <v>STUDENT LOAN KIRKPATRICK</v>
      </c>
      <c r="G2721" s="2">
        <v>175.83</v>
      </c>
      <c r="H2721" t="str">
        <f>"STUDENT LOAN KIRKPATRICK"</f>
        <v>STUDENT LOAN KIRKPATRICK</v>
      </c>
    </row>
    <row r="2722" spans="1:8" x14ac:dyDescent="0.25">
      <c r="E2722" t="str">
        <f>"SL9201809193851"</f>
        <v>SL9201809193851</v>
      </c>
      <c r="F2722" t="str">
        <f>"STUDENT LOAN"</f>
        <v>STUDENT LOAN</v>
      </c>
      <c r="G2722" s="2">
        <v>212.65</v>
      </c>
      <c r="H2722" t="str">
        <f>"STUDENT LOAN"</f>
        <v>STUDENT LOAN</v>
      </c>
    </row>
    <row r="2723" spans="1:8" x14ac:dyDescent="0.25">
      <c r="A2723" t="s">
        <v>502</v>
      </c>
      <c r="B2723">
        <v>0</v>
      </c>
      <c r="C2723" s="3">
        <v>10997.66</v>
      </c>
      <c r="D2723" s="1">
        <v>43350</v>
      </c>
      <c r="E2723" t="str">
        <f>"FSA201809053424"</f>
        <v>FSA201809053424</v>
      </c>
      <c r="F2723" t="str">
        <f>"WAGE WORKS"</f>
        <v>WAGE WORKS</v>
      </c>
      <c r="G2723" s="2">
        <v>8193.49</v>
      </c>
      <c r="H2723" t="str">
        <f>"WAGE WORKS"</f>
        <v>WAGE WORKS</v>
      </c>
    </row>
    <row r="2724" spans="1:8" x14ac:dyDescent="0.25">
      <c r="E2724" t="str">
        <f>"FSA201809053425"</f>
        <v>FSA201809053425</v>
      </c>
      <c r="F2724" t="str">
        <f>"WAGE WORKS"</f>
        <v>WAGE WORKS</v>
      </c>
      <c r="G2724" s="2">
        <v>574</v>
      </c>
      <c r="H2724" t="str">
        <f>"WAGE WORKS"</f>
        <v>WAGE WORKS</v>
      </c>
    </row>
    <row r="2725" spans="1:8" x14ac:dyDescent="0.25">
      <c r="E2725" t="str">
        <f>"FSC201809053424"</f>
        <v>FSC201809053424</v>
      </c>
      <c r="F2725" t="str">
        <f>"WAGE WORKS"</f>
        <v>WAGE WORKS</v>
      </c>
      <c r="G2725" s="2">
        <v>913.95</v>
      </c>
      <c r="H2725" t="str">
        <f>"WAGE WORKS"</f>
        <v>WAGE WORKS</v>
      </c>
    </row>
    <row r="2726" spans="1:8" x14ac:dyDescent="0.25">
      <c r="E2726" t="str">
        <f>"FSF201809053424"</f>
        <v>FSF201809053424</v>
      </c>
      <c r="F2726" t="str">
        <f>"WAGE WORKS - FSA &amp; HRA FEES"</f>
        <v>WAGE WORKS - FSA &amp; HRA FEES</v>
      </c>
      <c r="G2726" s="2">
        <v>519.4</v>
      </c>
      <c r="H2726" t="str">
        <f t="shared" ref="H2726:H2766" si="45">"WAGE WORKS - FSA &amp; HRA FEES"</f>
        <v>WAGE WORKS - FSA &amp; HRA FEES</v>
      </c>
    </row>
    <row r="2727" spans="1:8" x14ac:dyDescent="0.25">
      <c r="E2727" t="str">
        <f>""</f>
        <v/>
      </c>
      <c r="F2727" t="str">
        <f>""</f>
        <v/>
      </c>
      <c r="H2727" t="str">
        <f t="shared" si="45"/>
        <v>WAGE WORKS - FSA &amp; HRA FEES</v>
      </c>
    </row>
    <row r="2728" spans="1:8" x14ac:dyDescent="0.25">
      <c r="E2728" t="str">
        <f>""</f>
        <v/>
      </c>
      <c r="F2728" t="str">
        <f>""</f>
        <v/>
      </c>
      <c r="H2728" t="str">
        <f t="shared" si="45"/>
        <v>WAGE WORKS - FSA &amp; HRA FEES</v>
      </c>
    </row>
    <row r="2729" spans="1:8" x14ac:dyDescent="0.25">
      <c r="E2729" t="str">
        <f>""</f>
        <v/>
      </c>
      <c r="F2729" t="str">
        <f>""</f>
        <v/>
      </c>
      <c r="H2729" t="str">
        <f t="shared" si="45"/>
        <v>WAGE WORKS - FSA &amp; HRA FEES</v>
      </c>
    </row>
    <row r="2730" spans="1:8" x14ac:dyDescent="0.25">
      <c r="E2730" t="str">
        <f>""</f>
        <v/>
      </c>
      <c r="F2730" t="str">
        <f>""</f>
        <v/>
      </c>
      <c r="H2730" t="str">
        <f t="shared" si="45"/>
        <v>WAGE WORKS - FSA &amp; HRA FEES</v>
      </c>
    </row>
    <row r="2731" spans="1:8" x14ac:dyDescent="0.25">
      <c r="E2731" t="str">
        <f>""</f>
        <v/>
      </c>
      <c r="F2731" t="str">
        <f>""</f>
        <v/>
      </c>
      <c r="H2731" t="str">
        <f t="shared" si="45"/>
        <v>WAGE WORKS - FSA &amp; HRA FEES</v>
      </c>
    </row>
    <row r="2732" spans="1:8" x14ac:dyDescent="0.25">
      <c r="E2732" t="str">
        <f>""</f>
        <v/>
      </c>
      <c r="F2732" t="str">
        <f>""</f>
        <v/>
      </c>
      <c r="H2732" t="str">
        <f t="shared" si="45"/>
        <v>WAGE WORKS - FSA &amp; HRA FEES</v>
      </c>
    </row>
    <row r="2733" spans="1:8" x14ac:dyDescent="0.25">
      <c r="E2733" t="str">
        <f>""</f>
        <v/>
      </c>
      <c r="F2733" t="str">
        <f>""</f>
        <v/>
      </c>
      <c r="H2733" t="str">
        <f t="shared" si="45"/>
        <v>WAGE WORKS - FSA &amp; HRA FEES</v>
      </c>
    </row>
    <row r="2734" spans="1:8" x14ac:dyDescent="0.25">
      <c r="E2734" t="str">
        <f>""</f>
        <v/>
      </c>
      <c r="F2734" t="str">
        <f>""</f>
        <v/>
      </c>
      <c r="H2734" t="str">
        <f t="shared" si="45"/>
        <v>WAGE WORKS - FSA &amp; HRA FEES</v>
      </c>
    </row>
    <row r="2735" spans="1:8" x14ac:dyDescent="0.25">
      <c r="E2735" t="str">
        <f>""</f>
        <v/>
      </c>
      <c r="F2735" t="str">
        <f>""</f>
        <v/>
      </c>
      <c r="H2735" t="str">
        <f t="shared" si="45"/>
        <v>WAGE WORKS - FSA &amp; HRA FEES</v>
      </c>
    </row>
    <row r="2736" spans="1:8" x14ac:dyDescent="0.25">
      <c r="E2736" t="str">
        <f>""</f>
        <v/>
      </c>
      <c r="F2736" t="str">
        <f>""</f>
        <v/>
      </c>
      <c r="H2736" t="str">
        <f t="shared" si="45"/>
        <v>WAGE WORKS - FSA &amp; HRA FEES</v>
      </c>
    </row>
    <row r="2737" spans="5:8" x14ac:dyDescent="0.25">
      <c r="E2737" t="str">
        <f>""</f>
        <v/>
      </c>
      <c r="F2737" t="str">
        <f>""</f>
        <v/>
      </c>
      <c r="H2737" t="str">
        <f t="shared" si="45"/>
        <v>WAGE WORKS - FSA &amp; HRA FEES</v>
      </c>
    </row>
    <row r="2738" spans="5:8" x14ac:dyDescent="0.25">
      <c r="E2738" t="str">
        <f>""</f>
        <v/>
      </c>
      <c r="F2738" t="str">
        <f>""</f>
        <v/>
      </c>
      <c r="H2738" t="str">
        <f t="shared" si="45"/>
        <v>WAGE WORKS - FSA &amp; HRA FEES</v>
      </c>
    </row>
    <row r="2739" spans="5:8" x14ac:dyDescent="0.25">
      <c r="E2739" t="str">
        <f>""</f>
        <v/>
      </c>
      <c r="F2739" t="str">
        <f>""</f>
        <v/>
      </c>
      <c r="H2739" t="str">
        <f t="shared" si="45"/>
        <v>WAGE WORKS - FSA &amp; HRA FEES</v>
      </c>
    </row>
    <row r="2740" spans="5:8" x14ac:dyDescent="0.25">
      <c r="E2740" t="str">
        <f>""</f>
        <v/>
      </c>
      <c r="F2740" t="str">
        <f>""</f>
        <v/>
      </c>
      <c r="H2740" t="str">
        <f t="shared" si="45"/>
        <v>WAGE WORKS - FSA &amp; HRA FEES</v>
      </c>
    </row>
    <row r="2741" spans="5:8" x14ac:dyDescent="0.25">
      <c r="E2741" t="str">
        <f>""</f>
        <v/>
      </c>
      <c r="F2741" t="str">
        <f>""</f>
        <v/>
      </c>
      <c r="H2741" t="str">
        <f t="shared" si="45"/>
        <v>WAGE WORKS - FSA &amp; HRA FEES</v>
      </c>
    </row>
    <row r="2742" spans="5:8" x14ac:dyDescent="0.25">
      <c r="E2742" t="str">
        <f>""</f>
        <v/>
      </c>
      <c r="F2742" t="str">
        <f>""</f>
        <v/>
      </c>
      <c r="H2742" t="str">
        <f t="shared" si="45"/>
        <v>WAGE WORKS - FSA &amp; HRA FEES</v>
      </c>
    </row>
    <row r="2743" spans="5:8" x14ac:dyDescent="0.25">
      <c r="E2743" t="str">
        <f>""</f>
        <v/>
      </c>
      <c r="F2743" t="str">
        <f>""</f>
        <v/>
      </c>
      <c r="H2743" t="str">
        <f t="shared" si="45"/>
        <v>WAGE WORKS - FSA &amp; HRA FEES</v>
      </c>
    </row>
    <row r="2744" spans="5:8" x14ac:dyDescent="0.25">
      <c r="E2744" t="str">
        <f>""</f>
        <v/>
      </c>
      <c r="F2744" t="str">
        <f>""</f>
        <v/>
      </c>
      <c r="H2744" t="str">
        <f t="shared" si="45"/>
        <v>WAGE WORKS - FSA &amp; HRA FEES</v>
      </c>
    </row>
    <row r="2745" spans="5:8" x14ac:dyDescent="0.25">
      <c r="E2745" t="str">
        <f>""</f>
        <v/>
      </c>
      <c r="F2745" t="str">
        <f>""</f>
        <v/>
      </c>
      <c r="H2745" t="str">
        <f t="shared" si="45"/>
        <v>WAGE WORKS - FSA &amp; HRA FEES</v>
      </c>
    </row>
    <row r="2746" spans="5:8" x14ac:dyDescent="0.25">
      <c r="E2746" t="str">
        <f>""</f>
        <v/>
      </c>
      <c r="F2746" t="str">
        <f>""</f>
        <v/>
      </c>
      <c r="H2746" t="str">
        <f t="shared" si="45"/>
        <v>WAGE WORKS - FSA &amp; HRA FEES</v>
      </c>
    </row>
    <row r="2747" spans="5:8" x14ac:dyDescent="0.25">
      <c r="E2747" t="str">
        <f>""</f>
        <v/>
      </c>
      <c r="F2747" t="str">
        <f>""</f>
        <v/>
      </c>
      <c r="H2747" t="str">
        <f t="shared" si="45"/>
        <v>WAGE WORKS - FSA &amp; HRA FEES</v>
      </c>
    </row>
    <row r="2748" spans="5:8" x14ac:dyDescent="0.25">
      <c r="E2748" t="str">
        <f>""</f>
        <v/>
      </c>
      <c r="F2748" t="str">
        <f>""</f>
        <v/>
      </c>
      <c r="H2748" t="str">
        <f t="shared" si="45"/>
        <v>WAGE WORKS - FSA &amp; HRA FEES</v>
      </c>
    </row>
    <row r="2749" spans="5:8" x14ac:dyDescent="0.25">
      <c r="E2749" t="str">
        <f>""</f>
        <v/>
      </c>
      <c r="F2749" t="str">
        <f>""</f>
        <v/>
      </c>
      <c r="H2749" t="str">
        <f t="shared" si="45"/>
        <v>WAGE WORKS - FSA &amp; HRA FEES</v>
      </c>
    </row>
    <row r="2750" spans="5:8" x14ac:dyDescent="0.25">
      <c r="E2750" t="str">
        <f>""</f>
        <v/>
      </c>
      <c r="F2750" t="str">
        <f>""</f>
        <v/>
      </c>
      <c r="H2750" t="str">
        <f t="shared" si="45"/>
        <v>WAGE WORKS - FSA &amp; HRA FEES</v>
      </c>
    </row>
    <row r="2751" spans="5:8" x14ac:dyDescent="0.25">
      <c r="E2751" t="str">
        <f>""</f>
        <v/>
      </c>
      <c r="F2751" t="str">
        <f>""</f>
        <v/>
      </c>
      <c r="H2751" t="str">
        <f t="shared" si="45"/>
        <v>WAGE WORKS - FSA &amp; HRA FEES</v>
      </c>
    </row>
    <row r="2752" spans="5:8" x14ac:dyDescent="0.25">
      <c r="E2752" t="str">
        <f>""</f>
        <v/>
      </c>
      <c r="F2752" t="str">
        <f>""</f>
        <v/>
      </c>
      <c r="H2752" t="str">
        <f t="shared" si="45"/>
        <v>WAGE WORKS - FSA &amp; HRA FEES</v>
      </c>
    </row>
    <row r="2753" spans="5:8" x14ac:dyDescent="0.25">
      <c r="E2753" t="str">
        <f>""</f>
        <v/>
      </c>
      <c r="F2753" t="str">
        <f>""</f>
        <v/>
      </c>
      <c r="H2753" t="str">
        <f t="shared" si="45"/>
        <v>WAGE WORKS - FSA &amp; HRA FEES</v>
      </c>
    </row>
    <row r="2754" spans="5:8" x14ac:dyDescent="0.25">
      <c r="E2754" t="str">
        <f>""</f>
        <v/>
      </c>
      <c r="F2754" t="str">
        <f>""</f>
        <v/>
      </c>
      <c r="H2754" t="str">
        <f t="shared" si="45"/>
        <v>WAGE WORKS - FSA &amp; HRA FEES</v>
      </c>
    </row>
    <row r="2755" spans="5:8" x14ac:dyDescent="0.25">
      <c r="E2755" t="str">
        <f>""</f>
        <v/>
      </c>
      <c r="F2755" t="str">
        <f>""</f>
        <v/>
      </c>
      <c r="H2755" t="str">
        <f t="shared" si="45"/>
        <v>WAGE WORKS - FSA &amp; HRA FEES</v>
      </c>
    </row>
    <row r="2756" spans="5:8" x14ac:dyDescent="0.25">
      <c r="E2756" t="str">
        <f>""</f>
        <v/>
      </c>
      <c r="F2756" t="str">
        <f>""</f>
        <v/>
      </c>
      <c r="H2756" t="str">
        <f t="shared" si="45"/>
        <v>WAGE WORKS - FSA &amp; HRA FEES</v>
      </c>
    </row>
    <row r="2757" spans="5:8" x14ac:dyDescent="0.25">
      <c r="E2757" t="str">
        <f>""</f>
        <v/>
      </c>
      <c r="F2757" t="str">
        <f>""</f>
        <v/>
      </c>
      <c r="H2757" t="str">
        <f t="shared" si="45"/>
        <v>WAGE WORKS - FSA &amp; HRA FEES</v>
      </c>
    </row>
    <row r="2758" spans="5:8" x14ac:dyDescent="0.25">
      <c r="E2758" t="str">
        <f>""</f>
        <v/>
      </c>
      <c r="F2758" t="str">
        <f>""</f>
        <v/>
      </c>
      <c r="H2758" t="str">
        <f t="shared" si="45"/>
        <v>WAGE WORKS - FSA &amp; HRA FEES</v>
      </c>
    </row>
    <row r="2759" spans="5:8" x14ac:dyDescent="0.25">
      <c r="E2759" t="str">
        <f>""</f>
        <v/>
      </c>
      <c r="F2759" t="str">
        <f>""</f>
        <v/>
      </c>
      <c r="H2759" t="str">
        <f t="shared" si="45"/>
        <v>WAGE WORKS - FSA &amp; HRA FEES</v>
      </c>
    </row>
    <row r="2760" spans="5:8" x14ac:dyDescent="0.25">
      <c r="E2760" t="str">
        <f>""</f>
        <v/>
      </c>
      <c r="F2760" t="str">
        <f>""</f>
        <v/>
      </c>
      <c r="H2760" t="str">
        <f t="shared" si="45"/>
        <v>WAGE WORKS - FSA &amp; HRA FEES</v>
      </c>
    </row>
    <row r="2761" spans="5:8" x14ac:dyDescent="0.25">
      <c r="E2761" t="str">
        <f>""</f>
        <v/>
      </c>
      <c r="F2761" t="str">
        <f>""</f>
        <v/>
      </c>
      <c r="H2761" t="str">
        <f t="shared" si="45"/>
        <v>WAGE WORKS - FSA &amp; HRA FEES</v>
      </c>
    </row>
    <row r="2762" spans="5:8" x14ac:dyDescent="0.25">
      <c r="E2762" t="str">
        <f>""</f>
        <v/>
      </c>
      <c r="F2762" t="str">
        <f>""</f>
        <v/>
      </c>
      <c r="H2762" t="str">
        <f t="shared" si="45"/>
        <v>WAGE WORKS - FSA &amp; HRA FEES</v>
      </c>
    </row>
    <row r="2763" spans="5:8" x14ac:dyDescent="0.25">
      <c r="E2763" t="str">
        <f>""</f>
        <v/>
      </c>
      <c r="F2763" t="str">
        <f>""</f>
        <v/>
      </c>
      <c r="H2763" t="str">
        <f t="shared" si="45"/>
        <v>WAGE WORKS - FSA &amp; HRA FEES</v>
      </c>
    </row>
    <row r="2764" spans="5:8" x14ac:dyDescent="0.25">
      <c r="E2764" t="str">
        <f>""</f>
        <v/>
      </c>
      <c r="F2764" t="str">
        <f>""</f>
        <v/>
      </c>
      <c r="H2764" t="str">
        <f t="shared" si="45"/>
        <v>WAGE WORKS - FSA &amp; HRA FEES</v>
      </c>
    </row>
    <row r="2765" spans="5:8" x14ac:dyDescent="0.25">
      <c r="E2765" t="str">
        <f>""</f>
        <v/>
      </c>
      <c r="F2765" t="str">
        <f>""</f>
        <v/>
      </c>
      <c r="H2765" t="str">
        <f t="shared" si="45"/>
        <v>WAGE WORKS - FSA &amp; HRA FEES</v>
      </c>
    </row>
    <row r="2766" spans="5:8" x14ac:dyDescent="0.25">
      <c r="E2766" t="str">
        <f>"FSF201809053425"</f>
        <v>FSF201809053425</v>
      </c>
      <c r="F2766" t="str">
        <f>"WAGE WORKS - FSA &amp; HRA FEES"</f>
        <v>WAGE WORKS - FSA &amp; HRA FEES</v>
      </c>
      <c r="G2766" s="2">
        <v>25.97</v>
      </c>
      <c r="H2766" t="str">
        <f t="shared" si="45"/>
        <v>WAGE WORKS - FSA &amp; HRA FEES</v>
      </c>
    </row>
    <row r="2767" spans="5:8" x14ac:dyDescent="0.25">
      <c r="E2767" t="str">
        <f>"FSO201809053424"</f>
        <v>FSO201809053424</v>
      </c>
      <c r="F2767" t="str">
        <f>"WAGE WORKS - FSA FEES"</f>
        <v>WAGE WORKS - FSA FEES</v>
      </c>
      <c r="G2767" s="2">
        <v>11.16</v>
      </c>
      <c r="H2767" t="str">
        <f t="shared" ref="H2767:H2774" si="46">"WAGE WORKS - FSA FEES"</f>
        <v>WAGE WORKS - FSA FEES</v>
      </c>
    </row>
    <row r="2768" spans="5:8" x14ac:dyDescent="0.25">
      <c r="E2768" t="str">
        <f>""</f>
        <v/>
      </c>
      <c r="F2768" t="str">
        <f>""</f>
        <v/>
      </c>
      <c r="H2768" t="str">
        <f t="shared" si="46"/>
        <v>WAGE WORKS - FSA FEES</v>
      </c>
    </row>
    <row r="2769" spans="5:8" x14ac:dyDescent="0.25">
      <c r="E2769" t="str">
        <f>""</f>
        <v/>
      </c>
      <c r="F2769" t="str">
        <f>""</f>
        <v/>
      </c>
      <c r="H2769" t="str">
        <f t="shared" si="46"/>
        <v>WAGE WORKS - FSA FEES</v>
      </c>
    </row>
    <row r="2770" spans="5:8" x14ac:dyDescent="0.25">
      <c r="E2770" t="str">
        <f>""</f>
        <v/>
      </c>
      <c r="F2770" t="str">
        <f>""</f>
        <v/>
      </c>
      <c r="H2770" t="str">
        <f t="shared" si="46"/>
        <v>WAGE WORKS - FSA FEES</v>
      </c>
    </row>
    <row r="2771" spans="5:8" x14ac:dyDescent="0.25">
      <c r="E2771" t="str">
        <f>""</f>
        <v/>
      </c>
      <c r="F2771" t="str">
        <f>""</f>
        <v/>
      </c>
      <c r="H2771" t="str">
        <f t="shared" si="46"/>
        <v>WAGE WORKS - FSA FEES</v>
      </c>
    </row>
    <row r="2772" spans="5:8" x14ac:dyDescent="0.25">
      <c r="E2772" t="str">
        <f>""</f>
        <v/>
      </c>
      <c r="F2772" t="str">
        <f>""</f>
        <v/>
      </c>
      <c r="H2772" t="str">
        <f t="shared" si="46"/>
        <v>WAGE WORKS - FSA FEES</v>
      </c>
    </row>
    <row r="2773" spans="5:8" x14ac:dyDescent="0.25">
      <c r="E2773" t="str">
        <f>""</f>
        <v/>
      </c>
      <c r="F2773" t="str">
        <f>""</f>
        <v/>
      </c>
      <c r="H2773" t="str">
        <f t="shared" si="46"/>
        <v>WAGE WORKS - FSA FEES</v>
      </c>
    </row>
    <row r="2774" spans="5:8" x14ac:dyDescent="0.25">
      <c r="E2774" t="str">
        <f>"FSO201809053425"</f>
        <v>FSO201809053425</v>
      </c>
      <c r="F2774" t="str">
        <f>"WAGE WORKS - FSA FEES"</f>
        <v>WAGE WORKS - FSA FEES</v>
      </c>
      <c r="G2774" s="2">
        <v>1.86</v>
      </c>
      <c r="H2774" t="str">
        <f t="shared" si="46"/>
        <v>WAGE WORKS - FSA FEES</v>
      </c>
    </row>
    <row r="2775" spans="5:8" x14ac:dyDescent="0.25">
      <c r="E2775" t="str">
        <f>"HRA201809053424"</f>
        <v>HRA201809053424</v>
      </c>
      <c r="F2775" t="str">
        <f>"WAGE WORKS"</f>
        <v>WAGE WORKS</v>
      </c>
      <c r="G2775" s="2">
        <v>233.31</v>
      </c>
      <c r="H2775" t="str">
        <f>"WAGE WORKS"</f>
        <v>WAGE WORKS</v>
      </c>
    </row>
    <row r="2776" spans="5:8" x14ac:dyDescent="0.25">
      <c r="E2776" t="str">
        <f>""</f>
        <v/>
      </c>
      <c r="F2776" t="str">
        <f>""</f>
        <v/>
      </c>
      <c r="H2776" t="str">
        <f>"WAGE WORKS"</f>
        <v>WAGE WORKS</v>
      </c>
    </row>
    <row r="2777" spans="5:8" x14ac:dyDescent="0.25">
      <c r="E2777" t="str">
        <f>""</f>
        <v/>
      </c>
      <c r="F2777" t="str">
        <f>""</f>
        <v/>
      </c>
      <c r="H2777" t="str">
        <f>"WAGE WORKS"</f>
        <v>WAGE WORKS</v>
      </c>
    </row>
    <row r="2778" spans="5:8" x14ac:dyDescent="0.25">
      <c r="E2778" t="str">
        <f>"HRF201809053424"</f>
        <v>HRF201809053424</v>
      </c>
      <c r="F2778" t="str">
        <f>"WAGE WORKS - HRA FEES"</f>
        <v>WAGE WORKS - HRA FEES</v>
      </c>
      <c r="G2778" s="2">
        <v>509.64</v>
      </c>
      <c r="H2778" t="str">
        <f t="shared" ref="H2778:H2816" si="47">"WAGE WORKS - HRA FEES"</f>
        <v>WAGE WORKS - HRA FEES</v>
      </c>
    </row>
    <row r="2779" spans="5:8" x14ac:dyDescent="0.25">
      <c r="E2779" t="str">
        <f>""</f>
        <v/>
      </c>
      <c r="F2779" t="str">
        <f>""</f>
        <v/>
      </c>
      <c r="H2779" t="str">
        <f t="shared" si="47"/>
        <v>WAGE WORKS - HRA FEES</v>
      </c>
    </row>
    <row r="2780" spans="5:8" x14ac:dyDescent="0.25">
      <c r="E2780" t="str">
        <f>""</f>
        <v/>
      </c>
      <c r="F2780" t="str">
        <f>""</f>
        <v/>
      </c>
      <c r="H2780" t="str">
        <f t="shared" si="47"/>
        <v>WAGE WORKS - HRA FEES</v>
      </c>
    </row>
    <row r="2781" spans="5:8" x14ac:dyDescent="0.25">
      <c r="E2781" t="str">
        <f>""</f>
        <v/>
      </c>
      <c r="F2781" t="str">
        <f>""</f>
        <v/>
      </c>
      <c r="H2781" t="str">
        <f t="shared" si="47"/>
        <v>WAGE WORKS - HRA FEES</v>
      </c>
    </row>
    <row r="2782" spans="5:8" x14ac:dyDescent="0.25">
      <c r="E2782" t="str">
        <f>""</f>
        <v/>
      </c>
      <c r="F2782" t="str">
        <f>""</f>
        <v/>
      </c>
      <c r="H2782" t="str">
        <f t="shared" si="47"/>
        <v>WAGE WORKS - HRA FEES</v>
      </c>
    </row>
    <row r="2783" spans="5:8" x14ac:dyDescent="0.25">
      <c r="E2783" t="str">
        <f>""</f>
        <v/>
      </c>
      <c r="F2783" t="str">
        <f>""</f>
        <v/>
      </c>
      <c r="H2783" t="str">
        <f t="shared" si="47"/>
        <v>WAGE WORKS - HRA FEES</v>
      </c>
    </row>
    <row r="2784" spans="5:8" x14ac:dyDescent="0.25">
      <c r="E2784" t="str">
        <f>""</f>
        <v/>
      </c>
      <c r="F2784" t="str">
        <f>""</f>
        <v/>
      </c>
      <c r="H2784" t="str">
        <f t="shared" si="47"/>
        <v>WAGE WORKS - HRA FEES</v>
      </c>
    </row>
    <row r="2785" spans="5:8" x14ac:dyDescent="0.25">
      <c r="E2785" t="str">
        <f>""</f>
        <v/>
      </c>
      <c r="F2785" t="str">
        <f>""</f>
        <v/>
      </c>
      <c r="H2785" t="str">
        <f t="shared" si="47"/>
        <v>WAGE WORKS - HRA FEES</v>
      </c>
    </row>
    <row r="2786" spans="5:8" x14ac:dyDescent="0.25">
      <c r="E2786" t="str">
        <f>""</f>
        <v/>
      </c>
      <c r="F2786" t="str">
        <f>""</f>
        <v/>
      </c>
      <c r="H2786" t="str">
        <f t="shared" si="47"/>
        <v>WAGE WORKS - HRA FEES</v>
      </c>
    </row>
    <row r="2787" spans="5:8" x14ac:dyDescent="0.25">
      <c r="E2787" t="str">
        <f>""</f>
        <v/>
      </c>
      <c r="F2787" t="str">
        <f>""</f>
        <v/>
      </c>
      <c r="H2787" t="str">
        <f t="shared" si="47"/>
        <v>WAGE WORKS - HRA FEES</v>
      </c>
    </row>
    <row r="2788" spans="5:8" x14ac:dyDescent="0.25">
      <c r="E2788" t="str">
        <f>""</f>
        <v/>
      </c>
      <c r="F2788" t="str">
        <f>""</f>
        <v/>
      </c>
      <c r="H2788" t="str">
        <f t="shared" si="47"/>
        <v>WAGE WORKS - HRA FEES</v>
      </c>
    </row>
    <row r="2789" spans="5:8" x14ac:dyDescent="0.25">
      <c r="E2789" t="str">
        <f>""</f>
        <v/>
      </c>
      <c r="F2789" t="str">
        <f>""</f>
        <v/>
      </c>
      <c r="H2789" t="str">
        <f t="shared" si="47"/>
        <v>WAGE WORKS - HRA FEES</v>
      </c>
    </row>
    <row r="2790" spans="5:8" x14ac:dyDescent="0.25">
      <c r="E2790" t="str">
        <f>""</f>
        <v/>
      </c>
      <c r="F2790" t="str">
        <f>""</f>
        <v/>
      </c>
      <c r="H2790" t="str">
        <f t="shared" si="47"/>
        <v>WAGE WORKS - HRA FEES</v>
      </c>
    </row>
    <row r="2791" spans="5:8" x14ac:dyDescent="0.25">
      <c r="E2791" t="str">
        <f>""</f>
        <v/>
      </c>
      <c r="F2791" t="str">
        <f>""</f>
        <v/>
      </c>
      <c r="H2791" t="str">
        <f t="shared" si="47"/>
        <v>WAGE WORKS - HRA FEES</v>
      </c>
    </row>
    <row r="2792" spans="5:8" x14ac:dyDescent="0.25">
      <c r="E2792" t="str">
        <f>""</f>
        <v/>
      </c>
      <c r="F2792" t="str">
        <f>""</f>
        <v/>
      </c>
      <c r="H2792" t="str">
        <f t="shared" si="47"/>
        <v>WAGE WORKS - HRA FEES</v>
      </c>
    </row>
    <row r="2793" spans="5:8" x14ac:dyDescent="0.25">
      <c r="E2793" t="str">
        <f>""</f>
        <v/>
      </c>
      <c r="F2793" t="str">
        <f>""</f>
        <v/>
      </c>
      <c r="H2793" t="str">
        <f t="shared" si="47"/>
        <v>WAGE WORKS - HRA FEES</v>
      </c>
    </row>
    <row r="2794" spans="5:8" x14ac:dyDescent="0.25">
      <c r="E2794" t="str">
        <f>""</f>
        <v/>
      </c>
      <c r="F2794" t="str">
        <f>""</f>
        <v/>
      </c>
      <c r="H2794" t="str">
        <f t="shared" si="47"/>
        <v>WAGE WORKS - HRA FEES</v>
      </c>
    </row>
    <row r="2795" spans="5:8" x14ac:dyDescent="0.25">
      <c r="E2795" t="str">
        <f>""</f>
        <v/>
      </c>
      <c r="F2795" t="str">
        <f>""</f>
        <v/>
      </c>
      <c r="H2795" t="str">
        <f t="shared" si="47"/>
        <v>WAGE WORKS - HRA FEES</v>
      </c>
    </row>
    <row r="2796" spans="5:8" x14ac:dyDescent="0.25">
      <c r="E2796" t="str">
        <f>""</f>
        <v/>
      </c>
      <c r="F2796" t="str">
        <f>""</f>
        <v/>
      </c>
      <c r="H2796" t="str">
        <f t="shared" si="47"/>
        <v>WAGE WORKS - HRA FEES</v>
      </c>
    </row>
    <row r="2797" spans="5:8" x14ac:dyDescent="0.25">
      <c r="E2797" t="str">
        <f>""</f>
        <v/>
      </c>
      <c r="F2797" t="str">
        <f>""</f>
        <v/>
      </c>
      <c r="H2797" t="str">
        <f t="shared" si="47"/>
        <v>WAGE WORKS - HRA FEES</v>
      </c>
    </row>
    <row r="2798" spans="5:8" x14ac:dyDescent="0.25">
      <c r="E2798" t="str">
        <f>""</f>
        <v/>
      </c>
      <c r="F2798" t="str">
        <f>""</f>
        <v/>
      </c>
      <c r="H2798" t="str">
        <f t="shared" si="47"/>
        <v>WAGE WORKS - HRA FEES</v>
      </c>
    </row>
    <row r="2799" spans="5:8" x14ac:dyDescent="0.25">
      <c r="E2799" t="str">
        <f>""</f>
        <v/>
      </c>
      <c r="F2799" t="str">
        <f>""</f>
        <v/>
      </c>
      <c r="H2799" t="str">
        <f t="shared" si="47"/>
        <v>WAGE WORKS - HRA FEES</v>
      </c>
    </row>
    <row r="2800" spans="5:8" x14ac:dyDescent="0.25">
      <c r="E2800" t="str">
        <f>""</f>
        <v/>
      </c>
      <c r="F2800" t="str">
        <f>""</f>
        <v/>
      </c>
      <c r="H2800" t="str">
        <f t="shared" si="47"/>
        <v>WAGE WORKS - HRA FEES</v>
      </c>
    </row>
    <row r="2801" spans="5:8" x14ac:dyDescent="0.25">
      <c r="E2801" t="str">
        <f>""</f>
        <v/>
      </c>
      <c r="F2801" t="str">
        <f>""</f>
        <v/>
      </c>
      <c r="H2801" t="str">
        <f t="shared" si="47"/>
        <v>WAGE WORKS - HRA FEES</v>
      </c>
    </row>
    <row r="2802" spans="5:8" x14ac:dyDescent="0.25">
      <c r="E2802" t="str">
        <f>""</f>
        <v/>
      </c>
      <c r="F2802" t="str">
        <f>""</f>
        <v/>
      </c>
      <c r="H2802" t="str">
        <f t="shared" si="47"/>
        <v>WAGE WORKS - HRA FEES</v>
      </c>
    </row>
    <row r="2803" spans="5:8" x14ac:dyDescent="0.25">
      <c r="E2803" t="str">
        <f>""</f>
        <v/>
      </c>
      <c r="F2803" t="str">
        <f>""</f>
        <v/>
      </c>
      <c r="H2803" t="str">
        <f t="shared" si="47"/>
        <v>WAGE WORKS - HRA FEES</v>
      </c>
    </row>
    <row r="2804" spans="5:8" x14ac:dyDescent="0.25">
      <c r="E2804" t="str">
        <f>""</f>
        <v/>
      </c>
      <c r="F2804" t="str">
        <f>""</f>
        <v/>
      </c>
      <c r="H2804" t="str">
        <f t="shared" si="47"/>
        <v>WAGE WORKS - HRA FEES</v>
      </c>
    </row>
    <row r="2805" spans="5:8" x14ac:dyDescent="0.25">
      <c r="E2805" t="str">
        <f>""</f>
        <v/>
      </c>
      <c r="F2805" t="str">
        <f>""</f>
        <v/>
      </c>
      <c r="H2805" t="str">
        <f t="shared" si="47"/>
        <v>WAGE WORKS - HRA FEES</v>
      </c>
    </row>
    <row r="2806" spans="5:8" x14ac:dyDescent="0.25">
      <c r="E2806" t="str">
        <f>""</f>
        <v/>
      </c>
      <c r="F2806" t="str">
        <f>""</f>
        <v/>
      </c>
      <c r="H2806" t="str">
        <f t="shared" si="47"/>
        <v>WAGE WORKS - HRA FEES</v>
      </c>
    </row>
    <row r="2807" spans="5:8" x14ac:dyDescent="0.25">
      <c r="E2807" t="str">
        <f>""</f>
        <v/>
      </c>
      <c r="F2807" t="str">
        <f>""</f>
        <v/>
      </c>
      <c r="H2807" t="str">
        <f t="shared" si="47"/>
        <v>WAGE WORKS - HRA FEES</v>
      </c>
    </row>
    <row r="2808" spans="5:8" x14ac:dyDescent="0.25">
      <c r="E2808" t="str">
        <f>""</f>
        <v/>
      </c>
      <c r="F2808" t="str">
        <f>""</f>
        <v/>
      </c>
      <c r="H2808" t="str">
        <f t="shared" si="47"/>
        <v>WAGE WORKS - HRA FEES</v>
      </c>
    </row>
    <row r="2809" spans="5:8" x14ac:dyDescent="0.25">
      <c r="E2809" t="str">
        <f>""</f>
        <v/>
      </c>
      <c r="F2809" t="str">
        <f>""</f>
        <v/>
      </c>
      <c r="H2809" t="str">
        <f t="shared" si="47"/>
        <v>WAGE WORKS - HRA FEES</v>
      </c>
    </row>
    <row r="2810" spans="5:8" x14ac:dyDescent="0.25">
      <c r="E2810" t="str">
        <f>""</f>
        <v/>
      </c>
      <c r="F2810" t="str">
        <f>""</f>
        <v/>
      </c>
      <c r="H2810" t="str">
        <f t="shared" si="47"/>
        <v>WAGE WORKS - HRA FEES</v>
      </c>
    </row>
    <row r="2811" spans="5:8" x14ac:dyDescent="0.25">
      <c r="E2811" t="str">
        <f>""</f>
        <v/>
      </c>
      <c r="F2811" t="str">
        <f>""</f>
        <v/>
      </c>
      <c r="H2811" t="str">
        <f t="shared" si="47"/>
        <v>WAGE WORKS - HRA FEES</v>
      </c>
    </row>
    <row r="2812" spans="5:8" x14ac:dyDescent="0.25">
      <c r="E2812" t="str">
        <f>""</f>
        <v/>
      </c>
      <c r="F2812" t="str">
        <f>""</f>
        <v/>
      </c>
      <c r="H2812" t="str">
        <f t="shared" si="47"/>
        <v>WAGE WORKS - HRA FEES</v>
      </c>
    </row>
    <row r="2813" spans="5:8" x14ac:dyDescent="0.25">
      <c r="E2813" t="str">
        <f>""</f>
        <v/>
      </c>
      <c r="F2813" t="str">
        <f>""</f>
        <v/>
      </c>
      <c r="H2813" t="str">
        <f t="shared" si="47"/>
        <v>WAGE WORKS - HRA FEES</v>
      </c>
    </row>
    <row r="2814" spans="5:8" x14ac:dyDescent="0.25">
      <c r="E2814" t="str">
        <f>""</f>
        <v/>
      </c>
      <c r="F2814" t="str">
        <f>""</f>
        <v/>
      </c>
      <c r="H2814" t="str">
        <f t="shared" si="47"/>
        <v>WAGE WORKS - HRA FEES</v>
      </c>
    </row>
    <row r="2815" spans="5:8" x14ac:dyDescent="0.25">
      <c r="E2815" t="str">
        <f>""</f>
        <v/>
      </c>
      <c r="F2815" t="str">
        <f>""</f>
        <v/>
      </c>
      <c r="H2815" t="str">
        <f t="shared" si="47"/>
        <v>WAGE WORKS - HRA FEES</v>
      </c>
    </row>
    <row r="2816" spans="5:8" x14ac:dyDescent="0.25">
      <c r="E2816" t="str">
        <f>"HRF201809053425"</f>
        <v>HRF201809053425</v>
      </c>
      <c r="F2816" t="str">
        <f>"WAGE WORKS - HRA FEES"</f>
        <v>WAGE WORKS - HRA FEES</v>
      </c>
      <c r="G2816" s="2">
        <v>14.88</v>
      </c>
      <c r="H2816" t="str">
        <f t="shared" si="47"/>
        <v>WAGE WORKS - HRA FEES</v>
      </c>
    </row>
    <row r="2817" spans="1:8" x14ac:dyDescent="0.25">
      <c r="A2817" t="s">
        <v>502</v>
      </c>
      <c r="B2817">
        <v>0</v>
      </c>
      <c r="C2817" s="3">
        <v>10855.49</v>
      </c>
      <c r="D2817" s="1">
        <v>43364</v>
      </c>
      <c r="E2817" t="str">
        <f>"FSA201809193851"</f>
        <v>FSA201809193851</v>
      </c>
      <c r="F2817" t="str">
        <f>"WAGE WORKS"</f>
        <v>WAGE WORKS</v>
      </c>
      <c r="G2817" s="2">
        <v>8273.49</v>
      </c>
      <c r="H2817" t="str">
        <f>"WAGE WORKS"</f>
        <v>WAGE WORKS</v>
      </c>
    </row>
    <row r="2818" spans="1:8" x14ac:dyDescent="0.25">
      <c r="E2818" t="str">
        <f>"FSA201809193863"</f>
        <v>FSA201809193863</v>
      </c>
      <c r="F2818" t="str">
        <f>"WAGE WORKS"</f>
        <v>WAGE WORKS</v>
      </c>
      <c r="G2818" s="2">
        <v>574</v>
      </c>
      <c r="H2818" t="str">
        <f>"WAGE WORKS"</f>
        <v>WAGE WORKS</v>
      </c>
    </row>
    <row r="2819" spans="1:8" x14ac:dyDescent="0.25">
      <c r="E2819" t="str">
        <f>"FSC201809193851"</f>
        <v>FSC201809193851</v>
      </c>
      <c r="F2819" t="str">
        <f>"WAGE WORKS"</f>
        <v>WAGE WORKS</v>
      </c>
      <c r="G2819" s="2">
        <v>913.95</v>
      </c>
      <c r="H2819" t="str">
        <f>"WAGE WORKS"</f>
        <v>WAGE WORKS</v>
      </c>
    </row>
    <row r="2820" spans="1:8" x14ac:dyDescent="0.25">
      <c r="E2820" t="str">
        <f>"FSF201809193851"</f>
        <v>FSF201809193851</v>
      </c>
      <c r="F2820" t="str">
        <f>"WAGE WORKS - FSA &amp; HRA FEES"</f>
        <v>WAGE WORKS - FSA &amp; HRA FEES</v>
      </c>
      <c r="G2820" s="2">
        <v>526.82000000000005</v>
      </c>
      <c r="H2820" t="str">
        <f t="shared" ref="H2820:H2860" si="48">"WAGE WORKS - FSA &amp; HRA FEES"</f>
        <v>WAGE WORKS - FSA &amp; HRA FEES</v>
      </c>
    </row>
    <row r="2821" spans="1:8" x14ac:dyDescent="0.25">
      <c r="E2821" t="str">
        <f>""</f>
        <v/>
      </c>
      <c r="F2821" t="str">
        <f>""</f>
        <v/>
      </c>
      <c r="H2821" t="str">
        <f t="shared" si="48"/>
        <v>WAGE WORKS - FSA &amp; HRA FEES</v>
      </c>
    </row>
    <row r="2822" spans="1:8" x14ac:dyDescent="0.25">
      <c r="E2822" t="str">
        <f>""</f>
        <v/>
      </c>
      <c r="F2822" t="str">
        <f>""</f>
        <v/>
      </c>
      <c r="H2822" t="str">
        <f t="shared" si="48"/>
        <v>WAGE WORKS - FSA &amp; HRA FEES</v>
      </c>
    </row>
    <row r="2823" spans="1:8" x14ac:dyDescent="0.25">
      <c r="E2823" t="str">
        <f>""</f>
        <v/>
      </c>
      <c r="F2823" t="str">
        <f>""</f>
        <v/>
      </c>
      <c r="H2823" t="str">
        <f t="shared" si="48"/>
        <v>WAGE WORKS - FSA &amp; HRA FEES</v>
      </c>
    </row>
    <row r="2824" spans="1:8" x14ac:dyDescent="0.25">
      <c r="E2824" t="str">
        <f>""</f>
        <v/>
      </c>
      <c r="F2824" t="str">
        <f>""</f>
        <v/>
      </c>
      <c r="H2824" t="str">
        <f t="shared" si="48"/>
        <v>WAGE WORKS - FSA &amp; HRA FEES</v>
      </c>
    </row>
    <row r="2825" spans="1:8" x14ac:dyDescent="0.25">
      <c r="E2825" t="str">
        <f>""</f>
        <v/>
      </c>
      <c r="F2825" t="str">
        <f>""</f>
        <v/>
      </c>
      <c r="H2825" t="str">
        <f t="shared" si="48"/>
        <v>WAGE WORKS - FSA &amp; HRA FEES</v>
      </c>
    </row>
    <row r="2826" spans="1:8" x14ac:dyDescent="0.25">
      <c r="E2826" t="str">
        <f>""</f>
        <v/>
      </c>
      <c r="F2826" t="str">
        <f>""</f>
        <v/>
      </c>
      <c r="H2826" t="str">
        <f t="shared" si="48"/>
        <v>WAGE WORKS - FSA &amp; HRA FEES</v>
      </c>
    </row>
    <row r="2827" spans="1:8" x14ac:dyDescent="0.25">
      <c r="E2827" t="str">
        <f>""</f>
        <v/>
      </c>
      <c r="F2827" t="str">
        <f>""</f>
        <v/>
      </c>
      <c r="H2827" t="str">
        <f t="shared" si="48"/>
        <v>WAGE WORKS - FSA &amp; HRA FEES</v>
      </c>
    </row>
    <row r="2828" spans="1:8" x14ac:dyDescent="0.25">
      <c r="E2828" t="str">
        <f>""</f>
        <v/>
      </c>
      <c r="F2828" t="str">
        <f>""</f>
        <v/>
      </c>
      <c r="H2828" t="str">
        <f t="shared" si="48"/>
        <v>WAGE WORKS - FSA &amp; HRA FEES</v>
      </c>
    </row>
    <row r="2829" spans="1:8" x14ac:dyDescent="0.25">
      <c r="E2829" t="str">
        <f>""</f>
        <v/>
      </c>
      <c r="F2829" t="str">
        <f>""</f>
        <v/>
      </c>
      <c r="H2829" t="str">
        <f t="shared" si="48"/>
        <v>WAGE WORKS - FSA &amp; HRA FEES</v>
      </c>
    </row>
    <row r="2830" spans="1:8" x14ac:dyDescent="0.25">
      <c r="E2830" t="str">
        <f>""</f>
        <v/>
      </c>
      <c r="F2830" t="str">
        <f>""</f>
        <v/>
      </c>
      <c r="H2830" t="str">
        <f t="shared" si="48"/>
        <v>WAGE WORKS - FSA &amp; HRA FEES</v>
      </c>
    </row>
    <row r="2831" spans="1:8" x14ac:dyDescent="0.25">
      <c r="E2831" t="str">
        <f>""</f>
        <v/>
      </c>
      <c r="F2831" t="str">
        <f>""</f>
        <v/>
      </c>
      <c r="H2831" t="str">
        <f t="shared" si="48"/>
        <v>WAGE WORKS - FSA &amp; HRA FEES</v>
      </c>
    </row>
    <row r="2832" spans="1:8" x14ac:dyDescent="0.25">
      <c r="E2832" t="str">
        <f>""</f>
        <v/>
      </c>
      <c r="F2832" t="str">
        <f>""</f>
        <v/>
      </c>
      <c r="H2832" t="str">
        <f t="shared" si="48"/>
        <v>WAGE WORKS - FSA &amp; HRA FEES</v>
      </c>
    </row>
    <row r="2833" spans="5:8" x14ac:dyDescent="0.25">
      <c r="E2833" t="str">
        <f>""</f>
        <v/>
      </c>
      <c r="F2833" t="str">
        <f>""</f>
        <v/>
      </c>
      <c r="H2833" t="str">
        <f t="shared" si="48"/>
        <v>WAGE WORKS - FSA &amp; HRA FEES</v>
      </c>
    </row>
    <row r="2834" spans="5:8" x14ac:dyDescent="0.25">
      <c r="E2834" t="str">
        <f>""</f>
        <v/>
      </c>
      <c r="F2834" t="str">
        <f>""</f>
        <v/>
      </c>
      <c r="H2834" t="str">
        <f t="shared" si="48"/>
        <v>WAGE WORKS - FSA &amp; HRA FEES</v>
      </c>
    </row>
    <row r="2835" spans="5:8" x14ac:dyDescent="0.25">
      <c r="E2835" t="str">
        <f>""</f>
        <v/>
      </c>
      <c r="F2835" t="str">
        <f>""</f>
        <v/>
      </c>
      <c r="H2835" t="str">
        <f t="shared" si="48"/>
        <v>WAGE WORKS - FSA &amp; HRA FEES</v>
      </c>
    </row>
    <row r="2836" spans="5:8" x14ac:dyDescent="0.25">
      <c r="E2836" t="str">
        <f>""</f>
        <v/>
      </c>
      <c r="F2836" t="str">
        <f>""</f>
        <v/>
      </c>
      <c r="H2836" t="str">
        <f t="shared" si="48"/>
        <v>WAGE WORKS - FSA &amp; HRA FEES</v>
      </c>
    </row>
    <row r="2837" spans="5:8" x14ac:dyDescent="0.25">
      <c r="E2837" t="str">
        <f>""</f>
        <v/>
      </c>
      <c r="F2837" t="str">
        <f>""</f>
        <v/>
      </c>
      <c r="H2837" t="str">
        <f t="shared" si="48"/>
        <v>WAGE WORKS - FSA &amp; HRA FEES</v>
      </c>
    </row>
    <row r="2838" spans="5:8" x14ac:dyDescent="0.25">
      <c r="E2838" t="str">
        <f>""</f>
        <v/>
      </c>
      <c r="F2838" t="str">
        <f>""</f>
        <v/>
      </c>
      <c r="H2838" t="str">
        <f t="shared" si="48"/>
        <v>WAGE WORKS - FSA &amp; HRA FEES</v>
      </c>
    </row>
    <row r="2839" spans="5:8" x14ac:dyDescent="0.25">
      <c r="E2839" t="str">
        <f>""</f>
        <v/>
      </c>
      <c r="F2839" t="str">
        <f>""</f>
        <v/>
      </c>
      <c r="H2839" t="str">
        <f t="shared" si="48"/>
        <v>WAGE WORKS - FSA &amp; HRA FEES</v>
      </c>
    </row>
    <row r="2840" spans="5:8" x14ac:dyDescent="0.25">
      <c r="E2840" t="str">
        <f>""</f>
        <v/>
      </c>
      <c r="F2840" t="str">
        <f>""</f>
        <v/>
      </c>
      <c r="H2840" t="str">
        <f t="shared" si="48"/>
        <v>WAGE WORKS - FSA &amp; HRA FEES</v>
      </c>
    </row>
    <row r="2841" spans="5:8" x14ac:dyDescent="0.25">
      <c r="E2841" t="str">
        <f>""</f>
        <v/>
      </c>
      <c r="F2841" t="str">
        <f>""</f>
        <v/>
      </c>
      <c r="H2841" t="str">
        <f t="shared" si="48"/>
        <v>WAGE WORKS - FSA &amp; HRA FEES</v>
      </c>
    </row>
    <row r="2842" spans="5:8" x14ac:dyDescent="0.25">
      <c r="E2842" t="str">
        <f>""</f>
        <v/>
      </c>
      <c r="F2842" t="str">
        <f>""</f>
        <v/>
      </c>
      <c r="H2842" t="str">
        <f t="shared" si="48"/>
        <v>WAGE WORKS - FSA &amp; HRA FEES</v>
      </c>
    </row>
    <row r="2843" spans="5:8" x14ac:dyDescent="0.25">
      <c r="E2843" t="str">
        <f>""</f>
        <v/>
      </c>
      <c r="F2843" t="str">
        <f>""</f>
        <v/>
      </c>
      <c r="H2843" t="str">
        <f t="shared" si="48"/>
        <v>WAGE WORKS - FSA &amp; HRA FEES</v>
      </c>
    </row>
    <row r="2844" spans="5:8" x14ac:dyDescent="0.25">
      <c r="E2844" t="str">
        <f>""</f>
        <v/>
      </c>
      <c r="F2844" t="str">
        <f>""</f>
        <v/>
      </c>
      <c r="H2844" t="str">
        <f t="shared" si="48"/>
        <v>WAGE WORKS - FSA &amp; HRA FEES</v>
      </c>
    </row>
    <row r="2845" spans="5:8" x14ac:dyDescent="0.25">
      <c r="E2845" t="str">
        <f>""</f>
        <v/>
      </c>
      <c r="F2845" t="str">
        <f>""</f>
        <v/>
      </c>
      <c r="H2845" t="str">
        <f t="shared" si="48"/>
        <v>WAGE WORKS - FSA &amp; HRA FEES</v>
      </c>
    </row>
    <row r="2846" spans="5:8" x14ac:dyDescent="0.25">
      <c r="E2846" t="str">
        <f>""</f>
        <v/>
      </c>
      <c r="F2846" t="str">
        <f>""</f>
        <v/>
      </c>
      <c r="H2846" t="str">
        <f t="shared" si="48"/>
        <v>WAGE WORKS - FSA &amp; HRA FEES</v>
      </c>
    </row>
    <row r="2847" spans="5:8" x14ac:dyDescent="0.25">
      <c r="E2847" t="str">
        <f>""</f>
        <v/>
      </c>
      <c r="F2847" t="str">
        <f>""</f>
        <v/>
      </c>
      <c r="H2847" t="str">
        <f t="shared" si="48"/>
        <v>WAGE WORKS - FSA &amp; HRA FEES</v>
      </c>
    </row>
    <row r="2848" spans="5:8" x14ac:dyDescent="0.25">
      <c r="E2848" t="str">
        <f>""</f>
        <v/>
      </c>
      <c r="F2848" t="str">
        <f>""</f>
        <v/>
      </c>
      <c r="H2848" t="str">
        <f t="shared" si="48"/>
        <v>WAGE WORKS - FSA &amp; HRA FEES</v>
      </c>
    </row>
    <row r="2849" spans="5:8" x14ac:dyDescent="0.25">
      <c r="E2849" t="str">
        <f>""</f>
        <v/>
      </c>
      <c r="F2849" t="str">
        <f>""</f>
        <v/>
      </c>
      <c r="H2849" t="str">
        <f t="shared" si="48"/>
        <v>WAGE WORKS - FSA &amp; HRA FEES</v>
      </c>
    </row>
    <row r="2850" spans="5:8" x14ac:dyDescent="0.25">
      <c r="E2850" t="str">
        <f>""</f>
        <v/>
      </c>
      <c r="F2850" t="str">
        <f>""</f>
        <v/>
      </c>
      <c r="H2850" t="str">
        <f t="shared" si="48"/>
        <v>WAGE WORKS - FSA &amp; HRA FEES</v>
      </c>
    </row>
    <row r="2851" spans="5:8" x14ac:dyDescent="0.25">
      <c r="E2851" t="str">
        <f>""</f>
        <v/>
      </c>
      <c r="F2851" t="str">
        <f>""</f>
        <v/>
      </c>
      <c r="H2851" t="str">
        <f t="shared" si="48"/>
        <v>WAGE WORKS - FSA &amp; HRA FEES</v>
      </c>
    </row>
    <row r="2852" spans="5:8" x14ac:dyDescent="0.25">
      <c r="E2852" t="str">
        <f>""</f>
        <v/>
      </c>
      <c r="F2852" t="str">
        <f>""</f>
        <v/>
      </c>
      <c r="H2852" t="str">
        <f t="shared" si="48"/>
        <v>WAGE WORKS - FSA &amp; HRA FEES</v>
      </c>
    </row>
    <row r="2853" spans="5:8" x14ac:dyDescent="0.25">
      <c r="E2853" t="str">
        <f>""</f>
        <v/>
      </c>
      <c r="F2853" t="str">
        <f>""</f>
        <v/>
      </c>
      <c r="H2853" t="str">
        <f t="shared" si="48"/>
        <v>WAGE WORKS - FSA &amp; HRA FEES</v>
      </c>
    </row>
    <row r="2854" spans="5:8" x14ac:dyDescent="0.25">
      <c r="E2854" t="str">
        <f>""</f>
        <v/>
      </c>
      <c r="F2854" t="str">
        <f>""</f>
        <v/>
      </c>
      <c r="H2854" t="str">
        <f t="shared" si="48"/>
        <v>WAGE WORKS - FSA &amp; HRA FEES</v>
      </c>
    </row>
    <row r="2855" spans="5:8" x14ac:dyDescent="0.25">
      <c r="E2855" t="str">
        <f>""</f>
        <v/>
      </c>
      <c r="F2855" t="str">
        <f>""</f>
        <v/>
      </c>
      <c r="H2855" t="str">
        <f t="shared" si="48"/>
        <v>WAGE WORKS - FSA &amp; HRA FEES</v>
      </c>
    </row>
    <row r="2856" spans="5:8" x14ac:dyDescent="0.25">
      <c r="E2856" t="str">
        <f>""</f>
        <v/>
      </c>
      <c r="F2856" t="str">
        <f>""</f>
        <v/>
      </c>
      <c r="H2856" t="str">
        <f t="shared" si="48"/>
        <v>WAGE WORKS - FSA &amp; HRA FEES</v>
      </c>
    </row>
    <row r="2857" spans="5:8" x14ac:dyDescent="0.25">
      <c r="E2857" t="str">
        <f>""</f>
        <v/>
      </c>
      <c r="F2857" t="str">
        <f>""</f>
        <v/>
      </c>
      <c r="H2857" t="str">
        <f t="shared" si="48"/>
        <v>WAGE WORKS - FSA &amp; HRA FEES</v>
      </c>
    </row>
    <row r="2858" spans="5:8" x14ac:dyDescent="0.25">
      <c r="E2858" t="str">
        <f>""</f>
        <v/>
      </c>
      <c r="F2858" t="str">
        <f>""</f>
        <v/>
      </c>
      <c r="H2858" t="str">
        <f t="shared" si="48"/>
        <v>WAGE WORKS - FSA &amp; HRA FEES</v>
      </c>
    </row>
    <row r="2859" spans="5:8" x14ac:dyDescent="0.25">
      <c r="E2859" t="str">
        <f>""</f>
        <v/>
      </c>
      <c r="F2859" t="str">
        <f>""</f>
        <v/>
      </c>
      <c r="H2859" t="str">
        <f t="shared" si="48"/>
        <v>WAGE WORKS - FSA &amp; HRA FEES</v>
      </c>
    </row>
    <row r="2860" spans="5:8" x14ac:dyDescent="0.25">
      <c r="E2860" t="str">
        <f>"FSF201809193863"</f>
        <v>FSF201809193863</v>
      </c>
      <c r="F2860" t="str">
        <f>"WAGE WORKS - FSA &amp; HRA FEES"</f>
        <v>WAGE WORKS - FSA &amp; HRA FEES</v>
      </c>
      <c r="G2860" s="2">
        <v>25.97</v>
      </c>
      <c r="H2860" t="str">
        <f t="shared" si="48"/>
        <v>WAGE WORKS - FSA &amp; HRA FEES</v>
      </c>
    </row>
    <row r="2861" spans="5:8" x14ac:dyDescent="0.25">
      <c r="E2861" t="str">
        <f>"FSO201809193851"</f>
        <v>FSO201809193851</v>
      </c>
      <c r="F2861" t="str">
        <f>"WAGE WORKS - FSA FEES"</f>
        <v>WAGE WORKS - FSA FEES</v>
      </c>
      <c r="G2861" s="2">
        <v>11.16</v>
      </c>
      <c r="H2861" t="str">
        <f t="shared" ref="H2861:H2868" si="49">"WAGE WORKS - FSA FEES"</f>
        <v>WAGE WORKS - FSA FEES</v>
      </c>
    </row>
    <row r="2862" spans="5:8" x14ac:dyDescent="0.25">
      <c r="E2862" t="str">
        <f>""</f>
        <v/>
      </c>
      <c r="F2862" t="str">
        <f>""</f>
        <v/>
      </c>
      <c r="H2862" t="str">
        <f t="shared" si="49"/>
        <v>WAGE WORKS - FSA FEES</v>
      </c>
    </row>
    <row r="2863" spans="5:8" x14ac:dyDescent="0.25">
      <c r="E2863" t="str">
        <f>""</f>
        <v/>
      </c>
      <c r="F2863" t="str">
        <f>""</f>
        <v/>
      </c>
      <c r="H2863" t="str">
        <f t="shared" si="49"/>
        <v>WAGE WORKS - FSA FEES</v>
      </c>
    </row>
    <row r="2864" spans="5:8" x14ac:dyDescent="0.25">
      <c r="E2864" t="str">
        <f>""</f>
        <v/>
      </c>
      <c r="F2864" t="str">
        <f>""</f>
        <v/>
      </c>
      <c r="H2864" t="str">
        <f t="shared" si="49"/>
        <v>WAGE WORKS - FSA FEES</v>
      </c>
    </row>
    <row r="2865" spans="5:8" x14ac:dyDescent="0.25">
      <c r="E2865" t="str">
        <f>""</f>
        <v/>
      </c>
      <c r="F2865" t="str">
        <f>""</f>
        <v/>
      </c>
      <c r="H2865" t="str">
        <f t="shared" si="49"/>
        <v>WAGE WORKS - FSA FEES</v>
      </c>
    </row>
    <row r="2866" spans="5:8" x14ac:dyDescent="0.25">
      <c r="E2866" t="str">
        <f>""</f>
        <v/>
      </c>
      <c r="F2866" t="str">
        <f>""</f>
        <v/>
      </c>
      <c r="H2866" t="str">
        <f t="shared" si="49"/>
        <v>WAGE WORKS - FSA FEES</v>
      </c>
    </row>
    <row r="2867" spans="5:8" x14ac:dyDescent="0.25">
      <c r="E2867" t="str">
        <f>""</f>
        <v/>
      </c>
      <c r="F2867" t="str">
        <f>""</f>
        <v/>
      </c>
      <c r="H2867" t="str">
        <f t="shared" si="49"/>
        <v>WAGE WORKS - FSA FEES</v>
      </c>
    </row>
    <row r="2868" spans="5:8" x14ac:dyDescent="0.25">
      <c r="E2868" t="str">
        <f>"FSO201809193863"</f>
        <v>FSO201809193863</v>
      </c>
      <c r="F2868" t="str">
        <f>"WAGE WORKS - FSA FEES"</f>
        <v>WAGE WORKS - FSA FEES</v>
      </c>
      <c r="G2868" s="2">
        <v>1.86</v>
      </c>
      <c r="H2868" t="str">
        <f t="shared" si="49"/>
        <v>WAGE WORKS - FSA FEES</v>
      </c>
    </row>
    <row r="2869" spans="5:8" x14ac:dyDescent="0.25">
      <c r="E2869" t="str">
        <f>"HRF201809193851"</f>
        <v>HRF201809193851</v>
      </c>
      <c r="F2869" t="str">
        <f>"WAGE WORKS - HRA FEES"</f>
        <v>WAGE WORKS - HRA FEES</v>
      </c>
      <c r="G2869" s="2">
        <v>513.36</v>
      </c>
      <c r="H2869" t="str">
        <f t="shared" ref="H2869:H2907" si="50">"WAGE WORKS - HRA FEES"</f>
        <v>WAGE WORKS - HRA FEES</v>
      </c>
    </row>
    <row r="2870" spans="5:8" x14ac:dyDescent="0.25">
      <c r="E2870" t="str">
        <f>""</f>
        <v/>
      </c>
      <c r="F2870" t="str">
        <f>""</f>
        <v/>
      </c>
      <c r="H2870" t="str">
        <f t="shared" si="50"/>
        <v>WAGE WORKS - HRA FEES</v>
      </c>
    </row>
    <row r="2871" spans="5:8" x14ac:dyDescent="0.25">
      <c r="E2871" t="str">
        <f>""</f>
        <v/>
      </c>
      <c r="F2871" t="str">
        <f>""</f>
        <v/>
      </c>
      <c r="H2871" t="str">
        <f t="shared" si="50"/>
        <v>WAGE WORKS - HRA FEES</v>
      </c>
    </row>
    <row r="2872" spans="5:8" x14ac:dyDescent="0.25">
      <c r="E2872" t="str">
        <f>""</f>
        <v/>
      </c>
      <c r="F2872" t="str">
        <f>""</f>
        <v/>
      </c>
      <c r="H2872" t="str">
        <f t="shared" si="50"/>
        <v>WAGE WORKS - HRA FEES</v>
      </c>
    </row>
    <row r="2873" spans="5:8" x14ac:dyDescent="0.25">
      <c r="E2873" t="str">
        <f>""</f>
        <v/>
      </c>
      <c r="F2873" t="str">
        <f>""</f>
        <v/>
      </c>
      <c r="H2873" t="str">
        <f t="shared" si="50"/>
        <v>WAGE WORKS - HRA FEES</v>
      </c>
    </row>
    <row r="2874" spans="5:8" x14ac:dyDescent="0.25">
      <c r="E2874" t="str">
        <f>""</f>
        <v/>
      </c>
      <c r="F2874" t="str">
        <f>""</f>
        <v/>
      </c>
      <c r="H2874" t="str">
        <f t="shared" si="50"/>
        <v>WAGE WORKS - HRA FEES</v>
      </c>
    </row>
    <row r="2875" spans="5:8" x14ac:dyDescent="0.25">
      <c r="E2875" t="str">
        <f>""</f>
        <v/>
      </c>
      <c r="F2875" t="str">
        <f>""</f>
        <v/>
      </c>
      <c r="H2875" t="str">
        <f t="shared" si="50"/>
        <v>WAGE WORKS - HRA FEES</v>
      </c>
    </row>
    <row r="2876" spans="5:8" x14ac:dyDescent="0.25">
      <c r="E2876" t="str">
        <f>""</f>
        <v/>
      </c>
      <c r="F2876" t="str">
        <f>""</f>
        <v/>
      </c>
      <c r="H2876" t="str">
        <f t="shared" si="50"/>
        <v>WAGE WORKS - HRA FEES</v>
      </c>
    </row>
    <row r="2877" spans="5:8" x14ac:dyDescent="0.25">
      <c r="E2877" t="str">
        <f>""</f>
        <v/>
      </c>
      <c r="F2877" t="str">
        <f>""</f>
        <v/>
      </c>
      <c r="H2877" t="str">
        <f t="shared" si="50"/>
        <v>WAGE WORKS - HRA FEES</v>
      </c>
    </row>
    <row r="2878" spans="5:8" x14ac:dyDescent="0.25">
      <c r="E2878" t="str">
        <f>""</f>
        <v/>
      </c>
      <c r="F2878" t="str">
        <f>""</f>
        <v/>
      </c>
      <c r="H2878" t="str">
        <f t="shared" si="50"/>
        <v>WAGE WORKS - HRA FEES</v>
      </c>
    </row>
    <row r="2879" spans="5:8" x14ac:dyDescent="0.25">
      <c r="E2879" t="str">
        <f>""</f>
        <v/>
      </c>
      <c r="F2879" t="str">
        <f>""</f>
        <v/>
      </c>
      <c r="H2879" t="str">
        <f t="shared" si="50"/>
        <v>WAGE WORKS - HRA FEES</v>
      </c>
    </row>
    <row r="2880" spans="5:8" x14ac:dyDescent="0.25">
      <c r="E2880" t="str">
        <f>""</f>
        <v/>
      </c>
      <c r="F2880" t="str">
        <f>""</f>
        <v/>
      </c>
      <c r="H2880" t="str">
        <f t="shared" si="50"/>
        <v>WAGE WORKS - HRA FEES</v>
      </c>
    </row>
    <row r="2881" spans="5:8" x14ac:dyDescent="0.25">
      <c r="E2881" t="str">
        <f>""</f>
        <v/>
      </c>
      <c r="F2881" t="str">
        <f>""</f>
        <v/>
      </c>
      <c r="H2881" t="str">
        <f t="shared" si="50"/>
        <v>WAGE WORKS - HRA FEES</v>
      </c>
    </row>
    <row r="2882" spans="5:8" x14ac:dyDescent="0.25">
      <c r="E2882" t="str">
        <f>""</f>
        <v/>
      </c>
      <c r="F2882" t="str">
        <f>""</f>
        <v/>
      </c>
      <c r="H2882" t="str">
        <f t="shared" si="50"/>
        <v>WAGE WORKS - HRA FEES</v>
      </c>
    </row>
    <row r="2883" spans="5:8" x14ac:dyDescent="0.25">
      <c r="E2883" t="str">
        <f>""</f>
        <v/>
      </c>
      <c r="F2883" t="str">
        <f>""</f>
        <v/>
      </c>
      <c r="H2883" t="str">
        <f t="shared" si="50"/>
        <v>WAGE WORKS - HRA FEES</v>
      </c>
    </row>
    <row r="2884" spans="5:8" x14ac:dyDescent="0.25">
      <c r="E2884" t="str">
        <f>""</f>
        <v/>
      </c>
      <c r="F2884" t="str">
        <f>""</f>
        <v/>
      </c>
      <c r="H2884" t="str">
        <f t="shared" si="50"/>
        <v>WAGE WORKS - HRA FEES</v>
      </c>
    </row>
    <row r="2885" spans="5:8" x14ac:dyDescent="0.25">
      <c r="E2885" t="str">
        <f>""</f>
        <v/>
      </c>
      <c r="F2885" t="str">
        <f>""</f>
        <v/>
      </c>
      <c r="H2885" t="str">
        <f t="shared" si="50"/>
        <v>WAGE WORKS - HRA FEES</v>
      </c>
    </row>
    <row r="2886" spans="5:8" x14ac:dyDescent="0.25">
      <c r="E2886" t="str">
        <f>""</f>
        <v/>
      </c>
      <c r="F2886" t="str">
        <f>""</f>
        <v/>
      </c>
      <c r="H2886" t="str">
        <f t="shared" si="50"/>
        <v>WAGE WORKS - HRA FEES</v>
      </c>
    </row>
    <row r="2887" spans="5:8" x14ac:dyDescent="0.25">
      <c r="E2887" t="str">
        <f>""</f>
        <v/>
      </c>
      <c r="F2887" t="str">
        <f>""</f>
        <v/>
      </c>
      <c r="H2887" t="str">
        <f t="shared" si="50"/>
        <v>WAGE WORKS - HRA FEES</v>
      </c>
    </row>
    <row r="2888" spans="5:8" x14ac:dyDescent="0.25">
      <c r="E2888" t="str">
        <f>""</f>
        <v/>
      </c>
      <c r="F2888" t="str">
        <f>""</f>
        <v/>
      </c>
      <c r="H2888" t="str">
        <f t="shared" si="50"/>
        <v>WAGE WORKS - HRA FEES</v>
      </c>
    </row>
    <row r="2889" spans="5:8" x14ac:dyDescent="0.25">
      <c r="E2889" t="str">
        <f>""</f>
        <v/>
      </c>
      <c r="F2889" t="str">
        <f>""</f>
        <v/>
      </c>
      <c r="H2889" t="str">
        <f t="shared" si="50"/>
        <v>WAGE WORKS - HRA FEES</v>
      </c>
    </row>
    <row r="2890" spans="5:8" x14ac:dyDescent="0.25">
      <c r="E2890" t="str">
        <f>""</f>
        <v/>
      </c>
      <c r="F2890" t="str">
        <f>""</f>
        <v/>
      </c>
      <c r="H2890" t="str">
        <f t="shared" si="50"/>
        <v>WAGE WORKS - HRA FEES</v>
      </c>
    </row>
    <row r="2891" spans="5:8" x14ac:dyDescent="0.25">
      <c r="E2891" t="str">
        <f>""</f>
        <v/>
      </c>
      <c r="F2891" t="str">
        <f>""</f>
        <v/>
      </c>
      <c r="H2891" t="str">
        <f t="shared" si="50"/>
        <v>WAGE WORKS - HRA FEES</v>
      </c>
    </row>
    <row r="2892" spans="5:8" x14ac:dyDescent="0.25">
      <c r="E2892" t="str">
        <f>""</f>
        <v/>
      </c>
      <c r="F2892" t="str">
        <f>""</f>
        <v/>
      </c>
      <c r="H2892" t="str">
        <f t="shared" si="50"/>
        <v>WAGE WORKS - HRA FEES</v>
      </c>
    </row>
    <row r="2893" spans="5:8" x14ac:dyDescent="0.25">
      <c r="E2893" t="str">
        <f>""</f>
        <v/>
      </c>
      <c r="F2893" t="str">
        <f>""</f>
        <v/>
      </c>
      <c r="H2893" t="str">
        <f t="shared" si="50"/>
        <v>WAGE WORKS - HRA FEES</v>
      </c>
    </row>
    <row r="2894" spans="5:8" x14ac:dyDescent="0.25">
      <c r="E2894" t="str">
        <f>""</f>
        <v/>
      </c>
      <c r="F2894" t="str">
        <f>""</f>
        <v/>
      </c>
      <c r="H2894" t="str">
        <f t="shared" si="50"/>
        <v>WAGE WORKS - HRA FEES</v>
      </c>
    </row>
    <row r="2895" spans="5:8" x14ac:dyDescent="0.25">
      <c r="E2895" t="str">
        <f>""</f>
        <v/>
      </c>
      <c r="F2895" t="str">
        <f>""</f>
        <v/>
      </c>
      <c r="H2895" t="str">
        <f t="shared" si="50"/>
        <v>WAGE WORKS - HRA FEES</v>
      </c>
    </row>
    <row r="2896" spans="5:8" x14ac:dyDescent="0.25">
      <c r="E2896" t="str">
        <f>""</f>
        <v/>
      </c>
      <c r="F2896" t="str">
        <f>""</f>
        <v/>
      </c>
      <c r="H2896" t="str">
        <f t="shared" si="50"/>
        <v>WAGE WORKS - HRA FEES</v>
      </c>
    </row>
    <row r="2897" spans="2:8" x14ac:dyDescent="0.25">
      <c r="E2897" t="str">
        <f>""</f>
        <v/>
      </c>
      <c r="F2897" t="str">
        <f>""</f>
        <v/>
      </c>
      <c r="H2897" t="str">
        <f t="shared" si="50"/>
        <v>WAGE WORKS - HRA FEES</v>
      </c>
    </row>
    <row r="2898" spans="2:8" x14ac:dyDescent="0.25">
      <c r="E2898" t="str">
        <f>""</f>
        <v/>
      </c>
      <c r="F2898" t="str">
        <f>""</f>
        <v/>
      </c>
      <c r="H2898" t="str">
        <f t="shared" si="50"/>
        <v>WAGE WORKS - HRA FEES</v>
      </c>
    </row>
    <row r="2899" spans="2:8" x14ac:dyDescent="0.25">
      <c r="E2899" t="str">
        <f>""</f>
        <v/>
      </c>
      <c r="F2899" t="str">
        <f>""</f>
        <v/>
      </c>
      <c r="H2899" t="str">
        <f t="shared" si="50"/>
        <v>WAGE WORKS - HRA FEES</v>
      </c>
    </row>
    <row r="2900" spans="2:8" x14ac:dyDescent="0.25">
      <c r="E2900" t="str">
        <f>""</f>
        <v/>
      </c>
      <c r="F2900" t="str">
        <f>""</f>
        <v/>
      </c>
      <c r="H2900" t="str">
        <f t="shared" si="50"/>
        <v>WAGE WORKS - HRA FEES</v>
      </c>
    </row>
    <row r="2901" spans="2:8" x14ac:dyDescent="0.25">
      <c r="E2901" t="str">
        <f>""</f>
        <v/>
      </c>
      <c r="F2901" t="str">
        <f>""</f>
        <v/>
      </c>
      <c r="H2901" t="str">
        <f t="shared" si="50"/>
        <v>WAGE WORKS - HRA FEES</v>
      </c>
    </row>
    <row r="2902" spans="2:8" x14ac:dyDescent="0.25">
      <c r="E2902" t="str">
        <f>""</f>
        <v/>
      </c>
      <c r="F2902" t="str">
        <f>""</f>
        <v/>
      </c>
      <c r="H2902" t="str">
        <f t="shared" si="50"/>
        <v>WAGE WORKS - HRA FEES</v>
      </c>
    </row>
    <row r="2903" spans="2:8" x14ac:dyDescent="0.25">
      <c r="E2903" t="str">
        <f>""</f>
        <v/>
      </c>
      <c r="F2903" t="str">
        <f>""</f>
        <v/>
      </c>
      <c r="H2903" t="str">
        <f t="shared" si="50"/>
        <v>WAGE WORKS - HRA FEES</v>
      </c>
    </row>
    <row r="2904" spans="2:8" x14ac:dyDescent="0.25">
      <c r="E2904" t="str">
        <f>""</f>
        <v/>
      </c>
      <c r="F2904" t="str">
        <f>""</f>
        <v/>
      </c>
      <c r="H2904" t="str">
        <f t="shared" si="50"/>
        <v>WAGE WORKS - HRA FEES</v>
      </c>
    </row>
    <row r="2905" spans="2:8" x14ac:dyDescent="0.25">
      <c r="E2905" t="str">
        <f>""</f>
        <v/>
      </c>
      <c r="F2905" t="str">
        <f>""</f>
        <v/>
      </c>
      <c r="H2905" t="str">
        <f t="shared" si="50"/>
        <v>WAGE WORKS - HRA FEES</v>
      </c>
    </row>
    <row r="2906" spans="2:8" x14ac:dyDescent="0.25">
      <c r="E2906" t="str">
        <f>""</f>
        <v/>
      </c>
      <c r="F2906" t="str">
        <f>""</f>
        <v/>
      </c>
      <c r="H2906" t="str">
        <f t="shared" si="50"/>
        <v>WAGE WORKS - HRA FEES</v>
      </c>
    </row>
    <row r="2907" spans="2:8" x14ac:dyDescent="0.25">
      <c r="B2907" s="4" t="s">
        <v>550</v>
      </c>
      <c r="C2907" s="3">
        <f>SUM(C2:C2906)</f>
        <v>3395398.17</v>
      </c>
      <c r="E2907" t="str">
        <f>"HRF201809193863"</f>
        <v>HRF201809193863</v>
      </c>
      <c r="F2907" t="str">
        <f>"WAGE WORKS - HRA FEES"</f>
        <v>WAGE WORKS - HRA FEES</v>
      </c>
      <c r="G2907" s="2">
        <v>14.88</v>
      </c>
      <c r="H2907" t="str">
        <f t="shared" si="50"/>
        <v>WAGE WORKS - HRA FEES</v>
      </c>
    </row>
    <row r="2908" spans="2:8" x14ac:dyDescent="0.25">
      <c r="D2908" s="1"/>
    </row>
    <row r="2909" spans="2:8" x14ac:dyDescent="0.25">
      <c r="D2909" s="1"/>
    </row>
    <row r="2910" spans="2:8" x14ac:dyDescent="0.25">
      <c r="D2910" s="1"/>
    </row>
    <row r="2911" spans="2:8" x14ac:dyDescent="0.25">
      <c r="D2911" s="1"/>
    </row>
    <row r="2912" spans="2:8" x14ac:dyDescent="0.25">
      <c r="D2912" s="1"/>
    </row>
    <row r="2913" spans="4:4" x14ac:dyDescent="0.25">
      <c r="D2913" s="1"/>
    </row>
    <row r="2914" spans="4:4" x14ac:dyDescent="0.25">
      <c r="D2914" s="1"/>
    </row>
    <row r="2915" spans="4:4" x14ac:dyDescent="0.25">
      <c r="D2915" s="1"/>
    </row>
    <row r="2916" spans="4:4" x14ac:dyDescent="0.25">
      <c r="D2916" s="1"/>
    </row>
    <row r="2917" spans="4:4" x14ac:dyDescent="0.25">
      <c r="D2917" s="1"/>
    </row>
    <row r="2918" spans="4:4" x14ac:dyDescent="0.25">
      <c r="D2918" s="1"/>
    </row>
    <row r="2919" spans="4:4" x14ac:dyDescent="0.25">
      <c r="D2919" s="1"/>
    </row>
    <row r="2920" spans="4:4" x14ac:dyDescent="0.25">
      <c r="D2920" s="1"/>
    </row>
    <row r="2921" spans="4:4" x14ac:dyDescent="0.25">
      <c r="D2921" s="1"/>
    </row>
    <row r="2922" spans="4:4" x14ac:dyDescent="0.25">
      <c r="D2922" s="1"/>
    </row>
    <row r="2923" spans="4:4" x14ac:dyDescent="0.25">
      <c r="D2923" s="1"/>
    </row>
    <row r="2924" spans="4:4" x14ac:dyDescent="0.25">
      <c r="D2924" s="1"/>
    </row>
    <row r="2925" spans="4:4" x14ac:dyDescent="0.25">
      <c r="D2925" s="1"/>
    </row>
    <row r="2926" spans="4:4" x14ac:dyDescent="0.25">
      <c r="D2926" s="1"/>
    </row>
    <row r="2927" spans="4:4" x14ac:dyDescent="0.25">
      <c r="D2927" s="1"/>
    </row>
    <row r="2928" spans="4:4" x14ac:dyDescent="0.25">
      <c r="D2928" s="1"/>
    </row>
    <row r="2929" spans="4:4" x14ac:dyDescent="0.25">
      <c r="D2929" s="1"/>
    </row>
    <row r="2930" spans="4:4" x14ac:dyDescent="0.25">
      <c r="D2930" s="1"/>
    </row>
    <row r="2931" spans="4:4" x14ac:dyDescent="0.25">
      <c r="D2931" s="1"/>
    </row>
    <row r="2932" spans="4:4" x14ac:dyDescent="0.25">
      <c r="D2932" s="1"/>
    </row>
    <row r="2933" spans="4:4" x14ac:dyDescent="0.25">
      <c r="D2933" s="1"/>
    </row>
    <row r="2934" spans="4:4" x14ac:dyDescent="0.25">
      <c r="D2934" s="1"/>
    </row>
    <row r="2935" spans="4:4" x14ac:dyDescent="0.25">
      <c r="D2935" s="1"/>
    </row>
    <row r="2936" spans="4:4" x14ac:dyDescent="0.25">
      <c r="D2936" s="1"/>
    </row>
    <row r="2937" spans="4:4" x14ac:dyDescent="0.25">
      <c r="D2937" s="1"/>
    </row>
    <row r="2938" spans="4:4" x14ac:dyDescent="0.25">
      <c r="D2938" s="1"/>
    </row>
    <row r="2939" spans="4:4" x14ac:dyDescent="0.25">
      <c r="D2939" s="1"/>
    </row>
    <row r="2940" spans="4:4" x14ac:dyDescent="0.25">
      <c r="D2940" s="1"/>
    </row>
    <row r="2941" spans="4:4" x14ac:dyDescent="0.25">
      <c r="D2941" s="1"/>
    </row>
    <row r="2942" spans="4:4" x14ac:dyDescent="0.25">
      <c r="D2942" s="1"/>
    </row>
    <row r="2943" spans="4:4" x14ac:dyDescent="0.25">
      <c r="D2943" s="1"/>
    </row>
    <row r="2944" spans="4:4" x14ac:dyDescent="0.25">
      <c r="D2944" s="1"/>
    </row>
    <row r="2945" spans="4:4" x14ac:dyDescent="0.25">
      <c r="D2945" s="1"/>
    </row>
    <row r="2946" spans="4:4" x14ac:dyDescent="0.25">
      <c r="D2946" s="1"/>
    </row>
    <row r="2947" spans="4:4" x14ac:dyDescent="0.25">
      <c r="D2947" s="1"/>
    </row>
    <row r="2948" spans="4:4" x14ac:dyDescent="0.25">
      <c r="D2948" s="1"/>
    </row>
    <row r="2949" spans="4:4" x14ac:dyDescent="0.25">
      <c r="D2949" s="1"/>
    </row>
    <row r="2950" spans="4:4" x14ac:dyDescent="0.25">
      <c r="D2950" s="1"/>
    </row>
    <row r="2951" spans="4:4" x14ac:dyDescent="0.25">
      <c r="D2951" s="1"/>
    </row>
    <row r="2952" spans="4:4" x14ac:dyDescent="0.25">
      <c r="D2952" s="1"/>
    </row>
    <row r="2953" spans="4:4" x14ac:dyDescent="0.25">
      <c r="D2953" s="1"/>
    </row>
    <row r="2954" spans="4:4" x14ac:dyDescent="0.25">
      <c r="D2954" s="1"/>
    </row>
    <row r="2955" spans="4:4" x14ac:dyDescent="0.25">
      <c r="D2955" s="1"/>
    </row>
    <row r="2956" spans="4:4" x14ac:dyDescent="0.25">
      <c r="D2956" s="1"/>
    </row>
    <row r="2957" spans="4:4" x14ac:dyDescent="0.25">
      <c r="D2957" s="1"/>
    </row>
    <row r="2958" spans="4:4" x14ac:dyDescent="0.25">
      <c r="D2958" s="1"/>
    </row>
    <row r="2959" spans="4:4" x14ac:dyDescent="0.25">
      <c r="D2959" s="1"/>
    </row>
    <row r="2960" spans="4:4" x14ac:dyDescent="0.25">
      <c r="D2960" s="1"/>
    </row>
    <row r="2961" spans="4:4" x14ac:dyDescent="0.25">
      <c r="D2961" s="1"/>
    </row>
    <row r="2962" spans="4:4" x14ac:dyDescent="0.25">
      <c r="D2962" s="1"/>
    </row>
    <row r="2963" spans="4:4" x14ac:dyDescent="0.25">
      <c r="D2963" s="1"/>
    </row>
    <row r="2964" spans="4:4" x14ac:dyDescent="0.25">
      <c r="D2964" s="1"/>
    </row>
    <row r="2965" spans="4:4" x14ac:dyDescent="0.25">
      <c r="D2965" s="1"/>
    </row>
    <row r="2966" spans="4:4" x14ac:dyDescent="0.25">
      <c r="D2966" s="1"/>
    </row>
    <row r="2967" spans="4:4" x14ac:dyDescent="0.25">
      <c r="D2967" s="1"/>
    </row>
    <row r="2968" spans="4:4" x14ac:dyDescent="0.25">
      <c r="D2968" s="1"/>
    </row>
    <row r="2969" spans="4:4" x14ac:dyDescent="0.25">
      <c r="D296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AP-CHK-RPT-20190204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2019-02-04T15:30:15Z</dcterms:created>
  <dcterms:modified xsi:type="dcterms:W3CDTF">2019-02-04T16:37:01Z</dcterms:modified>
</cp:coreProperties>
</file>