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10848"/>
  </bookViews>
  <sheets>
    <sheet name="AP-CHK-RPT-20180430" sheetId="1" r:id="rId1"/>
  </sheets>
  <calcPr calcId="145621"/>
</workbook>
</file>

<file path=xl/calcChain.xml><?xml version="1.0" encoding="utf-8"?>
<calcChain xmlns="http://schemas.openxmlformats.org/spreadsheetml/2006/main">
  <c r="E2370" i="1" l="1"/>
  <c r="A2" i="1" l="1"/>
  <c r="B2" i="1"/>
  <c r="G2" i="1"/>
  <c r="H2" i="1"/>
  <c r="J2" i="1"/>
  <c r="A3" i="1"/>
  <c r="B3" i="1"/>
  <c r="G3" i="1"/>
  <c r="H3" i="1"/>
  <c r="J3" i="1"/>
  <c r="A4" i="1"/>
  <c r="B4" i="1"/>
  <c r="G4" i="1"/>
  <c r="H4" i="1"/>
  <c r="J4" i="1"/>
  <c r="A5" i="1"/>
  <c r="B5" i="1"/>
  <c r="G5" i="1"/>
  <c r="H5" i="1"/>
  <c r="J5" i="1"/>
  <c r="A6" i="1"/>
  <c r="B6" i="1"/>
  <c r="G6" i="1"/>
  <c r="H6" i="1"/>
  <c r="J6" i="1"/>
  <c r="A7" i="1"/>
  <c r="B7" i="1"/>
  <c r="G7" i="1"/>
  <c r="H7" i="1"/>
  <c r="J7" i="1"/>
  <c r="A8" i="1"/>
  <c r="B8" i="1"/>
  <c r="G8" i="1"/>
  <c r="H8" i="1"/>
  <c r="J8" i="1"/>
  <c r="A9" i="1"/>
  <c r="B9" i="1"/>
  <c r="G9" i="1"/>
  <c r="H9" i="1"/>
  <c r="J9" i="1"/>
  <c r="A10" i="1"/>
  <c r="B10" i="1"/>
  <c r="G10" i="1"/>
  <c r="H10" i="1"/>
  <c r="J10" i="1"/>
  <c r="A11" i="1"/>
  <c r="B11" i="1"/>
  <c r="G11" i="1"/>
  <c r="H11" i="1"/>
  <c r="J11" i="1"/>
  <c r="A12" i="1"/>
  <c r="B12" i="1"/>
  <c r="G12" i="1"/>
  <c r="H12" i="1"/>
  <c r="J12" i="1"/>
  <c r="A13" i="1"/>
  <c r="B13" i="1"/>
  <c r="G13" i="1"/>
  <c r="H13" i="1"/>
  <c r="J13" i="1"/>
  <c r="A14" i="1"/>
  <c r="B14" i="1"/>
  <c r="G14" i="1"/>
  <c r="H14" i="1"/>
  <c r="J14" i="1"/>
  <c r="A15" i="1"/>
  <c r="B15" i="1"/>
  <c r="G15" i="1"/>
  <c r="H15" i="1"/>
  <c r="J15" i="1"/>
  <c r="A16" i="1"/>
  <c r="B16" i="1"/>
  <c r="G16" i="1"/>
  <c r="H16" i="1"/>
  <c r="J16" i="1"/>
  <c r="A17" i="1"/>
  <c r="B17" i="1"/>
  <c r="G17" i="1"/>
  <c r="H17" i="1"/>
  <c r="J17" i="1"/>
  <c r="A18" i="1"/>
  <c r="B18" i="1"/>
  <c r="G18" i="1"/>
  <c r="H18" i="1"/>
  <c r="J18" i="1"/>
  <c r="A19" i="1"/>
  <c r="B19" i="1"/>
  <c r="G19" i="1"/>
  <c r="H19" i="1"/>
  <c r="J19" i="1"/>
  <c r="A20" i="1"/>
  <c r="B20" i="1"/>
  <c r="G20" i="1"/>
  <c r="H20" i="1"/>
  <c r="J20" i="1"/>
  <c r="A21" i="1"/>
  <c r="B21" i="1"/>
  <c r="G21" i="1"/>
  <c r="H21" i="1"/>
  <c r="J21" i="1"/>
  <c r="A22" i="1"/>
  <c r="B22" i="1"/>
  <c r="G22" i="1"/>
  <c r="H22" i="1"/>
  <c r="J22" i="1"/>
  <c r="A23" i="1"/>
  <c r="B23" i="1"/>
  <c r="G23" i="1"/>
  <c r="H23" i="1"/>
  <c r="J23" i="1"/>
  <c r="A24" i="1"/>
  <c r="B24" i="1"/>
  <c r="G24" i="1"/>
  <c r="H24" i="1"/>
  <c r="J24" i="1"/>
  <c r="A25" i="1"/>
  <c r="B25" i="1"/>
  <c r="G25" i="1"/>
  <c r="H25" i="1"/>
  <c r="J25" i="1"/>
  <c r="A26" i="1"/>
  <c r="B26" i="1"/>
  <c r="G26" i="1"/>
  <c r="H26" i="1"/>
  <c r="J26" i="1"/>
  <c r="A27" i="1"/>
  <c r="B27" i="1"/>
  <c r="G27" i="1"/>
  <c r="H27" i="1"/>
  <c r="J27" i="1"/>
  <c r="A28" i="1"/>
  <c r="B28" i="1"/>
  <c r="G28" i="1"/>
  <c r="H28" i="1"/>
  <c r="J28" i="1"/>
  <c r="A29" i="1"/>
  <c r="B29" i="1"/>
  <c r="G29" i="1"/>
  <c r="H29" i="1"/>
  <c r="J29" i="1"/>
  <c r="A30" i="1"/>
  <c r="B30" i="1"/>
  <c r="G30" i="1"/>
  <c r="H30" i="1"/>
  <c r="J30" i="1"/>
  <c r="A31" i="1"/>
  <c r="B31" i="1"/>
  <c r="G31" i="1"/>
  <c r="H31" i="1"/>
  <c r="J31" i="1"/>
  <c r="A32" i="1"/>
  <c r="B32" i="1"/>
  <c r="G32" i="1"/>
  <c r="H32" i="1"/>
  <c r="J32" i="1"/>
  <c r="A33" i="1"/>
  <c r="B33" i="1"/>
  <c r="G33" i="1"/>
  <c r="H33" i="1"/>
  <c r="J33" i="1"/>
  <c r="A34" i="1"/>
  <c r="B34" i="1"/>
  <c r="G34" i="1"/>
  <c r="H34" i="1"/>
  <c r="J34" i="1"/>
  <c r="A35" i="1"/>
  <c r="B35" i="1"/>
  <c r="G35" i="1"/>
  <c r="H35" i="1"/>
  <c r="J35" i="1"/>
  <c r="A36" i="1"/>
  <c r="B36" i="1"/>
  <c r="G36" i="1"/>
  <c r="H36" i="1"/>
  <c r="J36" i="1"/>
  <c r="A37" i="1"/>
  <c r="B37" i="1"/>
  <c r="G37" i="1"/>
  <c r="H37" i="1"/>
  <c r="J37" i="1"/>
  <c r="A38" i="1"/>
  <c r="B38" i="1"/>
  <c r="G38" i="1"/>
  <c r="H38" i="1"/>
  <c r="J38" i="1"/>
  <c r="A39" i="1"/>
  <c r="B39" i="1"/>
  <c r="G39" i="1"/>
  <c r="H39" i="1"/>
  <c r="J39" i="1"/>
  <c r="A40" i="1"/>
  <c r="B40" i="1"/>
  <c r="G40" i="1"/>
  <c r="H40" i="1"/>
  <c r="J40" i="1"/>
  <c r="A41" i="1"/>
  <c r="B41" i="1"/>
  <c r="G41" i="1"/>
  <c r="H41" i="1"/>
  <c r="J41" i="1"/>
  <c r="A42" i="1"/>
  <c r="B42" i="1"/>
  <c r="G42" i="1"/>
  <c r="H42" i="1"/>
  <c r="J42" i="1"/>
  <c r="A43" i="1"/>
  <c r="B43" i="1"/>
  <c r="G43" i="1"/>
  <c r="H43" i="1"/>
  <c r="J43" i="1"/>
  <c r="A44" i="1"/>
  <c r="B44" i="1"/>
  <c r="G44" i="1"/>
  <c r="H44" i="1"/>
  <c r="J44" i="1"/>
  <c r="A45" i="1"/>
  <c r="B45" i="1"/>
  <c r="G45" i="1"/>
  <c r="H45" i="1"/>
  <c r="J45" i="1"/>
  <c r="A46" i="1"/>
  <c r="B46" i="1"/>
  <c r="G46" i="1"/>
  <c r="H46" i="1"/>
  <c r="J46" i="1"/>
  <c r="A47" i="1"/>
  <c r="B47" i="1"/>
  <c r="G47" i="1"/>
  <c r="H47" i="1"/>
  <c r="J47" i="1"/>
  <c r="A48" i="1"/>
  <c r="B48" i="1"/>
  <c r="G48" i="1"/>
  <c r="H48" i="1"/>
  <c r="J48" i="1"/>
  <c r="A49" i="1"/>
  <c r="B49" i="1"/>
  <c r="G49" i="1"/>
  <c r="H49" i="1"/>
  <c r="J49" i="1"/>
  <c r="A50" i="1"/>
  <c r="B50" i="1"/>
  <c r="G50" i="1"/>
  <c r="H50" i="1"/>
  <c r="J50" i="1"/>
  <c r="A51" i="1"/>
  <c r="B51" i="1"/>
  <c r="G51" i="1"/>
  <c r="H51" i="1"/>
  <c r="J51" i="1"/>
  <c r="A52" i="1"/>
  <c r="B52" i="1"/>
  <c r="G52" i="1"/>
  <c r="H52" i="1"/>
  <c r="J52" i="1"/>
  <c r="A53" i="1"/>
  <c r="B53" i="1"/>
  <c r="G53" i="1"/>
  <c r="H53" i="1"/>
  <c r="J53" i="1"/>
  <c r="A54" i="1"/>
  <c r="B54" i="1"/>
  <c r="G54" i="1"/>
  <c r="H54" i="1"/>
  <c r="J54" i="1"/>
  <c r="A55" i="1"/>
  <c r="B55" i="1"/>
  <c r="G55" i="1"/>
  <c r="H55" i="1"/>
  <c r="J55" i="1"/>
  <c r="A56" i="1"/>
  <c r="B56" i="1"/>
  <c r="G56" i="1"/>
  <c r="H56" i="1"/>
  <c r="J56" i="1"/>
  <c r="A57" i="1"/>
  <c r="B57" i="1"/>
  <c r="G57" i="1"/>
  <c r="H57" i="1"/>
  <c r="J57" i="1"/>
  <c r="A58" i="1"/>
  <c r="B58" i="1"/>
  <c r="G58" i="1"/>
  <c r="H58" i="1"/>
  <c r="J58" i="1"/>
  <c r="A59" i="1"/>
  <c r="B59" i="1"/>
  <c r="G59" i="1"/>
  <c r="H59" i="1"/>
  <c r="J59" i="1"/>
  <c r="A60" i="1"/>
  <c r="B60" i="1"/>
  <c r="G60" i="1"/>
  <c r="H60" i="1"/>
  <c r="J60" i="1"/>
  <c r="A61" i="1"/>
  <c r="B61" i="1"/>
  <c r="G61" i="1"/>
  <c r="H61" i="1"/>
  <c r="J61" i="1"/>
  <c r="A62" i="1"/>
  <c r="B62" i="1"/>
  <c r="G62" i="1"/>
  <c r="H62" i="1"/>
  <c r="J62" i="1"/>
  <c r="A63" i="1"/>
  <c r="B63" i="1"/>
  <c r="G63" i="1"/>
  <c r="H63" i="1"/>
  <c r="J63" i="1"/>
  <c r="A64" i="1"/>
  <c r="B64" i="1"/>
  <c r="G64" i="1"/>
  <c r="H64" i="1"/>
  <c r="J64" i="1"/>
  <c r="A65" i="1"/>
  <c r="B65" i="1"/>
  <c r="G65" i="1"/>
  <c r="H65" i="1"/>
  <c r="J65" i="1"/>
  <c r="A66" i="1"/>
  <c r="B66" i="1"/>
  <c r="G66" i="1"/>
  <c r="H66" i="1"/>
  <c r="J66" i="1"/>
  <c r="A67" i="1"/>
  <c r="B67" i="1"/>
  <c r="G67" i="1"/>
  <c r="H67" i="1"/>
  <c r="J67" i="1"/>
  <c r="A68" i="1"/>
  <c r="B68" i="1"/>
  <c r="G68" i="1"/>
  <c r="H68" i="1"/>
  <c r="J68" i="1"/>
  <c r="A69" i="1"/>
  <c r="B69" i="1"/>
  <c r="G69" i="1"/>
  <c r="H69" i="1"/>
  <c r="J69" i="1"/>
  <c r="A70" i="1"/>
  <c r="B70" i="1"/>
  <c r="G70" i="1"/>
  <c r="H70" i="1"/>
  <c r="J70" i="1"/>
  <c r="A71" i="1"/>
  <c r="B71" i="1"/>
  <c r="G71" i="1"/>
  <c r="H71" i="1"/>
  <c r="J71" i="1"/>
  <c r="A72" i="1"/>
  <c r="B72" i="1"/>
  <c r="G72" i="1"/>
  <c r="H72" i="1"/>
  <c r="J72" i="1"/>
  <c r="A73" i="1"/>
  <c r="B73" i="1"/>
  <c r="G73" i="1"/>
  <c r="H73" i="1"/>
  <c r="J73" i="1"/>
  <c r="A74" i="1"/>
  <c r="B74" i="1"/>
  <c r="G74" i="1"/>
  <c r="H74" i="1"/>
  <c r="J74" i="1"/>
  <c r="A75" i="1"/>
  <c r="B75" i="1"/>
  <c r="G75" i="1"/>
  <c r="H75" i="1"/>
  <c r="J75" i="1"/>
  <c r="A76" i="1"/>
  <c r="B76" i="1"/>
  <c r="G76" i="1"/>
  <c r="H76" i="1"/>
  <c r="J76" i="1"/>
  <c r="A77" i="1"/>
  <c r="B77" i="1"/>
  <c r="G77" i="1"/>
  <c r="H77" i="1"/>
  <c r="J77" i="1"/>
  <c r="A78" i="1"/>
  <c r="B78" i="1"/>
  <c r="G78" i="1"/>
  <c r="H78" i="1"/>
  <c r="J78" i="1"/>
  <c r="A79" i="1"/>
  <c r="B79" i="1"/>
  <c r="G79" i="1"/>
  <c r="H79" i="1"/>
  <c r="J79" i="1"/>
  <c r="A80" i="1"/>
  <c r="B80" i="1"/>
  <c r="G80" i="1"/>
  <c r="H80" i="1"/>
  <c r="J80" i="1"/>
  <c r="A81" i="1"/>
  <c r="B81" i="1"/>
  <c r="G81" i="1"/>
  <c r="H81" i="1"/>
  <c r="J81" i="1"/>
  <c r="A82" i="1"/>
  <c r="B82" i="1"/>
  <c r="G82" i="1"/>
  <c r="H82" i="1"/>
  <c r="J82" i="1"/>
  <c r="A83" i="1"/>
  <c r="B83" i="1"/>
  <c r="G83" i="1"/>
  <c r="H83" i="1"/>
  <c r="J83" i="1"/>
  <c r="A84" i="1"/>
  <c r="B84" i="1"/>
  <c r="G84" i="1"/>
  <c r="H84" i="1"/>
  <c r="J84" i="1"/>
  <c r="A85" i="1"/>
  <c r="B85" i="1"/>
  <c r="G85" i="1"/>
  <c r="H85" i="1"/>
  <c r="J85" i="1"/>
  <c r="A86" i="1"/>
  <c r="B86" i="1"/>
  <c r="G86" i="1"/>
  <c r="H86" i="1"/>
  <c r="J86" i="1"/>
  <c r="A87" i="1"/>
  <c r="B87" i="1"/>
  <c r="G87" i="1"/>
  <c r="H87" i="1"/>
  <c r="J87" i="1"/>
  <c r="A88" i="1"/>
  <c r="B88" i="1"/>
  <c r="G88" i="1"/>
  <c r="H88" i="1"/>
  <c r="J88" i="1"/>
  <c r="A89" i="1"/>
  <c r="B89" i="1"/>
  <c r="G89" i="1"/>
  <c r="H89" i="1"/>
  <c r="J89" i="1"/>
  <c r="A90" i="1"/>
  <c r="B90" i="1"/>
  <c r="G90" i="1"/>
  <c r="H90" i="1"/>
  <c r="J90" i="1"/>
  <c r="A91" i="1"/>
  <c r="B91" i="1"/>
  <c r="G91" i="1"/>
  <c r="H91" i="1"/>
  <c r="J91" i="1"/>
  <c r="A92" i="1"/>
  <c r="B92" i="1"/>
  <c r="G92" i="1"/>
  <c r="H92" i="1"/>
  <c r="J92" i="1"/>
  <c r="A93" i="1"/>
  <c r="B93" i="1"/>
  <c r="G93" i="1"/>
  <c r="H93" i="1"/>
  <c r="J93" i="1"/>
  <c r="A94" i="1"/>
  <c r="B94" i="1"/>
  <c r="G94" i="1"/>
  <c r="H94" i="1"/>
  <c r="J94" i="1"/>
  <c r="A95" i="1"/>
  <c r="B95" i="1"/>
  <c r="G95" i="1"/>
  <c r="H95" i="1"/>
  <c r="J95" i="1"/>
  <c r="A96" i="1"/>
  <c r="B96" i="1"/>
  <c r="G96" i="1"/>
  <c r="H96" i="1"/>
  <c r="J96" i="1"/>
  <c r="A97" i="1"/>
  <c r="B97" i="1"/>
  <c r="G97" i="1"/>
  <c r="H97" i="1"/>
  <c r="J97" i="1"/>
  <c r="A98" i="1"/>
  <c r="B98" i="1"/>
  <c r="G98" i="1"/>
  <c r="H98" i="1"/>
  <c r="J98" i="1"/>
  <c r="A99" i="1"/>
  <c r="B99" i="1"/>
  <c r="G99" i="1"/>
  <c r="H99" i="1"/>
  <c r="J99" i="1"/>
  <c r="A100" i="1"/>
  <c r="B100" i="1"/>
  <c r="G100" i="1"/>
  <c r="H100" i="1"/>
  <c r="J100" i="1"/>
  <c r="A101" i="1"/>
  <c r="B101" i="1"/>
  <c r="G101" i="1"/>
  <c r="H101" i="1"/>
  <c r="J101" i="1"/>
  <c r="A102" i="1"/>
  <c r="B102" i="1"/>
  <c r="G102" i="1"/>
  <c r="H102" i="1"/>
  <c r="J102" i="1"/>
  <c r="A103" i="1"/>
  <c r="B103" i="1"/>
  <c r="G103" i="1"/>
  <c r="H103" i="1"/>
  <c r="J103" i="1"/>
  <c r="A104" i="1"/>
  <c r="B104" i="1"/>
  <c r="G104" i="1"/>
  <c r="H104" i="1"/>
  <c r="J104" i="1"/>
  <c r="A105" i="1"/>
  <c r="B105" i="1"/>
  <c r="G105" i="1"/>
  <c r="H105" i="1"/>
  <c r="J105" i="1"/>
  <c r="A106" i="1"/>
  <c r="B106" i="1"/>
  <c r="G106" i="1"/>
  <c r="H106" i="1"/>
  <c r="J106" i="1"/>
  <c r="A107" i="1"/>
  <c r="B107" i="1"/>
  <c r="G107" i="1"/>
  <c r="H107" i="1"/>
  <c r="J107" i="1"/>
  <c r="A108" i="1"/>
  <c r="B108" i="1"/>
  <c r="G108" i="1"/>
  <c r="H108" i="1"/>
  <c r="J108" i="1"/>
  <c r="A109" i="1"/>
  <c r="B109" i="1"/>
  <c r="G109" i="1"/>
  <c r="H109" i="1"/>
  <c r="J109" i="1"/>
  <c r="A110" i="1"/>
  <c r="B110" i="1"/>
  <c r="G110" i="1"/>
  <c r="H110" i="1"/>
  <c r="J110" i="1"/>
  <c r="A111" i="1"/>
  <c r="B111" i="1"/>
  <c r="G111" i="1"/>
  <c r="H111" i="1"/>
  <c r="J111" i="1"/>
  <c r="A112" i="1"/>
  <c r="B112" i="1"/>
  <c r="G112" i="1"/>
  <c r="H112" i="1"/>
  <c r="J112" i="1"/>
  <c r="A113" i="1"/>
  <c r="B113" i="1"/>
  <c r="G113" i="1"/>
  <c r="H113" i="1"/>
  <c r="J113" i="1"/>
  <c r="A114" i="1"/>
  <c r="B114" i="1"/>
  <c r="G114" i="1"/>
  <c r="H114" i="1"/>
  <c r="J114" i="1"/>
  <c r="A115" i="1"/>
  <c r="B115" i="1"/>
  <c r="G115" i="1"/>
  <c r="H115" i="1"/>
  <c r="J115" i="1"/>
  <c r="A116" i="1"/>
  <c r="B116" i="1"/>
  <c r="G116" i="1"/>
  <c r="H116" i="1"/>
  <c r="J116" i="1"/>
  <c r="A117" i="1"/>
  <c r="B117" i="1"/>
  <c r="G117" i="1"/>
  <c r="H117" i="1"/>
  <c r="J117" i="1"/>
  <c r="A118" i="1"/>
  <c r="B118" i="1"/>
  <c r="G118" i="1"/>
  <c r="H118" i="1"/>
  <c r="J118" i="1"/>
  <c r="A119" i="1"/>
  <c r="B119" i="1"/>
  <c r="G119" i="1"/>
  <c r="H119" i="1"/>
  <c r="J119" i="1"/>
  <c r="A120" i="1"/>
  <c r="B120" i="1"/>
  <c r="G120" i="1"/>
  <c r="H120" i="1"/>
  <c r="J120" i="1"/>
  <c r="A121" i="1"/>
  <c r="B121" i="1"/>
  <c r="G121" i="1"/>
  <c r="H121" i="1"/>
  <c r="J121" i="1"/>
  <c r="A122" i="1"/>
  <c r="B122" i="1"/>
  <c r="G122" i="1"/>
  <c r="H122" i="1"/>
  <c r="J122" i="1"/>
  <c r="A123" i="1"/>
  <c r="B123" i="1"/>
  <c r="G123" i="1"/>
  <c r="H123" i="1"/>
  <c r="J123" i="1"/>
  <c r="A124" i="1"/>
  <c r="B124" i="1"/>
  <c r="G124" i="1"/>
  <c r="H124" i="1"/>
  <c r="J124" i="1"/>
  <c r="A125" i="1"/>
  <c r="B125" i="1"/>
  <c r="G125" i="1"/>
  <c r="H125" i="1"/>
  <c r="A126" i="1"/>
  <c r="B126" i="1"/>
  <c r="G126" i="1"/>
  <c r="H126" i="1"/>
  <c r="J126" i="1"/>
  <c r="A127" i="1"/>
  <c r="B127" i="1"/>
  <c r="G127" i="1"/>
  <c r="H127" i="1"/>
  <c r="J127" i="1"/>
  <c r="A128" i="1"/>
  <c r="B128" i="1"/>
  <c r="G128" i="1"/>
  <c r="H128" i="1"/>
  <c r="J128" i="1"/>
  <c r="A129" i="1"/>
  <c r="B129" i="1"/>
  <c r="G129" i="1"/>
  <c r="H129" i="1"/>
  <c r="J129" i="1"/>
  <c r="A130" i="1"/>
  <c r="B130" i="1"/>
  <c r="G130" i="1"/>
  <c r="H130" i="1"/>
  <c r="J130" i="1"/>
  <c r="A131" i="1"/>
  <c r="B131" i="1"/>
  <c r="G131" i="1"/>
  <c r="H131" i="1"/>
  <c r="J131" i="1"/>
  <c r="A132" i="1"/>
  <c r="B132" i="1"/>
  <c r="G132" i="1"/>
  <c r="H132" i="1"/>
  <c r="J132" i="1"/>
  <c r="A133" i="1"/>
  <c r="B133" i="1"/>
  <c r="G133" i="1"/>
  <c r="H133" i="1"/>
  <c r="J133" i="1"/>
  <c r="A134" i="1"/>
  <c r="B134" i="1"/>
  <c r="G134" i="1"/>
  <c r="H134" i="1"/>
  <c r="J134" i="1"/>
  <c r="A135" i="1"/>
  <c r="B135" i="1"/>
  <c r="G135" i="1"/>
  <c r="H135" i="1"/>
  <c r="J135" i="1"/>
  <c r="A136" i="1"/>
  <c r="B136" i="1"/>
  <c r="G136" i="1"/>
  <c r="H136" i="1"/>
  <c r="J136" i="1"/>
  <c r="A137" i="1"/>
  <c r="B137" i="1"/>
  <c r="G137" i="1"/>
  <c r="H137" i="1"/>
  <c r="J137" i="1"/>
  <c r="A138" i="1"/>
  <c r="B138" i="1"/>
  <c r="G138" i="1"/>
  <c r="H138" i="1"/>
  <c r="J138" i="1"/>
  <c r="A139" i="1"/>
  <c r="B139" i="1"/>
  <c r="G139" i="1"/>
  <c r="H139" i="1"/>
  <c r="J139" i="1"/>
  <c r="A140" i="1"/>
  <c r="B140" i="1"/>
  <c r="G140" i="1"/>
  <c r="H140" i="1"/>
  <c r="J140" i="1"/>
  <c r="A141" i="1"/>
  <c r="B141" i="1"/>
  <c r="G141" i="1"/>
  <c r="H141" i="1"/>
  <c r="J141" i="1"/>
  <c r="A142" i="1"/>
  <c r="B142" i="1"/>
  <c r="G142" i="1"/>
  <c r="H142" i="1"/>
  <c r="J142" i="1"/>
  <c r="A143" i="1"/>
  <c r="B143" i="1"/>
  <c r="G143" i="1"/>
  <c r="H143" i="1"/>
  <c r="J143" i="1"/>
  <c r="A144" i="1"/>
  <c r="B144" i="1"/>
  <c r="G144" i="1"/>
  <c r="H144" i="1"/>
  <c r="J144" i="1"/>
  <c r="A145" i="1"/>
  <c r="B145" i="1"/>
  <c r="G145" i="1"/>
  <c r="H145" i="1"/>
  <c r="J145" i="1"/>
  <c r="A146" i="1"/>
  <c r="B146" i="1"/>
  <c r="G146" i="1"/>
  <c r="H146" i="1"/>
  <c r="J146" i="1"/>
  <c r="A147" i="1"/>
  <c r="B147" i="1"/>
  <c r="G147" i="1"/>
  <c r="H147" i="1"/>
  <c r="J147" i="1"/>
  <c r="A148" i="1"/>
  <c r="B148" i="1"/>
  <c r="G148" i="1"/>
  <c r="H148" i="1"/>
  <c r="J148" i="1"/>
  <c r="A149" i="1"/>
  <c r="B149" i="1"/>
  <c r="G149" i="1"/>
  <c r="H149" i="1"/>
  <c r="J149" i="1"/>
  <c r="A150" i="1"/>
  <c r="B150" i="1"/>
  <c r="G150" i="1"/>
  <c r="H150" i="1"/>
  <c r="J150" i="1"/>
  <c r="A151" i="1"/>
  <c r="B151" i="1"/>
  <c r="G151" i="1"/>
  <c r="H151" i="1"/>
  <c r="J151" i="1"/>
  <c r="A152" i="1"/>
  <c r="B152" i="1"/>
  <c r="G152" i="1"/>
  <c r="H152" i="1"/>
  <c r="J152" i="1"/>
  <c r="A153" i="1"/>
  <c r="B153" i="1"/>
  <c r="G153" i="1"/>
  <c r="H153" i="1"/>
  <c r="J153" i="1"/>
  <c r="A154" i="1"/>
  <c r="B154" i="1"/>
  <c r="G154" i="1"/>
  <c r="H154" i="1"/>
  <c r="J154" i="1"/>
  <c r="A155" i="1"/>
  <c r="B155" i="1"/>
  <c r="G155" i="1"/>
  <c r="H155" i="1"/>
  <c r="J155" i="1"/>
  <c r="A156" i="1"/>
  <c r="B156" i="1"/>
  <c r="G156" i="1"/>
  <c r="H156" i="1"/>
  <c r="J156" i="1"/>
  <c r="A157" i="1"/>
  <c r="B157" i="1"/>
  <c r="G157" i="1"/>
  <c r="H157" i="1"/>
  <c r="J157" i="1"/>
  <c r="A158" i="1"/>
  <c r="B158" i="1"/>
  <c r="G158" i="1"/>
  <c r="H158" i="1"/>
  <c r="J158" i="1"/>
  <c r="A159" i="1"/>
  <c r="B159" i="1"/>
  <c r="G159" i="1"/>
  <c r="H159" i="1"/>
  <c r="J159" i="1"/>
  <c r="A160" i="1"/>
  <c r="B160" i="1"/>
  <c r="G160" i="1"/>
  <c r="H160" i="1"/>
  <c r="J160" i="1"/>
  <c r="A161" i="1"/>
  <c r="B161" i="1"/>
  <c r="G161" i="1"/>
  <c r="H161" i="1"/>
  <c r="J161" i="1"/>
  <c r="A162" i="1"/>
  <c r="B162" i="1"/>
  <c r="G162" i="1"/>
  <c r="H162" i="1"/>
  <c r="J162" i="1"/>
  <c r="A163" i="1"/>
  <c r="B163" i="1"/>
  <c r="G163" i="1"/>
  <c r="H163" i="1"/>
  <c r="J163" i="1"/>
  <c r="A164" i="1"/>
  <c r="B164" i="1"/>
  <c r="G164" i="1"/>
  <c r="H164" i="1"/>
  <c r="J164" i="1"/>
  <c r="A165" i="1"/>
  <c r="B165" i="1"/>
  <c r="G165" i="1"/>
  <c r="H165" i="1"/>
  <c r="J165" i="1"/>
  <c r="A166" i="1"/>
  <c r="B166" i="1"/>
  <c r="G166" i="1"/>
  <c r="H166" i="1"/>
  <c r="J166" i="1"/>
  <c r="A167" i="1"/>
  <c r="B167" i="1"/>
  <c r="G167" i="1"/>
  <c r="H167" i="1"/>
  <c r="J167" i="1"/>
  <c r="A168" i="1"/>
  <c r="B168" i="1"/>
  <c r="G168" i="1"/>
  <c r="H168" i="1"/>
  <c r="J168" i="1"/>
  <c r="A169" i="1"/>
  <c r="B169" i="1"/>
  <c r="G169" i="1"/>
  <c r="H169" i="1"/>
  <c r="J169" i="1"/>
  <c r="A170" i="1"/>
  <c r="B170" i="1"/>
  <c r="G170" i="1"/>
  <c r="H170" i="1"/>
  <c r="J170" i="1"/>
  <c r="A171" i="1"/>
  <c r="B171" i="1"/>
  <c r="G171" i="1"/>
  <c r="H171" i="1"/>
  <c r="J171" i="1"/>
  <c r="A172" i="1"/>
  <c r="B172" i="1"/>
  <c r="G172" i="1"/>
  <c r="H172" i="1"/>
  <c r="J172" i="1"/>
  <c r="A173" i="1"/>
  <c r="B173" i="1"/>
  <c r="G173" i="1"/>
  <c r="H173" i="1"/>
  <c r="J173" i="1"/>
  <c r="A174" i="1"/>
  <c r="B174" i="1"/>
  <c r="G174" i="1"/>
  <c r="H174" i="1"/>
  <c r="J174" i="1"/>
  <c r="A175" i="1"/>
  <c r="B175" i="1"/>
  <c r="G175" i="1"/>
  <c r="H175" i="1"/>
  <c r="J175" i="1"/>
  <c r="A176" i="1"/>
  <c r="B176" i="1"/>
  <c r="G176" i="1"/>
  <c r="H176" i="1"/>
  <c r="J176" i="1"/>
  <c r="A177" i="1"/>
  <c r="B177" i="1"/>
  <c r="G177" i="1"/>
  <c r="H177" i="1"/>
  <c r="J177" i="1"/>
  <c r="A178" i="1"/>
  <c r="B178" i="1"/>
  <c r="G178" i="1"/>
  <c r="H178" i="1"/>
  <c r="J178" i="1"/>
  <c r="A179" i="1"/>
  <c r="B179" i="1"/>
  <c r="G179" i="1"/>
  <c r="H179" i="1"/>
  <c r="J179" i="1"/>
  <c r="A180" i="1"/>
  <c r="B180" i="1"/>
  <c r="G180" i="1"/>
  <c r="H180" i="1"/>
  <c r="J180" i="1"/>
  <c r="A181" i="1"/>
  <c r="B181" i="1"/>
  <c r="G181" i="1"/>
  <c r="H181" i="1"/>
  <c r="J181" i="1"/>
  <c r="A182" i="1"/>
  <c r="B182" i="1"/>
  <c r="G182" i="1"/>
  <c r="H182" i="1"/>
  <c r="J182" i="1"/>
  <c r="A183" i="1"/>
  <c r="B183" i="1"/>
  <c r="G183" i="1"/>
  <c r="H183" i="1"/>
  <c r="J183" i="1"/>
  <c r="A184" i="1"/>
  <c r="B184" i="1"/>
  <c r="G184" i="1"/>
  <c r="H184" i="1"/>
  <c r="J184" i="1"/>
  <c r="A185" i="1"/>
  <c r="B185" i="1"/>
  <c r="G185" i="1"/>
  <c r="H185" i="1"/>
  <c r="J185" i="1"/>
  <c r="A186" i="1"/>
  <c r="B186" i="1"/>
  <c r="G186" i="1"/>
  <c r="H186" i="1"/>
  <c r="J186" i="1"/>
  <c r="A187" i="1"/>
  <c r="B187" i="1"/>
  <c r="G187" i="1"/>
  <c r="H187" i="1"/>
  <c r="J187" i="1"/>
  <c r="A188" i="1"/>
  <c r="B188" i="1"/>
  <c r="G188" i="1"/>
  <c r="H188" i="1"/>
  <c r="J188" i="1"/>
  <c r="A189" i="1"/>
  <c r="B189" i="1"/>
  <c r="G189" i="1"/>
  <c r="H189" i="1"/>
  <c r="J189" i="1"/>
  <c r="A190" i="1"/>
  <c r="B190" i="1"/>
  <c r="G190" i="1"/>
  <c r="H190" i="1"/>
  <c r="J190" i="1"/>
  <c r="A191" i="1"/>
  <c r="B191" i="1"/>
  <c r="G191" i="1"/>
  <c r="H191" i="1"/>
  <c r="J191" i="1"/>
  <c r="A192" i="1"/>
  <c r="B192" i="1"/>
  <c r="G192" i="1"/>
  <c r="H192" i="1"/>
  <c r="J192" i="1"/>
  <c r="A193" i="1"/>
  <c r="B193" i="1"/>
  <c r="G193" i="1"/>
  <c r="H193" i="1"/>
  <c r="J193" i="1"/>
  <c r="A194" i="1"/>
  <c r="B194" i="1"/>
  <c r="G194" i="1"/>
  <c r="H194" i="1"/>
  <c r="J194" i="1"/>
  <c r="A195" i="1"/>
  <c r="B195" i="1"/>
  <c r="G195" i="1"/>
  <c r="H195" i="1"/>
  <c r="J195" i="1"/>
  <c r="A196" i="1"/>
  <c r="B196" i="1"/>
  <c r="G196" i="1"/>
  <c r="H196" i="1"/>
  <c r="J196" i="1"/>
  <c r="A197" i="1"/>
  <c r="B197" i="1"/>
  <c r="G197" i="1"/>
  <c r="H197" i="1"/>
  <c r="J197" i="1"/>
  <c r="A198" i="1"/>
  <c r="B198" i="1"/>
  <c r="G198" i="1"/>
  <c r="H198" i="1"/>
  <c r="J198" i="1"/>
  <c r="A199" i="1"/>
  <c r="B199" i="1"/>
  <c r="G199" i="1"/>
  <c r="H199" i="1"/>
  <c r="J199" i="1"/>
  <c r="A200" i="1"/>
  <c r="B200" i="1"/>
  <c r="G200" i="1"/>
  <c r="H200" i="1"/>
  <c r="J200" i="1"/>
  <c r="A201" i="1"/>
  <c r="B201" i="1"/>
  <c r="G201" i="1"/>
  <c r="H201" i="1"/>
  <c r="J201" i="1"/>
  <c r="A202" i="1"/>
  <c r="B202" i="1"/>
  <c r="G202" i="1"/>
  <c r="H202" i="1"/>
  <c r="J202" i="1"/>
  <c r="A203" i="1"/>
  <c r="B203" i="1"/>
  <c r="G203" i="1"/>
  <c r="H203" i="1"/>
  <c r="J203" i="1"/>
  <c r="A204" i="1"/>
  <c r="B204" i="1"/>
  <c r="G204" i="1"/>
  <c r="H204" i="1"/>
  <c r="J204" i="1"/>
  <c r="A205" i="1"/>
  <c r="B205" i="1"/>
  <c r="G205" i="1"/>
  <c r="H205" i="1"/>
  <c r="J205" i="1"/>
  <c r="A206" i="1"/>
  <c r="B206" i="1"/>
  <c r="G206" i="1"/>
  <c r="H206" i="1"/>
  <c r="J206" i="1"/>
  <c r="A207" i="1"/>
  <c r="B207" i="1"/>
  <c r="G207" i="1"/>
  <c r="H207" i="1"/>
  <c r="J207" i="1"/>
  <c r="A208" i="1"/>
  <c r="B208" i="1"/>
  <c r="G208" i="1"/>
  <c r="H208" i="1"/>
  <c r="J208" i="1"/>
  <c r="A209" i="1"/>
  <c r="B209" i="1"/>
  <c r="G209" i="1"/>
  <c r="H209" i="1"/>
  <c r="J209" i="1"/>
  <c r="A210" i="1"/>
  <c r="B210" i="1"/>
  <c r="G210" i="1"/>
  <c r="H210" i="1"/>
  <c r="J210" i="1"/>
  <c r="A211" i="1"/>
  <c r="B211" i="1"/>
  <c r="G211" i="1"/>
  <c r="H211" i="1"/>
  <c r="J211" i="1"/>
  <c r="A212" i="1"/>
  <c r="B212" i="1"/>
  <c r="G212" i="1"/>
  <c r="H212" i="1"/>
  <c r="J212" i="1"/>
  <c r="A213" i="1"/>
  <c r="B213" i="1"/>
  <c r="G213" i="1"/>
  <c r="H213" i="1"/>
  <c r="J213" i="1"/>
  <c r="A214" i="1"/>
  <c r="B214" i="1"/>
  <c r="G214" i="1"/>
  <c r="H214" i="1"/>
  <c r="J214" i="1"/>
  <c r="A215" i="1"/>
  <c r="B215" i="1"/>
  <c r="G215" i="1"/>
  <c r="H215" i="1"/>
  <c r="J215" i="1"/>
  <c r="A216" i="1"/>
  <c r="B216" i="1"/>
  <c r="G216" i="1"/>
  <c r="H216" i="1"/>
  <c r="J216" i="1"/>
  <c r="A217" i="1"/>
  <c r="B217" i="1"/>
  <c r="G217" i="1"/>
  <c r="H217" i="1"/>
  <c r="J217" i="1"/>
  <c r="A218" i="1"/>
  <c r="B218" i="1"/>
  <c r="G218" i="1"/>
  <c r="H218" i="1"/>
  <c r="J218" i="1"/>
  <c r="A219" i="1"/>
  <c r="B219" i="1"/>
  <c r="G219" i="1"/>
  <c r="H219" i="1"/>
  <c r="J219" i="1"/>
  <c r="A220" i="1"/>
  <c r="B220" i="1"/>
  <c r="G220" i="1"/>
  <c r="H220" i="1"/>
  <c r="J220" i="1"/>
  <c r="A221" i="1"/>
  <c r="B221" i="1"/>
  <c r="G221" i="1"/>
  <c r="H221" i="1"/>
  <c r="J221" i="1"/>
  <c r="A222" i="1"/>
  <c r="B222" i="1"/>
  <c r="G222" i="1"/>
  <c r="H222" i="1"/>
  <c r="J222" i="1"/>
  <c r="A223" i="1"/>
  <c r="B223" i="1"/>
  <c r="G223" i="1"/>
  <c r="H223" i="1"/>
  <c r="J223" i="1"/>
  <c r="A224" i="1"/>
  <c r="B224" i="1"/>
  <c r="G224" i="1"/>
  <c r="H224" i="1"/>
  <c r="J224" i="1"/>
  <c r="A225" i="1"/>
  <c r="B225" i="1"/>
  <c r="G225" i="1"/>
  <c r="H225" i="1"/>
  <c r="J225" i="1"/>
  <c r="A226" i="1"/>
  <c r="B226" i="1"/>
  <c r="G226" i="1"/>
  <c r="H226" i="1"/>
  <c r="J226" i="1"/>
  <c r="A227" i="1"/>
  <c r="B227" i="1"/>
  <c r="G227" i="1"/>
  <c r="H227" i="1"/>
  <c r="J227" i="1"/>
  <c r="A228" i="1"/>
  <c r="B228" i="1"/>
  <c r="G228" i="1"/>
  <c r="H228" i="1"/>
  <c r="J228" i="1"/>
  <c r="A229" i="1"/>
  <c r="B229" i="1"/>
  <c r="G229" i="1"/>
  <c r="H229" i="1"/>
  <c r="J229" i="1"/>
  <c r="A230" i="1"/>
  <c r="B230" i="1"/>
  <c r="G230" i="1"/>
  <c r="H230" i="1"/>
  <c r="J230" i="1"/>
  <c r="A231" i="1"/>
  <c r="B231" i="1"/>
  <c r="G231" i="1"/>
  <c r="H231" i="1"/>
  <c r="J231" i="1"/>
  <c r="A232" i="1"/>
  <c r="B232" i="1"/>
  <c r="G232" i="1"/>
  <c r="H232" i="1"/>
  <c r="J232" i="1"/>
  <c r="A233" i="1"/>
  <c r="B233" i="1"/>
  <c r="G233" i="1"/>
  <c r="H233" i="1"/>
  <c r="J233" i="1"/>
  <c r="A234" i="1"/>
  <c r="B234" i="1"/>
  <c r="G234" i="1"/>
  <c r="H234" i="1"/>
  <c r="J234" i="1"/>
  <c r="A235" i="1"/>
  <c r="B235" i="1"/>
  <c r="G235" i="1"/>
  <c r="H235" i="1"/>
  <c r="J235" i="1"/>
  <c r="A236" i="1"/>
  <c r="B236" i="1"/>
  <c r="G236" i="1"/>
  <c r="H236" i="1"/>
  <c r="J236" i="1"/>
  <c r="A237" i="1"/>
  <c r="B237" i="1"/>
  <c r="G237" i="1"/>
  <c r="H237" i="1"/>
  <c r="J237" i="1"/>
  <c r="A238" i="1"/>
  <c r="B238" i="1"/>
  <c r="G238" i="1"/>
  <c r="H238" i="1"/>
  <c r="J238" i="1"/>
  <c r="A239" i="1"/>
  <c r="B239" i="1"/>
  <c r="G239" i="1"/>
  <c r="H239" i="1"/>
  <c r="J239" i="1"/>
  <c r="A240" i="1"/>
  <c r="B240" i="1"/>
  <c r="G240" i="1"/>
  <c r="H240" i="1"/>
  <c r="J240" i="1"/>
  <c r="A241" i="1"/>
  <c r="B241" i="1"/>
  <c r="G241" i="1"/>
  <c r="H241" i="1"/>
  <c r="J241" i="1"/>
  <c r="A242" i="1"/>
  <c r="B242" i="1"/>
  <c r="G242" i="1"/>
  <c r="H242" i="1"/>
  <c r="J242" i="1"/>
  <c r="A243" i="1"/>
  <c r="B243" i="1"/>
  <c r="G243" i="1"/>
  <c r="H243" i="1"/>
  <c r="J243" i="1"/>
  <c r="A244" i="1"/>
  <c r="B244" i="1"/>
  <c r="G244" i="1"/>
  <c r="H244" i="1"/>
  <c r="J244" i="1"/>
  <c r="A245" i="1"/>
  <c r="B245" i="1"/>
  <c r="G245" i="1"/>
  <c r="H245" i="1"/>
  <c r="J245" i="1"/>
  <c r="A246" i="1"/>
  <c r="B246" i="1"/>
  <c r="G246" i="1"/>
  <c r="H246" i="1"/>
  <c r="J246" i="1"/>
  <c r="A247" i="1"/>
  <c r="B247" i="1"/>
  <c r="G247" i="1"/>
  <c r="H247" i="1"/>
  <c r="J247" i="1"/>
  <c r="A248" i="1"/>
  <c r="B248" i="1"/>
  <c r="G248" i="1"/>
  <c r="H248" i="1"/>
  <c r="J248" i="1"/>
  <c r="A249" i="1"/>
  <c r="B249" i="1"/>
  <c r="G249" i="1"/>
  <c r="H249" i="1"/>
  <c r="J249" i="1"/>
  <c r="A250" i="1"/>
  <c r="B250" i="1"/>
  <c r="G250" i="1"/>
  <c r="H250" i="1"/>
  <c r="J250" i="1"/>
  <c r="A251" i="1"/>
  <c r="B251" i="1"/>
  <c r="G251" i="1"/>
  <c r="H251" i="1"/>
  <c r="J251" i="1"/>
  <c r="A252" i="1"/>
  <c r="B252" i="1"/>
  <c r="G252" i="1"/>
  <c r="H252" i="1"/>
  <c r="J252" i="1"/>
  <c r="A253" i="1"/>
  <c r="B253" i="1"/>
  <c r="G253" i="1"/>
  <c r="H253" i="1"/>
  <c r="J253" i="1"/>
  <c r="A254" i="1"/>
  <c r="B254" i="1"/>
  <c r="G254" i="1"/>
  <c r="H254" i="1"/>
  <c r="J254" i="1"/>
  <c r="A255" i="1"/>
  <c r="B255" i="1"/>
  <c r="G255" i="1"/>
  <c r="H255" i="1"/>
  <c r="J255" i="1"/>
  <c r="A256" i="1"/>
  <c r="B256" i="1"/>
  <c r="G256" i="1"/>
  <c r="H256" i="1"/>
  <c r="J256" i="1"/>
  <c r="A257" i="1"/>
  <c r="B257" i="1"/>
  <c r="G257" i="1"/>
  <c r="H257" i="1"/>
  <c r="J257" i="1"/>
  <c r="A258" i="1"/>
  <c r="B258" i="1"/>
  <c r="G258" i="1"/>
  <c r="H258" i="1"/>
  <c r="J258" i="1"/>
  <c r="A259" i="1"/>
  <c r="B259" i="1"/>
  <c r="G259" i="1"/>
  <c r="H259" i="1"/>
  <c r="J259" i="1"/>
  <c r="A260" i="1"/>
  <c r="B260" i="1"/>
  <c r="G260" i="1"/>
  <c r="H260" i="1"/>
  <c r="J260" i="1"/>
  <c r="A261" i="1"/>
  <c r="B261" i="1"/>
  <c r="G261" i="1"/>
  <c r="H261" i="1"/>
  <c r="J261" i="1"/>
  <c r="A262" i="1"/>
  <c r="B262" i="1"/>
  <c r="G262" i="1"/>
  <c r="H262" i="1"/>
  <c r="J262" i="1"/>
  <c r="A263" i="1"/>
  <c r="B263" i="1"/>
  <c r="G263" i="1"/>
  <c r="H263" i="1"/>
  <c r="J263" i="1"/>
  <c r="A264" i="1"/>
  <c r="B264" i="1"/>
  <c r="G264" i="1"/>
  <c r="H264" i="1"/>
  <c r="J264" i="1"/>
  <c r="A265" i="1"/>
  <c r="B265" i="1"/>
  <c r="G265" i="1"/>
  <c r="H265" i="1"/>
  <c r="J265" i="1"/>
  <c r="A266" i="1"/>
  <c r="B266" i="1"/>
  <c r="G266" i="1"/>
  <c r="H266" i="1"/>
  <c r="J266" i="1"/>
  <c r="A267" i="1"/>
  <c r="B267" i="1"/>
  <c r="G267" i="1"/>
  <c r="H267" i="1"/>
  <c r="J267" i="1"/>
  <c r="A268" i="1"/>
  <c r="B268" i="1"/>
  <c r="G268" i="1"/>
  <c r="H268" i="1"/>
  <c r="J268" i="1"/>
  <c r="A269" i="1"/>
  <c r="B269" i="1"/>
  <c r="G269" i="1"/>
  <c r="H269" i="1"/>
  <c r="J269" i="1"/>
  <c r="A270" i="1"/>
  <c r="B270" i="1"/>
  <c r="G270" i="1"/>
  <c r="H270" i="1"/>
  <c r="J270" i="1"/>
  <c r="A271" i="1"/>
  <c r="B271" i="1"/>
  <c r="G271" i="1"/>
  <c r="H271" i="1"/>
  <c r="J271" i="1"/>
  <c r="A272" i="1"/>
  <c r="B272" i="1"/>
  <c r="G272" i="1"/>
  <c r="H272" i="1"/>
  <c r="J272" i="1"/>
  <c r="A273" i="1"/>
  <c r="B273" i="1"/>
  <c r="G273" i="1"/>
  <c r="H273" i="1"/>
  <c r="J273" i="1"/>
  <c r="A274" i="1"/>
  <c r="B274" i="1"/>
  <c r="G274" i="1"/>
  <c r="H274" i="1"/>
  <c r="J274" i="1"/>
  <c r="A275" i="1"/>
  <c r="B275" i="1"/>
  <c r="G275" i="1"/>
  <c r="H275" i="1"/>
  <c r="J275" i="1"/>
  <c r="A276" i="1"/>
  <c r="B276" i="1"/>
  <c r="G276" i="1"/>
  <c r="H276" i="1"/>
  <c r="J276" i="1"/>
  <c r="A277" i="1"/>
  <c r="B277" i="1"/>
  <c r="G277" i="1"/>
  <c r="H277" i="1"/>
  <c r="J277" i="1"/>
  <c r="A278" i="1"/>
  <c r="B278" i="1"/>
  <c r="G278" i="1"/>
  <c r="H278" i="1"/>
  <c r="J278" i="1"/>
  <c r="A279" i="1"/>
  <c r="B279" i="1"/>
  <c r="G279" i="1"/>
  <c r="H279" i="1"/>
  <c r="J279" i="1"/>
  <c r="A280" i="1"/>
  <c r="B280" i="1"/>
  <c r="G280" i="1"/>
  <c r="H280" i="1"/>
  <c r="J280" i="1"/>
  <c r="A281" i="1"/>
  <c r="B281" i="1"/>
  <c r="G281" i="1"/>
  <c r="H281" i="1"/>
  <c r="A282" i="1"/>
  <c r="B282" i="1"/>
  <c r="G282" i="1"/>
  <c r="H282" i="1"/>
  <c r="A283" i="1"/>
  <c r="B283" i="1"/>
  <c r="G283" i="1"/>
  <c r="H283" i="1"/>
  <c r="A284" i="1"/>
  <c r="B284" i="1"/>
  <c r="G284" i="1"/>
  <c r="H284" i="1"/>
  <c r="J284" i="1"/>
  <c r="A285" i="1"/>
  <c r="B285" i="1"/>
  <c r="G285" i="1"/>
  <c r="H285" i="1"/>
  <c r="J285" i="1"/>
  <c r="A286" i="1"/>
  <c r="B286" i="1"/>
  <c r="G286" i="1"/>
  <c r="H286" i="1"/>
  <c r="J286" i="1"/>
  <c r="A287" i="1"/>
  <c r="B287" i="1"/>
  <c r="G287" i="1"/>
  <c r="H287" i="1"/>
  <c r="J287" i="1"/>
  <c r="A288" i="1"/>
  <c r="B288" i="1"/>
  <c r="G288" i="1"/>
  <c r="H288" i="1"/>
  <c r="J288" i="1"/>
  <c r="A289" i="1"/>
  <c r="B289" i="1"/>
  <c r="G289" i="1"/>
  <c r="H289" i="1"/>
  <c r="J289" i="1"/>
  <c r="A290" i="1"/>
  <c r="B290" i="1"/>
  <c r="G290" i="1"/>
  <c r="H290" i="1"/>
  <c r="J290" i="1"/>
  <c r="A291" i="1"/>
  <c r="B291" i="1"/>
  <c r="G291" i="1"/>
  <c r="H291" i="1"/>
  <c r="J291" i="1"/>
  <c r="A292" i="1"/>
  <c r="B292" i="1"/>
  <c r="G292" i="1"/>
  <c r="H292" i="1"/>
  <c r="J292" i="1"/>
  <c r="A293" i="1"/>
  <c r="B293" i="1"/>
  <c r="G293" i="1"/>
  <c r="H293" i="1"/>
  <c r="J293" i="1"/>
  <c r="A294" i="1"/>
  <c r="B294" i="1"/>
  <c r="G294" i="1"/>
  <c r="H294" i="1"/>
  <c r="J294" i="1"/>
  <c r="A295" i="1"/>
  <c r="B295" i="1"/>
  <c r="G295" i="1"/>
  <c r="H295" i="1"/>
  <c r="J295" i="1"/>
  <c r="A296" i="1"/>
  <c r="B296" i="1"/>
  <c r="G296" i="1"/>
  <c r="H296" i="1"/>
  <c r="J296" i="1"/>
  <c r="A297" i="1"/>
  <c r="B297" i="1"/>
  <c r="G297" i="1"/>
  <c r="H297" i="1"/>
  <c r="J297" i="1"/>
  <c r="A298" i="1"/>
  <c r="B298" i="1"/>
  <c r="G298" i="1"/>
  <c r="H298" i="1"/>
  <c r="J298" i="1"/>
  <c r="A299" i="1"/>
  <c r="B299" i="1"/>
  <c r="G299" i="1"/>
  <c r="H299" i="1"/>
  <c r="J299" i="1"/>
  <c r="A300" i="1"/>
  <c r="B300" i="1"/>
  <c r="G300" i="1"/>
  <c r="H300" i="1"/>
  <c r="J300" i="1"/>
  <c r="A301" i="1"/>
  <c r="B301" i="1"/>
  <c r="G301" i="1"/>
  <c r="H301" i="1"/>
  <c r="J301" i="1"/>
  <c r="A302" i="1"/>
  <c r="B302" i="1"/>
  <c r="G302" i="1"/>
  <c r="H302" i="1"/>
  <c r="J302" i="1"/>
  <c r="A303" i="1"/>
  <c r="B303" i="1"/>
  <c r="G303" i="1"/>
  <c r="H303" i="1"/>
  <c r="J303" i="1"/>
  <c r="A304" i="1"/>
  <c r="B304" i="1"/>
  <c r="G304" i="1"/>
  <c r="H304" i="1"/>
  <c r="J304" i="1"/>
  <c r="A305" i="1"/>
  <c r="B305" i="1"/>
  <c r="G305" i="1"/>
  <c r="H305" i="1"/>
  <c r="J305" i="1"/>
  <c r="A306" i="1"/>
  <c r="B306" i="1"/>
  <c r="G306" i="1"/>
  <c r="H306" i="1"/>
  <c r="J306" i="1"/>
  <c r="A307" i="1"/>
  <c r="B307" i="1"/>
  <c r="G307" i="1"/>
  <c r="H307" i="1"/>
  <c r="J307" i="1"/>
  <c r="A308" i="1"/>
  <c r="B308" i="1"/>
  <c r="G308" i="1"/>
  <c r="H308" i="1"/>
  <c r="J308" i="1"/>
  <c r="A309" i="1"/>
  <c r="B309" i="1"/>
  <c r="G309" i="1"/>
  <c r="H309" i="1"/>
  <c r="J309" i="1"/>
  <c r="A310" i="1"/>
  <c r="B310" i="1"/>
  <c r="G310" i="1"/>
  <c r="H310" i="1"/>
  <c r="J310" i="1"/>
  <c r="A311" i="1"/>
  <c r="B311" i="1"/>
  <c r="G311" i="1"/>
  <c r="H311" i="1"/>
  <c r="J311" i="1"/>
  <c r="A312" i="1"/>
  <c r="B312" i="1"/>
  <c r="G312" i="1"/>
  <c r="H312" i="1"/>
  <c r="J312" i="1"/>
  <c r="A313" i="1"/>
  <c r="B313" i="1"/>
  <c r="G313" i="1"/>
  <c r="H313" i="1"/>
  <c r="J313" i="1"/>
  <c r="A314" i="1"/>
  <c r="B314" i="1"/>
  <c r="G314" i="1"/>
  <c r="H314" i="1"/>
  <c r="J314" i="1"/>
  <c r="A315" i="1"/>
  <c r="B315" i="1"/>
  <c r="G315" i="1"/>
  <c r="H315" i="1"/>
  <c r="J315" i="1"/>
  <c r="A316" i="1"/>
  <c r="B316" i="1"/>
  <c r="G316" i="1"/>
  <c r="H316" i="1"/>
  <c r="J316" i="1"/>
  <c r="A317" i="1"/>
  <c r="B317" i="1"/>
  <c r="G317" i="1"/>
  <c r="H317" i="1"/>
  <c r="J317" i="1"/>
  <c r="A318" i="1"/>
  <c r="B318" i="1"/>
  <c r="G318" i="1"/>
  <c r="H318" i="1"/>
  <c r="J318" i="1"/>
  <c r="A319" i="1"/>
  <c r="B319" i="1"/>
  <c r="G319" i="1"/>
  <c r="H319" i="1"/>
  <c r="J319" i="1"/>
  <c r="A320" i="1"/>
  <c r="B320" i="1"/>
  <c r="G320" i="1"/>
  <c r="H320" i="1"/>
  <c r="J320" i="1"/>
  <c r="A321" i="1"/>
  <c r="B321" i="1"/>
  <c r="G321" i="1"/>
  <c r="H321" i="1"/>
  <c r="J321" i="1"/>
  <c r="A322" i="1"/>
  <c r="B322" i="1"/>
  <c r="G322" i="1"/>
  <c r="H322" i="1"/>
  <c r="J322" i="1"/>
  <c r="A323" i="1"/>
  <c r="B323" i="1"/>
  <c r="G323" i="1"/>
  <c r="H323" i="1"/>
  <c r="J323" i="1"/>
  <c r="A324" i="1"/>
  <c r="B324" i="1"/>
  <c r="G324" i="1"/>
  <c r="H324" i="1"/>
  <c r="J324" i="1"/>
  <c r="A325" i="1"/>
  <c r="B325" i="1"/>
  <c r="G325" i="1"/>
  <c r="H325" i="1"/>
  <c r="J325" i="1"/>
  <c r="A326" i="1"/>
  <c r="B326" i="1"/>
  <c r="G326" i="1"/>
  <c r="H326" i="1"/>
  <c r="J326" i="1"/>
  <c r="A327" i="1"/>
  <c r="B327" i="1"/>
  <c r="G327" i="1"/>
  <c r="H327" i="1"/>
  <c r="J327" i="1"/>
  <c r="A328" i="1"/>
  <c r="B328" i="1"/>
  <c r="G328" i="1"/>
  <c r="H328" i="1"/>
  <c r="J328" i="1"/>
  <c r="A329" i="1"/>
  <c r="B329" i="1"/>
  <c r="G329" i="1"/>
  <c r="H329" i="1"/>
  <c r="J329" i="1"/>
  <c r="A330" i="1"/>
  <c r="B330" i="1"/>
  <c r="G330" i="1"/>
  <c r="H330" i="1"/>
  <c r="J330" i="1"/>
  <c r="A331" i="1"/>
  <c r="B331" i="1"/>
  <c r="G331" i="1"/>
  <c r="H331" i="1"/>
  <c r="J331" i="1"/>
  <c r="A332" i="1"/>
  <c r="B332" i="1"/>
  <c r="G332" i="1"/>
  <c r="H332" i="1"/>
  <c r="J332" i="1"/>
  <c r="A333" i="1"/>
  <c r="B333" i="1"/>
  <c r="G333" i="1"/>
  <c r="H333" i="1"/>
  <c r="J333" i="1"/>
  <c r="A334" i="1"/>
  <c r="B334" i="1"/>
  <c r="G334" i="1"/>
  <c r="H334" i="1"/>
  <c r="J334" i="1"/>
  <c r="A335" i="1"/>
  <c r="B335" i="1"/>
  <c r="G335" i="1"/>
  <c r="H335" i="1"/>
  <c r="J335" i="1"/>
  <c r="A336" i="1"/>
  <c r="B336" i="1"/>
  <c r="G336" i="1"/>
  <c r="H336" i="1"/>
  <c r="J336" i="1"/>
  <c r="A337" i="1"/>
  <c r="B337" i="1"/>
  <c r="G337" i="1"/>
  <c r="H337" i="1"/>
  <c r="J337" i="1"/>
  <c r="A338" i="1"/>
  <c r="B338" i="1"/>
  <c r="G338" i="1"/>
  <c r="H338" i="1"/>
  <c r="J338" i="1"/>
  <c r="A339" i="1"/>
  <c r="B339" i="1"/>
  <c r="G339" i="1"/>
  <c r="H339" i="1"/>
  <c r="J339" i="1"/>
  <c r="A340" i="1"/>
  <c r="B340" i="1"/>
  <c r="G340" i="1"/>
  <c r="H340" i="1"/>
  <c r="J340" i="1"/>
  <c r="A341" i="1"/>
  <c r="B341" i="1"/>
  <c r="G341" i="1"/>
  <c r="H341" i="1"/>
  <c r="J341" i="1"/>
  <c r="A342" i="1"/>
  <c r="B342" i="1"/>
  <c r="G342" i="1"/>
  <c r="H342" i="1"/>
  <c r="J342" i="1"/>
  <c r="A343" i="1"/>
  <c r="B343" i="1"/>
  <c r="G343" i="1"/>
  <c r="H343" i="1"/>
  <c r="J343" i="1"/>
  <c r="A344" i="1"/>
  <c r="B344" i="1"/>
  <c r="G344" i="1"/>
  <c r="H344" i="1"/>
  <c r="J344" i="1"/>
  <c r="A345" i="1"/>
  <c r="B345" i="1"/>
  <c r="G345" i="1"/>
  <c r="H345" i="1"/>
  <c r="J345" i="1"/>
  <c r="A346" i="1"/>
  <c r="B346" i="1"/>
  <c r="G346" i="1"/>
  <c r="H346" i="1"/>
  <c r="J346" i="1"/>
  <c r="A347" i="1"/>
  <c r="B347" i="1"/>
  <c r="G347" i="1"/>
  <c r="H347" i="1"/>
  <c r="J347" i="1"/>
  <c r="A348" i="1"/>
  <c r="B348" i="1"/>
  <c r="G348" i="1"/>
  <c r="H348" i="1"/>
  <c r="J348" i="1"/>
  <c r="A349" i="1"/>
  <c r="B349" i="1"/>
  <c r="G349" i="1"/>
  <c r="H349" i="1"/>
  <c r="J349" i="1"/>
  <c r="A350" i="1"/>
  <c r="B350" i="1"/>
  <c r="G350" i="1"/>
  <c r="H350" i="1"/>
  <c r="J350" i="1"/>
  <c r="A351" i="1"/>
  <c r="B351" i="1"/>
  <c r="G351" i="1"/>
  <c r="H351" i="1"/>
  <c r="J351" i="1"/>
  <c r="A352" i="1"/>
  <c r="B352" i="1"/>
  <c r="G352" i="1"/>
  <c r="H352" i="1"/>
  <c r="J352" i="1"/>
  <c r="A353" i="1"/>
  <c r="B353" i="1"/>
  <c r="G353" i="1"/>
  <c r="H353" i="1"/>
  <c r="J353" i="1"/>
  <c r="A354" i="1"/>
  <c r="B354" i="1"/>
  <c r="G354" i="1"/>
  <c r="H354" i="1"/>
  <c r="J354" i="1"/>
  <c r="A355" i="1"/>
  <c r="B355" i="1"/>
  <c r="G355" i="1"/>
  <c r="H355" i="1"/>
  <c r="J355" i="1"/>
  <c r="A356" i="1"/>
  <c r="B356" i="1"/>
  <c r="G356" i="1"/>
  <c r="H356" i="1"/>
  <c r="J356" i="1"/>
  <c r="A357" i="1"/>
  <c r="B357" i="1"/>
  <c r="G357" i="1"/>
  <c r="H357" i="1"/>
  <c r="J357" i="1"/>
  <c r="A358" i="1"/>
  <c r="B358" i="1"/>
  <c r="G358" i="1"/>
  <c r="H358" i="1"/>
  <c r="J358" i="1"/>
  <c r="A359" i="1"/>
  <c r="B359" i="1"/>
  <c r="G359" i="1"/>
  <c r="H359" i="1"/>
  <c r="J359" i="1"/>
  <c r="A360" i="1"/>
  <c r="B360" i="1"/>
  <c r="G360" i="1"/>
  <c r="H360" i="1"/>
  <c r="J360" i="1"/>
  <c r="A361" i="1"/>
  <c r="B361" i="1"/>
  <c r="G361" i="1"/>
  <c r="H361" i="1"/>
  <c r="J361" i="1"/>
  <c r="A362" i="1"/>
  <c r="B362" i="1"/>
  <c r="G362" i="1"/>
  <c r="H362" i="1"/>
  <c r="J362" i="1"/>
  <c r="A363" i="1"/>
  <c r="B363" i="1"/>
  <c r="G363" i="1"/>
  <c r="H363" i="1"/>
  <c r="J363" i="1"/>
  <c r="A364" i="1"/>
  <c r="B364" i="1"/>
  <c r="G364" i="1"/>
  <c r="H364" i="1"/>
  <c r="J364" i="1"/>
  <c r="A365" i="1"/>
  <c r="B365" i="1"/>
  <c r="G365" i="1"/>
  <c r="H365" i="1"/>
  <c r="J365" i="1"/>
  <c r="A366" i="1"/>
  <c r="B366" i="1"/>
  <c r="G366" i="1"/>
  <c r="H366" i="1"/>
  <c r="J366" i="1"/>
  <c r="A367" i="1"/>
  <c r="B367" i="1"/>
  <c r="G367" i="1"/>
  <c r="H367" i="1"/>
  <c r="J367" i="1"/>
  <c r="A368" i="1"/>
  <c r="B368" i="1"/>
  <c r="G368" i="1"/>
  <c r="H368" i="1"/>
  <c r="J368" i="1"/>
  <c r="A369" i="1"/>
  <c r="B369" i="1"/>
  <c r="G369" i="1"/>
  <c r="H369" i="1"/>
  <c r="J369" i="1"/>
  <c r="A370" i="1"/>
  <c r="B370" i="1"/>
  <c r="G370" i="1"/>
  <c r="H370" i="1"/>
  <c r="J370" i="1"/>
  <c r="A371" i="1"/>
  <c r="B371" i="1"/>
  <c r="G371" i="1"/>
  <c r="H371" i="1"/>
  <c r="J371" i="1"/>
  <c r="A372" i="1"/>
  <c r="B372" i="1"/>
  <c r="G372" i="1"/>
  <c r="H372" i="1"/>
  <c r="J372" i="1"/>
  <c r="A373" i="1"/>
  <c r="B373" i="1"/>
  <c r="G373" i="1"/>
  <c r="H373" i="1"/>
  <c r="J373" i="1"/>
  <c r="A374" i="1"/>
  <c r="B374" i="1"/>
  <c r="G374" i="1"/>
  <c r="H374" i="1"/>
  <c r="J374" i="1"/>
  <c r="A375" i="1"/>
  <c r="B375" i="1"/>
  <c r="G375" i="1"/>
  <c r="H375" i="1"/>
  <c r="J375" i="1"/>
  <c r="A376" i="1"/>
  <c r="B376" i="1"/>
  <c r="G376" i="1"/>
  <c r="H376" i="1"/>
  <c r="J376" i="1"/>
  <c r="A377" i="1"/>
  <c r="B377" i="1"/>
  <c r="G377" i="1"/>
  <c r="H377" i="1"/>
  <c r="J377" i="1"/>
  <c r="A378" i="1"/>
  <c r="B378" i="1"/>
  <c r="G378" i="1"/>
  <c r="H378" i="1"/>
  <c r="J378" i="1"/>
  <c r="A379" i="1"/>
  <c r="B379" i="1"/>
  <c r="G379" i="1"/>
  <c r="H379" i="1"/>
  <c r="J379" i="1"/>
  <c r="A380" i="1"/>
  <c r="B380" i="1"/>
  <c r="G380" i="1"/>
  <c r="H380" i="1"/>
  <c r="J380" i="1"/>
  <c r="A381" i="1"/>
  <c r="B381" i="1"/>
  <c r="G381" i="1"/>
  <c r="H381" i="1"/>
  <c r="J381" i="1"/>
  <c r="A382" i="1"/>
  <c r="B382" i="1"/>
  <c r="G382" i="1"/>
  <c r="H382" i="1"/>
  <c r="J382" i="1"/>
  <c r="A383" i="1"/>
  <c r="B383" i="1"/>
  <c r="G383" i="1"/>
  <c r="H383" i="1"/>
  <c r="J383" i="1"/>
  <c r="A384" i="1"/>
  <c r="B384" i="1"/>
  <c r="G384" i="1"/>
  <c r="H384" i="1"/>
  <c r="J384" i="1"/>
  <c r="A385" i="1"/>
  <c r="B385" i="1"/>
  <c r="G385" i="1"/>
  <c r="H385" i="1"/>
  <c r="J385" i="1"/>
  <c r="A386" i="1"/>
  <c r="B386" i="1"/>
  <c r="G386" i="1"/>
  <c r="H386" i="1"/>
  <c r="J386" i="1"/>
  <c r="A387" i="1"/>
  <c r="B387" i="1"/>
  <c r="G387" i="1"/>
  <c r="H387" i="1"/>
  <c r="J387" i="1"/>
  <c r="A388" i="1"/>
  <c r="B388" i="1"/>
  <c r="G388" i="1"/>
  <c r="H388" i="1"/>
  <c r="J388" i="1"/>
  <c r="A389" i="1"/>
  <c r="B389" i="1"/>
  <c r="G389" i="1"/>
  <c r="H389" i="1"/>
  <c r="J389" i="1"/>
  <c r="A390" i="1"/>
  <c r="B390" i="1"/>
  <c r="G390" i="1"/>
  <c r="H390" i="1"/>
  <c r="J390" i="1"/>
  <c r="A391" i="1"/>
  <c r="B391" i="1"/>
  <c r="G391" i="1"/>
  <c r="H391" i="1"/>
  <c r="J391" i="1"/>
  <c r="A392" i="1"/>
  <c r="B392" i="1"/>
  <c r="G392" i="1"/>
  <c r="H392" i="1"/>
  <c r="J392" i="1"/>
  <c r="A393" i="1"/>
  <c r="B393" i="1"/>
  <c r="G393" i="1"/>
  <c r="H393" i="1"/>
  <c r="J393" i="1"/>
  <c r="A394" i="1"/>
  <c r="B394" i="1"/>
  <c r="G394" i="1"/>
  <c r="H394" i="1"/>
  <c r="J394" i="1"/>
  <c r="A395" i="1"/>
  <c r="B395" i="1"/>
  <c r="G395" i="1"/>
  <c r="H395" i="1"/>
  <c r="J395" i="1"/>
  <c r="A396" i="1"/>
  <c r="B396" i="1"/>
  <c r="G396" i="1"/>
  <c r="H396" i="1"/>
  <c r="J396" i="1"/>
  <c r="A397" i="1"/>
  <c r="B397" i="1"/>
  <c r="G397" i="1"/>
  <c r="H397" i="1"/>
  <c r="J397" i="1"/>
  <c r="A398" i="1"/>
  <c r="B398" i="1"/>
  <c r="G398" i="1"/>
  <c r="H398" i="1"/>
  <c r="J398" i="1"/>
  <c r="A399" i="1"/>
  <c r="B399" i="1"/>
  <c r="G399" i="1"/>
  <c r="H399" i="1"/>
  <c r="J399" i="1"/>
  <c r="A400" i="1"/>
  <c r="B400" i="1"/>
  <c r="G400" i="1"/>
  <c r="H400" i="1"/>
  <c r="J400" i="1"/>
  <c r="A401" i="1"/>
  <c r="B401" i="1"/>
  <c r="G401" i="1"/>
  <c r="H401" i="1"/>
  <c r="J401" i="1"/>
  <c r="A402" i="1"/>
  <c r="B402" i="1"/>
  <c r="G402" i="1"/>
  <c r="H402" i="1"/>
  <c r="J402" i="1"/>
  <c r="A403" i="1"/>
  <c r="B403" i="1"/>
  <c r="G403" i="1"/>
  <c r="H403" i="1"/>
  <c r="J403" i="1"/>
  <c r="A404" i="1"/>
  <c r="B404" i="1"/>
  <c r="G404" i="1"/>
  <c r="H404" i="1"/>
  <c r="J404" i="1"/>
  <c r="A405" i="1"/>
  <c r="B405" i="1"/>
  <c r="G405" i="1"/>
  <c r="H405" i="1"/>
  <c r="J405" i="1"/>
  <c r="A406" i="1"/>
  <c r="B406" i="1"/>
  <c r="G406" i="1"/>
  <c r="H406" i="1"/>
  <c r="J406" i="1"/>
  <c r="A407" i="1"/>
  <c r="B407" i="1"/>
  <c r="G407" i="1"/>
  <c r="H407" i="1"/>
  <c r="J407" i="1"/>
  <c r="A408" i="1"/>
  <c r="B408" i="1"/>
  <c r="G408" i="1"/>
  <c r="H408" i="1"/>
  <c r="J408" i="1"/>
  <c r="A409" i="1"/>
  <c r="B409" i="1"/>
  <c r="G409" i="1"/>
  <c r="H409" i="1"/>
  <c r="J409" i="1"/>
  <c r="A410" i="1"/>
  <c r="B410" i="1"/>
  <c r="G410" i="1"/>
  <c r="H410" i="1"/>
  <c r="J410" i="1"/>
  <c r="A411" i="1"/>
  <c r="B411" i="1"/>
  <c r="G411" i="1"/>
  <c r="H411" i="1"/>
  <c r="J411" i="1"/>
  <c r="A412" i="1"/>
  <c r="B412" i="1"/>
  <c r="G412" i="1"/>
  <c r="H412" i="1"/>
  <c r="J412" i="1"/>
  <c r="A413" i="1"/>
  <c r="B413" i="1"/>
  <c r="G413" i="1"/>
  <c r="H413" i="1"/>
  <c r="J413" i="1"/>
  <c r="A414" i="1"/>
  <c r="B414" i="1"/>
  <c r="G414" i="1"/>
  <c r="H414" i="1"/>
  <c r="J414" i="1"/>
  <c r="A415" i="1"/>
  <c r="B415" i="1"/>
  <c r="G415" i="1"/>
  <c r="H415" i="1"/>
  <c r="J415" i="1"/>
  <c r="A416" i="1"/>
  <c r="B416" i="1"/>
  <c r="G416" i="1"/>
  <c r="H416" i="1"/>
  <c r="J416" i="1"/>
  <c r="A417" i="1"/>
  <c r="B417" i="1"/>
  <c r="G417" i="1"/>
  <c r="H417" i="1"/>
  <c r="J417" i="1"/>
  <c r="A418" i="1"/>
  <c r="B418" i="1"/>
  <c r="G418" i="1"/>
  <c r="H418" i="1"/>
  <c r="J418" i="1"/>
  <c r="A419" i="1"/>
  <c r="B419" i="1"/>
  <c r="G419" i="1"/>
  <c r="H419" i="1"/>
  <c r="J419" i="1"/>
  <c r="A420" i="1"/>
  <c r="B420" i="1"/>
  <c r="G420" i="1"/>
  <c r="H420" i="1"/>
  <c r="J420" i="1"/>
  <c r="A421" i="1"/>
  <c r="B421" i="1"/>
  <c r="G421" i="1"/>
  <c r="H421" i="1"/>
  <c r="J421" i="1"/>
  <c r="A422" i="1"/>
  <c r="B422" i="1"/>
  <c r="G422" i="1"/>
  <c r="H422" i="1"/>
  <c r="J422" i="1"/>
  <c r="A423" i="1"/>
  <c r="B423" i="1"/>
  <c r="G423" i="1"/>
  <c r="H423" i="1"/>
  <c r="J423" i="1"/>
  <c r="A424" i="1"/>
  <c r="B424" i="1"/>
  <c r="G424" i="1"/>
  <c r="H424" i="1"/>
  <c r="J424" i="1"/>
  <c r="A425" i="1"/>
  <c r="B425" i="1"/>
  <c r="G425" i="1"/>
  <c r="H425" i="1"/>
  <c r="J425" i="1"/>
  <c r="A426" i="1"/>
  <c r="B426" i="1"/>
  <c r="G426" i="1"/>
  <c r="H426" i="1"/>
  <c r="J426" i="1"/>
  <c r="A427" i="1"/>
  <c r="B427" i="1"/>
  <c r="G427" i="1"/>
  <c r="H427" i="1"/>
  <c r="J427" i="1"/>
  <c r="A428" i="1"/>
  <c r="B428" i="1"/>
  <c r="G428" i="1"/>
  <c r="H428" i="1"/>
  <c r="J428" i="1"/>
  <c r="A429" i="1"/>
  <c r="B429" i="1"/>
  <c r="G429" i="1"/>
  <c r="H429" i="1"/>
  <c r="J429" i="1"/>
  <c r="A430" i="1"/>
  <c r="B430" i="1"/>
  <c r="G430" i="1"/>
  <c r="H430" i="1"/>
  <c r="J430" i="1"/>
  <c r="A431" i="1"/>
  <c r="B431" i="1"/>
  <c r="G431" i="1"/>
  <c r="H431" i="1"/>
  <c r="J431" i="1"/>
  <c r="A432" i="1"/>
  <c r="B432" i="1"/>
  <c r="G432" i="1"/>
  <c r="H432" i="1"/>
  <c r="J432" i="1"/>
  <c r="A433" i="1"/>
  <c r="B433" i="1"/>
  <c r="G433" i="1"/>
  <c r="H433" i="1"/>
  <c r="J433" i="1"/>
  <c r="A434" i="1"/>
  <c r="B434" i="1"/>
  <c r="G434" i="1"/>
  <c r="H434" i="1"/>
  <c r="J434" i="1"/>
  <c r="A435" i="1"/>
  <c r="B435" i="1"/>
  <c r="G435" i="1"/>
  <c r="H435" i="1"/>
  <c r="J435" i="1"/>
  <c r="A436" i="1"/>
  <c r="B436" i="1"/>
  <c r="G436" i="1"/>
  <c r="H436" i="1"/>
  <c r="J436" i="1"/>
  <c r="A437" i="1"/>
  <c r="B437" i="1"/>
  <c r="G437" i="1"/>
  <c r="H437" i="1"/>
  <c r="J437" i="1"/>
  <c r="A438" i="1"/>
  <c r="B438" i="1"/>
  <c r="G438" i="1"/>
  <c r="H438" i="1"/>
  <c r="J438" i="1"/>
  <c r="A439" i="1"/>
  <c r="B439" i="1"/>
  <c r="G439" i="1"/>
  <c r="H439" i="1"/>
  <c r="J439" i="1"/>
  <c r="A440" i="1"/>
  <c r="B440" i="1"/>
  <c r="G440" i="1"/>
  <c r="H440" i="1"/>
  <c r="J440" i="1"/>
  <c r="A441" i="1"/>
  <c r="B441" i="1"/>
  <c r="G441" i="1"/>
  <c r="H441" i="1"/>
  <c r="J441" i="1"/>
  <c r="A442" i="1"/>
  <c r="B442" i="1"/>
  <c r="G442" i="1"/>
  <c r="H442" i="1"/>
  <c r="J442" i="1"/>
  <c r="A443" i="1"/>
  <c r="B443" i="1"/>
  <c r="G443" i="1"/>
  <c r="H443" i="1"/>
  <c r="J443" i="1"/>
  <c r="A444" i="1"/>
  <c r="B444" i="1"/>
  <c r="G444" i="1"/>
  <c r="H444" i="1"/>
  <c r="J444" i="1"/>
  <c r="A445" i="1"/>
  <c r="B445" i="1"/>
  <c r="G445" i="1"/>
  <c r="H445" i="1"/>
  <c r="J445" i="1"/>
  <c r="A446" i="1"/>
  <c r="B446" i="1"/>
  <c r="G446" i="1"/>
  <c r="H446" i="1"/>
  <c r="J446" i="1"/>
  <c r="A447" i="1"/>
  <c r="B447" i="1"/>
  <c r="G447" i="1"/>
  <c r="H447" i="1"/>
  <c r="J447" i="1"/>
  <c r="A448" i="1"/>
  <c r="B448" i="1"/>
  <c r="G448" i="1"/>
  <c r="H448" i="1"/>
  <c r="J448" i="1"/>
  <c r="A449" i="1"/>
  <c r="B449" i="1"/>
  <c r="G449" i="1"/>
  <c r="H449" i="1"/>
  <c r="J449" i="1"/>
  <c r="A450" i="1"/>
  <c r="B450" i="1"/>
  <c r="G450" i="1"/>
  <c r="H450" i="1"/>
  <c r="J450" i="1"/>
  <c r="A451" i="1"/>
  <c r="B451" i="1"/>
  <c r="G451" i="1"/>
  <c r="H451" i="1"/>
  <c r="J451" i="1"/>
  <c r="A452" i="1"/>
  <c r="B452" i="1"/>
  <c r="G452" i="1"/>
  <c r="H452" i="1"/>
  <c r="J452" i="1"/>
  <c r="A453" i="1"/>
  <c r="B453" i="1"/>
  <c r="G453" i="1"/>
  <c r="A454" i="1"/>
  <c r="B454" i="1"/>
  <c r="G454" i="1"/>
  <c r="H454" i="1"/>
  <c r="J454" i="1"/>
  <c r="A455" i="1"/>
  <c r="B455" i="1"/>
  <c r="G455" i="1"/>
  <c r="H455" i="1"/>
  <c r="J455" i="1"/>
  <c r="A456" i="1"/>
  <c r="B456" i="1"/>
  <c r="G456" i="1"/>
  <c r="H456" i="1"/>
  <c r="J456" i="1"/>
  <c r="A457" i="1"/>
  <c r="B457" i="1"/>
  <c r="G457" i="1"/>
  <c r="H457" i="1"/>
  <c r="J457" i="1"/>
  <c r="A458" i="1"/>
  <c r="B458" i="1"/>
  <c r="G458" i="1"/>
  <c r="H458" i="1"/>
  <c r="J458" i="1"/>
  <c r="A459" i="1"/>
  <c r="B459" i="1"/>
  <c r="G459" i="1"/>
  <c r="H459" i="1"/>
  <c r="J459" i="1"/>
  <c r="A460" i="1"/>
  <c r="B460" i="1"/>
  <c r="G460" i="1"/>
  <c r="H460" i="1"/>
  <c r="J460" i="1"/>
  <c r="A461" i="1"/>
  <c r="B461" i="1"/>
  <c r="G461" i="1"/>
  <c r="H461" i="1"/>
  <c r="J461" i="1"/>
  <c r="A462" i="1"/>
  <c r="B462" i="1"/>
  <c r="G462" i="1"/>
  <c r="H462" i="1"/>
  <c r="J462" i="1"/>
  <c r="A463" i="1"/>
  <c r="B463" i="1"/>
  <c r="G463" i="1"/>
  <c r="H463" i="1"/>
  <c r="J463" i="1"/>
  <c r="A464" i="1"/>
  <c r="B464" i="1"/>
  <c r="G464" i="1"/>
  <c r="H464" i="1"/>
  <c r="J464" i="1"/>
  <c r="A465" i="1"/>
  <c r="B465" i="1"/>
  <c r="G465" i="1"/>
  <c r="H465" i="1"/>
  <c r="J465" i="1"/>
  <c r="A466" i="1"/>
  <c r="B466" i="1"/>
  <c r="G466" i="1"/>
  <c r="H466" i="1"/>
  <c r="J466" i="1"/>
  <c r="A467" i="1"/>
  <c r="B467" i="1"/>
  <c r="G467" i="1"/>
  <c r="H467" i="1"/>
  <c r="J467" i="1"/>
  <c r="A468" i="1"/>
  <c r="B468" i="1"/>
  <c r="G468" i="1"/>
  <c r="H468" i="1"/>
  <c r="J468" i="1"/>
  <c r="A469" i="1"/>
  <c r="B469" i="1"/>
  <c r="G469" i="1"/>
  <c r="H469" i="1"/>
  <c r="J469" i="1"/>
  <c r="A470" i="1"/>
  <c r="B470" i="1"/>
  <c r="G470" i="1"/>
  <c r="H470" i="1"/>
  <c r="J470" i="1"/>
  <c r="A471" i="1"/>
  <c r="B471" i="1"/>
  <c r="G471" i="1"/>
  <c r="H471" i="1"/>
  <c r="J471" i="1"/>
  <c r="A472" i="1"/>
  <c r="B472" i="1"/>
  <c r="G472" i="1"/>
  <c r="H472" i="1"/>
  <c r="J472" i="1"/>
  <c r="A473" i="1"/>
  <c r="B473" i="1"/>
  <c r="G473" i="1"/>
  <c r="H473" i="1"/>
  <c r="J473" i="1"/>
  <c r="A474" i="1"/>
  <c r="B474" i="1"/>
  <c r="G474" i="1"/>
  <c r="H474" i="1"/>
  <c r="J474" i="1"/>
  <c r="A475" i="1"/>
  <c r="B475" i="1"/>
  <c r="G475" i="1"/>
  <c r="H475" i="1"/>
  <c r="J475" i="1"/>
  <c r="A476" i="1"/>
  <c r="B476" i="1"/>
  <c r="G476" i="1"/>
  <c r="H476" i="1"/>
  <c r="J476" i="1"/>
  <c r="A477" i="1"/>
  <c r="B477" i="1"/>
  <c r="G477" i="1"/>
  <c r="H477" i="1"/>
  <c r="J477" i="1"/>
  <c r="A478" i="1"/>
  <c r="B478" i="1"/>
  <c r="G478" i="1"/>
  <c r="H478" i="1"/>
  <c r="J478" i="1"/>
  <c r="A479" i="1"/>
  <c r="B479" i="1"/>
  <c r="G479" i="1"/>
  <c r="H479" i="1"/>
  <c r="J479" i="1"/>
  <c r="A480" i="1"/>
  <c r="B480" i="1"/>
  <c r="G480" i="1"/>
  <c r="H480" i="1"/>
  <c r="J480" i="1"/>
  <c r="A481" i="1"/>
  <c r="B481" i="1"/>
  <c r="G481" i="1"/>
  <c r="H481" i="1"/>
  <c r="J481" i="1"/>
  <c r="A482" i="1"/>
  <c r="B482" i="1"/>
  <c r="G482" i="1"/>
  <c r="H482" i="1"/>
  <c r="J482" i="1"/>
  <c r="A483" i="1"/>
  <c r="B483" i="1"/>
  <c r="G483" i="1"/>
  <c r="H483" i="1"/>
  <c r="J483" i="1"/>
  <c r="A484" i="1"/>
  <c r="B484" i="1"/>
  <c r="G484" i="1"/>
  <c r="H484" i="1"/>
  <c r="J484" i="1"/>
  <c r="A485" i="1"/>
  <c r="B485" i="1"/>
  <c r="G485" i="1"/>
  <c r="H485" i="1"/>
  <c r="J485" i="1"/>
  <c r="A486" i="1"/>
  <c r="B486" i="1"/>
  <c r="G486" i="1"/>
  <c r="H486" i="1"/>
  <c r="A487" i="1"/>
  <c r="B487" i="1"/>
  <c r="G487" i="1"/>
  <c r="H487" i="1"/>
  <c r="A488" i="1"/>
  <c r="B488" i="1"/>
  <c r="G488" i="1"/>
  <c r="H488" i="1"/>
  <c r="J488" i="1"/>
  <c r="A489" i="1"/>
  <c r="B489" i="1"/>
  <c r="G489" i="1"/>
  <c r="H489" i="1"/>
  <c r="J489" i="1"/>
  <c r="A490" i="1"/>
  <c r="B490" i="1"/>
  <c r="G490" i="1"/>
  <c r="H490" i="1"/>
  <c r="J490" i="1"/>
  <c r="A491" i="1"/>
  <c r="B491" i="1"/>
  <c r="G491" i="1"/>
  <c r="H491" i="1"/>
  <c r="J491" i="1"/>
  <c r="A492" i="1"/>
  <c r="B492" i="1"/>
  <c r="G492" i="1"/>
  <c r="H492" i="1"/>
  <c r="J492" i="1"/>
  <c r="A493" i="1"/>
  <c r="B493" i="1"/>
  <c r="G493" i="1"/>
  <c r="H493" i="1"/>
  <c r="J493" i="1"/>
  <c r="A494" i="1"/>
  <c r="B494" i="1"/>
  <c r="G494" i="1"/>
  <c r="H494" i="1"/>
  <c r="J494" i="1"/>
  <c r="A495" i="1"/>
  <c r="B495" i="1"/>
  <c r="G495" i="1"/>
  <c r="H495" i="1"/>
  <c r="J495" i="1"/>
  <c r="A496" i="1"/>
  <c r="B496" i="1"/>
  <c r="G496" i="1"/>
  <c r="H496" i="1"/>
  <c r="J496" i="1"/>
  <c r="A497" i="1"/>
  <c r="B497" i="1"/>
  <c r="G497" i="1"/>
  <c r="H497" i="1"/>
  <c r="J497" i="1"/>
  <c r="A498" i="1"/>
  <c r="B498" i="1"/>
  <c r="G498" i="1"/>
  <c r="H498" i="1"/>
  <c r="J498" i="1"/>
  <c r="A499" i="1"/>
  <c r="B499" i="1"/>
  <c r="G499" i="1"/>
  <c r="H499" i="1"/>
  <c r="J499" i="1"/>
  <c r="A500" i="1"/>
  <c r="B500" i="1"/>
  <c r="G500" i="1"/>
  <c r="H500" i="1"/>
  <c r="J500" i="1"/>
  <c r="A501" i="1"/>
  <c r="B501" i="1"/>
  <c r="G501" i="1"/>
  <c r="H501" i="1"/>
  <c r="J501" i="1"/>
  <c r="A502" i="1"/>
  <c r="B502" i="1"/>
  <c r="G502" i="1"/>
  <c r="H502" i="1"/>
  <c r="J502" i="1"/>
  <c r="A503" i="1"/>
  <c r="B503" i="1"/>
  <c r="G503" i="1"/>
  <c r="H503" i="1"/>
  <c r="J503" i="1"/>
  <c r="A504" i="1"/>
  <c r="B504" i="1"/>
  <c r="G504" i="1"/>
  <c r="H504" i="1"/>
  <c r="J504" i="1"/>
  <c r="A505" i="1"/>
  <c r="B505" i="1"/>
  <c r="G505" i="1"/>
  <c r="H505" i="1"/>
  <c r="J505" i="1"/>
  <c r="A506" i="1"/>
  <c r="B506" i="1"/>
  <c r="G506" i="1"/>
  <c r="H506" i="1"/>
  <c r="J506" i="1"/>
  <c r="A507" i="1"/>
  <c r="B507" i="1"/>
  <c r="G507" i="1"/>
  <c r="H507" i="1"/>
  <c r="J507" i="1"/>
  <c r="A508" i="1"/>
  <c r="B508" i="1"/>
  <c r="G508" i="1"/>
  <c r="H508" i="1"/>
  <c r="J508" i="1"/>
  <c r="A509" i="1"/>
  <c r="B509" i="1"/>
  <c r="G509" i="1"/>
  <c r="H509" i="1"/>
  <c r="J509" i="1"/>
  <c r="A510" i="1"/>
  <c r="B510" i="1"/>
  <c r="G510" i="1"/>
  <c r="H510" i="1"/>
  <c r="J510" i="1"/>
  <c r="A511" i="1"/>
  <c r="B511" i="1"/>
  <c r="G511" i="1"/>
  <c r="H511" i="1"/>
  <c r="J511" i="1"/>
  <c r="A512" i="1"/>
  <c r="B512" i="1"/>
  <c r="G512" i="1"/>
  <c r="H512" i="1"/>
  <c r="J512" i="1"/>
  <c r="A513" i="1"/>
  <c r="B513" i="1"/>
  <c r="G513" i="1"/>
  <c r="H513" i="1"/>
  <c r="J513" i="1"/>
  <c r="A514" i="1"/>
  <c r="B514" i="1"/>
  <c r="G514" i="1"/>
  <c r="H514" i="1"/>
  <c r="J514" i="1"/>
  <c r="A515" i="1"/>
  <c r="B515" i="1"/>
  <c r="G515" i="1"/>
  <c r="H515" i="1"/>
  <c r="A516" i="1"/>
  <c r="B516" i="1"/>
  <c r="G516" i="1"/>
  <c r="H516" i="1"/>
  <c r="A517" i="1"/>
  <c r="B517" i="1"/>
  <c r="G517" i="1"/>
  <c r="H517" i="1"/>
  <c r="A518" i="1"/>
  <c r="B518" i="1"/>
  <c r="G518" i="1"/>
  <c r="H518" i="1"/>
  <c r="J518" i="1"/>
  <c r="A519" i="1"/>
  <c r="B519" i="1"/>
  <c r="G519" i="1"/>
  <c r="H519" i="1"/>
  <c r="J519" i="1"/>
  <c r="A520" i="1"/>
  <c r="B520" i="1"/>
  <c r="G520" i="1"/>
  <c r="H520" i="1"/>
  <c r="J520" i="1"/>
  <c r="A521" i="1"/>
  <c r="B521" i="1"/>
  <c r="G521" i="1"/>
  <c r="H521" i="1"/>
  <c r="J521" i="1"/>
  <c r="A522" i="1"/>
  <c r="B522" i="1"/>
  <c r="G522" i="1"/>
  <c r="H522" i="1"/>
  <c r="J522" i="1"/>
  <c r="A523" i="1"/>
  <c r="B523" i="1"/>
  <c r="G523" i="1"/>
  <c r="H523" i="1"/>
  <c r="J523" i="1"/>
  <c r="A524" i="1"/>
  <c r="B524" i="1"/>
  <c r="G524" i="1"/>
  <c r="H524" i="1"/>
  <c r="J524" i="1"/>
  <c r="A525" i="1"/>
  <c r="B525" i="1"/>
  <c r="G525" i="1"/>
  <c r="H525" i="1"/>
  <c r="J525" i="1"/>
  <c r="A526" i="1"/>
  <c r="B526" i="1"/>
  <c r="G526" i="1"/>
  <c r="H526" i="1"/>
  <c r="J526" i="1"/>
  <c r="A527" i="1"/>
  <c r="B527" i="1"/>
  <c r="G527" i="1"/>
  <c r="H527" i="1"/>
  <c r="J527" i="1"/>
  <c r="A528" i="1"/>
  <c r="B528" i="1"/>
  <c r="G528" i="1"/>
  <c r="H528" i="1"/>
  <c r="J528" i="1"/>
  <c r="A529" i="1"/>
  <c r="B529" i="1"/>
  <c r="G529" i="1"/>
  <c r="H529" i="1"/>
  <c r="J529" i="1"/>
  <c r="A530" i="1"/>
  <c r="B530" i="1"/>
  <c r="G530" i="1"/>
  <c r="H530" i="1"/>
  <c r="J530" i="1"/>
  <c r="A531" i="1"/>
  <c r="B531" i="1"/>
  <c r="G531" i="1"/>
  <c r="H531" i="1"/>
  <c r="J531" i="1"/>
  <c r="A532" i="1"/>
  <c r="B532" i="1"/>
  <c r="G532" i="1"/>
  <c r="H532" i="1"/>
  <c r="J532" i="1"/>
  <c r="A533" i="1"/>
  <c r="B533" i="1"/>
  <c r="G533" i="1"/>
  <c r="H533" i="1"/>
  <c r="J533" i="1"/>
  <c r="A534" i="1"/>
  <c r="B534" i="1"/>
  <c r="G534" i="1"/>
  <c r="H534" i="1"/>
  <c r="J534" i="1"/>
  <c r="A535" i="1"/>
  <c r="B535" i="1"/>
  <c r="G535" i="1"/>
  <c r="H535" i="1"/>
  <c r="J535" i="1"/>
  <c r="A536" i="1"/>
  <c r="B536" i="1"/>
  <c r="G536" i="1"/>
  <c r="H536" i="1"/>
  <c r="J536" i="1"/>
  <c r="A537" i="1"/>
  <c r="B537" i="1"/>
  <c r="G537" i="1"/>
  <c r="H537" i="1"/>
  <c r="J537" i="1"/>
  <c r="A538" i="1"/>
  <c r="B538" i="1"/>
  <c r="G538" i="1"/>
  <c r="H538" i="1"/>
  <c r="J538" i="1"/>
  <c r="A539" i="1"/>
  <c r="B539" i="1"/>
  <c r="G539" i="1"/>
  <c r="H539" i="1"/>
  <c r="J539" i="1"/>
  <c r="A540" i="1"/>
  <c r="B540" i="1"/>
  <c r="G540" i="1"/>
  <c r="H540" i="1"/>
  <c r="J540" i="1"/>
  <c r="A541" i="1"/>
  <c r="B541" i="1"/>
  <c r="G541" i="1"/>
  <c r="H541" i="1"/>
  <c r="J541" i="1"/>
  <c r="A542" i="1"/>
  <c r="B542" i="1"/>
  <c r="G542" i="1"/>
  <c r="H542" i="1"/>
  <c r="J542" i="1"/>
  <c r="A543" i="1"/>
  <c r="B543" i="1"/>
  <c r="G543" i="1"/>
  <c r="H543" i="1"/>
  <c r="J543" i="1"/>
  <c r="A544" i="1"/>
  <c r="B544" i="1"/>
  <c r="G544" i="1"/>
  <c r="H544" i="1"/>
  <c r="J544" i="1"/>
  <c r="A545" i="1"/>
  <c r="B545" i="1"/>
  <c r="G545" i="1"/>
  <c r="H545" i="1"/>
  <c r="J545" i="1"/>
  <c r="A546" i="1"/>
  <c r="B546" i="1"/>
  <c r="G546" i="1"/>
  <c r="H546" i="1"/>
  <c r="J546" i="1"/>
  <c r="A547" i="1"/>
  <c r="B547" i="1"/>
  <c r="G547" i="1"/>
  <c r="H547" i="1"/>
  <c r="J547" i="1"/>
  <c r="A548" i="1"/>
  <c r="B548" i="1"/>
  <c r="G548" i="1"/>
  <c r="H548" i="1"/>
  <c r="J548" i="1"/>
  <c r="A549" i="1"/>
  <c r="B549" i="1"/>
  <c r="G549" i="1"/>
  <c r="H549" i="1"/>
  <c r="J549" i="1"/>
  <c r="A550" i="1"/>
  <c r="B550" i="1"/>
  <c r="G550" i="1"/>
  <c r="H550" i="1"/>
  <c r="J550" i="1"/>
  <c r="A551" i="1"/>
  <c r="B551" i="1"/>
  <c r="G551" i="1"/>
  <c r="H551" i="1"/>
  <c r="J551" i="1"/>
  <c r="A552" i="1"/>
  <c r="B552" i="1"/>
  <c r="G552" i="1"/>
  <c r="H552" i="1"/>
  <c r="J552" i="1"/>
  <c r="A553" i="1"/>
  <c r="B553" i="1"/>
  <c r="G553" i="1"/>
  <c r="H553" i="1"/>
  <c r="J553" i="1"/>
  <c r="A554" i="1"/>
  <c r="B554" i="1"/>
  <c r="G554" i="1"/>
  <c r="H554" i="1"/>
  <c r="J554" i="1"/>
  <c r="A555" i="1"/>
  <c r="B555" i="1"/>
  <c r="G555" i="1"/>
  <c r="H555" i="1"/>
  <c r="J555" i="1"/>
  <c r="A556" i="1"/>
  <c r="B556" i="1"/>
  <c r="G556" i="1"/>
  <c r="H556" i="1"/>
  <c r="J556" i="1"/>
  <c r="A557" i="1"/>
  <c r="B557" i="1"/>
  <c r="G557" i="1"/>
  <c r="H557" i="1"/>
  <c r="J557" i="1"/>
  <c r="A558" i="1"/>
  <c r="B558" i="1"/>
  <c r="G558" i="1"/>
  <c r="H558" i="1"/>
  <c r="J558" i="1"/>
  <c r="A559" i="1"/>
  <c r="B559" i="1"/>
  <c r="G559" i="1"/>
  <c r="H559" i="1"/>
  <c r="J559" i="1"/>
  <c r="A560" i="1"/>
  <c r="B560" i="1"/>
  <c r="G560" i="1"/>
  <c r="H560" i="1"/>
  <c r="J560" i="1"/>
  <c r="A561" i="1"/>
  <c r="B561" i="1"/>
  <c r="G561" i="1"/>
  <c r="H561" i="1"/>
  <c r="J561" i="1"/>
  <c r="A562" i="1"/>
  <c r="B562" i="1"/>
  <c r="G562" i="1"/>
  <c r="H562" i="1"/>
  <c r="J562" i="1"/>
  <c r="A563" i="1"/>
  <c r="B563" i="1"/>
  <c r="G563" i="1"/>
  <c r="H563" i="1"/>
  <c r="J563" i="1"/>
  <c r="A564" i="1"/>
  <c r="B564" i="1"/>
  <c r="G564" i="1"/>
  <c r="H564" i="1"/>
  <c r="J564" i="1"/>
  <c r="A565" i="1"/>
  <c r="B565" i="1"/>
  <c r="G565" i="1"/>
  <c r="H565" i="1"/>
  <c r="J565" i="1"/>
  <c r="A566" i="1"/>
  <c r="B566" i="1"/>
  <c r="G566" i="1"/>
  <c r="H566" i="1"/>
  <c r="J566" i="1"/>
  <c r="A567" i="1"/>
  <c r="B567" i="1"/>
  <c r="G567" i="1"/>
  <c r="H567" i="1"/>
  <c r="J567" i="1"/>
  <c r="A568" i="1"/>
  <c r="B568" i="1"/>
  <c r="G568" i="1"/>
  <c r="H568" i="1"/>
  <c r="J568" i="1"/>
  <c r="A569" i="1"/>
  <c r="B569" i="1"/>
  <c r="G569" i="1"/>
  <c r="H569" i="1"/>
  <c r="J569" i="1"/>
  <c r="A570" i="1"/>
  <c r="B570" i="1"/>
  <c r="G570" i="1"/>
  <c r="H570" i="1"/>
  <c r="J570" i="1"/>
  <c r="A571" i="1"/>
  <c r="B571" i="1"/>
  <c r="G571" i="1"/>
  <c r="H571" i="1"/>
  <c r="J571" i="1"/>
  <c r="A572" i="1"/>
  <c r="B572" i="1"/>
  <c r="G572" i="1"/>
  <c r="H572" i="1"/>
  <c r="J572" i="1"/>
  <c r="A573" i="1"/>
  <c r="B573" i="1"/>
  <c r="G573" i="1"/>
  <c r="H573" i="1"/>
  <c r="J573" i="1"/>
  <c r="A574" i="1"/>
  <c r="B574" i="1"/>
  <c r="G574" i="1"/>
  <c r="H574" i="1"/>
  <c r="J574" i="1"/>
  <c r="A575" i="1"/>
  <c r="B575" i="1"/>
  <c r="G575" i="1"/>
  <c r="H575" i="1"/>
  <c r="J575" i="1"/>
  <c r="A576" i="1"/>
  <c r="B576" i="1"/>
  <c r="G576" i="1"/>
  <c r="H576" i="1"/>
  <c r="J576" i="1"/>
  <c r="A577" i="1"/>
  <c r="B577" i="1"/>
  <c r="G577" i="1"/>
  <c r="H577" i="1"/>
  <c r="J577" i="1"/>
  <c r="A578" i="1"/>
  <c r="B578" i="1"/>
  <c r="G578" i="1"/>
  <c r="H578" i="1"/>
  <c r="J578" i="1"/>
  <c r="A579" i="1"/>
  <c r="B579" i="1"/>
  <c r="G579" i="1"/>
  <c r="H579" i="1"/>
  <c r="J579" i="1"/>
  <c r="A580" i="1"/>
  <c r="B580" i="1"/>
  <c r="G580" i="1"/>
  <c r="H580" i="1"/>
  <c r="J580" i="1"/>
  <c r="A581" i="1"/>
  <c r="B581" i="1"/>
  <c r="G581" i="1"/>
  <c r="H581" i="1"/>
  <c r="J581" i="1"/>
  <c r="A582" i="1"/>
  <c r="B582" i="1"/>
  <c r="G582" i="1"/>
  <c r="H582" i="1"/>
  <c r="J582" i="1"/>
  <c r="A583" i="1"/>
  <c r="B583" i="1"/>
  <c r="G583" i="1"/>
  <c r="H583" i="1"/>
  <c r="J583" i="1"/>
  <c r="A584" i="1"/>
  <c r="B584" i="1"/>
  <c r="G584" i="1"/>
  <c r="H584" i="1"/>
  <c r="J584" i="1"/>
  <c r="A585" i="1"/>
  <c r="B585" i="1"/>
  <c r="G585" i="1"/>
  <c r="H585" i="1"/>
  <c r="J585" i="1"/>
  <c r="A586" i="1"/>
  <c r="B586" i="1"/>
  <c r="G586" i="1"/>
  <c r="H586" i="1"/>
  <c r="J586" i="1"/>
  <c r="A587" i="1"/>
  <c r="B587" i="1"/>
  <c r="G587" i="1"/>
  <c r="H587" i="1"/>
  <c r="J587" i="1"/>
  <c r="A588" i="1"/>
  <c r="B588" i="1"/>
  <c r="G588" i="1"/>
  <c r="H588" i="1"/>
  <c r="J588" i="1"/>
  <c r="A589" i="1"/>
  <c r="B589" i="1"/>
  <c r="G589" i="1"/>
  <c r="H589" i="1"/>
  <c r="J589" i="1"/>
  <c r="A590" i="1"/>
  <c r="B590" i="1"/>
  <c r="G590" i="1"/>
  <c r="H590" i="1"/>
  <c r="J590" i="1"/>
  <c r="A591" i="1"/>
  <c r="B591" i="1"/>
  <c r="G591" i="1"/>
  <c r="H591" i="1"/>
  <c r="J591" i="1"/>
  <c r="A592" i="1"/>
  <c r="B592" i="1"/>
  <c r="G592" i="1"/>
  <c r="H592" i="1"/>
  <c r="J592" i="1"/>
  <c r="A593" i="1"/>
  <c r="B593" i="1"/>
  <c r="G593" i="1"/>
  <c r="H593" i="1"/>
  <c r="J593" i="1"/>
  <c r="A594" i="1"/>
  <c r="B594" i="1"/>
  <c r="G594" i="1"/>
  <c r="H594" i="1"/>
  <c r="J594" i="1"/>
  <c r="A595" i="1"/>
  <c r="B595" i="1"/>
  <c r="G595" i="1"/>
  <c r="H595" i="1"/>
  <c r="J595" i="1"/>
  <c r="A596" i="1"/>
  <c r="B596" i="1"/>
  <c r="G596" i="1"/>
  <c r="H596" i="1"/>
  <c r="J596" i="1"/>
  <c r="A597" i="1"/>
  <c r="B597" i="1"/>
  <c r="G597" i="1"/>
  <c r="H597" i="1"/>
  <c r="J597" i="1"/>
  <c r="A598" i="1"/>
  <c r="B598" i="1"/>
  <c r="G598" i="1"/>
  <c r="H598" i="1"/>
  <c r="J598" i="1"/>
  <c r="A599" i="1"/>
  <c r="B599" i="1"/>
  <c r="G599" i="1"/>
  <c r="H599" i="1"/>
  <c r="J599" i="1"/>
  <c r="A600" i="1"/>
  <c r="B600" i="1"/>
  <c r="G600" i="1"/>
  <c r="H600" i="1"/>
  <c r="J600" i="1"/>
  <c r="A601" i="1"/>
  <c r="B601" i="1"/>
  <c r="G601" i="1"/>
  <c r="H601" i="1"/>
  <c r="J601" i="1"/>
  <c r="A602" i="1"/>
  <c r="B602" i="1"/>
  <c r="G602" i="1"/>
  <c r="H602" i="1"/>
  <c r="J602" i="1"/>
  <c r="A603" i="1"/>
  <c r="B603" i="1"/>
  <c r="G603" i="1"/>
  <c r="H603" i="1"/>
  <c r="J603" i="1"/>
  <c r="A604" i="1"/>
  <c r="B604" i="1"/>
  <c r="G604" i="1"/>
  <c r="H604" i="1"/>
  <c r="J604" i="1"/>
  <c r="A605" i="1"/>
  <c r="B605" i="1"/>
  <c r="G605" i="1"/>
  <c r="H605" i="1"/>
  <c r="J605" i="1"/>
  <c r="A606" i="1"/>
  <c r="B606" i="1"/>
  <c r="G606" i="1"/>
  <c r="H606" i="1"/>
  <c r="J606" i="1"/>
  <c r="A607" i="1"/>
  <c r="B607" i="1"/>
  <c r="G607" i="1"/>
  <c r="H607" i="1"/>
  <c r="J607" i="1"/>
  <c r="A608" i="1"/>
  <c r="B608" i="1"/>
  <c r="G608" i="1"/>
  <c r="H608" i="1"/>
  <c r="J608" i="1"/>
  <c r="A609" i="1"/>
  <c r="B609" i="1"/>
  <c r="G609" i="1"/>
  <c r="H609" i="1"/>
  <c r="J609" i="1"/>
  <c r="A610" i="1"/>
  <c r="B610" i="1"/>
  <c r="G610" i="1"/>
  <c r="H610" i="1"/>
  <c r="J610" i="1"/>
  <c r="A611" i="1"/>
  <c r="B611" i="1"/>
  <c r="G611" i="1"/>
  <c r="H611" i="1"/>
  <c r="J611" i="1"/>
  <c r="A612" i="1"/>
  <c r="B612" i="1"/>
  <c r="G612" i="1"/>
  <c r="H612" i="1"/>
  <c r="J612" i="1"/>
  <c r="A613" i="1"/>
  <c r="B613" i="1"/>
  <c r="G613" i="1"/>
  <c r="H613" i="1"/>
  <c r="J613" i="1"/>
  <c r="A614" i="1"/>
  <c r="B614" i="1"/>
  <c r="G614" i="1"/>
  <c r="H614" i="1"/>
  <c r="J614" i="1"/>
  <c r="A615" i="1"/>
  <c r="B615" i="1"/>
  <c r="G615" i="1"/>
  <c r="H615" i="1"/>
  <c r="J615" i="1"/>
  <c r="A616" i="1"/>
  <c r="B616" i="1"/>
  <c r="G616" i="1"/>
  <c r="H616" i="1"/>
  <c r="J616" i="1"/>
  <c r="A617" i="1"/>
  <c r="B617" i="1"/>
  <c r="G617" i="1"/>
  <c r="H617" i="1"/>
  <c r="J617" i="1"/>
  <c r="A618" i="1"/>
  <c r="B618" i="1"/>
  <c r="G618" i="1"/>
  <c r="H618" i="1"/>
  <c r="J618" i="1"/>
  <c r="A619" i="1"/>
  <c r="B619" i="1"/>
  <c r="G619" i="1"/>
  <c r="H619" i="1"/>
  <c r="J619" i="1"/>
  <c r="A620" i="1"/>
  <c r="B620" i="1"/>
  <c r="G620" i="1"/>
  <c r="H620" i="1"/>
  <c r="J620" i="1"/>
  <c r="A621" i="1"/>
  <c r="B621" i="1"/>
  <c r="G621" i="1"/>
  <c r="H621" i="1"/>
  <c r="J621" i="1"/>
  <c r="A622" i="1"/>
  <c r="B622" i="1"/>
  <c r="G622" i="1"/>
  <c r="H622" i="1"/>
  <c r="J622" i="1"/>
  <c r="A623" i="1"/>
  <c r="B623" i="1"/>
  <c r="G623" i="1"/>
  <c r="H623" i="1"/>
  <c r="J623" i="1"/>
  <c r="A624" i="1"/>
  <c r="B624" i="1"/>
  <c r="G624" i="1"/>
  <c r="H624" i="1"/>
  <c r="J624" i="1"/>
  <c r="A625" i="1"/>
  <c r="B625" i="1"/>
  <c r="G625" i="1"/>
  <c r="H625" i="1"/>
  <c r="J625" i="1"/>
  <c r="A626" i="1"/>
  <c r="B626" i="1"/>
  <c r="G626" i="1"/>
  <c r="H626" i="1"/>
  <c r="J626" i="1"/>
  <c r="A627" i="1"/>
  <c r="B627" i="1"/>
  <c r="G627" i="1"/>
  <c r="H627" i="1"/>
  <c r="J627" i="1"/>
  <c r="A628" i="1"/>
  <c r="B628" i="1"/>
  <c r="G628" i="1"/>
  <c r="H628" i="1"/>
  <c r="J628" i="1"/>
  <c r="A629" i="1"/>
  <c r="B629" i="1"/>
  <c r="G629" i="1"/>
  <c r="H629" i="1"/>
  <c r="J629" i="1"/>
  <c r="A630" i="1"/>
  <c r="B630" i="1"/>
  <c r="G630" i="1"/>
  <c r="H630" i="1"/>
  <c r="J630" i="1"/>
  <c r="A631" i="1"/>
  <c r="B631" i="1"/>
  <c r="G631" i="1"/>
  <c r="H631" i="1"/>
  <c r="J631" i="1"/>
  <c r="A632" i="1"/>
  <c r="B632" i="1"/>
  <c r="G632" i="1"/>
  <c r="H632" i="1"/>
  <c r="J632" i="1"/>
  <c r="A633" i="1"/>
  <c r="B633" i="1"/>
  <c r="G633" i="1"/>
  <c r="H633" i="1"/>
  <c r="J633" i="1"/>
  <c r="A634" i="1"/>
  <c r="B634" i="1"/>
  <c r="G634" i="1"/>
  <c r="H634" i="1"/>
  <c r="J634" i="1"/>
  <c r="A635" i="1"/>
  <c r="B635" i="1"/>
  <c r="G635" i="1"/>
  <c r="H635" i="1"/>
  <c r="J635" i="1"/>
  <c r="A636" i="1"/>
  <c r="B636" i="1"/>
  <c r="G636" i="1"/>
  <c r="H636" i="1"/>
  <c r="J636" i="1"/>
  <c r="A637" i="1"/>
  <c r="B637" i="1"/>
  <c r="G637" i="1"/>
  <c r="H637" i="1"/>
  <c r="J637" i="1"/>
  <c r="A638" i="1"/>
  <c r="B638" i="1"/>
  <c r="G638" i="1"/>
  <c r="H638" i="1"/>
  <c r="J638" i="1"/>
  <c r="A639" i="1"/>
  <c r="B639" i="1"/>
  <c r="G639" i="1"/>
  <c r="H639" i="1"/>
  <c r="J639" i="1"/>
  <c r="A640" i="1"/>
  <c r="B640" i="1"/>
  <c r="G640" i="1"/>
  <c r="H640" i="1"/>
  <c r="J640" i="1"/>
  <c r="A641" i="1"/>
  <c r="B641" i="1"/>
  <c r="G641" i="1"/>
  <c r="H641" i="1"/>
  <c r="J641" i="1"/>
  <c r="A642" i="1"/>
  <c r="B642" i="1"/>
  <c r="G642" i="1"/>
  <c r="H642" i="1"/>
  <c r="J642" i="1"/>
  <c r="A643" i="1"/>
  <c r="B643" i="1"/>
  <c r="G643" i="1"/>
  <c r="H643" i="1"/>
  <c r="J643" i="1"/>
  <c r="A644" i="1"/>
  <c r="B644" i="1"/>
  <c r="G644" i="1"/>
  <c r="H644" i="1"/>
  <c r="J644" i="1"/>
  <c r="A645" i="1"/>
  <c r="B645" i="1"/>
  <c r="G645" i="1"/>
  <c r="H645" i="1"/>
  <c r="J645" i="1"/>
  <c r="A646" i="1"/>
  <c r="B646" i="1"/>
  <c r="G646" i="1"/>
  <c r="H646" i="1"/>
  <c r="J646" i="1"/>
  <c r="A647" i="1"/>
  <c r="B647" i="1"/>
  <c r="G647" i="1"/>
  <c r="H647" i="1"/>
  <c r="J647" i="1"/>
  <c r="A648" i="1"/>
  <c r="B648" i="1"/>
  <c r="G648" i="1"/>
  <c r="H648" i="1"/>
  <c r="J648" i="1"/>
  <c r="A649" i="1"/>
  <c r="B649" i="1"/>
  <c r="G649" i="1"/>
  <c r="H649" i="1"/>
  <c r="J649" i="1"/>
  <c r="A650" i="1"/>
  <c r="B650" i="1"/>
  <c r="G650" i="1"/>
  <c r="H650" i="1"/>
  <c r="J650" i="1"/>
  <c r="A651" i="1"/>
  <c r="B651" i="1"/>
  <c r="G651" i="1"/>
  <c r="H651" i="1"/>
  <c r="J651" i="1"/>
  <c r="A652" i="1"/>
  <c r="B652" i="1"/>
  <c r="G652" i="1"/>
  <c r="H652" i="1"/>
  <c r="J652" i="1"/>
  <c r="A653" i="1"/>
  <c r="B653" i="1"/>
  <c r="G653" i="1"/>
  <c r="H653" i="1"/>
  <c r="J653" i="1"/>
  <c r="A654" i="1"/>
  <c r="B654" i="1"/>
  <c r="G654" i="1"/>
  <c r="H654" i="1"/>
  <c r="J654" i="1"/>
  <c r="A655" i="1"/>
  <c r="B655" i="1"/>
  <c r="G655" i="1"/>
  <c r="H655" i="1"/>
  <c r="J655" i="1"/>
  <c r="A656" i="1"/>
  <c r="B656" i="1"/>
  <c r="G656" i="1"/>
  <c r="H656" i="1"/>
  <c r="J656" i="1"/>
  <c r="A657" i="1"/>
  <c r="B657" i="1"/>
  <c r="G657" i="1"/>
  <c r="H657" i="1"/>
  <c r="J657" i="1"/>
  <c r="A658" i="1"/>
  <c r="B658" i="1"/>
  <c r="G658" i="1"/>
  <c r="H658" i="1"/>
  <c r="J658" i="1"/>
  <c r="A659" i="1"/>
  <c r="B659" i="1"/>
  <c r="G659" i="1"/>
  <c r="H659" i="1"/>
  <c r="J659" i="1"/>
  <c r="A660" i="1"/>
  <c r="B660" i="1"/>
  <c r="G660" i="1"/>
  <c r="H660" i="1"/>
  <c r="J660" i="1"/>
  <c r="A661" i="1"/>
  <c r="B661" i="1"/>
  <c r="G661" i="1"/>
  <c r="H661" i="1"/>
  <c r="J661" i="1"/>
  <c r="A662" i="1"/>
  <c r="B662" i="1"/>
  <c r="G662" i="1"/>
  <c r="H662" i="1"/>
  <c r="J662" i="1"/>
  <c r="A663" i="1"/>
  <c r="B663" i="1"/>
  <c r="G663" i="1"/>
  <c r="H663" i="1"/>
  <c r="J663" i="1"/>
  <c r="A664" i="1"/>
  <c r="B664" i="1"/>
  <c r="G664" i="1"/>
  <c r="H664" i="1"/>
  <c r="J664" i="1"/>
  <c r="A665" i="1"/>
  <c r="B665" i="1"/>
  <c r="G665" i="1"/>
  <c r="H665" i="1"/>
  <c r="J665" i="1"/>
  <c r="A666" i="1"/>
  <c r="B666" i="1"/>
  <c r="G666" i="1"/>
  <c r="H666" i="1"/>
  <c r="J666" i="1"/>
  <c r="A667" i="1"/>
  <c r="B667" i="1"/>
  <c r="G667" i="1"/>
  <c r="H667" i="1"/>
  <c r="J667" i="1"/>
  <c r="A668" i="1"/>
  <c r="B668" i="1"/>
  <c r="G668" i="1"/>
  <c r="H668" i="1"/>
  <c r="J668" i="1"/>
  <c r="A669" i="1"/>
  <c r="B669" i="1"/>
  <c r="G669" i="1"/>
  <c r="H669" i="1"/>
  <c r="J669" i="1"/>
  <c r="A670" i="1"/>
  <c r="B670" i="1"/>
  <c r="G670" i="1"/>
  <c r="H670" i="1"/>
  <c r="J670" i="1"/>
  <c r="A671" i="1"/>
  <c r="B671" i="1"/>
  <c r="G671" i="1"/>
  <c r="H671" i="1"/>
  <c r="J671" i="1"/>
  <c r="A672" i="1"/>
  <c r="B672" i="1"/>
  <c r="G672" i="1"/>
  <c r="H672" i="1"/>
  <c r="J672" i="1"/>
  <c r="A673" i="1"/>
  <c r="B673" i="1"/>
  <c r="G673" i="1"/>
  <c r="H673" i="1"/>
  <c r="J673" i="1"/>
  <c r="A674" i="1"/>
  <c r="B674" i="1"/>
  <c r="G674" i="1"/>
  <c r="H674" i="1"/>
  <c r="J674" i="1"/>
  <c r="A675" i="1"/>
  <c r="B675" i="1"/>
  <c r="G675" i="1"/>
  <c r="H675" i="1"/>
  <c r="J675" i="1"/>
  <c r="A676" i="1"/>
  <c r="B676" i="1"/>
  <c r="G676" i="1"/>
  <c r="H676" i="1"/>
  <c r="J676" i="1"/>
  <c r="A677" i="1"/>
  <c r="B677" i="1"/>
  <c r="G677" i="1"/>
  <c r="H677" i="1"/>
  <c r="J677" i="1"/>
  <c r="A678" i="1"/>
  <c r="B678" i="1"/>
  <c r="G678" i="1"/>
  <c r="H678" i="1"/>
  <c r="J678" i="1"/>
  <c r="A679" i="1"/>
  <c r="B679" i="1"/>
  <c r="G679" i="1"/>
  <c r="H679" i="1"/>
  <c r="J679" i="1"/>
  <c r="A680" i="1"/>
  <c r="B680" i="1"/>
  <c r="G680" i="1"/>
  <c r="H680" i="1"/>
  <c r="J680" i="1"/>
  <c r="A681" i="1"/>
  <c r="B681" i="1"/>
  <c r="G681" i="1"/>
  <c r="H681" i="1"/>
  <c r="J681" i="1"/>
  <c r="A682" i="1"/>
  <c r="B682" i="1"/>
  <c r="G682" i="1"/>
  <c r="H682" i="1"/>
  <c r="J682" i="1"/>
  <c r="A683" i="1"/>
  <c r="B683" i="1"/>
  <c r="G683" i="1"/>
  <c r="H683" i="1"/>
  <c r="J683" i="1"/>
  <c r="A684" i="1"/>
  <c r="B684" i="1"/>
  <c r="G684" i="1"/>
  <c r="H684" i="1"/>
  <c r="J684" i="1"/>
  <c r="A685" i="1"/>
  <c r="B685" i="1"/>
  <c r="G685" i="1"/>
  <c r="H685" i="1"/>
  <c r="J685" i="1"/>
  <c r="A686" i="1"/>
  <c r="B686" i="1"/>
  <c r="G686" i="1"/>
  <c r="H686" i="1"/>
  <c r="J686" i="1"/>
  <c r="A687" i="1"/>
  <c r="B687" i="1"/>
  <c r="G687" i="1"/>
  <c r="H687" i="1"/>
  <c r="J687" i="1"/>
  <c r="A688" i="1"/>
  <c r="B688" i="1"/>
  <c r="G688" i="1"/>
  <c r="H688" i="1"/>
  <c r="J688" i="1"/>
  <c r="A689" i="1"/>
  <c r="B689" i="1"/>
  <c r="G689" i="1"/>
  <c r="H689" i="1"/>
  <c r="J689" i="1"/>
  <c r="A690" i="1"/>
  <c r="B690" i="1"/>
  <c r="G690" i="1"/>
  <c r="H690" i="1"/>
  <c r="J690" i="1"/>
  <c r="A691" i="1"/>
  <c r="B691" i="1"/>
  <c r="G691" i="1"/>
  <c r="H691" i="1"/>
  <c r="J691" i="1"/>
  <c r="A692" i="1"/>
  <c r="B692" i="1"/>
  <c r="G692" i="1"/>
  <c r="H692" i="1"/>
  <c r="J692" i="1"/>
  <c r="A693" i="1"/>
  <c r="B693" i="1"/>
  <c r="G693" i="1"/>
  <c r="H693" i="1"/>
  <c r="J693" i="1"/>
  <c r="A694" i="1"/>
  <c r="B694" i="1"/>
  <c r="G694" i="1"/>
  <c r="H694" i="1"/>
  <c r="J694" i="1"/>
  <c r="A695" i="1"/>
  <c r="B695" i="1"/>
  <c r="G695" i="1"/>
  <c r="H695" i="1"/>
  <c r="J695" i="1"/>
  <c r="A696" i="1"/>
  <c r="B696" i="1"/>
  <c r="G696" i="1"/>
  <c r="H696" i="1"/>
  <c r="J696" i="1"/>
  <c r="A697" i="1"/>
  <c r="B697" i="1"/>
  <c r="G697" i="1"/>
  <c r="H697" i="1"/>
  <c r="J697" i="1"/>
  <c r="A698" i="1"/>
  <c r="B698" i="1"/>
  <c r="G698" i="1"/>
  <c r="H698" i="1"/>
  <c r="J698" i="1"/>
  <c r="A699" i="1"/>
  <c r="B699" i="1"/>
  <c r="G699" i="1"/>
  <c r="H699" i="1"/>
  <c r="J699" i="1"/>
  <c r="A700" i="1"/>
  <c r="B700" i="1"/>
  <c r="G700" i="1"/>
  <c r="H700" i="1"/>
  <c r="J700" i="1"/>
  <c r="A701" i="1"/>
  <c r="B701" i="1"/>
  <c r="G701" i="1"/>
  <c r="H701" i="1"/>
  <c r="J701" i="1"/>
  <c r="A702" i="1"/>
  <c r="B702" i="1"/>
  <c r="G702" i="1"/>
  <c r="H702" i="1"/>
  <c r="J702" i="1"/>
  <c r="A703" i="1"/>
  <c r="B703" i="1"/>
  <c r="G703" i="1"/>
  <c r="H703" i="1"/>
  <c r="J703" i="1"/>
  <c r="A704" i="1"/>
  <c r="B704" i="1"/>
  <c r="G704" i="1"/>
  <c r="H704" i="1"/>
  <c r="J704" i="1"/>
  <c r="A705" i="1"/>
  <c r="B705" i="1"/>
  <c r="G705" i="1"/>
  <c r="H705" i="1"/>
  <c r="J705" i="1"/>
  <c r="A706" i="1"/>
  <c r="B706" i="1"/>
  <c r="G706" i="1"/>
  <c r="H706" i="1"/>
  <c r="J706" i="1"/>
  <c r="A707" i="1"/>
  <c r="B707" i="1"/>
  <c r="G707" i="1"/>
  <c r="H707" i="1"/>
  <c r="J707" i="1"/>
  <c r="A708" i="1"/>
  <c r="B708" i="1"/>
  <c r="G708" i="1"/>
  <c r="H708" i="1"/>
  <c r="J708" i="1"/>
  <c r="A709" i="1"/>
  <c r="B709" i="1"/>
  <c r="G709" i="1"/>
  <c r="H709" i="1"/>
  <c r="J709" i="1"/>
  <c r="A710" i="1"/>
  <c r="B710" i="1"/>
  <c r="G710" i="1"/>
  <c r="H710" i="1"/>
  <c r="J710" i="1"/>
  <c r="A711" i="1"/>
  <c r="B711" i="1"/>
  <c r="G711" i="1"/>
  <c r="H711" i="1"/>
  <c r="J711" i="1"/>
  <c r="A712" i="1"/>
  <c r="B712" i="1"/>
  <c r="G712" i="1"/>
  <c r="H712" i="1"/>
  <c r="J712" i="1"/>
  <c r="A713" i="1"/>
  <c r="B713" i="1"/>
  <c r="G713" i="1"/>
  <c r="H713" i="1"/>
  <c r="J713" i="1"/>
  <c r="A714" i="1"/>
  <c r="B714" i="1"/>
  <c r="G714" i="1"/>
  <c r="H714" i="1"/>
  <c r="J714" i="1"/>
  <c r="A715" i="1"/>
  <c r="B715" i="1"/>
  <c r="G715" i="1"/>
  <c r="H715" i="1"/>
  <c r="J715" i="1"/>
  <c r="A716" i="1"/>
  <c r="B716" i="1"/>
  <c r="G716" i="1"/>
  <c r="H716" i="1"/>
  <c r="J716" i="1"/>
  <c r="A717" i="1"/>
  <c r="B717" i="1"/>
  <c r="G717" i="1"/>
  <c r="H717" i="1"/>
  <c r="J717" i="1"/>
  <c r="A718" i="1"/>
  <c r="B718" i="1"/>
  <c r="G718" i="1"/>
  <c r="H718" i="1"/>
  <c r="J718" i="1"/>
  <c r="A719" i="1"/>
  <c r="B719" i="1"/>
  <c r="G719" i="1"/>
  <c r="H719" i="1"/>
  <c r="J719" i="1"/>
  <c r="A720" i="1"/>
  <c r="B720" i="1"/>
  <c r="G720" i="1"/>
  <c r="H720" i="1"/>
  <c r="J720" i="1"/>
  <c r="A721" i="1"/>
  <c r="B721" i="1"/>
  <c r="G721" i="1"/>
  <c r="H721" i="1"/>
  <c r="J721" i="1"/>
  <c r="A722" i="1"/>
  <c r="B722" i="1"/>
  <c r="G722" i="1"/>
  <c r="H722" i="1"/>
  <c r="J722" i="1"/>
  <c r="A723" i="1"/>
  <c r="B723" i="1"/>
  <c r="G723" i="1"/>
  <c r="H723" i="1"/>
  <c r="J723" i="1"/>
  <c r="A724" i="1"/>
  <c r="B724" i="1"/>
  <c r="G724" i="1"/>
  <c r="H724" i="1"/>
  <c r="J724" i="1"/>
  <c r="A725" i="1"/>
  <c r="B725" i="1"/>
  <c r="G725" i="1"/>
  <c r="H725" i="1"/>
  <c r="J725" i="1"/>
  <c r="A726" i="1"/>
  <c r="B726" i="1"/>
  <c r="G726" i="1"/>
  <c r="H726" i="1"/>
  <c r="J726" i="1"/>
  <c r="A727" i="1"/>
  <c r="B727" i="1"/>
  <c r="G727" i="1"/>
  <c r="H727" i="1"/>
  <c r="J727" i="1"/>
  <c r="A728" i="1"/>
  <c r="B728" i="1"/>
  <c r="G728" i="1"/>
  <c r="H728" i="1"/>
  <c r="J728" i="1"/>
  <c r="A729" i="1"/>
  <c r="B729" i="1"/>
  <c r="G729" i="1"/>
  <c r="H729" i="1"/>
  <c r="J729" i="1"/>
  <c r="A730" i="1"/>
  <c r="B730" i="1"/>
  <c r="G730" i="1"/>
  <c r="H730" i="1"/>
  <c r="J730" i="1"/>
  <c r="A731" i="1"/>
  <c r="B731" i="1"/>
  <c r="G731" i="1"/>
  <c r="H731" i="1"/>
  <c r="J731" i="1"/>
  <c r="A732" i="1"/>
  <c r="B732" i="1"/>
  <c r="G732" i="1"/>
  <c r="H732" i="1"/>
  <c r="J732" i="1"/>
  <c r="A733" i="1"/>
  <c r="B733" i="1"/>
  <c r="G733" i="1"/>
  <c r="H733" i="1"/>
  <c r="J733" i="1"/>
  <c r="A734" i="1"/>
  <c r="B734" i="1"/>
  <c r="G734" i="1"/>
  <c r="H734" i="1"/>
  <c r="J734" i="1"/>
  <c r="A735" i="1"/>
  <c r="B735" i="1"/>
  <c r="G735" i="1"/>
  <c r="H735" i="1"/>
  <c r="J735" i="1"/>
  <c r="A736" i="1"/>
  <c r="B736" i="1"/>
  <c r="G736" i="1"/>
  <c r="H736" i="1"/>
  <c r="J736" i="1"/>
  <c r="A737" i="1"/>
  <c r="B737" i="1"/>
  <c r="G737" i="1"/>
  <c r="H737" i="1"/>
  <c r="J737" i="1"/>
  <c r="A738" i="1"/>
  <c r="B738" i="1"/>
  <c r="G738" i="1"/>
  <c r="H738" i="1"/>
  <c r="J738" i="1"/>
  <c r="A739" i="1"/>
  <c r="B739" i="1"/>
  <c r="G739" i="1"/>
  <c r="H739" i="1"/>
  <c r="J739" i="1"/>
  <c r="A740" i="1"/>
  <c r="B740" i="1"/>
  <c r="G740" i="1"/>
  <c r="H740" i="1"/>
  <c r="J740" i="1"/>
  <c r="A741" i="1"/>
  <c r="B741" i="1"/>
  <c r="G741" i="1"/>
  <c r="H741" i="1"/>
  <c r="J741" i="1"/>
  <c r="A742" i="1"/>
  <c r="B742" i="1"/>
  <c r="G742" i="1"/>
  <c r="H742" i="1"/>
  <c r="J742" i="1"/>
  <c r="A743" i="1"/>
  <c r="B743" i="1"/>
  <c r="G743" i="1"/>
  <c r="H743" i="1"/>
  <c r="J743" i="1"/>
  <c r="A744" i="1"/>
  <c r="B744" i="1"/>
  <c r="G744" i="1"/>
  <c r="H744" i="1"/>
  <c r="J744" i="1"/>
  <c r="A745" i="1"/>
  <c r="B745" i="1"/>
  <c r="G745" i="1"/>
  <c r="H745" i="1"/>
  <c r="J745" i="1"/>
  <c r="A746" i="1"/>
  <c r="B746" i="1"/>
  <c r="G746" i="1"/>
  <c r="H746" i="1"/>
  <c r="J746" i="1"/>
  <c r="A747" i="1"/>
  <c r="B747" i="1"/>
  <c r="G747" i="1"/>
  <c r="H747" i="1"/>
  <c r="J747" i="1"/>
  <c r="A748" i="1"/>
  <c r="B748" i="1"/>
  <c r="G748" i="1"/>
  <c r="H748" i="1"/>
  <c r="J748" i="1"/>
  <c r="A749" i="1"/>
  <c r="B749" i="1"/>
  <c r="G749" i="1"/>
  <c r="H749" i="1"/>
  <c r="J749" i="1"/>
  <c r="A750" i="1"/>
  <c r="B750" i="1"/>
  <c r="G750" i="1"/>
  <c r="H750" i="1"/>
  <c r="J750" i="1"/>
  <c r="A751" i="1"/>
  <c r="B751" i="1"/>
  <c r="G751" i="1"/>
  <c r="H751" i="1"/>
  <c r="J751" i="1"/>
  <c r="A752" i="1"/>
  <c r="B752" i="1"/>
  <c r="G752" i="1"/>
  <c r="H752" i="1"/>
  <c r="J752" i="1"/>
  <c r="A753" i="1"/>
  <c r="B753" i="1"/>
  <c r="G753" i="1"/>
  <c r="H753" i="1"/>
  <c r="J753" i="1"/>
  <c r="A754" i="1"/>
  <c r="B754" i="1"/>
  <c r="G754" i="1"/>
  <c r="H754" i="1"/>
  <c r="J754" i="1"/>
  <c r="A755" i="1"/>
  <c r="B755" i="1"/>
  <c r="G755" i="1"/>
  <c r="H755" i="1"/>
  <c r="J755" i="1"/>
  <c r="A756" i="1"/>
  <c r="B756" i="1"/>
  <c r="G756" i="1"/>
  <c r="H756" i="1"/>
  <c r="J756" i="1"/>
  <c r="A757" i="1"/>
  <c r="B757" i="1"/>
  <c r="G757" i="1"/>
  <c r="H757" i="1"/>
  <c r="J757" i="1"/>
  <c r="A758" i="1"/>
  <c r="B758" i="1"/>
  <c r="G758" i="1"/>
  <c r="H758" i="1"/>
  <c r="J758" i="1"/>
  <c r="A759" i="1"/>
  <c r="B759" i="1"/>
  <c r="G759" i="1"/>
  <c r="H759" i="1"/>
  <c r="J759" i="1"/>
  <c r="A760" i="1"/>
  <c r="B760" i="1"/>
  <c r="G760" i="1"/>
  <c r="H760" i="1"/>
  <c r="J760" i="1"/>
  <c r="A761" i="1"/>
  <c r="B761" i="1"/>
  <c r="G761" i="1"/>
  <c r="H761" i="1"/>
  <c r="J761" i="1"/>
  <c r="A762" i="1"/>
  <c r="B762" i="1"/>
  <c r="G762" i="1"/>
  <c r="H762" i="1"/>
  <c r="J762" i="1"/>
  <c r="A763" i="1"/>
  <c r="B763" i="1"/>
  <c r="G763" i="1"/>
  <c r="H763" i="1"/>
  <c r="J763" i="1"/>
  <c r="A764" i="1"/>
  <c r="B764" i="1"/>
  <c r="G764" i="1"/>
  <c r="H764" i="1"/>
  <c r="J764" i="1"/>
  <c r="A765" i="1"/>
  <c r="B765" i="1"/>
  <c r="G765" i="1"/>
  <c r="H765" i="1"/>
  <c r="J765" i="1"/>
  <c r="A766" i="1"/>
  <c r="B766" i="1"/>
  <c r="G766" i="1"/>
  <c r="H766" i="1"/>
  <c r="J766" i="1"/>
  <c r="A767" i="1"/>
  <c r="B767" i="1"/>
  <c r="G767" i="1"/>
  <c r="H767" i="1"/>
  <c r="J767" i="1"/>
  <c r="A768" i="1"/>
  <c r="B768" i="1"/>
  <c r="G768" i="1"/>
  <c r="H768" i="1"/>
  <c r="J768" i="1"/>
  <c r="A769" i="1"/>
  <c r="B769" i="1"/>
  <c r="G769" i="1"/>
  <c r="H769" i="1"/>
  <c r="J769" i="1"/>
  <c r="A770" i="1"/>
  <c r="B770" i="1"/>
  <c r="G770" i="1"/>
  <c r="H770" i="1"/>
  <c r="J770" i="1"/>
  <c r="A771" i="1"/>
  <c r="B771" i="1"/>
  <c r="G771" i="1"/>
  <c r="H771" i="1"/>
  <c r="J771" i="1"/>
  <c r="A772" i="1"/>
  <c r="B772" i="1"/>
  <c r="G772" i="1"/>
  <c r="H772" i="1"/>
  <c r="J772" i="1"/>
  <c r="A773" i="1"/>
  <c r="B773" i="1"/>
  <c r="G773" i="1"/>
  <c r="H773" i="1"/>
  <c r="J773" i="1"/>
  <c r="A774" i="1"/>
  <c r="B774" i="1"/>
  <c r="G774" i="1"/>
  <c r="H774" i="1"/>
  <c r="J774" i="1"/>
  <c r="A775" i="1"/>
  <c r="B775" i="1"/>
  <c r="G775" i="1"/>
  <c r="H775" i="1"/>
  <c r="J775" i="1"/>
  <c r="A776" i="1"/>
  <c r="B776" i="1"/>
  <c r="G776" i="1"/>
  <c r="H776" i="1"/>
  <c r="J776" i="1"/>
  <c r="A777" i="1"/>
  <c r="B777" i="1"/>
  <c r="G777" i="1"/>
  <c r="H777" i="1"/>
  <c r="J777" i="1"/>
  <c r="A778" i="1"/>
  <c r="B778" i="1"/>
  <c r="G778" i="1"/>
  <c r="H778" i="1"/>
  <c r="J778" i="1"/>
  <c r="A779" i="1"/>
  <c r="B779" i="1"/>
  <c r="G779" i="1"/>
  <c r="H779" i="1"/>
  <c r="J779" i="1"/>
  <c r="A780" i="1"/>
  <c r="B780" i="1"/>
  <c r="G780" i="1"/>
  <c r="H780" i="1"/>
  <c r="J780" i="1"/>
  <c r="A781" i="1"/>
  <c r="B781" i="1"/>
  <c r="G781" i="1"/>
  <c r="H781" i="1"/>
  <c r="J781" i="1"/>
  <c r="A782" i="1"/>
  <c r="B782" i="1"/>
  <c r="G782" i="1"/>
  <c r="H782" i="1"/>
  <c r="J782" i="1"/>
  <c r="A783" i="1"/>
  <c r="B783" i="1"/>
  <c r="G783" i="1"/>
  <c r="H783" i="1"/>
  <c r="J783" i="1"/>
  <c r="A784" i="1"/>
  <c r="B784" i="1"/>
  <c r="G784" i="1"/>
  <c r="H784" i="1"/>
  <c r="J784" i="1"/>
  <c r="A785" i="1"/>
  <c r="B785" i="1"/>
  <c r="G785" i="1"/>
  <c r="H785" i="1"/>
  <c r="J785" i="1"/>
  <c r="A786" i="1"/>
  <c r="B786" i="1"/>
  <c r="G786" i="1"/>
  <c r="H786" i="1"/>
  <c r="J786" i="1"/>
  <c r="A787" i="1"/>
  <c r="B787" i="1"/>
  <c r="G787" i="1"/>
  <c r="H787" i="1"/>
  <c r="J787" i="1"/>
  <c r="A788" i="1"/>
  <c r="B788" i="1"/>
  <c r="G788" i="1"/>
  <c r="H788" i="1"/>
  <c r="J788" i="1"/>
  <c r="A789" i="1"/>
  <c r="B789" i="1"/>
  <c r="G789" i="1"/>
  <c r="H789" i="1"/>
  <c r="J789" i="1"/>
  <c r="A790" i="1"/>
  <c r="B790" i="1"/>
  <c r="G790" i="1"/>
  <c r="H790" i="1"/>
  <c r="J790" i="1"/>
  <c r="A791" i="1"/>
  <c r="B791" i="1"/>
  <c r="G791" i="1"/>
  <c r="H791" i="1"/>
  <c r="J791" i="1"/>
  <c r="A792" i="1"/>
  <c r="B792" i="1"/>
  <c r="G792" i="1"/>
  <c r="H792" i="1"/>
  <c r="J792" i="1"/>
  <c r="A793" i="1"/>
  <c r="B793" i="1"/>
  <c r="G793" i="1"/>
  <c r="H793" i="1"/>
  <c r="J793" i="1"/>
  <c r="A794" i="1"/>
  <c r="B794" i="1"/>
  <c r="G794" i="1"/>
  <c r="H794" i="1"/>
  <c r="J794" i="1"/>
  <c r="A795" i="1"/>
  <c r="B795" i="1"/>
  <c r="G795" i="1"/>
  <c r="H795" i="1"/>
  <c r="J795" i="1"/>
  <c r="A796" i="1"/>
  <c r="B796" i="1"/>
  <c r="G796" i="1"/>
  <c r="H796" i="1"/>
  <c r="J796" i="1"/>
  <c r="A797" i="1"/>
  <c r="B797" i="1"/>
  <c r="G797" i="1"/>
  <c r="H797" i="1"/>
  <c r="J797" i="1"/>
  <c r="A798" i="1"/>
  <c r="B798" i="1"/>
  <c r="G798" i="1"/>
  <c r="H798" i="1"/>
  <c r="J798" i="1"/>
  <c r="A799" i="1"/>
  <c r="B799" i="1"/>
  <c r="G799" i="1"/>
  <c r="H799" i="1"/>
  <c r="J799" i="1"/>
  <c r="A800" i="1"/>
  <c r="B800" i="1"/>
  <c r="G800" i="1"/>
  <c r="H800" i="1"/>
  <c r="J800" i="1"/>
  <c r="A801" i="1"/>
  <c r="B801" i="1"/>
  <c r="G801" i="1"/>
  <c r="H801" i="1"/>
  <c r="J801" i="1"/>
  <c r="A802" i="1"/>
  <c r="B802" i="1"/>
  <c r="G802" i="1"/>
  <c r="H802" i="1"/>
  <c r="J802" i="1"/>
  <c r="A803" i="1"/>
  <c r="B803" i="1"/>
  <c r="G803" i="1"/>
  <c r="H803" i="1"/>
  <c r="J803" i="1"/>
  <c r="A804" i="1"/>
  <c r="B804" i="1"/>
  <c r="G804" i="1"/>
  <c r="H804" i="1"/>
  <c r="J804" i="1"/>
  <c r="A805" i="1"/>
  <c r="B805" i="1"/>
  <c r="G805" i="1"/>
  <c r="H805" i="1"/>
  <c r="J805" i="1"/>
  <c r="A806" i="1"/>
  <c r="B806" i="1"/>
  <c r="G806" i="1"/>
  <c r="H806" i="1"/>
  <c r="J806" i="1"/>
  <c r="A807" i="1"/>
  <c r="B807" i="1"/>
  <c r="G807" i="1"/>
  <c r="H807" i="1"/>
  <c r="J807" i="1"/>
  <c r="A808" i="1"/>
  <c r="B808" i="1"/>
  <c r="G808" i="1"/>
  <c r="H808" i="1"/>
  <c r="J808" i="1"/>
  <c r="A809" i="1"/>
  <c r="B809" i="1"/>
  <c r="G809" i="1"/>
  <c r="H809" i="1"/>
  <c r="J809" i="1"/>
  <c r="A810" i="1"/>
  <c r="B810" i="1"/>
  <c r="G810" i="1"/>
  <c r="H810" i="1"/>
  <c r="J810" i="1"/>
  <c r="A811" i="1"/>
  <c r="B811" i="1"/>
  <c r="G811" i="1"/>
  <c r="H811" i="1"/>
  <c r="J811" i="1"/>
  <c r="A812" i="1"/>
  <c r="B812" i="1"/>
  <c r="G812" i="1"/>
  <c r="H812" i="1"/>
  <c r="J812" i="1"/>
  <c r="A813" i="1"/>
  <c r="B813" i="1"/>
  <c r="G813" i="1"/>
  <c r="H813" i="1"/>
  <c r="J813" i="1"/>
  <c r="A814" i="1"/>
  <c r="B814" i="1"/>
  <c r="G814" i="1"/>
  <c r="H814" i="1"/>
  <c r="J814" i="1"/>
  <c r="A815" i="1"/>
  <c r="B815" i="1"/>
  <c r="G815" i="1"/>
  <c r="H815" i="1"/>
  <c r="J815" i="1"/>
  <c r="A816" i="1"/>
  <c r="B816" i="1"/>
  <c r="G816" i="1"/>
  <c r="H816" i="1"/>
  <c r="J816" i="1"/>
  <c r="A817" i="1"/>
  <c r="B817" i="1"/>
  <c r="G817" i="1"/>
  <c r="H817" i="1"/>
  <c r="J817" i="1"/>
  <c r="A818" i="1"/>
  <c r="B818" i="1"/>
  <c r="G818" i="1"/>
  <c r="H818" i="1"/>
  <c r="J818" i="1"/>
  <c r="A819" i="1"/>
  <c r="B819" i="1"/>
  <c r="G819" i="1"/>
  <c r="H819" i="1"/>
  <c r="J819" i="1"/>
  <c r="A820" i="1"/>
  <c r="B820" i="1"/>
  <c r="G820" i="1"/>
  <c r="H820" i="1"/>
  <c r="J820" i="1"/>
  <c r="A821" i="1"/>
  <c r="B821" i="1"/>
  <c r="G821" i="1"/>
  <c r="H821" i="1"/>
  <c r="J821" i="1"/>
  <c r="A822" i="1"/>
  <c r="B822" i="1"/>
  <c r="G822" i="1"/>
  <c r="H822" i="1"/>
  <c r="J822" i="1"/>
  <c r="A823" i="1"/>
  <c r="B823" i="1"/>
  <c r="G823" i="1"/>
  <c r="H823" i="1"/>
  <c r="J823" i="1"/>
  <c r="A824" i="1"/>
  <c r="B824" i="1"/>
  <c r="G824" i="1"/>
  <c r="H824" i="1"/>
  <c r="J824" i="1"/>
  <c r="A825" i="1"/>
  <c r="B825" i="1"/>
  <c r="G825" i="1"/>
  <c r="H825" i="1"/>
  <c r="J825" i="1"/>
  <c r="A826" i="1"/>
  <c r="B826" i="1"/>
  <c r="G826" i="1"/>
  <c r="H826" i="1"/>
  <c r="J826" i="1"/>
  <c r="A827" i="1"/>
  <c r="B827" i="1"/>
  <c r="G827" i="1"/>
  <c r="H827" i="1"/>
  <c r="J827" i="1"/>
  <c r="A828" i="1"/>
  <c r="B828" i="1"/>
  <c r="G828" i="1"/>
  <c r="H828" i="1"/>
  <c r="J828" i="1"/>
  <c r="A829" i="1"/>
  <c r="B829" i="1"/>
  <c r="G829" i="1"/>
  <c r="H829" i="1"/>
  <c r="J829" i="1"/>
  <c r="A830" i="1"/>
  <c r="B830" i="1"/>
  <c r="G830" i="1"/>
  <c r="H830" i="1"/>
  <c r="J830" i="1"/>
  <c r="A831" i="1"/>
  <c r="B831" i="1"/>
  <c r="G831" i="1"/>
  <c r="H831" i="1"/>
  <c r="J831" i="1"/>
  <c r="A832" i="1"/>
  <c r="B832" i="1"/>
  <c r="G832" i="1"/>
  <c r="H832" i="1"/>
  <c r="J832" i="1"/>
  <c r="A833" i="1"/>
  <c r="B833" i="1"/>
  <c r="G833" i="1"/>
  <c r="H833" i="1"/>
  <c r="J833" i="1"/>
  <c r="A834" i="1"/>
  <c r="B834" i="1"/>
  <c r="G834" i="1"/>
  <c r="H834" i="1"/>
  <c r="J834" i="1"/>
  <c r="A835" i="1"/>
  <c r="B835" i="1"/>
  <c r="G835" i="1"/>
  <c r="H835" i="1"/>
  <c r="J835" i="1"/>
  <c r="A836" i="1"/>
  <c r="B836" i="1"/>
  <c r="G836" i="1"/>
  <c r="H836" i="1"/>
  <c r="J836" i="1"/>
  <c r="A837" i="1"/>
  <c r="B837" i="1"/>
  <c r="G837" i="1"/>
  <c r="H837" i="1"/>
  <c r="J837" i="1"/>
  <c r="A838" i="1"/>
  <c r="B838" i="1"/>
  <c r="G838" i="1"/>
  <c r="H838" i="1"/>
  <c r="J838" i="1"/>
  <c r="A839" i="1"/>
  <c r="B839" i="1"/>
  <c r="G839" i="1"/>
  <c r="H839" i="1"/>
  <c r="J839" i="1"/>
  <c r="A840" i="1"/>
  <c r="B840" i="1"/>
  <c r="G840" i="1"/>
  <c r="H840" i="1"/>
  <c r="J840" i="1"/>
  <c r="A841" i="1"/>
  <c r="B841" i="1"/>
  <c r="G841" i="1"/>
  <c r="H841" i="1"/>
  <c r="J841" i="1"/>
  <c r="A842" i="1"/>
  <c r="B842" i="1"/>
  <c r="G842" i="1"/>
  <c r="H842" i="1"/>
  <c r="J842" i="1"/>
  <c r="A843" i="1"/>
  <c r="B843" i="1"/>
  <c r="G843" i="1"/>
  <c r="H843" i="1"/>
  <c r="J843" i="1"/>
  <c r="A844" i="1"/>
  <c r="B844" i="1"/>
  <c r="G844" i="1"/>
  <c r="H844" i="1"/>
  <c r="J844" i="1"/>
  <c r="A845" i="1"/>
  <c r="B845" i="1"/>
  <c r="G845" i="1"/>
  <c r="H845" i="1"/>
  <c r="J845" i="1"/>
  <c r="A846" i="1"/>
  <c r="B846" i="1"/>
  <c r="G846" i="1"/>
  <c r="H846" i="1"/>
  <c r="J846" i="1"/>
  <c r="A847" i="1"/>
  <c r="B847" i="1"/>
  <c r="G847" i="1"/>
  <c r="H847" i="1"/>
  <c r="J847" i="1"/>
  <c r="A848" i="1"/>
  <c r="B848" i="1"/>
  <c r="G848" i="1"/>
  <c r="H848" i="1"/>
  <c r="J848" i="1"/>
  <c r="A849" i="1"/>
  <c r="B849" i="1"/>
  <c r="G849" i="1"/>
  <c r="H849" i="1"/>
  <c r="J849" i="1"/>
  <c r="A850" i="1"/>
  <c r="B850" i="1"/>
  <c r="G850" i="1"/>
  <c r="H850" i="1"/>
  <c r="J850" i="1"/>
  <c r="A851" i="1"/>
  <c r="B851" i="1"/>
  <c r="G851" i="1"/>
  <c r="H851" i="1"/>
  <c r="J851" i="1"/>
  <c r="A852" i="1"/>
  <c r="B852" i="1"/>
  <c r="G852" i="1"/>
  <c r="H852" i="1"/>
  <c r="J852" i="1"/>
  <c r="A853" i="1"/>
  <c r="B853" i="1"/>
  <c r="G853" i="1"/>
  <c r="H853" i="1"/>
  <c r="J853" i="1"/>
  <c r="A854" i="1"/>
  <c r="B854" i="1"/>
  <c r="G854" i="1"/>
  <c r="H854" i="1"/>
  <c r="J854" i="1"/>
  <c r="A855" i="1"/>
  <c r="B855" i="1"/>
  <c r="G855" i="1"/>
  <c r="H855" i="1"/>
  <c r="J855" i="1"/>
  <c r="A856" i="1"/>
  <c r="B856" i="1"/>
  <c r="G856" i="1"/>
  <c r="H856" i="1"/>
  <c r="J856" i="1"/>
  <c r="A857" i="1"/>
  <c r="B857" i="1"/>
  <c r="G857" i="1"/>
  <c r="H857" i="1"/>
  <c r="J857" i="1"/>
  <c r="A858" i="1"/>
  <c r="B858" i="1"/>
  <c r="G858" i="1"/>
  <c r="H858" i="1"/>
  <c r="J858" i="1"/>
  <c r="A859" i="1"/>
  <c r="B859" i="1"/>
  <c r="G859" i="1"/>
  <c r="H859" i="1"/>
  <c r="J859" i="1"/>
  <c r="A860" i="1"/>
  <c r="B860" i="1"/>
  <c r="G860" i="1"/>
  <c r="H860" i="1"/>
  <c r="J860" i="1"/>
  <c r="A861" i="1"/>
  <c r="B861" i="1"/>
  <c r="G861" i="1"/>
  <c r="H861" i="1"/>
  <c r="J861" i="1"/>
  <c r="A862" i="1"/>
  <c r="B862" i="1"/>
  <c r="G862" i="1"/>
  <c r="H862" i="1"/>
  <c r="J862" i="1"/>
  <c r="A863" i="1"/>
  <c r="B863" i="1"/>
  <c r="G863" i="1"/>
  <c r="H863" i="1"/>
  <c r="J863" i="1"/>
  <c r="A864" i="1"/>
  <c r="B864" i="1"/>
  <c r="G864" i="1"/>
  <c r="H864" i="1"/>
  <c r="J864" i="1"/>
  <c r="A865" i="1"/>
  <c r="B865" i="1"/>
  <c r="G865" i="1"/>
  <c r="H865" i="1"/>
  <c r="J865" i="1"/>
  <c r="A866" i="1"/>
  <c r="B866" i="1"/>
  <c r="G866" i="1"/>
  <c r="H866" i="1"/>
  <c r="J866" i="1"/>
  <c r="A867" i="1"/>
  <c r="B867" i="1"/>
  <c r="G867" i="1"/>
  <c r="H867" i="1"/>
  <c r="J867" i="1"/>
  <c r="A868" i="1"/>
  <c r="B868" i="1"/>
  <c r="G868" i="1"/>
  <c r="H868" i="1"/>
  <c r="J868" i="1"/>
  <c r="A869" i="1"/>
  <c r="B869" i="1"/>
  <c r="G869" i="1"/>
  <c r="H869" i="1"/>
  <c r="J869" i="1"/>
  <c r="A870" i="1"/>
  <c r="B870" i="1"/>
  <c r="G870" i="1"/>
  <c r="H870" i="1"/>
  <c r="J870" i="1"/>
  <c r="A871" i="1"/>
  <c r="B871" i="1"/>
  <c r="G871" i="1"/>
  <c r="H871" i="1"/>
  <c r="J871" i="1"/>
  <c r="A872" i="1"/>
  <c r="B872" i="1"/>
  <c r="G872" i="1"/>
  <c r="H872" i="1"/>
  <c r="J872" i="1"/>
  <c r="A873" i="1"/>
  <c r="B873" i="1"/>
  <c r="G873" i="1"/>
  <c r="H873" i="1"/>
  <c r="J873" i="1"/>
  <c r="A874" i="1"/>
  <c r="B874" i="1"/>
  <c r="G874" i="1"/>
  <c r="H874" i="1"/>
  <c r="J874" i="1"/>
  <c r="A875" i="1"/>
  <c r="B875" i="1"/>
  <c r="G875" i="1"/>
  <c r="H875" i="1"/>
  <c r="J875" i="1"/>
  <c r="A876" i="1"/>
  <c r="B876" i="1"/>
  <c r="G876" i="1"/>
  <c r="H876" i="1"/>
  <c r="J876" i="1"/>
  <c r="A877" i="1"/>
  <c r="B877" i="1"/>
  <c r="G877" i="1"/>
  <c r="H877" i="1"/>
  <c r="J877" i="1"/>
  <c r="A878" i="1"/>
  <c r="B878" i="1"/>
  <c r="G878" i="1"/>
  <c r="H878" i="1"/>
  <c r="J878" i="1"/>
  <c r="A879" i="1"/>
  <c r="B879" i="1"/>
  <c r="G879" i="1"/>
  <c r="H879" i="1"/>
  <c r="J879" i="1"/>
  <c r="A880" i="1"/>
  <c r="B880" i="1"/>
  <c r="G880" i="1"/>
  <c r="H880" i="1"/>
  <c r="J880" i="1"/>
  <c r="A881" i="1"/>
  <c r="B881" i="1"/>
  <c r="G881" i="1"/>
  <c r="H881" i="1"/>
  <c r="J881" i="1"/>
  <c r="A882" i="1"/>
  <c r="B882" i="1"/>
  <c r="G882" i="1"/>
  <c r="H882" i="1"/>
  <c r="J882" i="1"/>
  <c r="A883" i="1"/>
  <c r="B883" i="1"/>
  <c r="G883" i="1"/>
  <c r="H883" i="1"/>
  <c r="J883" i="1"/>
  <c r="A884" i="1"/>
  <c r="B884" i="1"/>
  <c r="G884" i="1"/>
  <c r="H884" i="1"/>
  <c r="J884" i="1"/>
  <c r="A885" i="1"/>
  <c r="B885" i="1"/>
  <c r="G885" i="1"/>
  <c r="H885" i="1"/>
  <c r="J885" i="1"/>
  <c r="A886" i="1"/>
  <c r="B886" i="1"/>
  <c r="G886" i="1"/>
  <c r="H886" i="1"/>
  <c r="J886" i="1"/>
  <c r="A887" i="1"/>
  <c r="B887" i="1"/>
  <c r="G887" i="1"/>
  <c r="H887" i="1"/>
  <c r="J887" i="1"/>
  <c r="A888" i="1"/>
  <c r="B888" i="1"/>
  <c r="G888" i="1"/>
  <c r="H888" i="1"/>
  <c r="J888" i="1"/>
  <c r="A889" i="1"/>
  <c r="B889" i="1"/>
  <c r="G889" i="1"/>
  <c r="H889" i="1"/>
  <c r="J889" i="1"/>
  <c r="A890" i="1"/>
  <c r="B890" i="1"/>
  <c r="G890" i="1"/>
  <c r="H890" i="1"/>
  <c r="J890" i="1"/>
  <c r="A891" i="1"/>
  <c r="B891" i="1"/>
  <c r="G891" i="1"/>
  <c r="H891" i="1"/>
  <c r="J891" i="1"/>
  <c r="A892" i="1"/>
  <c r="B892" i="1"/>
  <c r="G892" i="1"/>
  <c r="H892" i="1"/>
  <c r="J892" i="1"/>
  <c r="A893" i="1"/>
  <c r="B893" i="1"/>
  <c r="G893" i="1"/>
  <c r="H893" i="1"/>
  <c r="J893" i="1"/>
  <c r="A894" i="1"/>
  <c r="B894" i="1"/>
  <c r="G894" i="1"/>
  <c r="H894" i="1"/>
  <c r="J894" i="1"/>
  <c r="A895" i="1"/>
  <c r="B895" i="1"/>
  <c r="G895" i="1"/>
  <c r="H895" i="1"/>
  <c r="J895" i="1"/>
  <c r="A896" i="1"/>
  <c r="B896" i="1"/>
  <c r="G896" i="1"/>
  <c r="H896" i="1"/>
  <c r="J896" i="1"/>
  <c r="A897" i="1"/>
  <c r="B897" i="1"/>
  <c r="G897" i="1"/>
  <c r="H897" i="1"/>
  <c r="J897" i="1"/>
  <c r="A898" i="1"/>
  <c r="B898" i="1"/>
  <c r="G898" i="1"/>
  <c r="H898" i="1"/>
  <c r="J898" i="1"/>
  <c r="A899" i="1"/>
  <c r="B899" i="1"/>
  <c r="G899" i="1"/>
  <c r="H899" i="1"/>
  <c r="J899" i="1"/>
  <c r="A900" i="1"/>
  <c r="B900" i="1"/>
  <c r="G900" i="1"/>
  <c r="H900" i="1"/>
  <c r="J900" i="1"/>
  <c r="A901" i="1"/>
  <c r="B901" i="1"/>
  <c r="G901" i="1"/>
  <c r="H901" i="1"/>
  <c r="J901" i="1"/>
  <c r="A902" i="1"/>
  <c r="B902" i="1"/>
  <c r="G902" i="1"/>
  <c r="H902" i="1"/>
  <c r="J902" i="1"/>
  <c r="A903" i="1"/>
  <c r="B903" i="1"/>
  <c r="G903" i="1"/>
  <c r="H903" i="1"/>
  <c r="J903" i="1"/>
  <c r="A904" i="1"/>
  <c r="B904" i="1"/>
  <c r="G904" i="1"/>
  <c r="H904" i="1"/>
  <c r="J904" i="1"/>
  <c r="A905" i="1"/>
  <c r="B905" i="1"/>
  <c r="G905" i="1"/>
  <c r="H905" i="1"/>
  <c r="J905" i="1"/>
  <c r="A906" i="1"/>
  <c r="B906" i="1"/>
  <c r="G906" i="1"/>
  <c r="H906" i="1"/>
  <c r="J906" i="1"/>
  <c r="A907" i="1"/>
  <c r="B907" i="1"/>
  <c r="G907" i="1"/>
  <c r="H907" i="1"/>
  <c r="J907" i="1"/>
  <c r="A908" i="1"/>
  <c r="B908" i="1"/>
  <c r="G908" i="1"/>
  <c r="H908" i="1"/>
  <c r="J908" i="1"/>
  <c r="A909" i="1"/>
  <c r="B909" i="1"/>
  <c r="G909" i="1"/>
  <c r="H909" i="1"/>
  <c r="J909" i="1"/>
  <c r="A910" i="1"/>
  <c r="B910" i="1"/>
  <c r="G910" i="1"/>
  <c r="H910" i="1"/>
  <c r="J910" i="1"/>
  <c r="A911" i="1"/>
  <c r="B911" i="1"/>
  <c r="G911" i="1"/>
  <c r="H911" i="1"/>
  <c r="J911" i="1"/>
  <c r="A912" i="1"/>
  <c r="B912" i="1"/>
  <c r="G912" i="1"/>
  <c r="H912" i="1"/>
  <c r="J912" i="1"/>
  <c r="A913" i="1"/>
  <c r="B913" i="1"/>
  <c r="G913" i="1"/>
  <c r="H913" i="1"/>
  <c r="J913" i="1"/>
  <c r="A914" i="1"/>
  <c r="B914" i="1"/>
  <c r="G914" i="1"/>
  <c r="H914" i="1"/>
  <c r="J914" i="1"/>
  <c r="A915" i="1"/>
  <c r="B915" i="1"/>
  <c r="G915" i="1"/>
  <c r="H915" i="1"/>
  <c r="J915" i="1"/>
  <c r="A916" i="1"/>
  <c r="B916" i="1"/>
  <c r="G916" i="1"/>
  <c r="H916" i="1"/>
  <c r="J916" i="1"/>
  <c r="A917" i="1"/>
  <c r="B917" i="1"/>
  <c r="G917" i="1"/>
  <c r="H917" i="1"/>
  <c r="J917" i="1"/>
  <c r="A918" i="1"/>
  <c r="B918" i="1"/>
  <c r="G918" i="1"/>
  <c r="H918" i="1"/>
  <c r="J918" i="1"/>
  <c r="A919" i="1"/>
  <c r="B919" i="1"/>
  <c r="G919" i="1"/>
  <c r="H919" i="1"/>
  <c r="J919" i="1"/>
  <c r="A920" i="1"/>
  <c r="B920" i="1"/>
  <c r="G920" i="1"/>
  <c r="H920" i="1"/>
  <c r="J920" i="1"/>
  <c r="A921" i="1"/>
  <c r="B921" i="1"/>
  <c r="G921" i="1"/>
  <c r="H921" i="1"/>
  <c r="J921" i="1"/>
  <c r="A922" i="1"/>
  <c r="B922" i="1"/>
  <c r="G922" i="1"/>
  <c r="H922" i="1"/>
  <c r="J922" i="1"/>
  <c r="A923" i="1"/>
  <c r="B923" i="1"/>
  <c r="G923" i="1"/>
  <c r="H923" i="1"/>
  <c r="J923" i="1"/>
  <c r="A924" i="1"/>
  <c r="B924" i="1"/>
  <c r="G924" i="1"/>
  <c r="H924" i="1"/>
  <c r="J924" i="1"/>
  <c r="A925" i="1"/>
  <c r="B925" i="1"/>
  <c r="G925" i="1"/>
  <c r="H925" i="1"/>
  <c r="J925" i="1"/>
  <c r="A926" i="1"/>
  <c r="B926" i="1"/>
  <c r="G926" i="1"/>
  <c r="H926" i="1"/>
  <c r="J926" i="1"/>
  <c r="A927" i="1"/>
  <c r="B927" i="1"/>
  <c r="G927" i="1"/>
  <c r="H927" i="1"/>
  <c r="J927" i="1"/>
  <c r="A928" i="1"/>
  <c r="B928" i="1"/>
  <c r="G928" i="1"/>
  <c r="H928" i="1"/>
  <c r="J928" i="1"/>
  <c r="A929" i="1"/>
  <c r="B929" i="1"/>
  <c r="G929" i="1"/>
  <c r="H929" i="1"/>
  <c r="J929" i="1"/>
  <c r="A930" i="1"/>
  <c r="B930" i="1"/>
  <c r="G930" i="1"/>
  <c r="H930" i="1"/>
  <c r="J930" i="1"/>
  <c r="A931" i="1"/>
  <c r="B931" i="1"/>
  <c r="G931" i="1"/>
  <c r="H931" i="1"/>
  <c r="J931" i="1"/>
  <c r="A932" i="1"/>
  <c r="B932" i="1"/>
  <c r="G932" i="1"/>
  <c r="H932" i="1"/>
  <c r="J932" i="1"/>
  <c r="A933" i="1"/>
  <c r="B933" i="1"/>
  <c r="G933" i="1"/>
  <c r="H933" i="1"/>
  <c r="J933" i="1"/>
  <c r="A934" i="1"/>
  <c r="B934" i="1"/>
  <c r="G934" i="1"/>
  <c r="H934" i="1"/>
  <c r="J934" i="1"/>
  <c r="A935" i="1"/>
  <c r="B935" i="1"/>
  <c r="G935" i="1"/>
  <c r="H935" i="1"/>
  <c r="J935" i="1"/>
  <c r="A936" i="1"/>
  <c r="B936" i="1"/>
  <c r="G936" i="1"/>
  <c r="H936" i="1"/>
  <c r="J936" i="1"/>
  <c r="A937" i="1"/>
  <c r="B937" i="1"/>
  <c r="G937" i="1"/>
  <c r="H937" i="1"/>
  <c r="J937" i="1"/>
  <c r="A938" i="1"/>
  <c r="B938" i="1"/>
  <c r="G938" i="1"/>
  <c r="H938" i="1"/>
  <c r="J938" i="1"/>
  <c r="A939" i="1"/>
  <c r="B939" i="1"/>
  <c r="G939" i="1"/>
  <c r="H939" i="1"/>
  <c r="J939" i="1"/>
  <c r="A940" i="1"/>
  <c r="B940" i="1"/>
  <c r="G940" i="1"/>
  <c r="H940" i="1"/>
  <c r="J940" i="1"/>
  <c r="A941" i="1"/>
  <c r="B941" i="1"/>
  <c r="G941" i="1"/>
  <c r="H941" i="1"/>
  <c r="J941" i="1"/>
  <c r="A942" i="1"/>
  <c r="B942" i="1"/>
  <c r="G942" i="1"/>
  <c r="H942" i="1"/>
  <c r="J942" i="1"/>
  <c r="A943" i="1"/>
  <c r="B943" i="1"/>
  <c r="G943" i="1"/>
  <c r="H943" i="1"/>
  <c r="J943" i="1"/>
  <c r="A944" i="1"/>
  <c r="B944" i="1"/>
  <c r="G944" i="1"/>
  <c r="H944" i="1"/>
  <c r="J944" i="1"/>
  <c r="A945" i="1"/>
  <c r="B945" i="1"/>
  <c r="G945" i="1"/>
  <c r="H945" i="1"/>
  <c r="J945" i="1"/>
  <c r="A946" i="1"/>
  <c r="B946" i="1"/>
  <c r="G946" i="1"/>
  <c r="H946" i="1"/>
  <c r="J946" i="1"/>
  <c r="A947" i="1"/>
  <c r="B947" i="1"/>
  <c r="G947" i="1"/>
  <c r="H947" i="1"/>
  <c r="J947" i="1"/>
  <c r="A948" i="1"/>
  <c r="B948" i="1"/>
  <c r="G948" i="1"/>
  <c r="H948" i="1"/>
  <c r="J948" i="1"/>
  <c r="A949" i="1"/>
  <c r="B949" i="1"/>
  <c r="G949" i="1"/>
  <c r="H949" i="1"/>
  <c r="J949" i="1"/>
  <c r="A950" i="1"/>
  <c r="B950" i="1"/>
  <c r="G950" i="1"/>
  <c r="H950" i="1"/>
  <c r="J950" i="1"/>
  <c r="A951" i="1"/>
  <c r="B951" i="1"/>
  <c r="G951" i="1"/>
  <c r="H951" i="1"/>
  <c r="J951" i="1"/>
  <c r="A952" i="1"/>
  <c r="B952" i="1"/>
  <c r="G952" i="1"/>
  <c r="H952" i="1"/>
  <c r="J952" i="1"/>
  <c r="A953" i="1"/>
  <c r="B953" i="1"/>
  <c r="G953" i="1"/>
  <c r="H953" i="1"/>
  <c r="J953" i="1"/>
  <c r="A954" i="1"/>
  <c r="B954" i="1"/>
  <c r="G954" i="1"/>
  <c r="H954" i="1"/>
  <c r="J954" i="1"/>
  <c r="A955" i="1"/>
  <c r="B955" i="1"/>
  <c r="G955" i="1"/>
  <c r="H955" i="1"/>
  <c r="J955" i="1"/>
  <c r="A956" i="1"/>
  <c r="B956" i="1"/>
  <c r="G956" i="1"/>
  <c r="H956" i="1"/>
  <c r="J956" i="1"/>
  <c r="A957" i="1"/>
  <c r="B957" i="1"/>
  <c r="G957" i="1"/>
  <c r="H957" i="1"/>
  <c r="J957" i="1"/>
  <c r="A958" i="1"/>
  <c r="B958" i="1"/>
  <c r="G958" i="1"/>
  <c r="H958" i="1"/>
  <c r="J958" i="1"/>
  <c r="A959" i="1"/>
  <c r="B959" i="1"/>
  <c r="G959" i="1"/>
  <c r="H959" i="1"/>
  <c r="J959" i="1"/>
  <c r="A960" i="1"/>
  <c r="B960" i="1"/>
  <c r="G960" i="1"/>
  <c r="H960" i="1"/>
  <c r="J960" i="1"/>
  <c r="A961" i="1"/>
  <c r="B961" i="1"/>
  <c r="G961" i="1"/>
  <c r="H961" i="1"/>
  <c r="J961" i="1"/>
  <c r="A962" i="1"/>
  <c r="B962" i="1"/>
  <c r="G962" i="1"/>
  <c r="H962" i="1"/>
  <c r="J962" i="1"/>
  <c r="A963" i="1"/>
  <c r="B963" i="1"/>
  <c r="G963" i="1"/>
  <c r="H963" i="1"/>
  <c r="J963" i="1"/>
  <c r="A964" i="1"/>
  <c r="B964" i="1"/>
  <c r="G964" i="1"/>
  <c r="H964" i="1"/>
  <c r="J964" i="1"/>
  <c r="A965" i="1"/>
  <c r="B965" i="1"/>
  <c r="G965" i="1"/>
  <c r="H965" i="1"/>
  <c r="J965" i="1"/>
  <c r="A966" i="1"/>
  <c r="B966" i="1"/>
  <c r="G966" i="1"/>
  <c r="H966" i="1"/>
  <c r="J966" i="1"/>
  <c r="A967" i="1"/>
  <c r="B967" i="1"/>
  <c r="G967" i="1"/>
  <c r="H967" i="1"/>
  <c r="J967" i="1"/>
  <c r="A968" i="1"/>
  <c r="B968" i="1"/>
  <c r="G968" i="1"/>
  <c r="H968" i="1"/>
  <c r="J968" i="1"/>
  <c r="A969" i="1"/>
  <c r="B969" i="1"/>
  <c r="G969" i="1"/>
  <c r="H969" i="1"/>
  <c r="J969" i="1"/>
  <c r="A970" i="1"/>
  <c r="B970" i="1"/>
  <c r="G970" i="1"/>
  <c r="H970" i="1"/>
  <c r="J970" i="1"/>
  <c r="A971" i="1"/>
  <c r="B971" i="1"/>
  <c r="G971" i="1"/>
  <c r="H971" i="1"/>
  <c r="J971" i="1"/>
  <c r="A972" i="1"/>
  <c r="B972" i="1"/>
  <c r="G972" i="1"/>
  <c r="H972" i="1"/>
  <c r="J972" i="1"/>
  <c r="A973" i="1"/>
  <c r="B973" i="1"/>
  <c r="G973" i="1"/>
  <c r="H973" i="1"/>
  <c r="J973" i="1"/>
  <c r="A974" i="1"/>
  <c r="B974" i="1"/>
  <c r="G974" i="1"/>
  <c r="H974" i="1"/>
  <c r="J974" i="1"/>
  <c r="A975" i="1"/>
  <c r="B975" i="1"/>
  <c r="G975" i="1"/>
  <c r="H975" i="1"/>
  <c r="J975" i="1"/>
  <c r="A976" i="1"/>
  <c r="B976" i="1"/>
  <c r="G976" i="1"/>
  <c r="H976" i="1"/>
  <c r="J976" i="1"/>
  <c r="A977" i="1"/>
  <c r="B977" i="1"/>
  <c r="G977" i="1"/>
  <c r="H977" i="1"/>
  <c r="J977" i="1"/>
  <c r="A978" i="1"/>
  <c r="B978" i="1"/>
  <c r="G978" i="1"/>
  <c r="H978" i="1"/>
  <c r="J978" i="1"/>
  <c r="A979" i="1"/>
  <c r="B979" i="1"/>
  <c r="G979" i="1"/>
  <c r="H979" i="1"/>
  <c r="J979" i="1"/>
  <c r="A980" i="1"/>
  <c r="B980" i="1"/>
  <c r="G980" i="1"/>
  <c r="H980" i="1"/>
  <c r="J980" i="1"/>
  <c r="A981" i="1"/>
  <c r="B981" i="1"/>
  <c r="G981" i="1"/>
  <c r="H981" i="1"/>
  <c r="J981" i="1"/>
  <c r="A982" i="1"/>
  <c r="B982" i="1"/>
  <c r="G982" i="1"/>
  <c r="H982" i="1"/>
  <c r="J982" i="1"/>
  <c r="A983" i="1"/>
  <c r="B983" i="1"/>
  <c r="G983" i="1"/>
  <c r="H983" i="1"/>
  <c r="J983" i="1"/>
  <c r="A984" i="1"/>
  <c r="B984" i="1"/>
  <c r="G984" i="1"/>
  <c r="H984" i="1"/>
  <c r="J984" i="1"/>
  <c r="A985" i="1"/>
  <c r="B985" i="1"/>
  <c r="G985" i="1"/>
  <c r="H985" i="1"/>
  <c r="J985" i="1"/>
  <c r="A986" i="1"/>
  <c r="B986" i="1"/>
  <c r="G986" i="1"/>
  <c r="H986" i="1"/>
  <c r="J986" i="1"/>
  <c r="A987" i="1"/>
  <c r="B987" i="1"/>
  <c r="G987" i="1"/>
  <c r="H987" i="1"/>
  <c r="J987" i="1"/>
  <c r="A988" i="1"/>
  <c r="B988" i="1"/>
  <c r="G988" i="1"/>
  <c r="H988" i="1"/>
  <c r="J988" i="1"/>
  <c r="A989" i="1"/>
  <c r="B989" i="1"/>
  <c r="G989" i="1"/>
  <c r="H989" i="1"/>
  <c r="J989" i="1"/>
  <c r="A990" i="1"/>
  <c r="B990" i="1"/>
  <c r="G990" i="1"/>
  <c r="H990" i="1"/>
  <c r="J990" i="1"/>
  <c r="A991" i="1"/>
  <c r="B991" i="1"/>
  <c r="G991" i="1"/>
  <c r="H991" i="1"/>
  <c r="J991" i="1"/>
  <c r="A992" i="1"/>
  <c r="B992" i="1"/>
  <c r="G992" i="1"/>
  <c r="H992" i="1"/>
  <c r="J992" i="1"/>
  <c r="A993" i="1"/>
  <c r="B993" i="1"/>
  <c r="G993" i="1"/>
  <c r="H993" i="1"/>
  <c r="J993" i="1"/>
  <c r="A994" i="1"/>
  <c r="B994" i="1"/>
  <c r="G994" i="1"/>
  <c r="H994" i="1"/>
  <c r="J994" i="1"/>
  <c r="A995" i="1"/>
  <c r="B995" i="1"/>
  <c r="G995" i="1"/>
  <c r="H995" i="1"/>
  <c r="J995" i="1"/>
  <c r="A996" i="1"/>
  <c r="B996" i="1"/>
  <c r="G996" i="1"/>
  <c r="H996" i="1"/>
  <c r="J996" i="1"/>
  <c r="A997" i="1"/>
  <c r="B997" i="1"/>
  <c r="G997" i="1"/>
  <c r="H997" i="1"/>
  <c r="J997" i="1"/>
  <c r="A998" i="1"/>
  <c r="B998" i="1"/>
  <c r="G998" i="1"/>
  <c r="H998" i="1"/>
  <c r="J998" i="1"/>
  <c r="A999" i="1"/>
  <c r="B999" i="1"/>
  <c r="G999" i="1"/>
  <c r="H999" i="1"/>
  <c r="J999" i="1"/>
  <c r="A1000" i="1"/>
  <c r="B1000" i="1"/>
  <c r="G1000" i="1"/>
  <c r="H1000" i="1"/>
  <c r="J1000" i="1"/>
  <c r="A1001" i="1"/>
  <c r="B1001" i="1"/>
  <c r="G1001" i="1"/>
  <c r="H1001" i="1"/>
  <c r="J1001" i="1"/>
  <c r="A1002" i="1"/>
  <c r="B1002" i="1"/>
  <c r="G1002" i="1"/>
  <c r="H1002" i="1"/>
  <c r="J1002" i="1"/>
  <c r="A1003" i="1"/>
  <c r="B1003" i="1"/>
  <c r="G1003" i="1"/>
  <c r="H1003" i="1"/>
  <c r="J1003" i="1"/>
  <c r="A1004" i="1"/>
  <c r="B1004" i="1"/>
  <c r="G1004" i="1"/>
  <c r="H1004" i="1"/>
  <c r="J1004" i="1"/>
  <c r="A1005" i="1"/>
  <c r="B1005" i="1"/>
  <c r="G1005" i="1"/>
  <c r="H1005" i="1"/>
  <c r="J1005" i="1"/>
  <c r="A1006" i="1"/>
  <c r="B1006" i="1"/>
  <c r="G1006" i="1"/>
  <c r="H1006" i="1"/>
  <c r="J1006" i="1"/>
  <c r="A1007" i="1"/>
  <c r="B1007" i="1"/>
  <c r="G1007" i="1"/>
  <c r="H1007" i="1"/>
  <c r="J1007" i="1"/>
  <c r="A1008" i="1"/>
  <c r="B1008" i="1"/>
  <c r="G1008" i="1"/>
  <c r="H1008" i="1"/>
  <c r="J1008" i="1"/>
  <c r="A1009" i="1"/>
  <c r="B1009" i="1"/>
  <c r="G1009" i="1"/>
  <c r="H1009" i="1"/>
  <c r="J1009" i="1"/>
  <c r="A1010" i="1"/>
  <c r="B1010" i="1"/>
  <c r="G1010" i="1"/>
  <c r="H1010" i="1"/>
  <c r="J1010" i="1"/>
  <c r="A1011" i="1"/>
  <c r="B1011" i="1"/>
  <c r="G1011" i="1"/>
  <c r="H1011" i="1"/>
  <c r="J1011" i="1"/>
  <c r="A1012" i="1"/>
  <c r="B1012" i="1"/>
  <c r="G1012" i="1"/>
  <c r="H1012" i="1"/>
  <c r="J1012" i="1"/>
  <c r="A1013" i="1"/>
  <c r="B1013" i="1"/>
  <c r="G1013" i="1"/>
  <c r="H1013" i="1"/>
  <c r="J1013" i="1"/>
  <c r="A1014" i="1"/>
  <c r="B1014" i="1"/>
  <c r="G1014" i="1"/>
  <c r="H1014" i="1"/>
  <c r="J1014" i="1"/>
  <c r="A1015" i="1"/>
  <c r="B1015" i="1"/>
  <c r="G1015" i="1"/>
  <c r="H1015" i="1"/>
  <c r="J1015" i="1"/>
  <c r="A1016" i="1"/>
  <c r="B1016" i="1"/>
  <c r="G1016" i="1"/>
  <c r="H1016" i="1"/>
  <c r="J1016" i="1"/>
  <c r="A1017" i="1"/>
  <c r="B1017" i="1"/>
  <c r="G1017" i="1"/>
  <c r="H1017" i="1"/>
  <c r="J1017" i="1"/>
  <c r="A1018" i="1"/>
  <c r="B1018" i="1"/>
  <c r="G1018" i="1"/>
  <c r="H1018" i="1"/>
  <c r="J1018" i="1"/>
  <c r="A1019" i="1"/>
  <c r="B1019" i="1"/>
  <c r="G1019" i="1"/>
  <c r="H1019" i="1"/>
  <c r="J1019" i="1"/>
  <c r="A1020" i="1"/>
  <c r="B1020" i="1"/>
  <c r="G1020" i="1"/>
  <c r="H1020" i="1"/>
  <c r="J1020" i="1"/>
  <c r="A1021" i="1"/>
  <c r="B1021" i="1"/>
  <c r="G1021" i="1"/>
  <c r="H1021" i="1"/>
  <c r="J1021" i="1"/>
  <c r="A1022" i="1"/>
  <c r="B1022" i="1"/>
  <c r="G1022" i="1"/>
  <c r="H1022" i="1"/>
  <c r="J1022" i="1"/>
  <c r="A1023" i="1"/>
  <c r="B1023" i="1"/>
  <c r="G1023" i="1"/>
  <c r="H1023" i="1"/>
  <c r="J1023" i="1"/>
  <c r="A1024" i="1"/>
  <c r="B1024" i="1"/>
  <c r="G1024" i="1"/>
  <c r="H1024" i="1"/>
  <c r="J1024" i="1"/>
  <c r="A1025" i="1"/>
  <c r="B1025" i="1"/>
  <c r="G1025" i="1"/>
  <c r="H1025" i="1"/>
  <c r="J1025" i="1"/>
  <c r="A1026" i="1"/>
  <c r="B1026" i="1"/>
  <c r="G1026" i="1"/>
  <c r="H1026" i="1"/>
  <c r="J1026" i="1"/>
  <c r="A1027" i="1"/>
  <c r="B1027" i="1"/>
  <c r="G1027" i="1"/>
  <c r="H1027" i="1"/>
  <c r="J1027" i="1"/>
  <c r="A1028" i="1"/>
  <c r="B1028" i="1"/>
  <c r="G1028" i="1"/>
  <c r="H1028" i="1"/>
  <c r="J1028" i="1"/>
  <c r="A1029" i="1"/>
  <c r="B1029" i="1"/>
  <c r="G1029" i="1"/>
  <c r="H1029" i="1"/>
  <c r="J1029" i="1"/>
  <c r="A1030" i="1"/>
  <c r="B1030" i="1"/>
  <c r="G1030" i="1"/>
  <c r="H1030" i="1"/>
  <c r="J1030" i="1"/>
  <c r="A1031" i="1"/>
  <c r="B1031" i="1"/>
  <c r="G1031" i="1"/>
  <c r="H1031" i="1"/>
  <c r="J1031" i="1"/>
  <c r="A1032" i="1"/>
  <c r="B1032" i="1"/>
  <c r="G1032" i="1"/>
  <c r="H1032" i="1"/>
  <c r="J1032" i="1"/>
  <c r="A1033" i="1"/>
  <c r="B1033" i="1"/>
  <c r="G1033" i="1"/>
  <c r="H1033" i="1"/>
  <c r="J1033" i="1"/>
  <c r="A1034" i="1"/>
  <c r="B1034" i="1"/>
  <c r="G1034" i="1"/>
  <c r="H1034" i="1"/>
  <c r="J1034" i="1"/>
  <c r="A1035" i="1"/>
  <c r="B1035" i="1"/>
  <c r="G1035" i="1"/>
  <c r="H1035" i="1"/>
  <c r="J1035" i="1"/>
  <c r="A1036" i="1"/>
  <c r="B1036" i="1"/>
  <c r="G1036" i="1"/>
  <c r="H1036" i="1"/>
  <c r="J1036" i="1"/>
  <c r="A1037" i="1"/>
  <c r="B1037" i="1"/>
  <c r="G1037" i="1"/>
  <c r="H1037" i="1"/>
  <c r="J1037" i="1"/>
  <c r="A1038" i="1"/>
  <c r="B1038" i="1"/>
  <c r="G1038" i="1"/>
  <c r="H1038" i="1"/>
  <c r="J1038" i="1"/>
  <c r="A1039" i="1"/>
  <c r="B1039" i="1"/>
  <c r="G1039" i="1"/>
  <c r="H1039" i="1"/>
  <c r="J1039" i="1"/>
  <c r="A1040" i="1"/>
  <c r="B1040" i="1"/>
  <c r="G1040" i="1"/>
  <c r="H1040" i="1"/>
  <c r="J1040" i="1"/>
  <c r="A1041" i="1"/>
  <c r="B1041" i="1"/>
  <c r="G1041" i="1"/>
  <c r="H1041" i="1"/>
  <c r="J1041" i="1"/>
  <c r="A1042" i="1"/>
  <c r="B1042" i="1"/>
  <c r="G1042" i="1"/>
  <c r="H1042" i="1"/>
  <c r="J1042" i="1"/>
  <c r="A1043" i="1"/>
  <c r="B1043" i="1"/>
  <c r="G1043" i="1"/>
  <c r="H1043" i="1"/>
  <c r="J1043" i="1"/>
  <c r="A1044" i="1"/>
  <c r="B1044" i="1"/>
  <c r="G1044" i="1"/>
  <c r="H1044" i="1"/>
  <c r="J1044" i="1"/>
  <c r="A1045" i="1"/>
  <c r="B1045" i="1"/>
  <c r="G1045" i="1"/>
  <c r="H1045" i="1"/>
  <c r="J1045" i="1"/>
  <c r="A1046" i="1"/>
  <c r="B1046" i="1"/>
  <c r="G1046" i="1"/>
  <c r="H1046" i="1"/>
  <c r="J1046" i="1"/>
  <c r="A1047" i="1"/>
  <c r="B1047" i="1"/>
  <c r="G1047" i="1"/>
  <c r="H1047" i="1"/>
  <c r="J1047" i="1"/>
  <c r="A1048" i="1"/>
  <c r="B1048" i="1"/>
  <c r="G1048" i="1"/>
  <c r="H1048" i="1"/>
  <c r="J1048" i="1"/>
  <c r="A1049" i="1"/>
  <c r="B1049" i="1"/>
  <c r="G1049" i="1"/>
  <c r="H1049" i="1"/>
  <c r="J1049" i="1"/>
  <c r="A1050" i="1"/>
  <c r="B1050" i="1"/>
  <c r="G1050" i="1"/>
  <c r="H1050" i="1"/>
  <c r="J1050" i="1"/>
  <c r="A1051" i="1"/>
  <c r="B1051" i="1"/>
  <c r="G1051" i="1"/>
  <c r="H1051" i="1"/>
  <c r="J1051" i="1"/>
  <c r="A1052" i="1"/>
  <c r="B1052" i="1"/>
  <c r="G1052" i="1"/>
  <c r="H1052" i="1"/>
  <c r="J1052" i="1"/>
  <c r="A1053" i="1"/>
  <c r="B1053" i="1"/>
  <c r="G1053" i="1"/>
  <c r="H1053" i="1"/>
  <c r="J1053" i="1"/>
  <c r="A1054" i="1"/>
  <c r="B1054" i="1"/>
  <c r="G1054" i="1"/>
  <c r="H1054" i="1"/>
  <c r="J1054" i="1"/>
  <c r="A1055" i="1"/>
  <c r="B1055" i="1"/>
  <c r="G1055" i="1"/>
  <c r="H1055" i="1"/>
  <c r="J1055" i="1"/>
  <c r="A1056" i="1"/>
  <c r="B1056" i="1"/>
  <c r="G1056" i="1"/>
  <c r="H1056" i="1"/>
  <c r="J1056" i="1"/>
  <c r="A1057" i="1"/>
  <c r="B1057" i="1"/>
  <c r="G1057" i="1"/>
  <c r="H1057" i="1"/>
  <c r="J1057" i="1"/>
  <c r="A1058" i="1"/>
  <c r="B1058" i="1"/>
  <c r="G1058" i="1"/>
  <c r="H1058" i="1"/>
  <c r="J1058" i="1"/>
  <c r="A1059" i="1"/>
  <c r="B1059" i="1"/>
  <c r="G1059" i="1"/>
  <c r="H1059" i="1"/>
  <c r="J1059" i="1"/>
  <c r="A1060" i="1"/>
  <c r="B1060" i="1"/>
  <c r="G1060" i="1"/>
  <c r="H1060" i="1"/>
  <c r="J1060" i="1"/>
  <c r="A1061" i="1"/>
  <c r="B1061" i="1"/>
  <c r="G1061" i="1"/>
  <c r="H1061" i="1"/>
  <c r="J1061" i="1"/>
  <c r="A1062" i="1"/>
  <c r="B1062" i="1"/>
  <c r="G1062" i="1"/>
  <c r="H1062" i="1"/>
  <c r="J1062" i="1"/>
  <c r="A1063" i="1"/>
  <c r="B1063" i="1"/>
  <c r="G1063" i="1"/>
  <c r="H1063" i="1"/>
  <c r="J1063" i="1"/>
  <c r="A1064" i="1"/>
  <c r="B1064" i="1"/>
  <c r="G1064" i="1"/>
  <c r="H1064" i="1"/>
  <c r="J1064" i="1"/>
  <c r="A1065" i="1"/>
  <c r="B1065" i="1"/>
  <c r="G1065" i="1"/>
  <c r="H1065" i="1"/>
  <c r="J1065" i="1"/>
  <c r="A1066" i="1"/>
  <c r="B1066" i="1"/>
  <c r="G1066" i="1"/>
  <c r="H1066" i="1"/>
  <c r="J1066" i="1"/>
  <c r="A1067" i="1"/>
  <c r="B1067" i="1"/>
  <c r="G1067" i="1"/>
  <c r="H1067" i="1"/>
  <c r="J1067" i="1"/>
  <c r="A1068" i="1"/>
  <c r="B1068" i="1"/>
  <c r="G1068" i="1"/>
  <c r="H1068" i="1"/>
  <c r="J1068" i="1"/>
  <c r="A1069" i="1"/>
  <c r="B1069" i="1"/>
  <c r="G1069" i="1"/>
  <c r="H1069" i="1"/>
  <c r="J1069" i="1"/>
  <c r="A1070" i="1"/>
  <c r="B1070" i="1"/>
  <c r="G1070" i="1"/>
  <c r="H1070" i="1"/>
  <c r="J1070" i="1"/>
  <c r="A1071" i="1"/>
  <c r="B1071" i="1"/>
  <c r="G1071" i="1"/>
  <c r="H1071" i="1"/>
  <c r="J1071" i="1"/>
  <c r="A1072" i="1"/>
  <c r="B1072" i="1"/>
  <c r="G1072" i="1"/>
  <c r="H1072" i="1"/>
  <c r="J1072" i="1"/>
  <c r="A1073" i="1"/>
  <c r="B1073" i="1"/>
  <c r="G1073" i="1"/>
  <c r="H1073" i="1"/>
  <c r="J1073" i="1"/>
  <c r="A1074" i="1"/>
  <c r="B1074" i="1"/>
  <c r="G1074" i="1"/>
  <c r="H1074" i="1"/>
  <c r="J1074" i="1"/>
  <c r="A1075" i="1"/>
  <c r="B1075" i="1"/>
  <c r="G1075" i="1"/>
  <c r="H1075" i="1"/>
  <c r="J1075" i="1"/>
  <c r="A1076" i="1"/>
  <c r="B1076" i="1"/>
  <c r="G1076" i="1"/>
  <c r="H1076" i="1"/>
  <c r="J1076" i="1"/>
  <c r="A1077" i="1"/>
  <c r="B1077" i="1"/>
  <c r="G1077" i="1"/>
  <c r="H1077" i="1"/>
  <c r="J1077" i="1"/>
  <c r="A1078" i="1"/>
  <c r="B1078" i="1"/>
  <c r="G1078" i="1"/>
  <c r="H1078" i="1"/>
  <c r="J1078" i="1"/>
  <c r="A1079" i="1"/>
  <c r="B1079" i="1"/>
  <c r="G1079" i="1"/>
  <c r="H1079" i="1"/>
  <c r="J1079" i="1"/>
  <c r="A1080" i="1"/>
  <c r="B1080" i="1"/>
  <c r="G1080" i="1"/>
  <c r="H1080" i="1"/>
  <c r="J1080" i="1"/>
  <c r="A1081" i="1"/>
  <c r="B1081" i="1"/>
  <c r="G1081" i="1"/>
  <c r="H1081" i="1"/>
  <c r="J1081" i="1"/>
  <c r="A1082" i="1"/>
  <c r="B1082" i="1"/>
  <c r="G1082" i="1"/>
  <c r="H1082" i="1"/>
  <c r="A1083" i="1"/>
  <c r="B1083" i="1"/>
  <c r="G1083" i="1"/>
  <c r="H1083" i="1"/>
  <c r="A1084" i="1"/>
  <c r="B1084" i="1"/>
  <c r="G1084" i="1"/>
  <c r="H1084" i="1"/>
  <c r="J1084" i="1"/>
  <c r="A1085" i="1"/>
  <c r="B1085" i="1"/>
  <c r="G1085" i="1"/>
  <c r="H1085" i="1"/>
  <c r="J1085" i="1"/>
  <c r="A1086" i="1"/>
  <c r="B1086" i="1"/>
  <c r="G1086" i="1"/>
  <c r="H1086" i="1"/>
  <c r="J1086" i="1"/>
  <c r="A1087" i="1"/>
  <c r="B1087" i="1"/>
  <c r="G1087" i="1"/>
  <c r="H1087" i="1"/>
  <c r="J1087" i="1"/>
  <c r="A1088" i="1"/>
  <c r="B1088" i="1"/>
  <c r="G1088" i="1"/>
  <c r="H1088" i="1"/>
  <c r="J1088" i="1"/>
  <c r="A1089" i="1"/>
  <c r="B1089" i="1"/>
  <c r="G1089" i="1"/>
  <c r="H1089" i="1"/>
  <c r="J1089" i="1"/>
  <c r="A1090" i="1"/>
  <c r="B1090" i="1"/>
  <c r="G1090" i="1"/>
  <c r="H1090" i="1"/>
  <c r="J1090" i="1"/>
  <c r="A1091" i="1"/>
  <c r="B1091" i="1"/>
  <c r="G1091" i="1"/>
  <c r="H1091" i="1"/>
  <c r="J1091" i="1"/>
  <c r="A1092" i="1"/>
  <c r="B1092" i="1"/>
  <c r="G1092" i="1"/>
  <c r="H1092" i="1"/>
  <c r="J1092" i="1"/>
  <c r="A1093" i="1"/>
  <c r="B1093" i="1"/>
  <c r="G1093" i="1"/>
  <c r="H1093" i="1"/>
  <c r="J1093" i="1"/>
  <c r="A1094" i="1"/>
  <c r="B1094" i="1"/>
  <c r="G1094" i="1"/>
  <c r="H1094" i="1"/>
  <c r="J1094" i="1"/>
  <c r="A1095" i="1"/>
  <c r="B1095" i="1"/>
  <c r="G1095" i="1"/>
  <c r="H1095" i="1"/>
  <c r="J1095" i="1"/>
  <c r="A1096" i="1"/>
  <c r="B1096" i="1"/>
  <c r="G1096" i="1"/>
  <c r="H1096" i="1"/>
  <c r="J1096" i="1"/>
  <c r="A1097" i="1"/>
  <c r="B1097" i="1"/>
  <c r="G1097" i="1"/>
  <c r="H1097" i="1"/>
  <c r="J1097" i="1"/>
  <c r="A1098" i="1"/>
  <c r="B1098" i="1"/>
  <c r="G1098" i="1"/>
  <c r="H1098" i="1"/>
  <c r="J1098" i="1"/>
  <c r="A1099" i="1"/>
  <c r="B1099" i="1"/>
  <c r="G1099" i="1"/>
  <c r="H1099" i="1"/>
  <c r="J1099" i="1"/>
  <c r="A1100" i="1"/>
  <c r="B1100" i="1"/>
  <c r="G1100" i="1"/>
  <c r="H1100" i="1"/>
  <c r="J1100" i="1"/>
  <c r="A1101" i="1"/>
  <c r="B1101" i="1"/>
  <c r="G1101" i="1"/>
  <c r="H1101" i="1"/>
  <c r="J1101" i="1"/>
  <c r="A1102" i="1"/>
  <c r="B1102" i="1"/>
  <c r="G1102" i="1"/>
  <c r="H1102" i="1"/>
  <c r="J1102" i="1"/>
  <c r="A1103" i="1"/>
  <c r="B1103" i="1"/>
  <c r="G1103" i="1"/>
  <c r="H1103" i="1"/>
  <c r="J1103" i="1"/>
  <c r="A1104" i="1"/>
  <c r="B1104" i="1"/>
  <c r="G1104" i="1"/>
  <c r="H1104" i="1"/>
  <c r="J1104" i="1"/>
  <c r="A1105" i="1"/>
  <c r="B1105" i="1"/>
  <c r="G1105" i="1"/>
  <c r="H1105" i="1"/>
  <c r="J1105" i="1"/>
  <c r="A1106" i="1"/>
  <c r="B1106" i="1"/>
  <c r="G1106" i="1"/>
  <c r="H1106" i="1"/>
  <c r="J1106" i="1"/>
  <c r="A1107" i="1"/>
  <c r="B1107" i="1"/>
  <c r="G1107" i="1"/>
  <c r="H1107" i="1"/>
  <c r="J1107" i="1"/>
  <c r="A1108" i="1"/>
  <c r="B1108" i="1"/>
  <c r="G1108" i="1"/>
  <c r="H1108" i="1"/>
  <c r="J1108" i="1"/>
  <c r="A1109" i="1"/>
  <c r="B1109" i="1"/>
  <c r="G1109" i="1"/>
  <c r="H1109" i="1"/>
  <c r="J1109" i="1"/>
  <c r="A1110" i="1"/>
  <c r="B1110" i="1"/>
  <c r="G1110" i="1"/>
  <c r="H1110" i="1"/>
  <c r="J1110" i="1"/>
  <c r="A1111" i="1"/>
  <c r="B1111" i="1"/>
  <c r="G1111" i="1"/>
  <c r="H1111" i="1"/>
  <c r="J1111" i="1"/>
  <c r="A1112" i="1"/>
  <c r="B1112" i="1"/>
  <c r="G1112" i="1"/>
  <c r="H1112" i="1"/>
  <c r="J1112" i="1"/>
  <c r="A1113" i="1"/>
  <c r="B1113" i="1"/>
  <c r="G1113" i="1"/>
  <c r="H1113" i="1"/>
  <c r="J1113" i="1"/>
  <c r="A1114" i="1"/>
  <c r="B1114" i="1"/>
  <c r="G1114" i="1"/>
  <c r="H1114" i="1"/>
  <c r="J1114" i="1"/>
  <c r="A1115" i="1"/>
  <c r="B1115" i="1"/>
  <c r="G1115" i="1"/>
  <c r="H1115" i="1"/>
  <c r="J1115" i="1"/>
  <c r="A1116" i="1"/>
  <c r="B1116" i="1"/>
  <c r="G1116" i="1"/>
  <c r="H1116" i="1"/>
  <c r="J1116" i="1"/>
  <c r="A1117" i="1"/>
  <c r="B1117" i="1"/>
  <c r="G1117" i="1"/>
  <c r="H1117" i="1"/>
  <c r="J1117" i="1"/>
  <c r="A1118" i="1"/>
  <c r="B1118" i="1"/>
  <c r="G1118" i="1"/>
  <c r="H1118" i="1"/>
  <c r="J1118" i="1"/>
  <c r="A1119" i="1"/>
  <c r="B1119" i="1"/>
  <c r="G1119" i="1"/>
  <c r="H1119" i="1"/>
  <c r="J1119" i="1"/>
  <c r="A1120" i="1"/>
  <c r="B1120" i="1"/>
  <c r="G1120" i="1"/>
  <c r="H1120" i="1"/>
  <c r="J1120" i="1"/>
  <c r="A1121" i="1"/>
  <c r="B1121" i="1"/>
  <c r="G1121" i="1"/>
  <c r="H1121" i="1"/>
  <c r="J1121" i="1"/>
  <c r="A1122" i="1"/>
  <c r="B1122" i="1"/>
  <c r="G1122" i="1"/>
  <c r="H1122" i="1"/>
  <c r="J1122" i="1"/>
  <c r="A1123" i="1"/>
  <c r="B1123" i="1"/>
  <c r="G1123" i="1"/>
  <c r="H1123" i="1"/>
  <c r="J1123" i="1"/>
  <c r="A1124" i="1"/>
  <c r="B1124" i="1"/>
  <c r="G1124" i="1"/>
  <c r="H1124" i="1"/>
  <c r="J1124" i="1"/>
  <c r="A1125" i="1"/>
  <c r="B1125" i="1"/>
  <c r="G1125" i="1"/>
  <c r="H1125" i="1"/>
  <c r="J1125" i="1"/>
  <c r="A1126" i="1"/>
  <c r="B1126" i="1"/>
  <c r="G1126" i="1"/>
  <c r="H1126" i="1"/>
  <c r="J1126" i="1"/>
  <c r="A1127" i="1"/>
  <c r="B1127" i="1"/>
  <c r="G1127" i="1"/>
  <c r="H1127" i="1"/>
  <c r="J1127" i="1"/>
  <c r="A1128" i="1"/>
  <c r="B1128" i="1"/>
  <c r="G1128" i="1"/>
  <c r="H1128" i="1"/>
  <c r="J1128" i="1"/>
  <c r="A1129" i="1"/>
  <c r="B1129" i="1"/>
  <c r="G1129" i="1"/>
  <c r="H1129" i="1"/>
  <c r="J1129" i="1"/>
  <c r="A1130" i="1"/>
  <c r="B1130" i="1"/>
  <c r="G1130" i="1"/>
  <c r="H1130" i="1"/>
  <c r="J1130" i="1"/>
  <c r="A1131" i="1"/>
  <c r="B1131" i="1"/>
  <c r="G1131" i="1"/>
  <c r="H1131" i="1"/>
  <c r="J1131" i="1"/>
  <c r="A1132" i="1"/>
  <c r="B1132" i="1"/>
  <c r="G1132" i="1"/>
  <c r="H1132" i="1"/>
  <c r="J1132" i="1"/>
  <c r="A1133" i="1"/>
  <c r="B1133" i="1"/>
  <c r="G1133" i="1"/>
  <c r="H1133" i="1"/>
  <c r="J1133" i="1"/>
  <c r="A1134" i="1"/>
  <c r="B1134" i="1"/>
  <c r="G1134" i="1"/>
  <c r="H1134" i="1"/>
  <c r="J1134" i="1"/>
  <c r="A1135" i="1"/>
  <c r="B1135" i="1"/>
  <c r="G1135" i="1"/>
  <c r="H1135" i="1"/>
  <c r="J1135" i="1"/>
  <c r="A1136" i="1"/>
  <c r="B1136" i="1"/>
  <c r="G1136" i="1"/>
  <c r="H1136" i="1"/>
  <c r="J1136" i="1"/>
  <c r="A1137" i="1"/>
  <c r="B1137" i="1"/>
  <c r="G1137" i="1"/>
  <c r="H1137" i="1"/>
  <c r="J1137" i="1"/>
  <c r="A1138" i="1"/>
  <c r="B1138" i="1"/>
  <c r="G1138" i="1"/>
  <c r="H1138" i="1"/>
  <c r="J1138" i="1"/>
  <c r="A1139" i="1"/>
  <c r="B1139" i="1"/>
  <c r="G1139" i="1"/>
  <c r="H1139" i="1"/>
  <c r="J1139" i="1"/>
  <c r="A1140" i="1"/>
  <c r="B1140" i="1"/>
  <c r="G1140" i="1"/>
  <c r="H1140" i="1"/>
  <c r="J1140" i="1"/>
  <c r="A1141" i="1"/>
  <c r="B1141" i="1"/>
  <c r="G1141" i="1"/>
  <c r="H1141" i="1"/>
  <c r="J1141" i="1"/>
  <c r="A1142" i="1"/>
  <c r="B1142" i="1"/>
  <c r="G1142" i="1"/>
  <c r="H1142" i="1"/>
  <c r="J1142" i="1"/>
  <c r="A1143" i="1"/>
  <c r="B1143" i="1"/>
  <c r="G1143" i="1"/>
  <c r="H1143" i="1"/>
  <c r="J1143" i="1"/>
  <c r="A1144" i="1"/>
  <c r="B1144" i="1"/>
  <c r="G1144" i="1"/>
  <c r="H1144" i="1"/>
  <c r="J1144" i="1"/>
  <c r="A1145" i="1"/>
  <c r="B1145" i="1"/>
  <c r="G1145" i="1"/>
  <c r="H1145" i="1"/>
  <c r="J1145" i="1"/>
  <c r="A1146" i="1"/>
  <c r="B1146" i="1"/>
  <c r="G1146" i="1"/>
  <c r="H1146" i="1"/>
  <c r="J1146" i="1"/>
  <c r="A1147" i="1"/>
  <c r="B1147" i="1"/>
  <c r="G1147" i="1"/>
  <c r="H1147" i="1"/>
  <c r="J1147" i="1"/>
  <c r="A1148" i="1"/>
  <c r="B1148" i="1"/>
  <c r="G1148" i="1"/>
  <c r="H1148" i="1"/>
  <c r="J1148" i="1"/>
  <c r="A1149" i="1"/>
  <c r="B1149" i="1"/>
  <c r="G1149" i="1"/>
  <c r="H1149" i="1"/>
  <c r="J1149" i="1"/>
  <c r="A1150" i="1"/>
  <c r="B1150" i="1"/>
  <c r="G1150" i="1"/>
  <c r="H1150" i="1"/>
  <c r="J1150" i="1"/>
  <c r="A1151" i="1"/>
  <c r="B1151" i="1"/>
  <c r="G1151" i="1"/>
  <c r="H1151" i="1"/>
  <c r="J1151" i="1"/>
  <c r="A1152" i="1"/>
  <c r="B1152" i="1"/>
  <c r="G1152" i="1"/>
  <c r="H1152" i="1"/>
  <c r="J1152" i="1"/>
  <c r="A1153" i="1"/>
  <c r="B1153" i="1"/>
  <c r="G1153" i="1"/>
  <c r="H1153" i="1"/>
  <c r="J1153" i="1"/>
  <c r="A1154" i="1"/>
  <c r="B1154" i="1"/>
  <c r="G1154" i="1"/>
  <c r="H1154" i="1"/>
  <c r="J1154" i="1"/>
  <c r="A1155" i="1"/>
  <c r="B1155" i="1"/>
  <c r="G1155" i="1"/>
  <c r="H1155" i="1"/>
  <c r="J1155" i="1"/>
  <c r="A1156" i="1"/>
  <c r="B1156" i="1"/>
  <c r="G1156" i="1"/>
  <c r="H1156" i="1"/>
  <c r="J1156" i="1"/>
  <c r="A1157" i="1"/>
  <c r="B1157" i="1"/>
  <c r="G1157" i="1"/>
  <c r="H1157" i="1"/>
  <c r="J1157" i="1"/>
  <c r="A1158" i="1"/>
  <c r="B1158" i="1"/>
  <c r="G1158" i="1"/>
  <c r="H1158" i="1"/>
  <c r="J1158" i="1"/>
  <c r="A1159" i="1"/>
  <c r="B1159" i="1"/>
  <c r="G1159" i="1"/>
  <c r="H1159" i="1"/>
  <c r="J1159" i="1"/>
  <c r="A1160" i="1"/>
  <c r="B1160" i="1"/>
  <c r="G1160" i="1"/>
  <c r="H1160" i="1"/>
  <c r="J1160" i="1"/>
  <c r="A1161" i="1"/>
  <c r="B1161" i="1"/>
  <c r="G1161" i="1"/>
  <c r="H1161" i="1"/>
  <c r="J1161" i="1"/>
  <c r="A1162" i="1"/>
  <c r="B1162" i="1"/>
  <c r="G1162" i="1"/>
  <c r="H1162" i="1"/>
  <c r="J1162" i="1"/>
  <c r="A1163" i="1"/>
  <c r="B1163" i="1"/>
  <c r="G1163" i="1"/>
  <c r="H1163" i="1"/>
  <c r="J1163" i="1"/>
  <c r="A1164" i="1"/>
  <c r="B1164" i="1"/>
  <c r="G1164" i="1"/>
  <c r="H1164" i="1"/>
  <c r="J1164" i="1"/>
  <c r="A1165" i="1"/>
  <c r="B1165" i="1"/>
  <c r="G1165" i="1"/>
  <c r="H1165" i="1"/>
  <c r="J1165" i="1"/>
  <c r="A1166" i="1"/>
  <c r="B1166" i="1"/>
  <c r="G1166" i="1"/>
  <c r="H1166" i="1"/>
  <c r="J1166" i="1"/>
  <c r="A1167" i="1"/>
  <c r="B1167" i="1"/>
  <c r="G1167" i="1"/>
  <c r="H1167" i="1"/>
  <c r="J1167" i="1"/>
  <c r="A1168" i="1"/>
  <c r="B1168" i="1"/>
  <c r="G1168" i="1"/>
  <c r="H1168" i="1"/>
  <c r="J1168" i="1"/>
  <c r="A1169" i="1"/>
  <c r="B1169" i="1"/>
  <c r="G1169" i="1"/>
  <c r="H1169" i="1"/>
  <c r="J1169" i="1"/>
  <c r="A1170" i="1"/>
  <c r="B1170" i="1"/>
  <c r="G1170" i="1"/>
  <c r="H1170" i="1"/>
  <c r="J1170" i="1"/>
  <c r="A1171" i="1"/>
  <c r="B1171" i="1"/>
  <c r="G1171" i="1"/>
  <c r="H1171" i="1"/>
  <c r="J1171" i="1"/>
  <c r="A1172" i="1"/>
  <c r="B1172" i="1"/>
  <c r="G1172" i="1"/>
  <c r="H1172" i="1"/>
  <c r="J1172" i="1"/>
  <c r="A1173" i="1"/>
  <c r="B1173" i="1"/>
  <c r="G1173" i="1"/>
  <c r="H1173" i="1"/>
  <c r="J1173" i="1"/>
  <c r="A1174" i="1"/>
  <c r="B1174" i="1"/>
  <c r="G1174" i="1"/>
  <c r="H1174" i="1"/>
  <c r="J1174" i="1"/>
  <c r="A1175" i="1"/>
  <c r="B1175" i="1"/>
  <c r="G1175" i="1"/>
  <c r="H1175" i="1"/>
  <c r="J1175" i="1"/>
  <c r="A1176" i="1"/>
  <c r="B1176" i="1"/>
  <c r="G1176" i="1"/>
  <c r="H1176" i="1"/>
  <c r="J1176" i="1"/>
  <c r="A1177" i="1"/>
  <c r="B1177" i="1"/>
  <c r="G1177" i="1"/>
  <c r="H1177" i="1"/>
  <c r="J1177" i="1"/>
  <c r="A1178" i="1"/>
  <c r="B1178" i="1"/>
  <c r="G1178" i="1"/>
  <c r="H1178" i="1"/>
  <c r="J1178" i="1"/>
  <c r="A1179" i="1"/>
  <c r="B1179" i="1"/>
  <c r="G1179" i="1"/>
  <c r="H1179" i="1"/>
  <c r="J1179" i="1"/>
  <c r="A1180" i="1"/>
  <c r="B1180" i="1"/>
  <c r="G1180" i="1"/>
  <c r="H1180" i="1"/>
  <c r="J1180" i="1"/>
  <c r="A1181" i="1"/>
  <c r="B1181" i="1"/>
  <c r="G1181" i="1"/>
  <c r="H1181" i="1"/>
  <c r="J1181" i="1"/>
  <c r="A1182" i="1"/>
  <c r="B1182" i="1"/>
  <c r="G1182" i="1"/>
  <c r="H1182" i="1"/>
  <c r="J1182" i="1"/>
  <c r="A1183" i="1"/>
  <c r="B1183" i="1"/>
  <c r="G1183" i="1"/>
  <c r="H1183" i="1"/>
  <c r="J1183" i="1"/>
  <c r="A1184" i="1"/>
  <c r="B1184" i="1"/>
  <c r="G1184" i="1"/>
  <c r="H1184" i="1"/>
  <c r="J1184" i="1"/>
  <c r="A1185" i="1"/>
  <c r="B1185" i="1"/>
  <c r="G1185" i="1"/>
  <c r="H1185" i="1"/>
  <c r="J1185" i="1"/>
  <c r="A1186" i="1"/>
  <c r="B1186" i="1"/>
  <c r="G1186" i="1"/>
  <c r="H1186" i="1"/>
  <c r="J1186" i="1"/>
  <c r="A1187" i="1"/>
  <c r="B1187" i="1"/>
  <c r="G1187" i="1"/>
  <c r="H1187" i="1"/>
  <c r="J1187" i="1"/>
  <c r="A1188" i="1"/>
  <c r="B1188" i="1"/>
  <c r="G1188" i="1"/>
  <c r="H1188" i="1"/>
  <c r="J1188" i="1"/>
  <c r="A1189" i="1"/>
  <c r="B1189" i="1"/>
  <c r="G1189" i="1"/>
  <c r="H1189" i="1"/>
  <c r="J1189" i="1"/>
  <c r="A1190" i="1"/>
  <c r="B1190" i="1"/>
  <c r="G1190" i="1"/>
  <c r="H1190" i="1"/>
  <c r="J1190" i="1"/>
  <c r="A1191" i="1"/>
  <c r="B1191" i="1"/>
  <c r="G1191" i="1"/>
  <c r="H1191" i="1"/>
  <c r="J1191" i="1"/>
  <c r="A1192" i="1"/>
  <c r="B1192" i="1"/>
  <c r="G1192" i="1"/>
  <c r="H1192" i="1"/>
  <c r="J1192" i="1"/>
  <c r="A1193" i="1"/>
  <c r="B1193" i="1"/>
  <c r="G1193" i="1"/>
  <c r="H1193" i="1"/>
  <c r="J1193" i="1"/>
  <c r="A1194" i="1"/>
  <c r="B1194" i="1"/>
  <c r="G1194" i="1"/>
  <c r="H1194" i="1"/>
  <c r="J1194" i="1"/>
  <c r="A1195" i="1"/>
  <c r="B1195" i="1"/>
  <c r="G1195" i="1"/>
  <c r="H1195" i="1"/>
  <c r="J1195" i="1"/>
  <c r="A1196" i="1"/>
  <c r="B1196" i="1"/>
  <c r="G1196" i="1"/>
  <c r="H1196" i="1"/>
  <c r="J1196" i="1"/>
  <c r="A1197" i="1"/>
  <c r="B1197" i="1"/>
  <c r="G1197" i="1"/>
  <c r="H1197" i="1"/>
  <c r="J1197" i="1"/>
  <c r="A1198" i="1"/>
  <c r="B1198" i="1"/>
  <c r="G1198" i="1"/>
  <c r="H1198" i="1"/>
  <c r="J1198" i="1"/>
  <c r="A1199" i="1"/>
  <c r="B1199" i="1"/>
  <c r="G1199" i="1"/>
  <c r="H1199" i="1"/>
  <c r="J1199" i="1"/>
  <c r="A1200" i="1"/>
  <c r="B1200" i="1"/>
  <c r="G1200" i="1"/>
  <c r="H1200" i="1"/>
  <c r="J1200" i="1"/>
  <c r="A1201" i="1"/>
  <c r="B1201" i="1"/>
  <c r="G1201" i="1"/>
  <c r="H1201" i="1"/>
  <c r="J1201" i="1"/>
  <c r="A1202" i="1"/>
  <c r="B1202" i="1"/>
  <c r="G1202" i="1"/>
  <c r="H1202" i="1"/>
  <c r="J1202" i="1"/>
  <c r="A1203" i="1"/>
  <c r="B1203" i="1"/>
  <c r="G1203" i="1"/>
  <c r="H1203" i="1"/>
  <c r="J1203" i="1"/>
  <c r="A1204" i="1"/>
  <c r="B1204" i="1"/>
  <c r="G1204" i="1"/>
  <c r="H1204" i="1"/>
  <c r="J1204" i="1"/>
  <c r="A1205" i="1"/>
  <c r="B1205" i="1"/>
  <c r="G1205" i="1"/>
  <c r="H1205" i="1"/>
  <c r="J1205" i="1"/>
  <c r="A1206" i="1"/>
  <c r="B1206" i="1"/>
  <c r="G1206" i="1"/>
  <c r="H1206" i="1"/>
  <c r="J1206" i="1"/>
  <c r="A1207" i="1"/>
  <c r="B1207" i="1"/>
  <c r="G1207" i="1"/>
  <c r="H1207" i="1"/>
  <c r="J1207" i="1"/>
  <c r="A1208" i="1"/>
  <c r="B1208" i="1"/>
  <c r="G1208" i="1"/>
  <c r="H1208" i="1"/>
  <c r="J1208" i="1"/>
  <c r="A1209" i="1"/>
  <c r="B1209" i="1"/>
  <c r="G1209" i="1"/>
  <c r="H1209" i="1"/>
  <c r="J1209" i="1"/>
  <c r="A1210" i="1"/>
  <c r="B1210" i="1"/>
  <c r="G1210" i="1"/>
  <c r="H1210" i="1"/>
  <c r="J1210" i="1"/>
  <c r="A1211" i="1"/>
  <c r="B1211" i="1"/>
  <c r="G1211" i="1"/>
  <c r="H1211" i="1"/>
  <c r="J1211" i="1"/>
  <c r="A1212" i="1"/>
  <c r="B1212" i="1"/>
  <c r="G1212" i="1"/>
  <c r="H1212" i="1"/>
  <c r="J1212" i="1"/>
  <c r="A1213" i="1"/>
  <c r="B1213" i="1"/>
  <c r="G1213" i="1"/>
  <c r="H1213" i="1"/>
  <c r="J1213" i="1"/>
  <c r="A1214" i="1"/>
  <c r="B1214" i="1"/>
  <c r="G1214" i="1"/>
  <c r="H1214" i="1"/>
  <c r="J1214" i="1"/>
  <c r="A1215" i="1"/>
  <c r="B1215" i="1"/>
  <c r="G1215" i="1"/>
  <c r="H1215" i="1"/>
  <c r="J1215" i="1"/>
  <c r="A1216" i="1"/>
  <c r="B1216" i="1"/>
  <c r="G1216" i="1"/>
  <c r="H1216" i="1"/>
  <c r="J1216" i="1"/>
  <c r="A1217" i="1"/>
  <c r="B1217" i="1"/>
  <c r="G1217" i="1"/>
  <c r="H1217" i="1"/>
  <c r="J1217" i="1"/>
  <c r="A1218" i="1"/>
  <c r="B1218" i="1"/>
  <c r="G1218" i="1"/>
  <c r="H1218" i="1"/>
  <c r="J1218" i="1"/>
  <c r="A1219" i="1"/>
  <c r="B1219" i="1"/>
  <c r="G1219" i="1"/>
  <c r="H1219" i="1"/>
  <c r="J1219" i="1"/>
  <c r="A1220" i="1"/>
  <c r="B1220" i="1"/>
  <c r="G1220" i="1"/>
  <c r="H1220" i="1"/>
  <c r="J1220" i="1"/>
  <c r="A1221" i="1"/>
  <c r="B1221" i="1"/>
  <c r="G1221" i="1"/>
  <c r="H1221" i="1"/>
  <c r="J1221" i="1"/>
  <c r="A1222" i="1"/>
  <c r="B1222" i="1"/>
  <c r="G1222" i="1"/>
  <c r="H1222" i="1"/>
  <c r="J1222" i="1"/>
  <c r="A1223" i="1"/>
  <c r="B1223" i="1"/>
  <c r="G1223" i="1"/>
  <c r="H1223" i="1"/>
  <c r="J1223" i="1"/>
  <c r="A1224" i="1"/>
  <c r="B1224" i="1"/>
  <c r="G1224" i="1"/>
  <c r="H1224" i="1"/>
  <c r="J1224" i="1"/>
  <c r="A1225" i="1"/>
  <c r="B1225" i="1"/>
  <c r="G1225" i="1"/>
  <c r="H1225" i="1"/>
  <c r="J1225" i="1"/>
  <c r="A1226" i="1"/>
  <c r="B1226" i="1"/>
  <c r="G1226" i="1"/>
  <c r="H1226" i="1"/>
  <c r="J1226" i="1"/>
  <c r="A1227" i="1"/>
  <c r="B1227" i="1"/>
  <c r="G1227" i="1"/>
  <c r="H1227" i="1"/>
  <c r="J1227" i="1"/>
  <c r="A1228" i="1"/>
  <c r="B1228" i="1"/>
  <c r="G1228" i="1"/>
  <c r="H1228" i="1"/>
  <c r="J1228" i="1"/>
  <c r="A1229" i="1"/>
  <c r="B1229" i="1"/>
  <c r="G1229" i="1"/>
  <c r="H1229" i="1"/>
  <c r="J1229" i="1"/>
  <c r="A1230" i="1"/>
  <c r="B1230" i="1"/>
  <c r="G1230" i="1"/>
  <c r="H1230" i="1"/>
  <c r="J1230" i="1"/>
  <c r="A1231" i="1"/>
  <c r="B1231" i="1"/>
  <c r="G1231" i="1"/>
  <c r="H1231" i="1"/>
  <c r="J1231" i="1"/>
  <c r="A1232" i="1"/>
  <c r="B1232" i="1"/>
  <c r="G1232" i="1"/>
  <c r="H1232" i="1"/>
  <c r="J1232" i="1"/>
  <c r="A1233" i="1"/>
  <c r="B1233" i="1"/>
  <c r="G1233" i="1"/>
  <c r="H1233" i="1"/>
  <c r="J1233" i="1"/>
  <c r="A1234" i="1"/>
  <c r="B1234" i="1"/>
  <c r="G1234" i="1"/>
  <c r="H1234" i="1"/>
  <c r="J1234" i="1"/>
  <c r="A1235" i="1"/>
  <c r="B1235" i="1"/>
  <c r="G1235" i="1"/>
  <c r="H1235" i="1"/>
  <c r="J1235" i="1"/>
  <c r="A1236" i="1"/>
  <c r="B1236" i="1"/>
  <c r="G1236" i="1"/>
  <c r="H1236" i="1"/>
  <c r="J1236" i="1"/>
  <c r="A1237" i="1"/>
  <c r="B1237" i="1"/>
  <c r="G1237" i="1"/>
  <c r="H1237" i="1"/>
  <c r="J1237" i="1"/>
  <c r="A1238" i="1"/>
  <c r="B1238" i="1"/>
  <c r="G1238" i="1"/>
  <c r="H1238" i="1"/>
  <c r="J1238" i="1"/>
  <c r="A1239" i="1"/>
  <c r="B1239" i="1"/>
  <c r="G1239" i="1"/>
  <c r="H1239" i="1"/>
  <c r="J1239" i="1"/>
  <c r="A1240" i="1"/>
  <c r="B1240" i="1"/>
  <c r="G1240" i="1"/>
  <c r="H1240" i="1"/>
  <c r="J1240" i="1"/>
  <c r="A1241" i="1"/>
  <c r="B1241" i="1"/>
  <c r="G1241" i="1"/>
  <c r="H1241" i="1"/>
  <c r="J1241" i="1"/>
  <c r="A1242" i="1"/>
  <c r="B1242" i="1"/>
  <c r="G1242" i="1"/>
  <c r="H1242" i="1"/>
  <c r="J1242" i="1"/>
  <c r="A1243" i="1"/>
  <c r="B1243" i="1"/>
  <c r="G1243" i="1"/>
  <c r="H1243" i="1"/>
  <c r="J1243" i="1"/>
  <c r="A1244" i="1"/>
  <c r="B1244" i="1"/>
  <c r="G1244" i="1"/>
  <c r="H1244" i="1"/>
  <c r="J1244" i="1"/>
  <c r="A1245" i="1"/>
  <c r="B1245" i="1"/>
  <c r="G1245" i="1"/>
  <c r="H1245" i="1"/>
  <c r="J1245" i="1"/>
  <c r="A1246" i="1"/>
  <c r="B1246" i="1"/>
  <c r="G1246" i="1"/>
  <c r="H1246" i="1"/>
  <c r="J1246" i="1"/>
  <c r="A1247" i="1"/>
  <c r="B1247" i="1"/>
  <c r="G1247" i="1"/>
  <c r="H1247" i="1"/>
  <c r="J1247" i="1"/>
  <c r="A1248" i="1"/>
  <c r="B1248" i="1"/>
  <c r="G1248" i="1"/>
  <c r="H1248" i="1"/>
  <c r="J1248" i="1"/>
  <c r="A1249" i="1"/>
  <c r="B1249" i="1"/>
  <c r="G1249" i="1"/>
  <c r="H1249" i="1"/>
  <c r="J1249" i="1"/>
  <c r="A1250" i="1"/>
  <c r="B1250" i="1"/>
  <c r="G1250" i="1"/>
  <c r="H1250" i="1"/>
  <c r="J1250" i="1"/>
  <c r="A1251" i="1"/>
  <c r="B1251" i="1"/>
  <c r="G1251" i="1"/>
  <c r="H1251" i="1"/>
  <c r="J1251" i="1"/>
  <c r="A1252" i="1"/>
  <c r="B1252" i="1"/>
  <c r="G1252" i="1"/>
  <c r="H1252" i="1"/>
  <c r="J1252" i="1"/>
  <c r="A1253" i="1"/>
  <c r="B1253" i="1"/>
  <c r="G1253" i="1"/>
  <c r="H1253" i="1"/>
  <c r="J1253" i="1"/>
  <c r="A1254" i="1"/>
  <c r="B1254" i="1"/>
  <c r="G1254" i="1"/>
  <c r="H1254" i="1"/>
  <c r="J1254" i="1"/>
  <c r="A1255" i="1"/>
  <c r="B1255" i="1"/>
  <c r="G1255" i="1"/>
  <c r="H1255" i="1"/>
  <c r="J1255" i="1"/>
  <c r="A1256" i="1"/>
  <c r="B1256" i="1"/>
  <c r="G1256" i="1"/>
  <c r="H1256" i="1"/>
  <c r="J1256" i="1"/>
  <c r="A1257" i="1"/>
  <c r="B1257" i="1"/>
  <c r="G1257" i="1"/>
  <c r="H1257" i="1"/>
  <c r="J1257" i="1"/>
  <c r="A1258" i="1"/>
  <c r="B1258" i="1"/>
  <c r="G1258" i="1"/>
  <c r="H1258" i="1"/>
  <c r="J1258" i="1"/>
  <c r="A1259" i="1"/>
  <c r="B1259" i="1"/>
  <c r="G1259" i="1"/>
  <c r="H1259" i="1"/>
  <c r="J1259" i="1"/>
  <c r="A1260" i="1"/>
  <c r="B1260" i="1"/>
  <c r="G1260" i="1"/>
  <c r="H1260" i="1"/>
  <c r="J1260" i="1"/>
  <c r="A1261" i="1"/>
  <c r="B1261" i="1"/>
  <c r="G1261" i="1"/>
  <c r="H1261" i="1"/>
  <c r="J1261" i="1"/>
  <c r="A1262" i="1"/>
  <c r="B1262" i="1"/>
  <c r="G1262" i="1"/>
  <c r="H1262" i="1"/>
  <c r="J1262" i="1"/>
  <c r="A1263" i="1"/>
  <c r="B1263" i="1"/>
  <c r="G1263" i="1"/>
  <c r="H1263" i="1"/>
  <c r="J1263" i="1"/>
  <c r="A1264" i="1"/>
  <c r="B1264" i="1"/>
  <c r="G1264" i="1"/>
  <c r="H1264" i="1"/>
  <c r="J1264" i="1"/>
  <c r="A1265" i="1"/>
  <c r="B1265" i="1"/>
  <c r="G1265" i="1"/>
  <c r="H1265" i="1"/>
  <c r="J1265" i="1"/>
  <c r="A1266" i="1"/>
  <c r="B1266" i="1"/>
  <c r="G1266" i="1"/>
  <c r="H1266" i="1"/>
  <c r="J1266" i="1"/>
  <c r="A1267" i="1"/>
  <c r="B1267" i="1"/>
  <c r="G1267" i="1"/>
  <c r="H1267" i="1"/>
  <c r="J1267" i="1"/>
  <c r="A1268" i="1"/>
  <c r="B1268" i="1"/>
  <c r="G1268" i="1"/>
  <c r="H1268" i="1"/>
  <c r="J1268" i="1"/>
  <c r="A1269" i="1"/>
  <c r="B1269" i="1"/>
  <c r="G1269" i="1"/>
  <c r="H1269" i="1"/>
  <c r="J1269" i="1"/>
  <c r="A1270" i="1"/>
  <c r="B1270" i="1"/>
  <c r="G1270" i="1"/>
  <c r="H1270" i="1"/>
  <c r="J1270" i="1"/>
  <c r="A1271" i="1"/>
  <c r="B1271" i="1"/>
  <c r="G1271" i="1"/>
  <c r="H1271" i="1"/>
  <c r="J1271" i="1"/>
  <c r="A1272" i="1"/>
  <c r="B1272" i="1"/>
  <c r="G1272" i="1"/>
  <c r="H1272" i="1"/>
  <c r="J1272" i="1"/>
  <c r="A1273" i="1"/>
  <c r="B1273" i="1"/>
  <c r="G1273" i="1"/>
  <c r="H1273" i="1"/>
  <c r="J1273" i="1"/>
  <c r="A1274" i="1"/>
  <c r="B1274" i="1"/>
  <c r="G1274" i="1"/>
  <c r="H1274" i="1"/>
  <c r="J1274" i="1"/>
  <c r="A1275" i="1"/>
  <c r="B1275" i="1"/>
  <c r="G1275" i="1"/>
  <c r="H1275" i="1"/>
  <c r="J1275" i="1"/>
  <c r="A1276" i="1"/>
  <c r="B1276" i="1"/>
  <c r="G1276" i="1"/>
  <c r="H1276" i="1"/>
  <c r="J1276" i="1"/>
  <c r="A1277" i="1"/>
  <c r="B1277" i="1"/>
  <c r="G1277" i="1"/>
  <c r="H1277" i="1"/>
  <c r="J1277" i="1"/>
  <c r="A1278" i="1"/>
  <c r="B1278" i="1"/>
  <c r="G1278" i="1"/>
  <c r="H1278" i="1"/>
  <c r="J1278" i="1"/>
  <c r="A1279" i="1"/>
  <c r="B1279" i="1"/>
  <c r="G1279" i="1"/>
  <c r="H1279" i="1"/>
  <c r="J1279" i="1"/>
  <c r="A1280" i="1"/>
  <c r="B1280" i="1"/>
  <c r="G1280" i="1"/>
  <c r="H1280" i="1"/>
  <c r="J1280" i="1"/>
  <c r="A1281" i="1"/>
  <c r="B1281" i="1"/>
  <c r="G1281" i="1"/>
  <c r="H1281" i="1"/>
  <c r="J1281" i="1"/>
  <c r="A1282" i="1"/>
  <c r="B1282" i="1"/>
  <c r="G1282" i="1"/>
  <c r="H1282" i="1"/>
  <c r="J1282" i="1"/>
  <c r="A1283" i="1"/>
  <c r="B1283" i="1"/>
  <c r="G1283" i="1"/>
  <c r="H1283" i="1"/>
  <c r="J1283" i="1"/>
  <c r="A1284" i="1"/>
  <c r="B1284" i="1"/>
  <c r="G1284" i="1"/>
  <c r="H1284" i="1"/>
  <c r="J1284" i="1"/>
  <c r="A1285" i="1"/>
  <c r="B1285" i="1"/>
  <c r="G1285" i="1"/>
  <c r="H1285" i="1"/>
  <c r="J1285" i="1"/>
  <c r="A1286" i="1"/>
  <c r="B1286" i="1"/>
  <c r="G1286" i="1"/>
  <c r="H1286" i="1"/>
  <c r="J1286" i="1"/>
  <c r="A1287" i="1"/>
  <c r="B1287" i="1"/>
  <c r="G1287" i="1"/>
  <c r="H1287" i="1"/>
  <c r="J1287" i="1"/>
  <c r="A1288" i="1"/>
  <c r="B1288" i="1"/>
  <c r="G1288" i="1"/>
  <c r="H1288" i="1"/>
  <c r="J1288" i="1"/>
  <c r="A1289" i="1"/>
  <c r="B1289" i="1"/>
  <c r="G1289" i="1"/>
  <c r="H1289" i="1"/>
  <c r="J1289" i="1"/>
  <c r="A1290" i="1"/>
  <c r="B1290" i="1"/>
  <c r="G1290" i="1"/>
  <c r="H1290" i="1"/>
  <c r="J1290" i="1"/>
  <c r="A1291" i="1"/>
  <c r="B1291" i="1"/>
  <c r="G1291" i="1"/>
  <c r="H1291" i="1"/>
  <c r="J1291" i="1"/>
  <c r="A1292" i="1"/>
  <c r="B1292" i="1"/>
  <c r="G1292" i="1"/>
  <c r="H1292" i="1"/>
  <c r="J1292" i="1"/>
  <c r="A1293" i="1"/>
  <c r="B1293" i="1"/>
  <c r="G1293" i="1"/>
  <c r="H1293" i="1"/>
  <c r="J1293" i="1"/>
  <c r="A1294" i="1"/>
  <c r="B1294" i="1"/>
  <c r="G1294" i="1"/>
  <c r="H1294" i="1"/>
  <c r="J1294" i="1"/>
  <c r="A1295" i="1"/>
  <c r="B1295" i="1"/>
  <c r="G1295" i="1"/>
  <c r="H1295" i="1"/>
  <c r="J1295" i="1"/>
  <c r="A1296" i="1"/>
  <c r="B1296" i="1"/>
  <c r="G1296" i="1"/>
  <c r="H1296" i="1"/>
  <c r="J1296" i="1"/>
  <c r="A1297" i="1"/>
  <c r="B1297" i="1"/>
  <c r="G1297" i="1"/>
  <c r="H1297" i="1"/>
  <c r="J1297" i="1"/>
  <c r="A1298" i="1"/>
  <c r="B1298" i="1"/>
  <c r="G1298" i="1"/>
  <c r="H1298" i="1"/>
  <c r="J1298" i="1"/>
  <c r="A1299" i="1"/>
  <c r="B1299" i="1"/>
  <c r="G1299" i="1"/>
  <c r="H1299" i="1"/>
  <c r="J1299" i="1"/>
  <c r="A1300" i="1"/>
  <c r="B1300" i="1"/>
  <c r="G1300" i="1"/>
  <c r="H1300" i="1"/>
  <c r="J1300" i="1"/>
  <c r="A1301" i="1"/>
  <c r="B1301" i="1"/>
  <c r="G1301" i="1"/>
  <c r="H1301" i="1"/>
  <c r="J1301" i="1"/>
  <c r="A1302" i="1"/>
  <c r="B1302" i="1"/>
  <c r="G1302" i="1"/>
  <c r="H1302" i="1"/>
  <c r="J1302" i="1"/>
  <c r="A1303" i="1"/>
  <c r="B1303" i="1"/>
  <c r="G1303" i="1"/>
  <c r="H1303" i="1"/>
  <c r="J1303" i="1"/>
  <c r="A1304" i="1"/>
  <c r="B1304" i="1"/>
  <c r="G1304" i="1"/>
  <c r="H1304" i="1"/>
  <c r="J1304" i="1"/>
  <c r="A1305" i="1"/>
  <c r="B1305" i="1"/>
  <c r="G1305" i="1"/>
  <c r="H1305" i="1"/>
  <c r="J1305" i="1"/>
  <c r="A1306" i="1"/>
  <c r="B1306" i="1"/>
  <c r="G1306" i="1"/>
  <c r="H1306" i="1"/>
  <c r="J1306" i="1"/>
  <c r="A1307" i="1"/>
  <c r="B1307" i="1"/>
  <c r="G1307" i="1"/>
  <c r="H1307" i="1"/>
  <c r="J1307" i="1"/>
  <c r="A1308" i="1"/>
  <c r="B1308" i="1"/>
  <c r="G1308" i="1"/>
  <c r="H1308" i="1"/>
  <c r="J1308" i="1"/>
  <c r="A1309" i="1"/>
  <c r="B1309" i="1"/>
  <c r="G1309" i="1"/>
  <c r="H1309" i="1"/>
  <c r="J1309" i="1"/>
  <c r="A1310" i="1"/>
  <c r="B1310" i="1"/>
  <c r="G1310" i="1"/>
  <c r="H1310" i="1"/>
  <c r="J1310" i="1"/>
  <c r="A1311" i="1"/>
  <c r="B1311" i="1"/>
  <c r="G1311" i="1"/>
  <c r="H1311" i="1"/>
  <c r="J1311" i="1"/>
  <c r="A1312" i="1"/>
  <c r="B1312" i="1"/>
  <c r="G1312" i="1"/>
  <c r="H1312" i="1"/>
  <c r="J1312" i="1"/>
  <c r="A1313" i="1"/>
  <c r="B1313" i="1"/>
  <c r="G1313" i="1"/>
  <c r="H1313" i="1"/>
  <c r="J1313" i="1"/>
  <c r="A1314" i="1"/>
  <c r="B1314" i="1"/>
  <c r="G1314" i="1"/>
  <c r="H1314" i="1"/>
  <c r="J1314" i="1"/>
  <c r="A1315" i="1"/>
  <c r="B1315" i="1"/>
  <c r="G1315" i="1"/>
  <c r="H1315" i="1"/>
  <c r="J1315" i="1"/>
  <c r="A1316" i="1"/>
  <c r="B1316" i="1"/>
  <c r="G1316" i="1"/>
  <c r="H1316" i="1"/>
  <c r="J1316" i="1"/>
  <c r="A1317" i="1"/>
  <c r="B1317" i="1"/>
  <c r="G1317" i="1"/>
  <c r="H1317" i="1"/>
  <c r="J1317" i="1"/>
  <c r="A1318" i="1"/>
  <c r="B1318" i="1"/>
  <c r="G1318" i="1"/>
  <c r="H1318" i="1"/>
  <c r="J1318" i="1"/>
  <c r="A1319" i="1"/>
  <c r="B1319" i="1"/>
  <c r="G1319" i="1"/>
  <c r="H1319" i="1"/>
  <c r="J1319" i="1"/>
  <c r="A1320" i="1"/>
  <c r="B1320" i="1"/>
  <c r="G1320" i="1"/>
  <c r="H1320" i="1"/>
  <c r="J1320" i="1"/>
  <c r="A1321" i="1"/>
  <c r="B1321" i="1"/>
  <c r="G1321" i="1"/>
  <c r="H1321" i="1"/>
  <c r="J1321" i="1"/>
  <c r="A1322" i="1"/>
  <c r="B1322" i="1"/>
  <c r="G1322" i="1"/>
  <c r="H1322" i="1"/>
  <c r="J1322" i="1"/>
  <c r="A1323" i="1"/>
  <c r="B1323" i="1"/>
  <c r="G1323" i="1"/>
  <c r="H1323" i="1"/>
  <c r="J1323" i="1"/>
  <c r="A1324" i="1"/>
  <c r="B1324" i="1"/>
  <c r="G1324" i="1"/>
  <c r="H1324" i="1"/>
  <c r="J1324" i="1"/>
  <c r="A1325" i="1"/>
  <c r="B1325" i="1"/>
  <c r="G1325" i="1"/>
  <c r="H1325" i="1"/>
  <c r="J1325" i="1"/>
  <c r="A1326" i="1"/>
  <c r="B1326" i="1"/>
  <c r="G1326" i="1"/>
  <c r="H1326" i="1"/>
  <c r="J1326" i="1"/>
  <c r="A1327" i="1"/>
  <c r="B1327" i="1"/>
  <c r="G1327" i="1"/>
  <c r="H1327" i="1"/>
  <c r="J1327" i="1"/>
  <c r="A1328" i="1"/>
  <c r="B1328" i="1"/>
  <c r="G1328" i="1"/>
  <c r="H1328" i="1"/>
  <c r="J1328" i="1"/>
  <c r="A1329" i="1"/>
  <c r="B1329" i="1"/>
  <c r="G1329" i="1"/>
  <c r="H1329" i="1"/>
  <c r="J1329" i="1"/>
  <c r="A1330" i="1"/>
  <c r="B1330" i="1"/>
  <c r="G1330" i="1"/>
  <c r="H1330" i="1"/>
  <c r="J1330" i="1"/>
  <c r="A1331" i="1"/>
  <c r="B1331" i="1"/>
  <c r="G1331" i="1"/>
  <c r="H1331" i="1"/>
  <c r="J1331" i="1"/>
  <c r="A1332" i="1"/>
  <c r="B1332" i="1"/>
  <c r="G1332" i="1"/>
  <c r="H1332" i="1"/>
  <c r="J1332" i="1"/>
  <c r="A1333" i="1"/>
  <c r="B1333" i="1"/>
  <c r="G1333" i="1"/>
  <c r="H1333" i="1"/>
  <c r="J1333" i="1"/>
  <c r="A1334" i="1"/>
  <c r="B1334" i="1"/>
  <c r="G1334" i="1"/>
  <c r="H1334" i="1"/>
  <c r="J1334" i="1"/>
  <c r="A1335" i="1"/>
  <c r="B1335" i="1"/>
  <c r="G1335" i="1"/>
  <c r="H1335" i="1"/>
  <c r="J1335" i="1"/>
  <c r="A1336" i="1"/>
  <c r="B1336" i="1"/>
  <c r="G1336" i="1"/>
  <c r="H1336" i="1"/>
  <c r="J1336" i="1"/>
  <c r="A1337" i="1"/>
  <c r="B1337" i="1"/>
  <c r="G1337" i="1"/>
  <c r="H1337" i="1"/>
  <c r="J1337" i="1"/>
  <c r="A1338" i="1"/>
  <c r="B1338" i="1"/>
  <c r="G1338" i="1"/>
  <c r="H1338" i="1"/>
  <c r="J1338" i="1"/>
  <c r="A1339" i="1"/>
  <c r="B1339" i="1"/>
  <c r="G1339" i="1"/>
  <c r="H1339" i="1"/>
  <c r="J1339" i="1"/>
  <c r="A1340" i="1"/>
  <c r="B1340" i="1"/>
  <c r="G1340" i="1"/>
  <c r="H1340" i="1"/>
  <c r="J1340" i="1"/>
  <c r="A1341" i="1"/>
  <c r="B1341" i="1"/>
  <c r="G1341" i="1"/>
  <c r="H1341" i="1"/>
  <c r="J1341" i="1"/>
  <c r="A1342" i="1"/>
  <c r="B1342" i="1"/>
  <c r="G1342" i="1"/>
  <c r="H1342" i="1"/>
  <c r="J1342" i="1"/>
  <c r="A1343" i="1"/>
  <c r="B1343" i="1"/>
  <c r="G1343" i="1"/>
  <c r="H1343" i="1"/>
  <c r="J1343" i="1"/>
  <c r="A1344" i="1"/>
  <c r="B1344" i="1"/>
  <c r="G1344" i="1"/>
  <c r="H1344" i="1"/>
  <c r="J1344" i="1"/>
  <c r="A1345" i="1"/>
  <c r="B1345" i="1"/>
  <c r="G1345" i="1"/>
  <c r="H1345" i="1"/>
  <c r="J1345" i="1"/>
  <c r="A1346" i="1"/>
  <c r="B1346" i="1"/>
  <c r="G1346" i="1"/>
  <c r="H1346" i="1"/>
  <c r="J1346" i="1"/>
  <c r="A1347" i="1"/>
  <c r="B1347" i="1"/>
  <c r="G1347" i="1"/>
  <c r="H1347" i="1"/>
  <c r="J1347" i="1"/>
  <c r="A1348" i="1"/>
  <c r="B1348" i="1"/>
  <c r="G1348" i="1"/>
  <c r="H1348" i="1"/>
  <c r="J1348" i="1"/>
  <c r="A1349" i="1"/>
  <c r="B1349" i="1"/>
  <c r="G1349" i="1"/>
  <c r="H1349" i="1"/>
  <c r="J1349" i="1"/>
  <c r="A1350" i="1"/>
  <c r="B1350" i="1"/>
  <c r="G1350" i="1"/>
  <c r="H1350" i="1"/>
  <c r="J1350" i="1"/>
  <c r="A1351" i="1"/>
  <c r="B1351" i="1"/>
  <c r="G1351" i="1"/>
  <c r="H1351" i="1"/>
  <c r="J1351" i="1"/>
  <c r="A1352" i="1"/>
  <c r="B1352" i="1"/>
  <c r="G1352" i="1"/>
  <c r="H1352" i="1"/>
  <c r="J1352" i="1"/>
  <c r="A1353" i="1"/>
  <c r="B1353" i="1"/>
  <c r="G1353" i="1"/>
  <c r="H1353" i="1"/>
  <c r="J1353" i="1"/>
  <c r="A1354" i="1"/>
  <c r="B1354" i="1"/>
  <c r="G1354" i="1"/>
  <c r="H1354" i="1"/>
  <c r="J1354" i="1"/>
  <c r="A1355" i="1"/>
  <c r="B1355" i="1"/>
  <c r="G1355" i="1"/>
  <c r="H1355" i="1"/>
  <c r="J1355" i="1"/>
  <c r="A1356" i="1"/>
  <c r="B1356" i="1"/>
  <c r="G1356" i="1"/>
  <c r="H1356" i="1"/>
  <c r="J1356" i="1"/>
  <c r="A1357" i="1"/>
  <c r="B1357" i="1"/>
  <c r="G1357" i="1"/>
  <c r="H1357" i="1"/>
  <c r="J1357" i="1"/>
  <c r="A1358" i="1"/>
  <c r="B1358" i="1"/>
  <c r="G1358" i="1"/>
  <c r="H1358" i="1"/>
  <c r="J1358" i="1"/>
  <c r="A1359" i="1"/>
  <c r="B1359" i="1"/>
  <c r="G1359" i="1"/>
  <c r="H1359" i="1"/>
  <c r="J1359" i="1"/>
  <c r="A1360" i="1"/>
  <c r="B1360" i="1"/>
  <c r="G1360" i="1"/>
  <c r="H1360" i="1"/>
  <c r="J1360" i="1"/>
  <c r="A1361" i="1"/>
  <c r="B1361" i="1"/>
  <c r="G1361" i="1"/>
  <c r="H1361" i="1"/>
  <c r="J1361" i="1"/>
  <c r="A1362" i="1"/>
  <c r="B1362" i="1"/>
  <c r="G1362" i="1"/>
  <c r="H1362" i="1"/>
  <c r="J1362" i="1"/>
  <c r="A1363" i="1"/>
  <c r="B1363" i="1"/>
  <c r="G1363" i="1"/>
  <c r="H1363" i="1"/>
  <c r="J1363" i="1"/>
  <c r="A1364" i="1"/>
  <c r="B1364" i="1"/>
  <c r="G1364" i="1"/>
  <c r="H1364" i="1"/>
  <c r="J1364" i="1"/>
  <c r="A1365" i="1"/>
  <c r="B1365" i="1"/>
  <c r="G1365" i="1"/>
  <c r="H1365" i="1"/>
  <c r="J1365" i="1"/>
  <c r="A1366" i="1"/>
  <c r="B1366" i="1"/>
  <c r="G1366" i="1"/>
  <c r="H1366" i="1"/>
  <c r="J1366" i="1"/>
  <c r="A1367" i="1"/>
  <c r="B1367" i="1"/>
  <c r="G1367" i="1"/>
  <c r="H1367" i="1"/>
  <c r="J1367" i="1"/>
  <c r="A1368" i="1"/>
  <c r="B1368" i="1"/>
  <c r="G1368" i="1"/>
  <c r="H1368" i="1"/>
  <c r="J1368" i="1"/>
  <c r="A1369" i="1"/>
  <c r="B1369" i="1"/>
  <c r="G1369" i="1"/>
  <c r="H1369" i="1"/>
  <c r="J1369" i="1"/>
  <c r="A1370" i="1"/>
  <c r="B1370" i="1"/>
  <c r="G1370" i="1"/>
  <c r="H1370" i="1"/>
  <c r="J1370" i="1"/>
  <c r="A1371" i="1"/>
  <c r="B1371" i="1"/>
  <c r="G1371" i="1"/>
  <c r="H1371" i="1"/>
  <c r="J1371" i="1"/>
  <c r="A1372" i="1"/>
  <c r="B1372" i="1"/>
  <c r="G1372" i="1"/>
  <c r="H1372" i="1"/>
  <c r="J1372" i="1"/>
  <c r="A1373" i="1"/>
  <c r="B1373" i="1"/>
  <c r="G1373" i="1"/>
  <c r="H1373" i="1"/>
  <c r="J1373" i="1"/>
  <c r="A1374" i="1"/>
  <c r="B1374" i="1"/>
  <c r="G1374" i="1"/>
  <c r="H1374" i="1"/>
  <c r="J1374" i="1"/>
  <c r="A1375" i="1"/>
  <c r="B1375" i="1"/>
  <c r="G1375" i="1"/>
  <c r="H1375" i="1"/>
  <c r="J1375" i="1"/>
  <c r="A1376" i="1"/>
  <c r="B1376" i="1"/>
  <c r="G1376" i="1"/>
  <c r="H1376" i="1"/>
  <c r="J1376" i="1"/>
  <c r="A1377" i="1"/>
  <c r="B1377" i="1"/>
  <c r="G1377" i="1"/>
  <c r="H1377" i="1"/>
  <c r="J1377" i="1"/>
  <c r="A1378" i="1"/>
  <c r="B1378" i="1"/>
  <c r="G1378" i="1"/>
  <c r="H1378" i="1"/>
  <c r="J1378" i="1"/>
  <c r="A1379" i="1"/>
  <c r="B1379" i="1"/>
  <c r="G1379" i="1"/>
  <c r="H1379" i="1"/>
  <c r="J1379" i="1"/>
  <c r="A1380" i="1"/>
  <c r="B1380" i="1"/>
  <c r="G1380" i="1"/>
  <c r="H1380" i="1"/>
  <c r="J1380" i="1"/>
  <c r="A1381" i="1"/>
  <c r="B1381" i="1"/>
  <c r="G1381" i="1"/>
  <c r="H1381" i="1"/>
  <c r="J1381" i="1"/>
  <c r="A1382" i="1"/>
  <c r="B1382" i="1"/>
  <c r="G1382" i="1"/>
  <c r="H1382" i="1"/>
  <c r="J1382" i="1"/>
  <c r="A1383" i="1"/>
  <c r="B1383" i="1"/>
  <c r="G1383" i="1"/>
  <c r="H1383" i="1"/>
  <c r="J1383" i="1"/>
  <c r="A1384" i="1"/>
  <c r="B1384" i="1"/>
  <c r="G1384" i="1"/>
  <c r="H1384" i="1"/>
  <c r="J1384" i="1"/>
  <c r="A1385" i="1"/>
  <c r="B1385" i="1"/>
  <c r="G1385" i="1"/>
  <c r="H1385" i="1"/>
  <c r="J1385" i="1"/>
  <c r="A1386" i="1"/>
  <c r="B1386" i="1"/>
  <c r="G1386" i="1"/>
  <c r="H1386" i="1"/>
  <c r="J1386" i="1"/>
  <c r="A1387" i="1"/>
  <c r="B1387" i="1"/>
  <c r="G1387" i="1"/>
  <c r="H1387" i="1"/>
  <c r="J1387" i="1"/>
  <c r="A1388" i="1"/>
  <c r="B1388" i="1"/>
  <c r="G1388" i="1"/>
  <c r="H1388" i="1"/>
  <c r="J1388" i="1"/>
  <c r="A1389" i="1"/>
  <c r="B1389" i="1"/>
  <c r="G1389" i="1"/>
  <c r="H1389" i="1"/>
  <c r="J1389" i="1"/>
  <c r="A1390" i="1"/>
  <c r="B1390" i="1"/>
  <c r="G1390" i="1"/>
  <c r="H1390" i="1"/>
  <c r="J1390" i="1"/>
  <c r="A1391" i="1"/>
  <c r="B1391" i="1"/>
  <c r="G1391" i="1"/>
  <c r="H1391" i="1"/>
  <c r="J1391" i="1"/>
  <c r="A1392" i="1"/>
  <c r="B1392" i="1"/>
  <c r="G1392" i="1"/>
  <c r="H1392" i="1"/>
  <c r="J1392" i="1"/>
  <c r="A1393" i="1"/>
  <c r="B1393" i="1"/>
  <c r="G1393" i="1"/>
  <c r="H1393" i="1"/>
  <c r="J1393" i="1"/>
  <c r="A1394" i="1"/>
  <c r="B1394" i="1"/>
  <c r="G1394" i="1"/>
  <c r="H1394" i="1"/>
  <c r="J1394" i="1"/>
  <c r="A1395" i="1"/>
  <c r="B1395" i="1"/>
  <c r="G1395" i="1"/>
  <c r="H1395" i="1"/>
  <c r="J1395" i="1"/>
  <c r="A1396" i="1"/>
  <c r="B1396" i="1"/>
  <c r="G1396" i="1"/>
  <c r="H1396" i="1"/>
  <c r="J1396" i="1"/>
  <c r="A1397" i="1"/>
  <c r="B1397" i="1"/>
  <c r="G1397" i="1"/>
  <c r="H1397" i="1"/>
  <c r="J1397" i="1"/>
  <c r="A1398" i="1"/>
  <c r="B1398" i="1"/>
  <c r="G1398" i="1"/>
  <c r="H1398" i="1"/>
  <c r="J1398" i="1"/>
  <c r="A1399" i="1"/>
  <c r="B1399" i="1"/>
  <c r="G1399" i="1"/>
  <c r="H1399" i="1"/>
  <c r="J1399" i="1"/>
  <c r="A1400" i="1"/>
  <c r="B1400" i="1"/>
  <c r="G1400" i="1"/>
  <c r="H1400" i="1"/>
  <c r="J1400" i="1"/>
  <c r="A1401" i="1"/>
  <c r="B1401" i="1"/>
  <c r="G1401" i="1"/>
  <c r="H1401" i="1"/>
  <c r="J1401" i="1"/>
  <c r="A1402" i="1"/>
  <c r="B1402" i="1"/>
  <c r="G1402" i="1"/>
  <c r="H1402" i="1"/>
  <c r="J1402" i="1"/>
  <c r="A1403" i="1"/>
  <c r="B1403" i="1"/>
  <c r="G1403" i="1"/>
  <c r="H1403" i="1"/>
  <c r="J1403" i="1"/>
  <c r="A1404" i="1"/>
  <c r="B1404" i="1"/>
  <c r="G1404" i="1"/>
  <c r="H1404" i="1"/>
  <c r="J1404" i="1"/>
  <c r="A1405" i="1"/>
  <c r="B1405" i="1"/>
  <c r="G1405" i="1"/>
  <c r="H1405" i="1"/>
  <c r="J1405" i="1"/>
  <c r="A1406" i="1"/>
  <c r="B1406" i="1"/>
  <c r="G1406" i="1"/>
  <c r="H1406" i="1"/>
  <c r="J1406" i="1"/>
  <c r="A1407" i="1"/>
  <c r="B1407" i="1"/>
  <c r="G1407" i="1"/>
  <c r="H1407" i="1"/>
  <c r="J1407" i="1"/>
  <c r="A1408" i="1"/>
  <c r="B1408" i="1"/>
  <c r="G1408" i="1"/>
  <c r="H1408" i="1"/>
  <c r="J1408" i="1"/>
  <c r="A1409" i="1"/>
  <c r="B1409" i="1"/>
  <c r="G1409" i="1"/>
  <c r="H1409" i="1"/>
  <c r="J1409" i="1"/>
  <c r="A1410" i="1"/>
  <c r="B1410" i="1"/>
  <c r="G1410" i="1"/>
  <c r="H1410" i="1"/>
  <c r="J1410" i="1"/>
  <c r="A1411" i="1"/>
  <c r="B1411" i="1"/>
  <c r="G1411" i="1"/>
  <c r="H1411" i="1"/>
  <c r="J1411" i="1"/>
  <c r="A1412" i="1"/>
  <c r="B1412" i="1"/>
  <c r="G1412" i="1"/>
  <c r="H1412" i="1"/>
  <c r="J1412" i="1"/>
  <c r="A1413" i="1"/>
  <c r="B1413" i="1"/>
  <c r="G1413" i="1"/>
  <c r="H1413" i="1"/>
  <c r="J1413" i="1"/>
  <c r="A1414" i="1"/>
  <c r="B1414" i="1"/>
  <c r="G1414" i="1"/>
  <c r="H1414" i="1"/>
  <c r="J1414" i="1"/>
  <c r="A1415" i="1"/>
  <c r="B1415" i="1"/>
  <c r="G1415" i="1"/>
  <c r="H1415" i="1"/>
  <c r="J1415" i="1"/>
  <c r="A1416" i="1"/>
  <c r="B1416" i="1"/>
  <c r="G1416" i="1"/>
  <c r="H1416" i="1"/>
  <c r="J1416" i="1"/>
  <c r="A1417" i="1"/>
  <c r="B1417" i="1"/>
  <c r="G1417" i="1"/>
  <c r="H1417" i="1"/>
  <c r="J1417" i="1"/>
  <c r="A1418" i="1"/>
  <c r="B1418" i="1"/>
  <c r="G1418" i="1"/>
  <c r="H1418" i="1"/>
  <c r="J1418" i="1"/>
  <c r="A1419" i="1"/>
  <c r="B1419" i="1"/>
  <c r="G1419" i="1"/>
  <c r="H1419" i="1"/>
  <c r="J1419" i="1"/>
  <c r="A1420" i="1"/>
  <c r="B1420" i="1"/>
  <c r="G1420" i="1"/>
  <c r="H1420" i="1"/>
  <c r="J1420" i="1"/>
  <c r="A1421" i="1"/>
  <c r="B1421" i="1"/>
  <c r="G1421" i="1"/>
  <c r="H1421" i="1"/>
  <c r="J1421" i="1"/>
  <c r="A1422" i="1"/>
  <c r="B1422" i="1"/>
  <c r="G1422" i="1"/>
  <c r="H1422" i="1"/>
  <c r="J1422" i="1"/>
  <c r="A1423" i="1"/>
  <c r="B1423" i="1"/>
  <c r="G1423" i="1"/>
  <c r="H1423" i="1"/>
  <c r="J1423" i="1"/>
  <c r="A1424" i="1"/>
  <c r="B1424" i="1"/>
  <c r="G1424" i="1"/>
  <c r="H1424" i="1"/>
  <c r="J1424" i="1"/>
  <c r="A1425" i="1"/>
  <c r="B1425" i="1"/>
  <c r="G1425" i="1"/>
  <c r="H1425" i="1"/>
  <c r="J1425" i="1"/>
  <c r="A1426" i="1"/>
  <c r="B1426" i="1"/>
  <c r="G1426" i="1"/>
  <c r="H1426" i="1"/>
  <c r="J1426" i="1"/>
  <c r="A1427" i="1"/>
  <c r="B1427" i="1"/>
  <c r="G1427" i="1"/>
  <c r="H1427" i="1"/>
  <c r="J1427" i="1"/>
  <c r="A1428" i="1"/>
  <c r="B1428" i="1"/>
  <c r="G1428" i="1"/>
  <c r="H1428" i="1"/>
  <c r="J1428" i="1"/>
  <c r="A1429" i="1"/>
  <c r="B1429" i="1"/>
  <c r="G1429" i="1"/>
  <c r="H1429" i="1"/>
  <c r="J1429" i="1"/>
  <c r="A1430" i="1"/>
  <c r="B1430" i="1"/>
  <c r="G1430" i="1"/>
  <c r="H1430" i="1"/>
  <c r="J1430" i="1"/>
  <c r="A1431" i="1"/>
  <c r="B1431" i="1"/>
  <c r="G1431" i="1"/>
  <c r="H1431" i="1"/>
  <c r="J1431" i="1"/>
  <c r="A1432" i="1"/>
  <c r="B1432" i="1"/>
  <c r="G1432" i="1"/>
  <c r="H1432" i="1"/>
  <c r="J1432" i="1"/>
  <c r="A1433" i="1"/>
  <c r="B1433" i="1"/>
  <c r="G1433" i="1"/>
  <c r="H1433" i="1"/>
  <c r="J1433" i="1"/>
  <c r="A1434" i="1"/>
  <c r="B1434" i="1"/>
  <c r="G1434" i="1"/>
  <c r="H1434" i="1"/>
  <c r="J1434" i="1"/>
  <c r="A1435" i="1"/>
  <c r="B1435" i="1"/>
  <c r="G1435" i="1"/>
  <c r="H1435" i="1"/>
  <c r="J1435" i="1"/>
  <c r="A1436" i="1"/>
  <c r="B1436" i="1"/>
  <c r="G1436" i="1"/>
  <c r="H1436" i="1"/>
  <c r="J1436" i="1"/>
  <c r="A1437" i="1"/>
  <c r="B1437" i="1"/>
  <c r="G1437" i="1"/>
  <c r="H1437" i="1"/>
  <c r="J1437" i="1"/>
  <c r="A1438" i="1"/>
  <c r="B1438" i="1"/>
  <c r="G1438" i="1"/>
  <c r="H1438" i="1"/>
  <c r="J1438" i="1"/>
  <c r="A1439" i="1"/>
  <c r="B1439" i="1"/>
  <c r="G1439" i="1"/>
  <c r="H1439" i="1"/>
  <c r="J1439" i="1"/>
  <c r="A1440" i="1"/>
  <c r="B1440" i="1"/>
  <c r="G1440" i="1"/>
  <c r="H1440" i="1"/>
  <c r="J1440" i="1"/>
  <c r="A1441" i="1"/>
  <c r="B1441" i="1"/>
  <c r="G1441" i="1"/>
  <c r="H1441" i="1"/>
  <c r="J1441" i="1"/>
  <c r="A1442" i="1"/>
  <c r="B1442" i="1"/>
  <c r="G1442" i="1"/>
  <c r="H1442" i="1"/>
  <c r="J1442" i="1"/>
  <c r="A1443" i="1"/>
  <c r="B1443" i="1"/>
  <c r="G1443" i="1"/>
  <c r="H1443" i="1"/>
  <c r="J1443" i="1"/>
  <c r="A1444" i="1"/>
  <c r="B1444" i="1"/>
  <c r="G1444" i="1"/>
  <c r="H1444" i="1"/>
  <c r="J1444" i="1"/>
  <c r="A1445" i="1"/>
  <c r="B1445" i="1"/>
  <c r="G1445" i="1"/>
  <c r="H1445" i="1"/>
  <c r="J1445" i="1"/>
  <c r="A1446" i="1"/>
  <c r="B1446" i="1"/>
  <c r="G1446" i="1"/>
  <c r="H1446" i="1"/>
  <c r="J1446" i="1"/>
  <c r="A1447" i="1"/>
  <c r="B1447" i="1"/>
  <c r="G1447" i="1"/>
  <c r="H1447" i="1"/>
  <c r="J1447" i="1"/>
  <c r="A1448" i="1"/>
  <c r="B1448" i="1"/>
  <c r="G1448" i="1"/>
  <c r="H1448" i="1"/>
  <c r="J1448" i="1"/>
  <c r="A1449" i="1"/>
  <c r="B1449" i="1"/>
  <c r="G1449" i="1"/>
  <c r="H1449" i="1"/>
  <c r="J1449" i="1"/>
  <c r="A1450" i="1"/>
  <c r="B1450" i="1"/>
  <c r="G1450" i="1"/>
  <c r="H1450" i="1"/>
  <c r="J1450" i="1"/>
  <c r="A1451" i="1"/>
  <c r="B1451" i="1"/>
  <c r="G1451" i="1"/>
  <c r="H1451" i="1"/>
  <c r="J1451" i="1"/>
  <c r="A1452" i="1"/>
  <c r="B1452" i="1"/>
  <c r="G1452" i="1"/>
  <c r="H1452" i="1"/>
  <c r="J1452" i="1"/>
  <c r="A1453" i="1"/>
  <c r="B1453" i="1"/>
  <c r="G1453" i="1"/>
  <c r="H1453" i="1"/>
  <c r="J1453" i="1"/>
  <c r="A1454" i="1"/>
  <c r="B1454" i="1"/>
  <c r="G1454" i="1"/>
  <c r="H1454" i="1"/>
  <c r="J1454" i="1"/>
  <c r="A1455" i="1"/>
  <c r="B1455" i="1"/>
  <c r="G1455" i="1"/>
  <c r="H1455" i="1"/>
  <c r="J1455" i="1"/>
  <c r="A1456" i="1"/>
  <c r="B1456" i="1"/>
  <c r="G1456" i="1"/>
  <c r="H1456" i="1"/>
  <c r="J1456" i="1"/>
  <c r="A1457" i="1"/>
  <c r="B1457" i="1"/>
  <c r="G1457" i="1"/>
  <c r="H1457" i="1"/>
  <c r="J1457" i="1"/>
  <c r="A1458" i="1"/>
  <c r="B1458" i="1"/>
  <c r="G1458" i="1"/>
  <c r="H1458" i="1"/>
  <c r="J1458" i="1"/>
  <c r="A1459" i="1"/>
  <c r="B1459" i="1"/>
  <c r="G1459" i="1"/>
  <c r="H1459" i="1"/>
  <c r="J1459" i="1"/>
  <c r="A1460" i="1"/>
  <c r="B1460" i="1"/>
  <c r="G1460" i="1"/>
  <c r="H1460" i="1"/>
  <c r="J1460" i="1"/>
  <c r="A1461" i="1"/>
  <c r="B1461" i="1"/>
  <c r="G1461" i="1"/>
  <c r="H1461" i="1"/>
  <c r="J1461" i="1"/>
  <c r="A1462" i="1"/>
  <c r="B1462" i="1"/>
  <c r="G1462" i="1"/>
  <c r="H1462" i="1"/>
  <c r="J1462" i="1"/>
  <c r="A1463" i="1"/>
  <c r="B1463" i="1"/>
  <c r="G1463" i="1"/>
  <c r="H1463" i="1"/>
  <c r="J1463" i="1"/>
  <c r="A1464" i="1"/>
  <c r="B1464" i="1"/>
  <c r="G1464" i="1"/>
  <c r="H1464" i="1"/>
  <c r="J1464" i="1"/>
  <c r="A1465" i="1"/>
  <c r="B1465" i="1"/>
  <c r="G1465" i="1"/>
  <c r="H1465" i="1"/>
  <c r="J1465" i="1"/>
  <c r="A1466" i="1"/>
  <c r="B1466" i="1"/>
  <c r="G1466" i="1"/>
  <c r="H1466" i="1"/>
  <c r="J1466" i="1"/>
  <c r="A1467" i="1"/>
  <c r="B1467" i="1"/>
  <c r="G1467" i="1"/>
  <c r="H1467" i="1"/>
  <c r="J1467" i="1"/>
  <c r="A1468" i="1"/>
  <c r="B1468" i="1"/>
  <c r="G1468" i="1"/>
  <c r="H1468" i="1"/>
  <c r="J1468" i="1"/>
  <c r="A1469" i="1"/>
  <c r="B1469" i="1"/>
  <c r="G1469" i="1"/>
  <c r="H1469" i="1"/>
  <c r="J1469" i="1"/>
  <c r="A1470" i="1"/>
  <c r="B1470" i="1"/>
  <c r="G1470" i="1"/>
  <c r="H1470" i="1"/>
  <c r="J1470" i="1"/>
  <c r="A1471" i="1"/>
  <c r="B1471" i="1"/>
  <c r="G1471" i="1"/>
  <c r="H1471" i="1"/>
  <c r="J1471" i="1"/>
  <c r="A1472" i="1"/>
  <c r="B1472" i="1"/>
  <c r="G1472" i="1"/>
  <c r="H1472" i="1"/>
  <c r="J1472" i="1"/>
  <c r="A1473" i="1"/>
  <c r="B1473" i="1"/>
  <c r="G1473" i="1"/>
  <c r="H1473" i="1"/>
  <c r="J1473" i="1"/>
  <c r="A1474" i="1"/>
  <c r="B1474" i="1"/>
  <c r="G1474" i="1"/>
  <c r="H1474" i="1"/>
  <c r="J1474" i="1"/>
  <c r="A1475" i="1"/>
  <c r="B1475" i="1"/>
  <c r="G1475" i="1"/>
  <c r="H1475" i="1"/>
  <c r="J1475" i="1"/>
  <c r="A1476" i="1"/>
  <c r="B1476" i="1"/>
  <c r="G1476" i="1"/>
  <c r="H1476" i="1"/>
  <c r="J1476" i="1"/>
  <c r="A1477" i="1"/>
  <c r="B1477" i="1"/>
  <c r="G1477" i="1"/>
  <c r="H1477" i="1"/>
  <c r="J1477" i="1"/>
  <c r="A1478" i="1"/>
  <c r="B1478" i="1"/>
  <c r="G1478" i="1"/>
  <c r="H1478" i="1"/>
  <c r="J1478" i="1"/>
  <c r="A1479" i="1"/>
  <c r="B1479" i="1"/>
  <c r="G1479" i="1"/>
  <c r="H1479" i="1"/>
  <c r="J1479" i="1"/>
  <c r="A1480" i="1"/>
  <c r="B1480" i="1"/>
  <c r="G1480" i="1"/>
  <c r="H1480" i="1"/>
  <c r="J1480" i="1"/>
  <c r="A1481" i="1"/>
  <c r="B1481" i="1"/>
  <c r="G1481" i="1"/>
  <c r="H1481" i="1"/>
  <c r="J1481" i="1"/>
  <c r="A1482" i="1"/>
  <c r="B1482" i="1"/>
  <c r="G1482" i="1"/>
  <c r="H1482" i="1"/>
  <c r="J1482" i="1"/>
  <c r="A1483" i="1"/>
  <c r="B1483" i="1"/>
  <c r="G1483" i="1"/>
  <c r="H1483" i="1"/>
  <c r="J1483" i="1"/>
  <c r="A1484" i="1"/>
  <c r="B1484" i="1"/>
  <c r="G1484" i="1"/>
  <c r="H1484" i="1"/>
  <c r="J1484" i="1"/>
  <c r="A1485" i="1"/>
  <c r="B1485" i="1"/>
  <c r="G1485" i="1"/>
  <c r="H1485" i="1"/>
  <c r="J1485" i="1"/>
  <c r="A1486" i="1"/>
  <c r="B1486" i="1"/>
  <c r="G1486" i="1"/>
  <c r="H1486" i="1"/>
  <c r="J1486" i="1"/>
  <c r="A1487" i="1"/>
  <c r="B1487" i="1"/>
  <c r="G1487" i="1"/>
  <c r="H1487" i="1"/>
  <c r="J1487" i="1"/>
  <c r="A1488" i="1"/>
  <c r="B1488" i="1"/>
  <c r="G1488" i="1"/>
  <c r="H1488" i="1"/>
  <c r="J1488" i="1"/>
  <c r="A1489" i="1"/>
  <c r="B1489" i="1"/>
  <c r="G1489" i="1"/>
  <c r="H1489" i="1"/>
  <c r="J1489" i="1"/>
  <c r="A1490" i="1"/>
  <c r="B1490" i="1"/>
  <c r="G1490" i="1"/>
  <c r="H1490" i="1"/>
  <c r="J1490" i="1"/>
  <c r="A1491" i="1"/>
  <c r="B1491" i="1"/>
  <c r="G1491" i="1"/>
  <c r="H1491" i="1"/>
  <c r="J1491" i="1"/>
  <c r="A1492" i="1"/>
  <c r="B1492" i="1"/>
  <c r="G1492" i="1"/>
  <c r="H1492" i="1"/>
  <c r="J1492" i="1"/>
  <c r="A1493" i="1"/>
  <c r="B1493" i="1"/>
  <c r="G1493" i="1"/>
  <c r="H1493" i="1"/>
  <c r="J1493" i="1"/>
  <c r="A1494" i="1"/>
  <c r="B1494" i="1"/>
  <c r="G1494" i="1"/>
  <c r="H1494" i="1"/>
  <c r="J1494" i="1"/>
  <c r="A1495" i="1"/>
  <c r="B1495" i="1"/>
  <c r="G1495" i="1"/>
  <c r="H1495" i="1"/>
  <c r="J1495" i="1"/>
  <c r="A1496" i="1"/>
  <c r="B1496" i="1"/>
  <c r="G1496" i="1"/>
  <c r="H1496" i="1"/>
  <c r="J1496" i="1"/>
  <c r="A1497" i="1"/>
  <c r="B1497" i="1"/>
  <c r="G1497" i="1"/>
  <c r="H1497" i="1"/>
  <c r="J1497" i="1"/>
  <c r="A1498" i="1"/>
  <c r="B1498" i="1"/>
  <c r="G1498" i="1"/>
  <c r="H1498" i="1"/>
  <c r="J1498" i="1"/>
  <c r="A1499" i="1"/>
  <c r="B1499" i="1"/>
  <c r="G1499" i="1"/>
  <c r="H1499" i="1"/>
  <c r="J1499" i="1"/>
  <c r="A1500" i="1"/>
  <c r="B1500" i="1"/>
  <c r="G1500" i="1"/>
  <c r="H1500" i="1"/>
  <c r="J1500" i="1"/>
  <c r="A1501" i="1"/>
  <c r="B1501" i="1"/>
  <c r="G1501" i="1"/>
  <c r="H1501" i="1"/>
  <c r="J1501" i="1"/>
  <c r="A1502" i="1"/>
  <c r="B1502" i="1"/>
  <c r="G1502" i="1"/>
  <c r="H1502" i="1"/>
  <c r="J1502" i="1"/>
  <c r="A1503" i="1"/>
  <c r="B1503" i="1"/>
  <c r="G1503" i="1"/>
  <c r="H1503" i="1"/>
  <c r="J1503" i="1"/>
  <c r="A1504" i="1"/>
  <c r="B1504" i="1"/>
  <c r="G1504" i="1"/>
  <c r="H1504" i="1"/>
  <c r="J1504" i="1"/>
  <c r="A1505" i="1"/>
  <c r="B1505" i="1"/>
  <c r="G1505" i="1"/>
  <c r="H1505" i="1"/>
  <c r="J1505" i="1"/>
  <c r="A1506" i="1"/>
  <c r="B1506" i="1"/>
  <c r="G1506" i="1"/>
  <c r="H1506" i="1"/>
  <c r="J1506" i="1"/>
  <c r="A1507" i="1"/>
  <c r="B1507" i="1"/>
  <c r="G1507" i="1"/>
  <c r="H1507" i="1"/>
  <c r="J1507" i="1"/>
  <c r="A1508" i="1"/>
  <c r="B1508" i="1"/>
  <c r="G1508" i="1"/>
  <c r="H1508" i="1"/>
  <c r="J1508" i="1"/>
  <c r="A1509" i="1"/>
  <c r="B1509" i="1"/>
  <c r="G1509" i="1"/>
  <c r="H1509" i="1"/>
  <c r="J1509" i="1"/>
  <c r="A1510" i="1"/>
  <c r="B1510" i="1"/>
  <c r="G1510" i="1"/>
  <c r="H1510" i="1"/>
  <c r="J1510" i="1"/>
  <c r="A1511" i="1"/>
  <c r="B1511" i="1"/>
  <c r="G1511" i="1"/>
  <c r="H1511" i="1"/>
  <c r="J1511" i="1"/>
  <c r="A1512" i="1"/>
  <c r="B1512" i="1"/>
  <c r="G1512" i="1"/>
  <c r="H1512" i="1"/>
  <c r="J1512" i="1"/>
  <c r="A1513" i="1"/>
  <c r="B1513" i="1"/>
  <c r="G1513" i="1"/>
  <c r="H1513" i="1"/>
  <c r="J1513" i="1"/>
  <c r="A1514" i="1"/>
  <c r="B1514" i="1"/>
  <c r="G1514" i="1"/>
  <c r="H1514" i="1"/>
  <c r="J1514" i="1"/>
  <c r="A1515" i="1"/>
  <c r="B1515" i="1"/>
  <c r="G1515" i="1"/>
  <c r="H1515" i="1"/>
  <c r="J1515" i="1"/>
  <c r="A1516" i="1"/>
  <c r="B1516" i="1"/>
  <c r="G1516" i="1"/>
  <c r="H1516" i="1"/>
  <c r="J1516" i="1"/>
  <c r="A1517" i="1"/>
  <c r="B1517" i="1"/>
  <c r="G1517" i="1"/>
  <c r="H1517" i="1"/>
  <c r="J1517" i="1"/>
  <c r="A1518" i="1"/>
  <c r="B1518" i="1"/>
  <c r="G1518" i="1"/>
  <c r="H1518" i="1"/>
  <c r="J1518" i="1"/>
  <c r="A1519" i="1"/>
  <c r="B1519" i="1"/>
  <c r="G1519" i="1"/>
  <c r="H1519" i="1"/>
  <c r="J1519" i="1"/>
  <c r="A1520" i="1"/>
  <c r="B1520" i="1"/>
  <c r="G1520" i="1"/>
  <c r="H1520" i="1"/>
  <c r="J1520" i="1"/>
  <c r="A1521" i="1"/>
  <c r="B1521" i="1"/>
  <c r="G1521" i="1"/>
  <c r="H1521" i="1"/>
  <c r="J1521" i="1"/>
  <c r="A1522" i="1"/>
  <c r="B1522" i="1"/>
  <c r="G1522" i="1"/>
  <c r="H1522" i="1"/>
  <c r="J1522" i="1"/>
  <c r="A1523" i="1"/>
  <c r="B1523" i="1"/>
  <c r="G1523" i="1"/>
  <c r="H1523" i="1"/>
  <c r="J1523" i="1"/>
  <c r="A1524" i="1"/>
  <c r="B1524" i="1"/>
  <c r="G1524" i="1"/>
  <c r="H1524" i="1"/>
  <c r="J1524" i="1"/>
  <c r="A1525" i="1"/>
  <c r="B1525" i="1"/>
  <c r="G1525" i="1"/>
  <c r="H1525" i="1"/>
  <c r="J1525" i="1"/>
  <c r="A1526" i="1"/>
  <c r="B1526" i="1"/>
  <c r="G1526" i="1"/>
  <c r="H1526" i="1"/>
  <c r="J1526" i="1"/>
  <c r="A1527" i="1"/>
  <c r="B1527" i="1"/>
  <c r="G1527" i="1"/>
  <c r="H1527" i="1"/>
  <c r="J1527" i="1"/>
  <c r="A1528" i="1"/>
  <c r="B1528" i="1"/>
  <c r="G1528" i="1"/>
  <c r="H1528" i="1"/>
  <c r="J1528" i="1"/>
  <c r="A1529" i="1"/>
  <c r="B1529" i="1"/>
  <c r="G1529" i="1"/>
  <c r="H1529" i="1"/>
  <c r="J1529" i="1"/>
  <c r="A1530" i="1"/>
  <c r="B1530" i="1"/>
  <c r="G1530" i="1"/>
  <c r="H1530" i="1"/>
  <c r="J1530" i="1"/>
  <c r="A1531" i="1"/>
  <c r="B1531" i="1"/>
  <c r="G1531" i="1"/>
  <c r="H1531" i="1"/>
  <c r="J1531" i="1"/>
  <c r="A1532" i="1"/>
  <c r="B1532" i="1"/>
  <c r="G1532" i="1"/>
  <c r="H1532" i="1"/>
  <c r="J1532" i="1"/>
  <c r="A1533" i="1"/>
  <c r="B1533" i="1"/>
  <c r="G1533" i="1"/>
  <c r="H1533" i="1"/>
  <c r="J1533" i="1"/>
  <c r="A1534" i="1"/>
  <c r="B1534" i="1"/>
  <c r="G1534" i="1"/>
  <c r="H1534" i="1"/>
  <c r="J1534" i="1"/>
  <c r="A1535" i="1"/>
  <c r="B1535" i="1"/>
  <c r="G1535" i="1"/>
  <c r="H1535" i="1"/>
  <c r="J1535" i="1"/>
  <c r="A1536" i="1"/>
  <c r="B1536" i="1"/>
  <c r="G1536" i="1"/>
  <c r="H1536" i="1"/>
  <c r="J1536" i="1"/>
  <c r="A1537" i="1"/>
  <c r="B1537" i="1"/>
  <c r="G1537" i="1"/>
  <c r="H1537" i="1"/>
  <c r="J1537" i="1"/>
  <c r="A1538" i="1"/>
  <c r="B1538" i="1"/>
  <c r="G1538" i="1"/>
  <c r="H1538" i="1"/>
  <c r="J1538" i="1"/>
  <c r="A1539" i="1"/>
  <c r="B1539" i="1"/>
  <c r="G1539" i="1"/>
  <c r="H1539" i="1"/>
  <c r="J1539" i="1"/>
  <c r="A1540" i="1"/>
  <c r="B1540" i="1"/>
  <c r="G1540" i="1"/>
  <c r="H1540" i="1"/>
  <c r="J1540" i="1"/>
  <c r="A1541" i="1"/>
  <c r="B1541" i="1"/>
  <c r="G1541" i="1"/>
  <c r="H1541" i="1"/>
  <c r="J1541" i="1"/>
  <c r="A1542" i="1"/>
  <c r="B1542" i="1"/>
  <c r="G1542" i="1"/>
  <c r="H1542" i="1"/>
  <c r="J1542" i="1"/>
  <c r="A1543" i="1"/>
  <c r="B1543" i="1"/>
  <c r="G1543" i="1"/>
  <c r="H1543" i="1"/>
  <c r="J1543" i="1"/>
  <c r="A1544" i="1"/>
  <c r="B1544" i="1"/>
  <c r="G1544" i="1"/>
  <c r="H1544" i="1"/>
  <c r="J1544" i="1"/>
  <c r="A1545" i="1"/>
  <c r="B1545" i="1"/>
  <c r="G1545" i="1"/>
  <c r="H1545" i="1"/>
  <c r="J1545" i="1"/>
  <c r="A1546" i="1"/>
  <c r="B1546" i="1"/>
  <c r="G1546" i="1"/>
  <c r="H1546" i="1"/>
  <c r="J1546" i="1"/>
  <c r="A1547" i="1"/>
  <c r="B1547" i="1"/>
  <c r="G1547" i="1"/>
  <c r="H1547" i="1"/>
  <c r="J1547" i="1"/>
  <c r="A1548" i="1"/>
  <c r="B1548" i="1"/>
  <c r="G1548" i="1"/>
  <c r="H1548" i="1"/>
  <c r="J1548" i="1"/>
  <c r="A1549" i="1"/>
  <c r="B1549" i="1"/>
  <c r="G1549" i="1"/>
  <c r="H1549" i="1"/>
  <c r="J1549" i="1"/>
  <c r="A1550" i="1"/>
  <c r="B1550" i="1"/>
  <c r="G1550" i="1"/>
  <c r="H1550" i="1"/>
  <c r="J1550" i="1"/>
  <c r="A1551" i="1"/>
  <c r="B1551" i="1"/>
  <c r="G1551" i="1"/>
  <c r="H1551" i="1"/>
  <c r="J1551" i="1"/>
  <c r="A1552" i="1"/>
  <c r="B1552" i="1"/>
  <c r="G1552" i="1"/>
  <c r="H1552" i="1"/>
  <c r="J1552" i="1"/>
  <c r="A1553" i="1"/>
  <c r="B1553" i="1"/>
  <c r="G1553" i="1"/>
  <c r="H1553" i="1"/>
  <c r="J1553" i="1"/>
  <c r="A1554" i="1"/>
  <c r="B1554" i="1"/>
  <c r="G1554" i="1"/>
  <c r="H1554" i="1"/>
  <c r="J1554" i="1"/>
  <c r="A1555" i="1"/>
  <c r="B1555" i="1"/>
  <c r="G1555" i="1"/>
  <c r="H1555" i="1"/>
  <c r="J1555" i="1"/>
  <c r="A1556" i="1"/>
  <c r="B1556" i="1"/>
  <c r="G1556" i="1"/>
  <c r="H1556" i="1"/>
  <c r="J1556" i="1"/>
  <c r="A1557" i="1"/>
  <c r="B1557" i="1"/>
  <c r="G1557" i="1"/>
  <c r="H1557" i="1"/>
  <c r="J1557" i="1"/>
  <c r="A1558" i="1"/>
  <c r="B1558" i="1"/>
  <c r="G1558" i="1"/>
  <c r="H1558" i="1"/>
  <c r="J1558" i="1"/>
  <c r="A1559" i="1"/>
  <c r="B1559" i="1"/>
  <c r="G1559" i="1"/>
  <c r="H1559" i="1"/>
  <c r="J1559" i="1"/>
  <c r="A1560" i="1"/>
  <c r="B1560" i="1"/>
  <c r="G1560" i="1"/>
  <c r="H1560" i="1"/>
  <c r="J1560" i="1"/>
  <c r="A1561" i="1"/>
  <c r="B1561" i="1"/>
  <c r="G1561" i="1"/>
  <c r="H1561" i="1"/>
  <c r="J1561" i="1"/>
  <c r="A1562" i="1"/>
  <c r="B1562" i="1"/>
  <c r="G1562" i="1"/>
  <c r="H1562" i="1"/>
  <c r="J1562" i="1"/>
  <c r="A1563" i="1"/>
  <c r="B1563" i="1"/>
  <c r="G1563" i="1"/>
  <c r="H1563" i="1"/>
  <c r="J1563" i="1"/>
  <c r="A1564" i="1"/>
  <c r="B1564" i="1"/>
  <c r="G1564" i="1"/>
  <c r="H1564" i="1"/>
  <c r="J1564" i="1"/>
  <c r="A1565" i="1"/>
  <c r="B1565" i="1"/>
  <c r="G1565" i="1"/>
  <c r="H1565" i="1"/>
  <c r="J1565" i="1"/>
  <c r="A1566" i="1"/>
  <c r="B1566" i="1"/>
  <c r="G1566" i="1"/>
  <c r="H1566" i="1"/>
  <c r="J1566" i="1"/>
  <c r="A1567" i="1"/>
  <c r="B1567" i="1"/>
  <c r="G1567" i="1"/>
  <c r="H1567" i="1"/>
  <c r="J1567" i="1"/>
  <c r="A1568" i="1"/>
  <c r="B1568" i="1"/>
  <c r="G1568" i="1"/>
  <c r="H1568" i="1"/>
  <c r="J1568" i="1"/>
  <c r="A1569" i="1"/>
  <c r="B1569" i="1"/>
  <c r="G1569" i="1"/>
  <c r="H1569" i="1"/>
  <c r="J1569" i="1"/>
  <c r="A1570" i="1"/>
  <c r="B1570" i="1"/>
  <c r="G1570" i="1"/>
  <c r="H1570" i="1"/>
  <c r="J1570" i="1"/>
  <c r="A1571" i="1"/>
  <c r="B1571" i="1"/>
  <c r="G1571" i="1"/>
  <c r="H1571" i="1"/>
  <c r="J1571" i="1"/>
  <c r="A1572" i="1"/>
  <c r="B1572" i="1"/>
  <c r="G1572" i="1"/>
  <c r="H1572" i="1"/>
  <c r="J1572" i="1"/>
  <c r="A1573" i="1"/>
  <c r="B1573" i="1"/>
  <c r="G1573" i="1"/>
  <c r="H1573" i="1"/>
  <c r="J1573" i="1"/>
  <c r="A1574" i="1"/>
  <c r="B1574" i="1"/>
  <c r="G1574" i="1"/>
  <c r="H1574" i="1"/>
  <c r="J1574" i="1"/>
  <c r="A1575" i="1"/>
  <c r="B1575" i="1"/>
  <c r="G1575" i="1"/>
  <c r="H1575" i="1"/>
  <c r="J1575" i="1"/>
  <c r="A1576" i="1"/>
  <c r="B1576" i="1"/>
  <c r="G1576" i="1"/>
  <c r="H1576" i="1"/>
  <c r="J1576" i="1"/>
  <c r="A1577" i="1"/>
  <c r="B1577" i="1"/>
  <c r="G1577" i="1"/>
  <c r="H1577" i="1"/>
  <c r="J1577" i="1"/>
  <c r="A1578" i="1"/>
  <c r="B1578" i="1"/>
  <c r="G1578" i="1"/>
  <c r="H1578" i="1"/>
  <c r="J1578" i="1"/>
  <c r="A1579" i="1"/>
  <c r="B1579" i="1"/>
  <c r="G1579" i="1"/>
  <c r="H1579" i="1"/>
  <c r="J1579" i="1"/>
  <c r="A1580" i="1"/>
  <c r="B1580" i="1"/>
  <c r="G1580" i="1"/>
  <c r="H1580" i="1"/>
  <c r="J1580" i="1"/>
  <c r="A1581" i="1"/>
  <c r="B1581" i="1"/>
  <c r="G1581" i="1"/>
  <c r="H1581" i="1"/>
  <c r="J1581" i="1"/>
  <c r="A1582" i="1"/>
  <c r="B1582" i="1"/>
  <c r="G1582" i="1"/>
  <c r="H1582" i="1"/>
  <c r="J1582" i="1"/>
  <c r="A1583" i="1"/>
  <c r="B1583" i="1"/>
  <c r="G1583" i="1"/>
  <c r="H1583" i="1"/>
  <c r="J1583" i="1"/>
  <c r="A1584" i="1"/>
  <c r="B1584" i="1"/>
  <c r="G1584" i="1"/>
  <c r="H1584" i="1"/>
  <c r="J1584" i="1"/>
  <c r="A1585" i="1"/>
  <c r="B1585" i="1"/>
  <c r="G1585" i="1"/>
  <c r="H1585" i="1"/>
  <c r="J1585" i="1"/>
  <c r="A1586" i="1"/>
  <c r="B1586" i="1"/>
  <c r="G1586" i="1"/>
  <c r="H1586" i="1"/>
  <c r="J1586" i="1"/>
  <c r="A1587" i="1"/>
  <c r="B1587" i="1"/>
  <c r="G1587" i="1"/>
  <c r="H1587" i="1"/>
  <c r="J1587" i="1"/>
  <c r="A1588" i="1"/>
  <c r="B1588" i="1"/>
  <c r="G1588" i="1"/>
  <c r="H1588" i="1"/>
  <c r="J1588" i="1"/>
  <c r="A1589" i="1"/>
  <c r="B1589" i="1"/>
  <c r="G1589" i="1"/>
  <c r="H1589" i="1"/>
  <c r="J1589" i="1"/>
  <c r="A1590" i="1"/>
  <c r="B1590" i="1"/>
  <c r="G1590" i="1"/>
  <c r="H1590" i="1"/>
  <c r="J1590" i="1"/>
  <c r="A1591" i="1"/>
  <c r="B1591" i="1"/>
  <c r="G1591" i="1"/>
  <c r="H1591" i="1"/>
  <c r="J1591" i="1"/>
  <c r="A1592" i="1"/>
  <c r="B1592" i="1"/>
  <c r="G1592" i="1"/>
  <c r="H1592" i="1"/>
  <c r="J1592" i="1"/>
  <c r="A1593" i="1"/>
  <c r="B1593" i="1"/>
  <c r="G1593" i="1"/>
  <c r="H1593" i="1"/>
  <c r="J1593" i="1"/>
  <c r="A1594" i="1"/>
  <c r="B1594" i="1"/>
  <c r="G1594" i="1"/>
  <c r="H1594" i="1"/>
  <c r="J1594" i="1"/>
  <c r="A1595" i="1"/>
  <c r="B1595" i="1"/>
  <c r="G1595" i="1"/>
  <c r="H1595" i="1"/>
  <c r="J1595" i="1"/>
  <c r="A1596" i="1"/>
  <c r="B1596" i="1"/>
  <c r="G1596" i="1"/>
  <c r="H1596" i="1"/>
  <c r="J1596" i="1"/>
  <c r="A1597" i="1"/>
  <c r="B1597" i="1"/>
  <c r="G1597" i="1"/>
  <c r="H1597" i="1"/>
  <c r="J1597" i="1"/>
  <c r="A1598" i="1"/>
  <c r="B1598" i="1"/>
  <c r="G1598" i="1"/>
  <c r="H1598" i="1"/>
  <c r="J1598" i="1"/>
  <c r="A1599" i="1"/>
  <c r="B1599" i="1"/>
  <c r="G1599" i="1"/>
  <c r="H1599" i="1"/>
  <c r="J1599" i="1"/>
  <c r="A1600" i="1"/>
  <c r="B1600" i="1"/>
  <c r="G1600" i="1"/>
  <c r="H1600" i="1"/>
  <c r="J1600" i="1"/>
  <c r="A1601" i="1"/>
  <c r="B1601" i="1"/>
  <c r="G1601" i="1"/>
  <c r="H1601" i="1"/>
  <c r="J1601" i="1"/>
  <c r="A1602" i="1"/>
  <c r="B1602" i="1"/>
  <c r="G1602" i="1"/>
  <c r="H1602" i="1"/>
  <c r="J1602" i="1"/>
  <c r="A1603" i="1"/>
  <c r="B1603" i="1"/>
  <c r="G1603" i="1"/>
  <c r="H1603" i="1"/>
  <c r="J1603" i="1"/>
  <c r="A1604" i="1"/>
  <c r="B1604" i="1"/>
  <c r="G1604" i="1"/>
  <c r="H1604" i="1"/>
  <c r="J1604" i="1"/>
  <c r="A1605" i="1"/>
  <c r="B1605" i="1"/>
  <c r="G1605" i="1"/>
  <c r="H1605" i="1"/>
  <c r="J1605" i="1"/>
  <c r="A1606" i="1"/>
  <c r="B1606" i="1"/>
  <c r="G1606" i="1"/>
  <c r="H1606" i="1"/>
  <c r="J1606" i="1"/>
  <c r="A1607" i="1"/>
  <c r="B1607" i="1"/>
  <c r="G1607" i="1"/>
  <c r="H1607" i="1"/>
  <c r="J1607" i="1"/>
  <c r="A1608" i="1"/>
  <c r="B1608" i="1"/>
  <c r="G1608" i="1"/>
  <c r="H1608" i="1"/>
  <c r="J1608" i="1"/>
  <c r="A1609" i="1"/>
  <c r="B1609" i="1"/>
  <c r="G1609" i="1"/>
  <c r="H1609" i="1"/>
  <c r="J1609" i="1"/>
  <c r="A1610" i="1"/>
  <c r="B1610" i="1"/>
  <c r="G1610" i="1"/>
  <c r="H1610" i="1"/>
  <c r="J1610" i="1"/>
  <c r="A1611" i="1"/>
  <c r="B1611" i="1"/>
  <c r="G1611" i="1"/>
  <c r="H1611" i="1"/>
  <c r="J1611" i="1"/>
  <c r="A1612" i="1"/>
  <c r="B1612" i="1"/>
  <c r="G1612" i="1"/>
  <c r="H1612" i="1"/>
  <c r="J1612" i="1"/>
  <c r="A1613" i="1"/>
  <c r="B1613" i="1"/>
  <c r="G1613" i="1"/>
  <c r="H1613" i="1"/>
  <c r="J1613" i="1"/>
  <c r="A1614" i="1"/>
  <c r="B1614" i="1"/>
  <c r="G1614" i="1"/>
  <c r="H1614" i="1"/>
  <c r="J1614" i="1"/>
  <c r="A1615" i="1"/>
  <c r="B1615" i="1"/>
  <c r="G1615" i="1"/>
  <c r="H1615" i="1"/>
  <c r="J1615" i="1"/>
  <c r="A1616" i="1"/>
  <c r="B1616" i="1"/>
  <c r="G1616" i="1"/>
  <c r="H1616" i="1"/>
  <c r="J1616" i="1"/>
  <c r="A1617" i="1"/>
  <c r="B1617" i="1"/>
  <c r="G1617" i="1"/>
  <c r="H1617" i="1"/>
  <c r="J1617" i="1"/>
  <c r="A1618" i="1"/>
  <c r="B1618" i="1"/>
  <c r="G1618" i="1"/>
  <c r="H1618" i="1"/>
  <c r="J1618" i="1"/>
  <c r="A1619" i="1"/>
  <c r="B1619" i="1"/>
  <c r="G1619" i="1"/>
  <c r="H1619" i="1"/>
  <c r="J1619" i="1"/>
  <c r="A1620" i="1"/>
  <c r="B1620" i="1"/>
  <c r="G1620" i="1"/>
  <c r="H1620" i="1"/>
  <c r="J1620" i="1"/>
  <c r="A1621" i="1"/>
  <c r="B1621" i="1"/>
  <c r="G1621" i="1"/>
  <c r="H1621" i="1"/>
  <c r="J1621" i="1"/>
  <c r="A1622" i="1"/>
  <c r="B1622" i="1"/>
  <c r="G1622" i="1"/>
  <c r="H1622" i="1"/>
  <c r="J1622" i="1"/>
  <c r="A1623" i="1"/>
  <c r="B1623" i="1"/>
  <c r="G1623" i="1"/>
  <c r="H1623" i="1"/>
  <c r="J1623" i="1"/>
  <c r="A1624" i="1"/>
  <c r="B1624" i="1"/>
  <c r="G1624" i="1"/>
  <c r="H1624" i="1"/>
  <c r="J1624" i="1"/>
  <c r="A1625" i="1"/>
  <c r="B1625" i="1"/>
  <c r="G1625" i="1"/>
  <c r="H1625" i="1"/>
  <c r="J1625" i="1"/>
  <c r="A1626" i="1"/>
  <c r="B1626" i="1"/>
  <c r="G1626" i="1"/>
  <c r="H1626" i="1"/>
  <c r="J1626" i="1"/>
  <c r="A1627" i="1"/>
  <c r="B1627" i="1"/>
  <c r="G1627" i="1"/>
  <c r="H1627" i="1"/>
  <c r="J1627" i="1"/>
  <c r="A1628" i="1"/>
  <c r="B1628" i="1"/>
  <c r="G1628" i="1"/>
  <c r="H1628" i="1"/>
  <c r="J1628" i="1"/>
  <c r="A1629" i="1"/>
  <c r="B1629" i="1"/>
  <c r="G1629" i="1"/>
  <c r="H1629" i="1"/>
  <c r="J1629" i="1"/>
  <c r="A1630" i="1"/>
  <c r="B1630" i="1"/>
  <c r="G1630" i="1"/>
  <c r="H1630" i="1"/>
  <c r="J1630" i="1"/>
  <c r="A1631" i="1"/>
  <c r="B1631" i="1"/>
  <c r="G1631" i="1"/>
  <c r="H1631" i="1"/>
  <c r="J1631" i="1"/>
  <c r="A1632" i="1"/>
  <c r="B1632" i="1"/>
  <c r="G1632" i="1"/>
  <c r="H1632" i="1"/>
  <c r="J1632" i="1"/>
  <c r="A1633" i="1"/>
  <c r="B1633" i="1"/>
  <c r="G1633" i="1"/>
  <c r="H1633" i="1"/>
  <c r="J1633" i="1"/>
  <c r="A1634" i="1"/>
  <c r="B1634" i="1"/>
  <c r="G1634" i="1"/>
  <c r="H1634" i="1"/>
  <c r="J1634" i="1"/>
  <c r="A1635" i="1"/>
  <c r="B1635" i="1"/>
  <c r="G1635" i="1"/>
  <c r="H1635" i="1"/>
  <c r="J1635" i="1"/>
  <c r="A1636" i="1"/>
  <c r="B1636" i="1"/>
  <c r="G1636" i="1"/>
  <c r="H1636" i="1"/>
  <c r="J1636" i="1"/>
  <c r="A1637" i="1"/>
  <c r="B1637" i="1"/>
  <c r="G1637" i="1"/>
  <c r="H1637" i="1"/>
  <c r="J1637" i="1"/>
  <c r="A1638" i="1"/>
  <c r="B1638" i="1"/>
  <c r="G1638" i="1"/>
  <c r="H1638" i="1"/>
  <c r="J1638" i="1"/>
  <c r="A1639" i="1"/>
  <c r="B1639" i="1"/>
  <c r="G1639" i="1"/>
  <c r="H1639" i="1"/>
  <c r="J1639" i="1"/>
  <c r="A1640" i="1"/>
  <c r="B1640" i="1"/>
  <c r="G1640" i="1"/>
  <c r="H1640" i="1"/>
  <c r="J1640" i="1"/>
  <c r="A1641" i="1"/>
  <c r="B1641" i="1"/>
  <c r="G1641" i="1"/>
  <c r="H1641" i="1"/>
  <c r="J1641" i="1"/>
  <c r="A1642" i="1"/>
  <c r="B1642" i="1"/>
  <c r="G1642" i="1"/>
  <c r="H1642" i="1"/>
  <c r="J1642" i="1"/>
  <c r="A1643" i="1"/>
  <c r="B1643" i="1"/>
  <c r="G1643" i="1"/>
  <c r="H1643" i="1"/>
  <c r="J1643" i="1"/>
  <c r="A1644" i="1"/>
  <c r="B1644" i="1"/>
  <c r="G1644" i="1"/>
  <c r="H1644" i="1"/>
  <c r="J1644" i="1"/>
  <c r="A1645" i="1"/>
  <c r="B1645" i="1"/>
  <c r="G1645" i="1"/>
  <c r="H1645" i="1"/>
  <c r="J1645" i="1"/>
  <c r="A1646" i="1"/>
  <c r="B1646" i="1"/>
  <c r="G1646" i="1"/>
  <c r="H1646" i="1"/>
  <c r="J1646" i="1"/>
  <c r="A1647" i="1"/>
  <c r="B1647" i="1"/>
  <c r="G1647" i="1"/>
  <c r="H1647" i="1"/>
  <c r="J1647" i="1"/>
  <c r="A1648" i="1"/>
  <c r="B1648" i="1"/>
  <c r="G1648" i="1"/>
  <c r="H1648" i="1"/>
  <c r="J1648" i="1"/>
  <c r="A1649" i="1"/>
  <c r="B1649" i="1"/>
  <c r="G1649" i="1"/>
  <c r="H1649" i="1"/>
  <c r="J1649" i="1"/>
  <c r="A1650" i="1"/>
  <c r="B1650" i="1"/>
  <c r="G1650" i="1"/>
  <c r="H1650" i="1"/>
  <c r="J1650" i="1"/>
  <c r="A1651" i="1"/>
  <c r="B1651" i="1"/>
  <c r="G1651" i="1"/>
  <c r="H1651" i="1"/>
  <c r="J1651" i="1"/>
  <c r="A1652" i="1"/>
  <c r="B1652" i="1"/>
  <c r="G1652" i="1"/>
  <c r="H1652" i="1"/>
  <c r="J1652" i="1"/>
  <c r="A1653" i="1"/>
  <c r="B1653" i="1"/>
  <c r="G1653" i="1"/>
  <c r="H1653" i="1"/>
  <c r="J1653" i="1"/>
  <c r="A1654" i="1"/>
  <c r="B1654" i="1"/>
  <c r="G1654" i="1"/>
  <c r="H1654" i="1"/>
  <c r="J1654" i="1"/>
  <c r="A1655" i="1"/>
  <c r="B1655" i="1"/>
  <c r="G1655" i="1"/>
  <c r="H1655" i="1"/>
  <c r="J1655" i="1"/>
  <c r="A1656" i="1"/>
  <c r="B1656" i="1"/>
  <c r="G1656" i="1"/>
  <c r="H1656" i="1"/>
  <c r="J1656" i="1"/>
  <c r="A1657" i="1"/>
  <c r="B1657" i="1"/>
  <c r="G1657" i="1"/>
  <c r="H1657" i="1"/>
  <c r="J1657" i="1"/>
  <c r="A1658" i="1"/>
  <c r="B1658" i="1"/>
  <c r="G1658" i="1"/>
  <c r="H1658" i="1"/>
  <c r="J1658" i="1"/>
  <c r="A1659" i="1"/>
  <c r="B1659" i="1"/>
  <c r="G1659" i="1"/>
  <c r="H1659" i="1"/>
  <c r="J1659" i="1"/>
  <c r="A1660" i="1"/>
  <c r="B1660" i="1"/>
  <c r="G1660" i="1"/>
  <c r="H1660" i="1"/>
  <c r="J1660" i="1"/>
  <c r="A1661" i="1"/>
  <c r="B1661" i="1"/>
  <c r="G1661" i="1"/>
  <c r="H1661" i="1"/>
  <c r="J1661" i="1"/>
  <c r="A1662" i="1"/>
  <c r="B1662" i="1"/>
  <c r="G1662" i="1"/>
  <c r="H1662" i="1"/>
  <c r="J1662" i="1"/>
  <c r="A1663" i="1"/>
  <c r="B1663" i="1"/>
  <c r="G1663" i="1"/>
  <c r="H1663" i="1"/>
  <c r="J1663" i="1"/>
  <c r="A1664" i="1"/>
  <c r="B1664" i="1"/>
  <c r="G1664" i="1"/>
  <c r="H1664" i="1"/>
  <c r="J1664" i="1"/>
  <c r="A1665" i="1"/>
  <c r="B1665" i="1"/>
  <c r="G1665" i="1"/>
  <c r="H1665" i="1"/>
  <c r="J1665" i="1"/>
  <c r="A1666" i="1"/>
  <c r="B1666" i="1"/>
  <c r="G1666" i="1"/>
  <c r="H1666" i="1"/>
  <c r="J1666" i="1"/>
  <c r="A1667" i="1"/>
  <c r="B1667" i="1"/>
  <c r="G1667" i="1"/>
  <c r="H1667" i="1"/>
  <c r="J1667" i="1"/>
  <c r="A1668" i="1"/>
  <c r="B1668" i="1"/>
  <c r="G1668" i="1"/>
  <c r="H1668" i="1"/>
  <c r="J1668" i="1"/>
  <c r="A1669" i="1"/>
  <c r="B1669" i="1"/>
  <c r="G1669" i="1"/>
  <c r="H1669" i="1"/>
  <c r="J1669" i="1"/>
  <c r="A1670" i="1"/>
  <c r="B1670" i="1"/>
  <c r="G1670" i="1"/>
  <c r="H1670" i="1"/>
  <c r="J1670" i="1"/>
  <c r="A1671" i="1"/>
  <c r="B1671" i="1"/>
  <c r="G1671" i="1"/>
  <c r="H1671" i="1"/>
  <c r="J1671" i="1"/>
  <c r="A1672" i="1"/>
  <c r="B1672" i="1"/>
  <c r="G1672" i="1"/>
  <c r="H1672" i="1"/>
  <c r="J1672" i="1"/>
  <c r="A1673" i="1"/>
  <c r="B1673" i="1"/>
  <c r="G1673" i="1"/>
  <c r="H1673" i="1"/>
  <c r="J1673" i="1"/>
  <c r="A1674" i="1"/>
  <c r="B1674" i="1"/>
  <c r="G1674" i="1"/>
  <c r="H1674" i="1"/>
  <c r="J1674" i="1"/>
  <c r="A1675" i="1"/>
  <c r="B1675" i="1"/>
  <c r="G1675" i="1"/>
  <c r="H1675" i="1"/>
  <c r="J1675" i="1"/>
  <c r="A1676" i="1"/>
  <c r="B1676" i="1"/>
  <c r="G1676" i="1"/>
  <c r="H1676" i="1"/>
  <c r="J1676" i="1"/>
  <c r="A1677" i="1"/>
  <c r="B1677" i="1"/>
  <c r="G1677" i="1"/>
  <c r="H1677" i="1"/>
  <c r="J1677" i="1"/>
  <c r="A1678" i="1"/>
  <c r="B1678" i="1"/>
  <c r="G1678" i="1"/>
  <c r="H1678" i="1"/>
  <c r="J1678" i="1"/>
  <c r="A1679" i="1"/>
  <c r="B1679" i="1"/>
  <c r="G1679" i="1"/>
  <c r="H1679" i="1"/>
  <c r="J1679" i="1"/>
  <c r="A1680" i="1"/>
  <c r="B1680" i="1"/>
  <c r="G1680" i="1"/>
  <c r="H1680" i="1"/>
  <c r="J1680" i="1"/>
  <c r="A1681" i="1"/>
  <c r="B1681" i="1"/>
  <c r="G1681" i="1"/>
  <c r="H1681" i="1"/>
  <c r="J1681" i="1"/>
  <c r="A1682" i="1"/>
  <c r="B1682" i="1"/>
  <c r="G1682" i="1"/>
  <c r="H1682" i="1"/>
  <c r="J1682" i="1"/>
  <c r="A1683" i="1"/>
  <c r="B1683" i="1"/>
  <c r="G1683" i="1"/>
  <c r="H1683" i="1"/>
  <c r="J1683" i="1"/>
  <c r="A1684" i="1"/>
  <c r="B1684" i="1"/>
  <c r="G1684" i="1"/>
  <c r="H1684" i="1"/>
  <c r="J1684" i="1"/>
  <c r="A1685" i="1"/>
  <c r="B1685" i="1"/>
  <c r="G1685" i="1"/>
  <c r="H1685" i="1"/>
  <c r="J1685" i="1"/>
  <c r="A1686" i="1"/>
  <c r="B1686" i="1"/>
  <c r="G1686" i="1"/>
  <c r="H1686" i="1"/>
  <c r="J1686" i="1"/>
  <c r="A1687" i="1"/>
  <c r="B1687" i="1"/>
  <c r="G1687" i="1"/>
  <c r="H1687" i="1"/>
  <c r="J1687" i="1"/>
  <c r="A1688" i="1"/>
  <c r="B1688" i="1"/>
  <c r="G1688" i="1"/>
  <c r="H1688" i="1"/>
  <c r="J1688" i="1"/>
  <c r="A1689" i="1"/>
  <c r="B1689" i="1"/>
  <c r="G1689" i="1"/>
  <c r="H1689" i="1"/>
  <c r="J1689" i="1"/>
  <c r="A1690" i="1"/>
  <c r="B1690" i="1"/>
  <c r="G1690" i="1"/>
  <c r="H1690" i="1"/>
  <c r="J1690" i="1"/>
  <c r="A1691" i="1"/>
  <c r="B1691" i="1"/>
  <c r="G1691" i="1"/>
  <c r="H1691" i="1"/>
  <c r="J1691" i="1"/>
  <c r="A1692" i="1"/>
  <c r="B1692" i="1"/>
  <c r="G1692" i="1"/>
  <c r="H1692" i="1"/>
  <c r="J1692" i="1"/>
  <c r="A1693" i="1"/>
  <c r="B1693" i="1"/>
  <c r="G1693" i="1"/>
  <c r="H1693" i="1"/>
  <c r="J1693" i="1"/>
  <c r="A1694" i="1"/>
  <c r="B1694" i="1"/>
  <c r="G1694" i="1"/>
  <c r="H1694" i="1"/>
  <c r="J1694" i="1"/>
  <c r="A1695" i="1"/>
  <c r="B1695" i="1"/>
  <c r="G1695" i="1"/>
  <c r="H1695" i="1"/>
  <c r="J1695" i="1"/>
  <c r="A1696" i="1"/>
  <c r="B1696" i="1"/>
  <c r="G1696" i="1"/>
  <c r="H1696" i="1"/>
  <c r="J1696" i="1"/>
  <c r="A1697" i="1"/>
  <c r="B1697" i="1"/>
  <c r="G1697" i="1"/>
  <c r="H1697" i="1"/>
  <c r="J1697" i="1"/>
  <c r="A1698" i="1"/>
  <c r="B1698" i="1"/>
  <c r="G1698" i="1"/>
  <c r="H1698" i="1"/>
  <c r="J1698" i="1"/>
  <c r="A1699" i="1"/>
  <c r="B1699" i="1"/>
  <c r="G1699" i="1"/>
  <c r="H1699" i="1"/>
  <c r="J1699" i="1"/>
  <c r="A1700" i="1"/>
  <c r="B1700" i="1"/>
  <c r="G1700" i="1"/>
  <c r="H1700" i="1"/>
  <c r="J1700" i="1"/>
  <c r="A1701" i="1"/>
  <c r="B1701" i="1"/>
  <c r="G1701" i="1"/>
  <c r="H1701" i="1"/>
  <c r="J1701" i="1"/>
  <c r="A1702" i="1"/>
  <c r="B1702" i="1"/>
  <c r="G1702" i="1"/>
  <c r="H1702" i="1"/>
  <c r="J1702" i="1"/>
  <c r="A1703" i="1"/>
  <c r="B1703" i="1"/>
  <c r="G1703" i="1"/>
  <c r="H1703" i="1"/>
  <c r="J1703" i="1"/>
  <c r="A1704" i="1"/>
  <c r="B1704" i="1"/>
  <c r="G1704" i="1"/>
  <c r="H1704" i="1"/>
  <c r="J1704" i="1"/>
  <c r="A1705" i="1"/>
  <c r="B1705" i="1"/>
  <c r="G1705" i="1"/>
  <c r="H1705" i="1"/>
  <c r="J1705" i="1"/>
  <c r="A1706" i="1"/>
  <c r="B1706" i="1"/>
  <c r="G1706" i="1"/>
  <c r="H1706" i="1"/>
  <c r="J1706" i="1"/>
  <c r="A1707" i="1"/>
  <c r="B1707" i="1"/>
  <c r="G1707" i="1"/>
  <c r="H1707" i="1"/>
  <c r="J1707" i="1"/>
  <c r="A1708" i="1"/>
  <c r="B1708" i="1"/>
  <c r="G1708" i="1"/>
  <c r="H1708" i="1"/>
  <c r="J1708" i="1"/>
  <c r="A1709" i="1"/>
  <c r="B1709" i="1"/>
  <c r="G1709" i="1"/>
  <c r="H1709" i="1"/>
  <c r="J1709" i="1"/>
  <c r="A1710" i="1"/>
  <c r="B1710" i="1"/>
  <c r="G1710" i="1"/>
  <c r="H1710" i="1"/>
  <c r="J1710" i="1"/>
  <c r="A1711" i="1"/>
  <c r="B1711" i="1"/>
  <c r="G1711" i="1"/>
  <c r="H1711" i="1"/>
  <c r="J1711" i="1"/>
  <c r="A1712" i="1"/>
  <c r="B1712" i="1"/>
  <c r="G1712" i="1"/>
  <c r="H1712" i="1"/>
  <c r="J1712" i="1"/>
  <c r="A1713" i="1"/>
  <c r="B1713" i="1"/>
  <c r="G1713" i="1"/>
  <c r="H1713" i="1"/>
  <c r="J1713" i="1"/>
  <c r="A1714" i="1"/>
  <c r="B1714" i="1"/>
  <c r="G1714" i="1"/>
  <c r="H1714" i="1"/>
  <c r="J1714" i="1"/>
  <c r="A1715" i="1"/>
  <c r="B1715" i="1"/>
  <c r="G1715" i="1"/>
  <c r="H1715" i="1"/>
  <c r="J1715" i="1"/>
  <c r="A1716" i="1"/>
  <c r="B1716" i="1"/>
  <c r="G1716" i="1"/>
  <c r="H1716" i="1"/>
  <c r="J1716" i="1"/>
  <c r="A1717" i="1"/>
  <c r="B1717" i="1"/>
  <c r="G1717" i="1"/>
  <c r="H1717" i="1"/>
  <c r="J1717" i="1"/>
  <c r="A1718" i="1"/>
  <c r="B1718" i="1"/>
  <c r="G1718" i="1"/>
  <c r="H1718" i="1"/>
  <c r="J1718" i="1"/>
  <c r="A1719" i="1"/>
  <c r="B1719" i="1"/>
  <c r="G1719" i="1"/>
  <c r="H1719" i="1"/>
  <c r="J1719" i="1"/>
  <c r="A1720" i="1"/>
  <c r="B1720" i="1"/>
  <c r="G1720" i="1"/>
  <c r="H1720" i="1"/>
  <c r="J1720" i="1"/>
  <c r="A1721" i="1"/>
  <c r="B1721" i="1"/>
  <c r="G1721" i="1"/>
  <c r="H1721" i="1"/>
  <c r="J1721" i="1"/>
  <c r="A1722" i="1"/>
  <c r="B1722" i="1"/>
  <c r="G1722" i="1"/>
  <c r="H1722" i="1"/>
  <c r="J1722" i="1"/>
  <c r="A1723" i="1"/>
  <c r="B1723" i="1"/>
  <c r="G1723" i="1"/>
  <c r="H1723" i="1"/>
  <c r="J1723" i="1"/>
  <c r="A1724" i="1"/>
  <c r="B1724" i="1"/>
  <c r="G1724" i="1"/>
  <c r="H1724" i="1"/>
  <c r="J1724" i="1"/>
  <c r="A1725" i="1"/>
  <c r="B1725" i="1"/>
  <c r="G1725" i="1"/>
  <c r="H1725" i="1"/>
  <c r="J1725" i="1"/>
  <c r="A1726" i="1"/>
  <c r="B1726" i="1"/>
  <c r="G1726" i="1"/>
  <c r="H1726" i="1"/>
  <c r="J1726" i="1"/>
  <c r="A1727" i="1"/>
  <c r="B1727" i="1"/>
  <c r="G1727" i="1"/>
  <c r="H1727" i="1"/>
  <c r="J1727" i="1"/>
  <c r="A1728" i="1"/>
  <c r="B1728" i="1"/>
  <c r="G1728" i="1"/>
  <c r="H1728" i="1"/>
  <c r="J1728" i="1"/>
  <c r="A1729" i="1"/>
  <c r="B1729" i="1"/>
  <c r="G1729" i="1"/>
  <c r="H1729" i="1"/>
  <c r="J1729" i="1"/>
  <c r="A1730" i="1"/>
  <c r="B1730" i="1"/>
  <c r="G1730" i="1"/>
  <c r="H1730" i="1"/>
  <c r="J1730" i="1"/>
  <c r="A1731" i="1"/>
  <c r="B1731" i="1"/>
  <c r="G1731" i="1"/>
  <c r="H1731" i="1"/>
  <c r="J1731" i="1"/>
  <c r="A1732" i="1"/>
  <c r="B1732" i="1"/>
  <c r="G1732" i="1"/>
  <c r="H1732" i="1"/>
  <c r="J1732" i="1"/>
  <c r="A1733" i="1"/>
  <c r="B1733" i="1"/>
  <c r="G1733" i="1"/>
  <c r="H1733" i="1"/>
  <c r="J1733" i="1"/>
  <c r="A1734" i="1"/>
  <c r="B1734" i="1"/>
  <c r="G1734" i="1"/>
  <c r="H1734" i="1"/>
  <c r="J1734" i="1"/>
  <c r="A1735" i="1"/>
  <c r="B1735" i="1"/>
  <c r="G1735" i="1"/>
  <c r="H1735" i="1"/>
  <c r="J1735" i="1"/>
  <c r="A1736" i="1"/>
  <c r="B1736" i="1"/>
  <c r="G1736" i="1"/>
  <c r="H1736" i="1"/>
  <c r="J1736" i="1"/>
  <c r="A1737" i="1"/>
  <c r="B1737" i="1"/>
  <c r="G1737" i="1"/>
  <c r="H1737" i="1"/>
  <c r="J1737" i="1"/>
  <c r="A1738" i="1"/>
  <c r="B1738" i="1"/>
  <c r="G1738" i="1"/>
  <c r="H1738" i="1"/>
  <c r="J1738" i="1"/>
  <c r="A1739" i="1"/>
  <c r="B1739" i="1"/>
  <c r="G1739" i="1"/>
  <c r="H1739" i="1"/>
  <c r="J1739" i="1"/>
  <c r="A1740" i="1"/>
  <c r="B1740" i="1"/>
  <c r="G1740" i="1"/>
  <c r="H1740" i="1"/>
  <c r="J1740" i="1"/>
  <c r="A1741" i="1"/>
  <c r="B1741" i="1"/>
  <c r="G1741" i="1"/>
  <c r="H1741" i="1"/>
  <c r="J1741" i="1"/>
  <c r="A1742" i="1"/>
  <c r="B1742" i="1"/>
  <c r="G1742" i="1"/>
  <c r="H1742" i="1"/>
  <c r="J1742" i="1"/>
  <c r="A1743" i="1"/>
  <c r="B1743" i="1"/>
  <c r="G1743" i="1"/>
  <c r="H1743" i="1"/>
  <c r="J1743" i="1"/>
  <c r="A1744" i="1"/>
  <c r="B1744" i="1"/>
  <c r="G1744" i="1"/>
  <c r="H1744" i="1"/>
  <c r="J1744" i="1"/>
  <c r="A1745" i="1"/>
  <c r="B1745" i="1"/>
  <c r="G1745" i="1"/>
  <c r="H1745" i="1"/>
  <c r="J1745" i="1"/>
  <c r="A1746" i="1"/>
  <c r="B1746" i="1"/>
  <c r="G1746" i="1"/>
  <c r="H1746" i="1"/>
  <c r="J1746" i="1"/>
  <c r="A1747" i="1"/>
  <c r="B1747" i="1"/>
  <c r="G1747" i="1"/>
  <c r="H1747" i="1"/>
  <c r="J1747" i="1"/>
  <c r="A1748" i="1"/>
  <c r="B1748" i="1"/>
  <c r="G1748" i="1"/>
  <c r="H1748" i="1"/>
  <c r="J1748" i="1"/>
  <c r="A1749" i="1"/>
  <c r="B1749" i="1"/>
  <c r="G1749" i="1"/>
  <c r="H1749" i="1"/>
  <c r="J1749" i="1"/>
  <c r="A1750" i="1"/>
  <c r="B1750" i="1"/>
  <c r="G1750" i="1"/>
  <c r="H1750" i="1"/>
  <c r="J1750" i="1"/>
  <c r="A1751" i="1"/>
  <c r="B1751" i="1"/>
  <c r="G1751" i="1"/>
  <c r="H1751" i="1"/>
  <c r="J1751" i="1"/>
  <c r="A1752" i="1"/>
  <c r="B1752" i="1"/>
  <c r="G1752" i="1"/>
  <c r="H1752" i="1"/>
  <c r="J1752" i="1"/>
  <c r="A1753" i="1"/>
  <c r="B1753" i="1"/>
  <c r="G1753" i="1"/>
  <c r="H1753" i="1"/>
  <c r="J1753" i="1"/>
  <c r="A1754" i="1"/>
  <c r="B1754" i="1"/>
  <c r="G1754" i="1"/>
  <c r="H1754" i="1"/>
  <c r="J1754" i="1"/>
  <c r="A1755" i="1"/>
  <c r="B1755" i="1"/>
  <c r="G1755" i="1"/>
  <c r="H1755" i="1"/>
  <c r="J1755" i="1"/>
  <c r="A1756" i="1"/>
  <c r="B1756" i="1"/>
  <c r="G1756" i="1"/>
  <c r="H1756" i="1"/>
  <c r="J1756" i="1"/>
  <c r="A1757" i="1"/>
  <c r="B1757" i="1"/>
  <c r="G1757" i="1"/>
  <c r="H1757" i="1"/>
  <c r="J1757" i="1"/>
  <c r="A1758" i="1"/>
  <c r="B1758" i="1"/>
  <c r="G1758" i="1"/>
  <c r="H1758" i="1"/>
  <c r="J1758" i="1"/>
  <c r="A1759" i="1"/>
  <c r="B1759" i="1"/>
  <c r="G1759" i="1"/>
  <c r="H1759" i="1"/>
  <c r="J1759" i="1"/>
  <c r="A1760" i="1"/>
  <c r="B1760" i="1"/>
  <c r="G1760" i="1"/>
  <c r="H1760" i="1"/>
  <c r="J1760" i="1"/>
  <c r="A1761" i="1"/>
  <c r="B1761" i="1"/>
  <c r="G1761" i="1"/>
  <c r="H1761" i="1"/>
  <c r="J1761" i="1"/>
  <c r="A1762" i="1"/>
  <c r="B1762" i="1"/>
  <c r="G1762" i="1"/>
  <c r="H1762" i="1"/>
  <c r="J1762" i="1"/>
  <c r="A1763" i="1"/>
  <c r="B1763" i="1"/>
  <c r="G1763" i="1"/>
  <c r="H1763" i="1"/>
  <c r="J1763" i="1"/>
  <c r="A1764" i="1"/>
  <c r="B1764" i="1"/>
  <c r="G1764" i="1"/>
  <c r="H1764" i="1"/>
  <c r="J1764" i="1"/>
  <c r="A1765" i="1"/>
  <c r="B1765" i="1"/>
  <c r="G1765" i="1"/>
  <c r="H1765" i="1"/>
  <c r="J1765" i="1"/>
  <c r="A1766" i="1"/>
  <c r="B1766" i="1"/>
  <c r="G1766" i="1"/>
  <c r="H1766" i="1"/>
  <c r="J1766" i="1"/>
  <c r="A1767" i="1"/>
  <c r="B1767" i="1"/>
  <c r="G1767" i="1"/>
  <c r="H1767" i="1"/>
  <c r="J1767" i="1"/>
  <c r="A1768" i="1"/>
  <c r="B1768" i="1"/>
  <c r="G1768" i="1"/>
  <c r="H1768" i="1"/>
  <c r="J1768" i="1"/>
  <c r="A1769" i="1"/>
  <c r="B1769" i="1"/>
  <c r="G1769" i="1"/>
  <c r="H1769" i="1"/>
  <c r="J1769" i="1"/>
  <c r="A1770" i="1"/>
  <c r="B1770" i="1"/>
  <c r="G1770" i="1"/>
  <c r="H1770" i="1"/>
  <c r="J1770" i="1"/>
  <c r="A1771" i="1"/>
  <c r="B1771" i="1"/>
  <c r="G1771" i="1"/>
  <c r="H1771" i="1"/>
  <c r="J1771" i="1"/>
  <c r="A1772" i="1"/>
  <c r="B1772" i="1"/>
  <c r="G1772" i="1"/>
  <c r="H1772" i="1"/>
  <c r="J1772" i="1"/>
  <c r="A1773" i="1"/>
  <c r="B1773" i="1"/>
  <c r="G1773" i="1"/>
  <c r="H1773" i="1"/>
  <c r="J1773" i="1"/>
  <c r="A1774" i="1"/>
  <c r="B1774" i="1"/>
  <c r="G1774" i="1"/>
  <c r="H1774" i="1"/>
  <c r="J1774" i="1"/>
  <c r="A1775" i="1"/>
  <c r="B1775" i="1"/>
  <c r="G1775" i="1"/>
  <c r="H1775" i="1"/>
  <c r="J1775" i="1"/>
  <c r="A1776" i="1"/>
  <c r="B1776" i="1"/>
  <c r="G1776" i="1"/>
  <c r="H1776" i="1"/>
  <c r="J1776" i="1"/>
  <c r="A1777" i="1"/>
  <c r="B1777" i="1"/>
  <c r="G1777" i="1"/>
  <c r="H1777" i="1"/>
  <c r="J1777" i="1"/>
  <c r="A1778" i="1"/>
  <c r="B1778" i="1"/>
  <c r="G1778" i="1"/>
  <c r="H1778" i="1"/>
  <c r="J1778" i="1"/>
  <c r="A1779" i="1"/>
  <c r="B1779" i="1"/>
  <c r="G1779" i="1"/>
  <c r="H1779" i="1"/>
  <c r="J1779" i="1"/>
  <c r="A1780" i="1"/>
  <c r="B1780" i="1"/>
  <c r="G1780" i="1"/>
  <c r="H1780" i="1"/>
  <c r="J1780" i="1"/>
  <c r="A1781" i="1"/>
  <c r="B1781" i="1"/>
  <c r="G1781" i="1"/>
  <c r="H1781" i="1"/>
  <c r="J1781" i="1"/>
  <c r="A1782" i="1"/>
  <c r="B1782" i="1"/>
  <c r="G1782" i="1"/>
  <c r="H1782" i="1"/>
  <c r="J1782" i="1"/>
  <c r="A1783" i="1"/>
  <c r="B1783" i="1"/>
  <c r="G1783" i="1"/>
  <c r="H1783" i="1"/>
  <c r="J1783" i="1"/>
  <c r="A1784" i="1"/>
  <c r="B1784" i="1"/>
  <c r="G1784" i="1"/>
  <c r="H1784" i="1"/>
  <c r="J1784" i="1"/>
  <c r="A1785" i="1"/>
  <c r="B1785" i="1"/>
  <c r="G1785" i="1"/>
  <c r="H1785" i="1"/>
  <c r="J1785" i="1"/>
  <c r="A1786" i="1"/>
  <c r="B1786" i="1"/>
  <c r="G1786" i="1"/>
  <c r="H1786" i="1"/>
  <c r="J1786" i="1"/>
  <c r="A1787" i="1"/>
  <c r="B1787" i="1"/>
  <c r="G1787" i="1"/>
  <c r="H1787" i="1"/>
  <c r="J1787" i="1"/>
  <c r="A1788" i="1"/>
  <c r="B1788" i="1"/>
  <c r="G1788" i="1"/>
  <c r="H1788" i="1"/>
  <c r="J1788" i="1"/>
  <c r="A1789" i="1"/>
  <c r="B1789" i="1"/>
  <c r="G1789" i="1"/>
  <c r="H1789" i="1"/>
  <c r="J1789" i="1"/>
  <c r="A1790" i="1"/>
  <c r="B1790" i="1"/>
  <c r="G1790" i="1"/>
  <c r="H1790" i="1"/>
  <c r="J1790" i="1"/>
  <c r="A1791" i="1"/>
  <c r="B1791" i="1"/>
  <c r="G1791" i="1"/>
  <c r="H1791" i="1"/>
  <c r="J1791" i="1"/>
  <c r="A1792" i="1"/>
  <c r="B1792" i="1"/>
  <c r="G1792" i="1"/>
  <c r="H1792" i="1"/>
  <c r="J1792" i="1"/>
  <c r="A1793" i="1"/>
  <c r="B1793" i="1"/>
  <c r="G1793" i="1"/>
  <c r="H1793" i="1"/>
  <c r="J1793" i="1"/>
  <c r="A1794" i="1"/>
  <c r="B1794" i="1"/>
  <c r="G1794" i="1"/>
  <c r="H1794" i="1"/>
  <c r="J1794" i="1"/>
  <c r="A1795" i="1"/>
  <c r="B1795" i="1"/>
  <c r="G1795" i="1"/>
  <c r="H1795" i="1"/>
  <c r="J1795" i="1"/>
  <c r="A1796" i="1"/>
  <c r="B1796" i="1"/>
  <c r="G1796" i="1"/>
  <c r="H1796" i="1"/>
  <c r="J1796" i="1"/>
  <c r="A1797" i="1"/>
  <c r="B1797" i="1"/>
  <c r="G1797" i="1"/>
  <c r="H1797" i="1"/>
  <c r="J1797" i="1"/>
  <c r="A1798" i="1"/>
  <c r="B1798" i="1"/>
  <c r="G1798" i="1"/>
  <c r="H1798" i="1"/>
  <c r="J1798" i="1"/>
  <c r="A1799" i="1"/>
  <c r="B1799" i="1"/>
  <c r="G1799" i="1"/>
  <c r="H1799" i="1"/>
  <c r="J1799" i="1"/>
  <c r="A1800" i="1"/>
  <c r="B1800" i="1"/>
  <c r="G1800" i="1"/>
  <c r="H1800" i="1"/>
  <c r="J1800" i="1"/>
  <c r="A1801" i="1"/>
  <c r="B1801" i="1"/>
  <c r="G1801" i="1"/>
  <c r="H1801" i="1"/>
  <c r="J1801" i="1"/>
  <c r="A1802" i="1"/>
  <c r="B1802" i="1"/>
  <c r="G1802" i="1"/>
  <c r="H1802" i="1"/>
  <c r="J1802" i="1"/>
  <c r="A1803" i="1"/>
  <c r="B1803" i="1"/>
  <c r="G1803" i="1"/>
  <c r="H1803" i="1"/>
  <c r="J1803" i="1"/>
  <c r="A1804" i="1"/>
  <c r="B1804" i="1"/>
  <c r="G1804" i="1"/>
  <c r="H1804" i="1"/>
  <c r="J1804" i="1"/>
  <c r="A1805" i="1"/>
  <c r="B1805" i="1"/>
  <c r="G1805" i="1"/>
  <c r="H1805" i="1"/>
  <c r="J1805" i="1"/>
  <c r="A1806" i="1"/>
  <c r="B1806" i="1"/>
  <c r="G1806" i="1"/>
  <c r="H1806" i="1"/>
  <c r="J1806" i="1"/>
  <c r="A1807" i="1"/>
  <c r="B1807" i="1"/>
  <c r="G1807" i="1"/>
  <c r="H1807" i="1"/>
  <c r="J1807" i="1"/>
  <c r="A1808" i="1"/>
  <c r="B1808" i="1"/>
  <c r="G1808" i="1"/>
  <c r="H1808" i="1"/>
  <c r="J1808" i="1"/>
  <c r="A1809" i="1"/>
  <c r="B1809" i="1"/>
  <c r="G1809" i="1"/>
  <c r="H1809" i="1"/>
  <c r="J1809" i="1"/>
  <c r="A1810" i="1"/>
  <c r="B1810" i="1"/>
  <c r="G1810" i="1"/>
  <c r="H1810" i="1"/>
  <c r="J1810" i="1"/>
  <c r="A1811" i="1"/>
  <c r="B1811" i="1"/>
  <c r="G1811" i="1"/>
  <c r="H1811" i="1"/>
  <c r="J1811" i="1"/>
  <c r="A1812" i="1"/>
  <c r="B1812" i="1"/>
  <c r="G1812" i="1"/>
  <c r="H1812" i="1"/>
  <c r="J1812" i="1"/>
  <c r="A1813" i="1"/>
  <c r="B1813" i="1"/>
  <c r="G1813" i="1"/>
  <c r="H1813" i="1"/>
  <c r="J1813" i="1"/>
  <c r="A1814" i="1"/>
  <c r="B1814" i="1"/>
  <c r="G1814" i="1"/>
  <c r="H1814" i="1"/>
  <c r="J1814" i="1"/>
  <c r="A1815" i="1"/>
  <c r="B1815" i="1"/>
  <c r="G1815" i="1"/>
  <c r="H1815" i="1"/>
  <c r="J1815" i="1"/>
  <c r="A1816" i="1"/>
  <c r="B1816" i="1"/>
  <c r="G1816" i="1"/>
  <c r="H1816" i="1"/>
  <c r="J1816" i="1"/>
  <c r="A1817" i="1"/>
  <c r="B1817" i="1"/>
  <c r="G1817" i="1"/>
  <c r="H1817" i="1"/>
  <c r="J1817" i="1"/>
  <c r="A1818" i="1"/>
  <c r="B1818" i="1"/>
  <c r="G1818" i="1"/>
  <c r="H1818" i="1"/>
  <c r="J1818" i="1"/>
  <c r="A1819" i="1"/>
  <c r="B1819" i="1"/>
  <c r="G1819" i="1"/>
  <c r="H1819" i="1"/>
  <c r="J1819" i="1"/>
  <c r="A1820" i="1"/>
  <c r="B1820" i="1"/>
  <c r="G1820" i="1"/>
  <c r="H1820" i="1"/>
  <c r="J1820" i="1"/>
  <c r="A1821" i="1"/>
  <c r="B1821" i="1"/>
  <c r="G1821" i="1"/>
  <c r="H1821" i="1"/>
  <c r="J1821" i="1"/>
  <c r="A1822" i="1"/>
  <c r="B1822" i="1"/>
  <c r="G1822" i="1"/>
  <c r="H1822" i="1"/>
  <c r="J1822" i="1"/>
  <c r="A1823" i="1"/>
  <c r="B1823" i="1"/>
  <c r="G1823" i="1"/>
  <c r="H1823" i="1"/>
  <c r="J1823" i="1"/>
  <c r="A1824" i="1"/>
  <c r="B1824" i="1"/>
  <c r="G1824" i="1"/>
  <c r="H1824" i="1"/>
  <c r="J1824" i="1"/>
  <c r="A1825" i="1"/>
  <c r="B1825" i="1"/>
  <c r="G1825" i="1"/>
  <c r="H1825" i="1"/>
  <c r="J1825" i="1"/>
  <c r="A1826" i="1"/>
  <c r="B1826" i="1"/>
  <c r="G1826" i="1"/>
  <c r="H1826" i="1"/>
  <c r="J1826" i="1"/>
  <c r="A1827" i="1"/>
  <c r="B1827" i="1"/>
  <c r="G1827" i="1"/>
  <c r="H1827" i="1"/>
  <c r="J1827" i="1"/>
  <c r="A1828" i="1"/>
  <c r="B1828" i="1"/>
  <c r="G1828" i="1"/>
  <c r="H1828" i="1"/>
  <c r="J1828" i="1"/>
  <c r="A1829" i="1"/>
  <c r="B1829" i="1"/>
  <c r="G1829" i="1"/>
  <c r="H1829" i="1"/>
  <c r="J1829" i="1"/>
  <c r="A1830" i="1"/>
  <c r="B1830" i="1"/>
  <c r="G1830" i="1"/>
  <c r="H1830" i="1"/>
  <c r="J1830" i="1"/>
  <c r="A1831" i="1"/>
  <c r="B1831" i="1"/>
  <c r="G1831" i="1"/>
  <c r="H1831" i="1"/>
  <c r="J1831" i="1"/>
  <c r="A1832" i="1"/>
  <c r="B1832" i="1"/>
  <c r="G1832" i="1"/>
  <c r="H1832" i="1"/>
  <c r="J1832" i="1"/>
  <c r="A1833" i="1"/>
  <c r="B1833" i="1"/>
  <c r="G1833" i="1"/>
  <c r="H1833" i="1"/>
  <c r="J1833" i="1"/>
  <c r="A1834" i="1"/>
  <c r="B1834" i="1"/>
  <c r="G1834" i="1"/>
  <c r="H1834" i="1"/>
  <c r="J1834" i="1"/>
  <c r="A1835" i="1"/>
  <c r="B1835" i="1"/>
  <c r="G1835" i="1"/>
  <c r="H1835" i="1"/>
  <c r="J1835" i="1"/>
  <c r="A1836" i="1"/>
  <c r="B1836" i="1"/>
  <c r="G1836" i="1"/>
  <c r="H1836" i="1"/>
  <c r="J1836" i="1"/>
  <c r="A1837" i="1"/>
  <c r="B1837" i="1"/>
  <c r="G1837" i="1"/>
  <c r="H1837" i="1"/>
  <c r="J1837" i="1"/>
  <c r="A1838" i="1"/>
  <c r="B1838" i="1"/>
  <c r="G1838" i="1"/>
  <c r="H1838" i="1"/>
  <c r="J1838" i="1"/>
  <c r="A1839" i="1"/>
  <c r="B1839" i="1"/>
  <c r="G1839" i="1"/>
  <c r="H1839" i="1"/>
  <c r="J1839" i="1"/>
  <c r="A1840" i="1"/>
  <c r="B1840" i="1"/>
  <c r="G1840" i="1"/>
  <c r="H1840" i="1"/>
  <c r="J1840" i="1"/>
  <c r="A1841" i="1"/>
  <c r="B1841" i="1"/>
  <c r="G1841" i="1"/>
  <c r="H1841" i="1"/>
  <c r="J1841" i="1"/>
  <c r="A1842" i="1"/>
  <c r="B1842" i="1"/>
  <c r="G1842" i="1"/>
  <c r="H1842" i="1"/>
  <c r="J1842" i="1"/>
  <c r="A1843" i="1"/>
  <c r="B1843" i="1"/>
  <c r="G1843" i="1"/>
  <c r="H1843" i="1"/>
  <c r="J1843" i="1"/>
  <c r="A1844" i="1"/>
  <c r="B1844" i="1"/>
  <c r="G1844" i="1"/>
  <c r="H1844" i="1"/>
  <c r="J1844" i="1"/>
  <c r="A1845" i="1"/>
  <c r="B1845" i="1"/>
  <c r="G1845" i="1"/>
  <c r="H1845" i="1"/>
  <c r="J1845" i="1"/>
  <c r="A1846" i="1"/>
  <c r="B1846" i="1"/>
  <c r="G1846" i="1"/>
  <c r="H1846" i="1"/>
  <c r="J1846" i="1"/>
  <c r="A1847" i="1"/>
  <c r="B1847" i="1"/>
  <c r="G1847" i="1"/>
  <c r="H1847" i="1"/>
  <c r="J1847" i="1"/>
  <c r="A1848" i="1"/>
  <c r="B1848" i="1"/>
  <c r="G1848" i="1"/>
  <c r="H1848" i="1"/>
  <c r="J1848" i="1"/>
  <c r="A1849" i="1"/>
  <c r="B1849" i="1"/>
  <c r="G1849" i="1"/>
  <c r="H1849" i="1"/>
  <c r="J1849" i="1"/>
  <c r="A1850" i="1"/>
  <c r="B1850" i="1"/>
  <c r="G1850" i="1"/>
  <c r="H1850" i="1"/>
  <c r="J1850" i="1"/>
  <c r="A1851" i="1"/>
  <c r="B1851" i="1"/>
  <c r="G1851" i="1"/>
  <c r="H1851" i="1"/>
  <c r="J1851" i="1"/>
  <c r="A1852" i="1"/>
  <c r="B1852" i="1"/>
  <c r="G1852" i="1"/>
  <c r="H1852" i="1"/>
  <c r="J1852" i="1"/>
  <c r="A1853" i="1"/>
  <c r="B1853" i="1"/>
  <c r="G1853" i="1"/>
  <c r="H1853" i="1"/>
  <c r="J1853" i="1"/>
  <c r="A1854" i="1"/>
  <c r="B1854" i="1"/>
  <c r="G1854" i="1"/>
  <c r="H1854" i="1"/>
  <c r="J1854" i="1"/>
  <c r="A1855" i="1"/>
  <c r="B1855" i="1"/>
  <c r="G1855" i="1"/>
  <c r="H1855" i="1"/>
  <c r="J1855" i="1"/>
  <c r="A1856" i="1"/>
  <c r="B1856" i="1"/>
  <c r="G1856" i="1"/>
  <c r="H1856" i="1"/>
  <c r="J1856" i="1"/>
  <c r="A1857" i="1"/>
  <c r="B1857" i="1"/>
  <c r="G1857" i="1"/>
  <c r="H1857" i="1"/>
  <c r="J1857" i="1"/>
  <c r="A1858" i="1"/>
  <c r="B1858" i="1"/>
  <c r="G1858" i="1"/>
  <c r="H1858" i="1"/>
  <c r="J1858" i="1"/>
  <c r="A1859" i="1"/>
  <c r="B1859" i="1"/>
  <c r="G1859" i="1"/>
  <c r="H1859" i="1"/>
  <c r="J1859" i="1"/>
  <c r="A1860" i="1"/>
  <c r="B1860" i="1"/>
  <c r="G1860" i="1"/>
  <c r="H1860" i="1"/>
  <c r="J1860" i="1"/>
  <c r="A1861" i="1"/>
  <c r="B1861" i="1"/>
  <c r="G1861" i="1"/>
  <c r="H1861" i="1"/>
  <c r="J1861" i="1"/>
  <c r="A1862" i="1"/>
  <c r="B1862" i="1"/>
  <c r="G1862" i="1"/>
  <c r="H1862" i="1"/>
  <c r="J1862" i="1"/>
  <c r="A1863" i="1"/>
  <c r="B1863" i="1"/>
  <c r="G1863" i="1"/>
  <c r="H1863" i="1"/>
  <c r="J1863" i="1"/>
  <c r="A1864" i="1"/>
  <c r="B1864" i="1"/>
  <c r="G1864" i="1"/>
  <c r="H1864" i="1"/>
  <c r="J1864" i="1"/>
  <c r="A1865" i="1"/>
  <c r="B1865" i="1"/>
  <c r="G1865" i="1"/>
  <c r="H1865" i="1"/>
  <c r="J1865" i="1"/>
  <c r="A1866" i="1"/>
  <c r="B1866" i="1"/>
  <c r="G1866" i="1"/>
  <c r="H1866" i="1"/>
  <c r="J1866" i="1"/>
  <c r="A1867" i="1"/>
  <c r="B1867" i="1"/>
  <c r="G1867" i="1"/>
  <c r="H1867" i="1"/>
  <c r="J1867" i="1"/>
  <c r="A1868" i="1"/>
  <c r="B1868" i="1"/>
  <c r="G1868" i="1"/>
  <c r="H1868" i="1"/>
  <c r="J1868" i="1"/>
  <c r="A1869" i="1"/>
  <c r="B1869" i="1"/>
  <c r="G1869" i="1"/>
  <c r="H1869" i="1"/>
  <c r="J1869" i="1"/>
  <c r="A1870" i="1"/>
  <c r="B1870" i="1"/>
  <c r="G1870" i="1"/>
  <c r="H1870" i="1"/>
  <c r="J1870" i="1"/>
  <c r="A1871" i="1"/>
  <c r="B1871" i="1"/>
  <c r="G1871" i="1"/>
  <c r="H1871" i="1"/>
  <c r="J1871" i="1"/>
  <c r="A1872" i="1"/>
  <c r="B1872" i="1"/>
  <c r="G1872" i="1"/>
  <c r="H1872" i="1"/>
  <c r="J1872" i="1"/>
  <c r="A1873" i="1"/>
  <c r="B1873" i="1"/>
  <c r="G1873" i="1"/>
  <c r="H1873" i="1"/>
  <c r="J1873" i="1"/>
  <c r="A1874" i="1"/>
  <c r="B1874" i="1"/>
  <c r="G1874" i="1"/>
  <c r="H1874" i="1"/>
  <c r="J1874" i="1"/>
  <c r="A1875" i="1"/>
  <c r="B1875" i="1"/>
  <c r="G1875" i="1"/>
  <c r="H1875" i="1"/>
  <c r="J1875" i="1"/>
  <c r="A1876" i="1"/>
  <c r="B1876" i="1"/>
  <c r="G1876" i="1"/>
  <c r="H1876" i="1"/>
  <c r="J1876" i="1"/>
  <c r="A1877" i="1"/>
  <c r="B1877" i="1"/>
  <c r="G1877" i="1"/>
  <c r="H1877" i="1"/>
  <c r="J1877" i="1"/>
  <c r="A1878" i="1"/>
  <c r="B1878" i="1"/>
  <c r="G1878" i="1"/>
  <c r="H1878" i="1"/>
  <c r="J1878" i="1"/>
  <c r="A1879" i="1"/>
  <c r="B1879" i="1"/>
  <c r="G1879" i="1"/>
  <c r="H1879" i="1"/>
  <c r="J1879" i="1"/>
  <c r="A1880" i="1"/>
  <c r="B1880" i="1"/>
  <c r="G1880" i="1"/>
  <c r="H1880" i="1"/>
  <c r="J1880" i="1"/>
  <c r="A1881" i="1"/>
  <c r="B1881" i="1"/>
  <c r="G1881" i="1"/>
  <c r="H1881" i="1"/>
  <c r="J1881" i="1"/>
  <c r="A1882" i="1"/>
  <c r="B1882" i="1"/>
  <c r="G1882" i="1"/>
  <c r="H1882" i="1"/>
  <c r="J1882" i="1"/>
  <c r="A1883" i="1"/>
  <c r="B1883" i="1"/>
  <c r="G1883" i="1"/>
  <c r="H1883" i="1"/>
  <c r="J1883" i="1"/>
  <c r="A1884" i="1"/>
  <c r="B1884" i="1"/>
  <c r="G1884" i="1"/>
  <c r="H1884" i="1"/>
  <c r="J1884" i="1"/>
  <c r="A1885" i="1"/>
  <c r="B1885" i="1"/>
  <c r="G1885" i="1"/>
  <c r="H1885" i="1"/>
  <c r="J1885" i="1"/>
  <c r="A1886" i="1"/>
  <c r="B1886" i="1"/>
  <c r="G1886" i="1"/>
  <c r="H1886" i="1"/>
  <c r="J1886" i="1"/>
  <c r="A1887" i="1"/>
  <c r="B1887" i="1"/>
  <c r="G1887" i="1"/>
  <c r="H1887" i="1"/>
  <c r="J1887" i="1"/>
  <c r="A1888" i="1"/>
  <c r="B1888" i="1"/>
  <c r="G1888" i="1"/>
  <c r="H1888" i="1"/>
  <c r="J1888" i="1"/>
  <c r="A1889" i="1"/>
  <c r="B1889" i="1"/>
  <c r="G1889" i="1"/>
  <c r="H1889" i="1"/>
  <c r="J1889" i="1"/>
  <c r="A1890" i="1"/>
  <c r="B1890" i="1"/>
  <c r="G1890" i="1"/>
  <c r="H1890" i="1"/>
  <c r="J1890" i="1"/>
  <c r="A1891" i="1"/>
  <c r="B1891" i="1"/>
  <c r="G1891" i="1"/>
  <c r="H1891" i="1"/>
  <c r="J1891" i="1"/>
  <c r="A1892" i="1"/>
  <c r="B1892" i="1"/>
  <c r="G1892" i="1"/>
  <c r="H1892" i="1"/>
  <c r="J1892" i="1"/>
  <c r="A1893" i="1"/>
  <c r="B1893" i="1"/>
  <c r="G1893" i="1"/>
  <c r="H1893" i="1"/>
  <c r="J1893" i="1"/>
  <c r="A1894" i="1"/>
  <c r="B1894" i="1"/>
  <c r="G1894" i="1"/>
  <c r="H1894" i="1"/>
  <c r="J1894" i="1"/>
  <c r="A1895" i="1"/>
  <c r="B1895" i="1"/>
  <c r="G1895" i="1"/>
  <c r="H1895" i="1"/>
  <c r="J1895" i="1"/>
  <c r="A1896" i="1"/>
  <c r="B1896" i="1"/>
  <c r="G1896" i="1"/>
  <c r="H1896" i="1"/>
  <c r="J1896" i="1"/>
  <c r="A1897" i="1"/>
  <c r="B1897" i="1"/>
  <c r="G1897" i="1"/>
  <c r="H1897" i="1"/>
  <c r="J1897" i="1"/>
  <c r="A1898" i="1"/>
  <c r="B1898" i="1"/>
  <c r="G1898" i="1"/>
  <c r="H1898" i="1"/>
  <c r="J1898" i="1"/>
  <c r="A1899" i="1"/>
  <c r="B1899" i="1"/>
  <c r="G1899" i="1"/>
  <c r="H1899" i="1"/>
  <c r="J1899" i="1"/>
  <c r="A1900" i="1"/>
  <c r="B1900" i="1"/>
  <c r="G1900" i="1"/>
  <c r="H1900" i="1"/>
  <c r="J1900" i="1"/>
  <c r="A1901" i="1"/>
  <c r="B1901" i="1"/>
  <c r="G1901" i="1"/>
  <c r="H1901" i="1"/>
  <c r="J1901" i="1"/>
  <c r="A1902" i="1"/>
  <c r="B1902" i="1"/>
  <c r="G1902" i="1"/>
  <c r="H1902" i="1"/>
  <c r="J1902" i="1"/>
  <c r="A1903" i="1"/>
  <c r="B1903" i="1"/>
  <c r="G1903" i="1"/>
  <c r="H1903" i="1"/>
  <c r="J1903" i="1"/>
  <c r="A1904" i="1"/>
  <c r="B1904" i="1"/>
  <c r="G1904" i="1"/>
  <c r="H1904" i="1"/>
  <c r="J1904" i="1"/>
  <c r="A1905" i="1"/>
  <c r="B1905" i="1"/>
  <c r="G1905" i="1"/>
  <c r="H1905" i="1"/>
  <c r="J1905" i="1"/>
  <c r="A1906" i="1"/>
  <c r="B1906" i="1"/>
  <c r="G1906" i="1"/>
  <c r="H1906" i="1"/>
  <c r="J1906" i="1"/>
  <c r="A1907" i="1"/>
  <c r="B1907" i="1"/>
  <c r="G1907" i="1"/>
  <c r="H1907" i="1"/>
  <c r="J1907" i="1"/>
  <c r="A1908" i="1"/>
  <c r="B1908" i="1"/>
  <c r="G1908" i="1"/>
  <c r="H1908" i="1"/>
  <c r="J1908" i="1"/>
  <c r="A1909" i="1"/>
  <c r="B1909" i="1"/>
  <c r="G1909" i="1"/>
  <c r="H1909" i="1"/>
  <c r="J1909" i="1"/>
  <c r="A1910" i="1"/>
  <c r="B1910" i="1"/>
  <c r="G1910" i="1"/>
  <c r="H1910" i="1"/>
  <c r="J1910" i="1"/>
  <c r="A1911" i="1"/>
  <c r="B1911" i="1"/>
  <c r="G1911" i="1"/>
  <c r="H1911" i="1"/>
  <c r="J1911" i="1"/>
  <c r="A1912" i="1"/>
  <c r="B1912" i="1"/>
  <c r="G1912" i="1"/>
  <c r="H1912" i="1"/>
  <c r="J1912" i="1"/>
  <c r="A1913" i="1"/>
  <c r="B1913" i="1"/>
  <c r="G1913" i="1"/>
  <c r="H1913" i="1"/>
  <c r="J1913" i="1"/>
  <c r="A1914" i="1"/>
  <c r="B1914" i="1"/>
  <c r="G1914" i="1"/>
  <c r="H1914" i="1"/>
  <c r="J1914" i="1"/>
  <c r="A1915" i="1"/>
  <c r="B1915" i="1"/>
  <c r="G1915" i="1"/>
  <c r="H1915" i="1"/>
  <c r="J1915" i="1"/>
  <c r="A1916" i="1"/>
  <c r="B1916" i="1"/>
  <c r="G1916" i="1"/>
  <c r="H1916" i="1"/>
  <c r="J1916" i="1"/>
  <c r="A1917" i="1"/>
  <c r="B1917" i="1"/>
  <c r="G1917" i="1"/>
  <c r="H1917" i="1"/>
  <c r="J1917" i="1"/>
  <c r="A1918" i="1"/>
  <c r="B1918" i="1"/>
  <c r="G1918" i="1"/>
  <c r="H1918" i="1"/>
  <c r="J1918" i="1"/>
  <c r="A1919" i="1"/>
  <c r="B1919" i="1"/>
  <c r="G1919" i="1"/>
  <c r="H1919" i="1"/>
  <c r="J1919" i="1"/>
  <c r="A1920" i="1"/>
  <c r="B1920" i="1"/>
  <c r="G1920" i="1"/>
  <c r="H1920" i="1"/>
  <c r="J1920" i="1"/>
  <c r="A1921" i="1"/>
  <c r="B1921" i="1"/>
  <c r="G1921" i="1"/>
  <c r="H1921" i="1"/>
  <c r="J1921" i="1"/>
  <c r="A1922" i="1"/>
  <c r="B1922" i="1"/>
  <c r="G1922" i="1"/>
  <c r="H1922" i="1"/>
  <c r="J1922" i="1"/>
  <c r="A1923" i="1"/>
  <c r="B1923" i="1"/>
  <c r="G1923" i="1"/>
  <c r="H1923" i="1"/>
  <c r="J1923" i="1"/>
  <c r="A1924" i="1"/>
  <c r="B1924" i="1"/>
  <c r="G1924" i="1"/>
  <c r="H1924" i="1"/>
  <c r="J1924" i="1"/>
  <c r="A1925" i="1"/>
  <c r="B1925" i="1"/>
  <c r="G1925" i="1"/>
  <c r="H1925" i="1"/>
  <c r="J1925" i="1"/>
  <c r="A1926" i="1"/>
  <c r="B1926" i="1"/>
  <c r="G1926" i="1"/>
  <c r="H1926" i="1"/>
  <c r="J1926" i="1"/>
  <c r="A1927" i="1"/>
  <c r="B1927" i="1"/>
  <c r="G1927" i="1"/>
  <c r="H1927" i="1"/>
  <c r="J1927" i="1"/>
  <c r="A1928" i="1"/>
  <c r="B1928" i="1"/>
  <c r="G1928" i="1"/>
  <c r="H1928" i="1"/>
  <c r="J1928" i="1"/>
  <c r="A1929" i="1"/>
  <c r="B1929" i="1"/>
  <c r="G1929" i="1"/>
  <c r="H1929" i="1"/>
  <c r="J1929" i="1"/>
  <c r="A1930" i="1"/>
  <c r="B1930" i="1"/>
  <c r="G1930" i="1"/>
  <c r="H1930" i="1"/>
  <c r="J1930" i="1"/>
  <c r="A1931" i="1"/>
  <c r="B1931" i="1"/>
  <c r="G1931" i="1"/>
  <c r="H1931" i="1"/>
  <c r="J1931" i="1"/>
  <c r="A1932" i="1"/>
  <c r="B1932" i="1"/>
  <c r="G1932" i="1"/>
  <c r="H1932" i="1"/>
  <c r="J1932" i="1"/>
  <c r="A1933" i="1"/>
  <c r="B1933" i="1"/>
  <c r="G1933" i="1"/>
  <c r="H1933" i="1"/>
  <c r="J1933" i="1"/>
  <c r="A1934" i="1"/>
  <c r="B1934" i="1"/>
  <c r="G1934" i="1"/>
  <c r="H1934" i="1"/>
  <c r="J1934" i="1"/>
  <c r="A1935" i="1"/>
  <c r="B1935" i="1"/>
  <c r="G1935" i="1"/>
  <c r="H1935" i="1"/>
  <c r="J1935" i="1"/>
  <c r="A1936" i="1"/>
  <c r="B1936" i="1"/>
  <c r="G1936" i="1"/>
  <c r="H1936" i="1"/>
  <c r="J1936" i="1"/>
  <c r="A1937" i="1"/>
  <c r="B1937" i="1"/>
  <c r="G1937" i="1"/>
  <c r="H1937" i="1"/>
  <c r="J1937" i="1"/>
  <c r="A1938" i="1"/>
  <c r="B1938" i="1"/>
  <c r="G1938" i="1"/>
  <c r="H1938" i="1"/>
  <c r="J1938" i="1"/>
  <c r="A1939" i="1"/>
  <c r="B1939" i="1"/>
  <c r="G1939" i="1"/>
  <c r="H1939" i="1"/>
  <c r="J1939" i="1"/>
  <c r="A1940" i="1"/>
  <c r="B1940" i="1"/>
  <c r="G1940" i="1"/>
  <c r="H1940" i="1"/>
  <c r="J1940" i="1"/>
  <c r="A1941" i="1"/>
  <c r="B1941" i="1"/>
  <c r="G1941" i="1"/>
  <c r="H1941" i="1"/>
  <c r="J1941" i="1"/>
  <c r="A1942" i="1"/>
  <c r="B1942" i="1"/>
  <c r="G1942" i="1"/>
  <c r="H1942" i="1"/>
  <c r="J1942" i="1"/>
  <c r="A1943" i="1"/>
  <c r="B1943" i="1"/>
  <c r="G1943" i="1"/>
  <c r="H1943" i="1"/>
  <c r="J1943" i="1"/>
  <c r="A1944" i="1"/>
  <c r="B1944" i="1"/>
  <c r="G1944" i="1"/>
  <c r="H1944" i="1"/>
  <c r="J1944" i="1"/>
  <c r="A1945" i="1"/>
  <c r="B1945" i="1"/>
  <c r="G1945" i="1"/>
  <c r="H1945" i="1"/>
  <c r="J1945" i="1"/>
  <c r="A1946" i="1"/>
  <c r="B1946" i="1"/>
  <c r="G1946" i="1"/>
  <c r="H1946" i="1"/>
  <c r="J1946" i="1"/>
  <c r="A1947" i="1"/>
  <c r="B1947" i="1"/>
  <c r="G1947" i="1"/>
  <c r="H1947" i="1"/>
  <c r="J1947" i="1"/>
  <c r="A1948" i="1"/>
  <c r="B1948" i="1"/>
  <c r="G1948" i="1"/>
  <c r="H1948" i="1"/>
  <c r="J1948" i="1"/>
  <c r="A1949" i="1"/>
  <c r="B1949" i="1"/>
  <c r="G1949" i="1"/>
  <c r="H1949" i="1"/>
  <c r="J1949" i="1"/>
  <c r="A1950" i="1"/>
  <c r="B1950" i="1"/>
  <c r="G1950" i="1"/>
  <c r="H1950" i="1"/>
  <c r="J1950" i="1"/>
  <c r="A1951" i="1"/>
  <c r="B1951" i="1"/>
  <c r="G1951" i="1"/>
  <c r="H1951" i="1"/>
  <c r="J1951" i="1"/>
  <c r="A1952" i="1"/>
  <c r="B1952" i="1"/>
  <c r="G1952" i="1"/>
  <c r="H1952" i="1"/>
  <c r="J1952" i="1"/>
  <c r="A1953" i="1"/>
  <c r="B1953" i="1"/>
  <c r="G1953" i="1"/>
  <c r="H1953" i="1"/>
  <c r="J1953" i="1"/>
  <c r="A1954" i="1"/>
  <c r="B1954" i="1"/>
  <c r="G1954" i="1"/>
  <c r="H1954" i="1"/>
  <c r="J1954" i="1"/>
  <c r="A1955" i="1"/>
  <c r="B1955" i="1"/>
  <c r="G1955" i="1"/>
  <c r="H1955" i="1"/>
  <c r="J1955" i="1"/>
  <c r="A1956" i="1"/>
  <c r="B1956" i="1"/>
  <c r="G1956" i="1"/>
  <c r="H1956" i="1"/>
  <c r="J1956" i="1"/>
  <c r="A1957" i="1"/>
  <c r="B1957" i="1"/>
  <c r="G1957" i="1"/>
  <c r="H1957" i="1"/>
  <c r="J1957" i="1"/>
  <c r="A1958" i="1"/>
  <c r="B1958" i="1"/>
  <c r="G1958" i="1"/>
  <c r="H1958" i="1"/>
  <c r="J1958" i="1"/>
  <c r="A1959" i="1"/>
  <c r="B1959" i="1"/>
  <c r="G1959" i="1"/>
  <c r="H1959" i="1"/>
  <c r="J1959" i="1"/>
  <c r="A1960" i="1"/>
  <c r="B1960" i="1"/>
  <c r="G1960" i="1"/>
  <c r="H1960" i="1"/>
  <c r="J1960" i="1"/>
  <c r="A1961" i="1"/>
  <c r="B1961" i="1"/>
  <c r="G1961" i="1"/>
  <c r="H1961" i="1"/>
  <c r="J1961" i="1"/>
  <c r="A1962" i="1"/>
  <c r="B1962" i="1"/>
  <c r="G1962" i="1"/>
  <c r="H1962" i="1"/>
  <c r="J1962" i="1"/>
  <c r="A1963" i="1"/>
  <c r="B1963" i="1"/>
  <c r="G1963" i="1"/>
  <c r="H1963" i="1"/>
  <c r="J1963" i="1"/>
  <c r="A1964" i="1"/>
  <c r="B1964" i="1"/>
  <c r="G1964" i="1"/>
  <c r="H1964" i="1"/>
  <c r="J1964" i="1"/>
  <c r="A1965" i="1"/>
  <c r="B1965" i="1"/>
  <c r="G1965" i="1"/>
  <c r="H1965" i="1"/>
  <c r="J1965" i="1"/>
  <c r="A1966" i="1"/>
  <c r="B1966" i="1"/>
  <c r="G1966" i="1"/>
  <c r="H1966" i="1"/>
  <c r="J1966" i="1"/>
  <c r="A1967" i="1"/>
  <c r="B1967" i="1"/>
  <c r="G1967" i="1"/>
  <c r="H1967" i="1"/>
  <c r="J1967" i="1"/>
  <c r="A1968" i="1"/>
  <c r="B1968" i="1"/>
  <c r="G1968" i="1"/>
  <c r="H1968" i="1"/>
  <c r="J1968" i="1"/>
  <c r="A1969" i="1"/>
  <c r="B1969" i="1"/>
  <c r="G1969" i="1"/>
  <c r="H1969" i="1"/>
  <c r="J1969" i="1"/>
  <c r="A1970" i="1"/>
  <c r="B1970" i="1"/>
  <c r="G1970" i="1"/>
  <c r="H1970" i="1"/>
  <c r="J1970" i="1"/>
  <c r="A1971" i="1"/>
  <c r="B1971" i="1"/>
  <c r="G1971" i="1"/>
  <c r="H1971" i="1"/>
  <c r="J1971" i="1"/>
  <c r="A1972" i="1"/>
  <c r="B1972" i="1"/>
  <c r="G1972" i="1"/>
  <c r="H1972" i="1"/>
  <c r="J1972" i="1"/>
  <c r="A1973" i="1"/>
  <c r="B1973" i="1"/>
  <c r="G1973" i="1"/>
  <c r="H1973" i="1"/>
  <c r="J1973" i="1"/>
  <c r="A1974" i="1"/>
  <c r="B1974" i="1"/>
  <c r="G1974" i="1"/>
  <c r="H1974" i="1"/>
  <c r="J1974" i="1"/>
  <c r="A1975" i="1"/>
  <c r="B1975" i="1"/>
  <c r="G1975" i="1"/>
  <c r="H1975" i="1"/>
  <c r="J1975" i="1"/>
  <c r="A1976" i="1"/>
  <c r="B1976" i="1"/>
  <c r="G1976" i="1"/>
  <c r="H1976" i="1"/>
  <c r="J1976" i="1"/>
  <c r="A1977" i="1"/>
  <c r="B1977" i="1"/>
  <c r="G1977" i="1"/>
  <c r="H1977" i="1"/>
  <c r="J1977" i="1"/>
  <c r="A1978" i="1"/>
  <c r="B1978" i="1"/>
  <c r="G1978" i="1"/>
  <c r="H1978" i="1"/>
  <c r="J1978" i="1"/>
  <c r="A1979" i="1"/>
  <c r="B1979" i="1"/>
  <c r="G1979" i="1"/>
  <c r="H1979" i="1"/>
  <c r="J1979" i="1"/>
  <c r="A1980" i="1"/>
  <c r="B1980" i="1"/>
  <c r="G1980" i="1"/>
  <c r="H1980" i="1"/>
  <c r="J1980" i="1"/>
  <c r="A1981" i="1"/>
  <c r="B1981" i="1"/>
  <c r="G1981" i="1"/>
  <c r="H1981" i="1"/>
  <c r="J1981" i="1"/>
  <c r="A1982" i="1"/>
  <c r="B1982" i="1"/>
  <c r="G1982" i="1"/>
  <c r="H1982" i="1"/>
  <c r="J1982" i="1"/>
  <c r="A1983" i="1"/>
  <c r="B1983" i="1"/>
  <c r="G1983" i="1"/>
  <c r="H1983" i="1"/>
  <c r="J1983" i="1"/>
  <c r="A1984" i="1"/>
  <c r="B1984" i="1"/>
  <c r="G1984" i="1"/>
  <c r="H1984" i="1"/>
  <c r="J1984" i="1"/>
  <c r="A1985" i="1"/>
  <c r="B1985" i="1"/>
  <c r="G1985" i="1"/>
  <c r="H1985" i="1"/>
  <c r="J1985" i="1"/>
  <c r="A1986" i="1"/>
  <c r="B1986" i="1"/>
  <c r="G1986" i="1"/>
  <c r="H1986" i="1"/>
  <c r="J1986" i="1"/>
  <c r="A1987" i="1"/>
  <c r="B1987" i="1"/>
  <c r="G1987" i="1"/>
  <c r="H1987" i="1"/>
  <c r="J1987" i="1"/>
  <c r="A1988" i="1"/>
  <c r="B1988" i="1"/>
  <c r="G1988" i="1"/>
  <c r="H1988" i="1"/>
  <c r="J1988" i="1"/>
  <c r="A1989" i="1"/>
  <c r="B1989" i="1"/>
  <c r="G1989" i="1"/>
  <c r="H1989" i="1"/>
  <c r="J1989" i="1"/>
  <c r="A1990" i="1"/>
  <c r="B1990" i="1"/>
  <c r="G1990" i="1"/>
  <c r="H1990" i="1"/>
  <c r="J1990" i="1"/>
  <c r="A1991" i="1"/>
  <c r="B1991" i="1"/>
  <c r="G1991" i="1"/>
  <c r="H1991" i="1"/>
  <c r="J1991" i="1"/>
  <c r="A1992" i="1"/>
  <c r="B1992" i="1"/>
  <c r="G1992" i="1"/>
  <c r="H1992" i="1"/>
  <c r="J1992" i="1"/>
  <c r="A1993" i="1"/>
  <c r="B1993" i="1"/>
  <c r="G1993" i="1"/>
  <c r="H1993" i="1"/>
  <c r="J1993" i="1"/>
  <c r="A1994" i="1"/>
  <c r="B1994" i="1"/>
  <c r="G1994" i="1"/>
  <c r="H1994" i="1"/>
  <c r="J1994" i="1"/>
  <c r="A1995" i="1"/>
  <c r="B1995" i="1"/>
  <c r="G1995" i="1"/>
  <c r="H1995" i="1"/>
  <c r="J1995" i="1"/>
  <c r="A1996" i="1"/>
  <c r="B1996" i="1"/>
  <c r="G1996" i="1"/>
  <c r="H1996" i="1"/>
  <c r="J1996" i="1"/>
  <c r="A1997" i="1"/>
  <c r="B1997" i="1"/>
  <c r="G1997" i="1"/>
  <c r="H1997" i="1"/>
  <c r="J1997" i="1"/>
  <c r="A1998" i="1"/>
  <c r="B1998" i="1"/>
  <c r="G1998" i="1"/>
  <c r="H1998" i="1"/>
  <c r="J1998" i="1"/>
  <c r="A1999" i="1"/>
  <c r="B1999" i="1"/>
  <c r="G1999" i="1"/>
  <c r="H1999" i="1"/>
  <c r="J1999" i="1"/>
  <c r="A2000" i="1"/>
  <c r="B2000" i="1"/>
  <c r="G2000" i="1"/>
  <c r="H2000" i="1"/>
  <c r="J2000" i="1"/>
  <c r="A2001" i="1"/>
  <c r="B2001" i="1"/>
  <c r="G2001" i="1"/>
  <c r="H2001" i="1"/>
  <c r="J2001" i="1"/>
  <c r="A2002" i="1"/>
  <c r="B2002" i="1"/>
  <c r="G2002" i="1"/>
  <c r="H2002" i="1"/>
  <c r="J2002" i="1"/>
  <c r="A2003" i="1"/>
  <c r="B2003" i="1"/>
  <c r="G2003" i="1"/>
  <c r="H2003" i="1"/>
  <c r="J2003" i="1"/>
  <c r="A2004" i="1"/>
  <c r="B2004" i="1"/>
  <c r="G2004" i="1"/>
  <c r="H2004" i="1"/>
  <c r="J2004" i="1"/>
  <c r="A2005" i="1"/>
  <c r="B2005" i="1"/>
  <c r="G2005" i="1"/>
  <c r="H2005" i="1"/>
  <c r="J2005" i="1"/>
  <c r="A2006" i="1"/>
  <c r="B2006" i="1"/>
  <c r="G2006" i="1"/>
  <c r="H2006" i="1"/>
  <c r="J2006" i="1"/>
  <c r="A2007" i="1"/>
  <c r="B2007" i="1"/>
  <c r="G2007" i="1"/>
  <c r="H2007" i="1"/>
  <c r="J2007" i="1"/>
  <c r="A2008" i="1"/>
  <c r="B2008" i="1"/>
  <c r="G2008" i="1"/>
  <c r="H2008" i="1"/>
  <c r="J2008" i="1"/>
  <c r="A2009" i="1"/>
  <c r="B2009" i="1"/>
  <c r="G2009" i="1"/>
  <c r="H2009" i="1"/>
  <c r="J2009" i="1"/>
  <c r="A2010" i="1"/>
  <c r="B2010" i="1"/>
  <c r="G2010" i="1"/>
  <c r="H2010" i="1"/>
  <c r="J2010" i="1"/>
  <c r="A2011" i="1"/>
  <c r="B2011" i="1"/>
  <c r="G2011" i="1"/>
  <c r="H2011" i="1"/>
  <c r="J2011" i="1"/>
  <c r="A2012" i="1"/>
  <c r="B2012" i="1"/>
  <c r="G2012" i="1"/>
  <c r="H2012" i="1"/>
  <c r="J2012" i="1"/>
  <c r="A2013" i="1"/>
  <c r="B2013" i="1"/>
  <c r="G2013" i="1"/>
  <c r="H2013" i="1"/>
  <c r="J2013" i="1"/>
  <c r="A2014" i="1"/>
  <c r="B2014" i="1"/>
  <c r="G2014" i="1"/>
  <c r="H2014" i="1"/>
  <c r="J2014" i="1"/>
  <c r="A2015" i="1"/>
  <c r="B2015" i="1"/>
  <c r="G2015" i="1"/>
  <c r="H2015" i="1"/>
  <c r="J2015" i="1"/>
  <c r="A2016" i="1"/>
  <c r="B2016" i="1"/>
  <c r="G2016" i="1"/>
  <c r="H2016" i="1"/>
  <c r="J2016" i="1"/>
  <c r="A2017" i="1"/>
  <c r="B2017" i="1"/>
  <c r="G2017" i="1"/>
  <c r="H2017" i="1"/>
  <c r="J2017" i="1"/>
  <c r="A2018" i="1"/>
  <c r="B2018" i="1"/>
  <c r="G2018" i="1"/>
  <c r="H2018" i="1"/>
  <c r="J2018" i="1"/>
  <c r="A2019" i="1"/>
  <c r="B2019" i="1"/>
  <c r="G2019" i="1"/>
  <c r="H2019" i="1"/>
  <c r="J2019" i="1"/>
  <c r="A2020" i="1"/>
  <c r="B2020" i="1"/>
  <c r="G2020" i="1"/>
  <c r="H2020" i="1"/>
  <c r="J2020" i="1"/>
  <c r="A2021" i="1"/>
  <c r="B2021" i="1"/>
  <c r="G2021" i="1"/>
  <c r="H2021" i="1"/>
  <c r="J2021" i="1"/>
  <c r="A2022" i="1"/>
  <c r="B2022" i="1"/>
  <c r="G2022" i="1"/>
  <c r="H2022" i="1"/>
  <c r="J2022" i="1"/>
  <c r="A2023" i="1"/>
  <c r="B2023" i="1"/>
  <c r="G2023" i="1"/>
  <c r="H2023" i="1"/>
  <c r="J2023" i="1"/>
  <c r="A2024" i="1"/>
  <c r="B2024" i="1"/>
  <c r="G2024" i="1"/>
  <c r="H2024" i="1"/>
  <c r="J2024" i="1"/>
  <c r="A2025" i="1"/>
  <c r="B2025" i="1"/>
  <c r="G2025" i="1"/>
  <c r="H2025" i="1"/>
  <c r="J2025" i="1"/>
  <c r="A2026" i="1"/>
  <c r="B2026" i="1"/>
  <c r="G2026" i="1"/>
  <c r="H2026" i="1"/>
  <c r="J2026" i="1"/>
  <c r="A2027" i="1"/>
  <c r="B2027" i="1"/>
  <c r="G2027" i="1"/>
  <c r="H2027" i="1"/>
  <c r="J2027" i="1"/>
  <c r="A2028" i="1"/>
  <c r="B2028" i="1"/>
  <c r="G2028" i="1"/>
  <c r="H2028" i="1"/>
  <c r="J2028" i="1"/>
  <c r="A2029" i="1"/>
  <c r="B2029" i="1"/>
  <c r="G2029" i="1"/>
  <c r="H2029" i="1"/>
  <c r="J2029" i="1"/>
  <c r="A2030" i="1"/>
  <c r="B2030" i="1"/>
  <c r="G2030" i="1"/>
  <c r="H2030" i="1"/>
  <c r="J2030" i="1"/>
  <c r="A2031" i="1"/>
  <c r="B2031" i="1"/>
  <c r="G2031" i="1"/>
  <c r="H2031" i="1"/>
  <c r="J2031" i="1"/>
  <c r="A2032" i="1"/>
  <c r="B2032" i="1"/>
  <c r="G2032" i="1"/>
  <c r="H2032" i="1"/>
  <c r="J2032" i="1"/>
  <c r="A2033" i="1"/>
  <c r="B2033" i="1"/>
  <c r="G2033" i="1"/>
  <c r="H2033" i="1"/>
  <c r="J2033" i="1"/>
  <c r="A2034" i="1"/>
  <c r="B2034" i="1"/>
  <c r="G2034" i="1"/>
  <c r="H2034" i="1"/>
  <c r="J2034" i="1"/>
  <c r="A2035" i="1"/>
  <c r="B2035" i="1"/>
  <c r="G2035" i="1"/>
  <c r="H2035" i="1"/>
  <c r="J2035" i="1"/>
  <c r="A2036" i="1"/>
  <c r="B2036" i="1"/>
  <c r="G2036" i="1"/>
  <c r="H2036" i="1"/>
  <c r="J2036" i="1"/>
  <c r="A2037" i="1"/>
  <c r="B2037" i="1"/>
  <c r="G2037" i="1"/>
  <c r="H2037" i="1"/>
  <c r="J2037" i="1"/>
  <c r="A2038" i="1"/>
  <c r="B2038" i="1"/>
  <c r="G2038" i="1"/>
  <c r="H2038" i="1"/>
  <c r="J2038" i="1"/>
  <c r="A2039" i="1"/>
  <c r="B2039" i="1"/>
  <c r="G2039" i="1"/>
  <c r="H2039" i="1"/>
  <c r="J2039" i="1"/>
  <c r="A2040" i="1"/>
  <c r="B2040" i="1"/>
  <c r="G2040" i="1"/>
  <c r="H2040" i="1"/>
  <c r="J2040" i="1"/>
  <c r="A2041" i="1"/>
  <c r="B2041" i="1"/>
  <c r="G2041" i="1"/>
  <c r="H2041" i="1"/>
  <c r="J2041" i="1"/>
  <c r="A2042" i="1"/>
  <c r="B2042" i="1"/>
  <c r="G2042" i="1"/>
  <c r="H2042" i="1"/>
  <c r="J2042" i="1"/>
  <c r="A2043" i="1"/>
  <c r="B2043" i="1"/>
  <c r="G2043" i="1"/>
  <c r="H2043" i="1"/>
  <c r="J2043" i="1"/>
  <c r="A2044" i="1"/>
  <c r="B2044" i="1"/>
  <c r="G2044" i="1"/>
  <c r="H2044" i="1"/>
  <c r="J2044" i="1"/>
  <c r="A2045" i="1"/>
  <c r="B2045" i="1"/>
  <c r="G2045" i="1"/>
  <c r="H2045" i="1"/>
  <c r="J2045" i="1"/>
  <c r="A2046" i="1"/>
  <c r="B2046" i="1"/>
  <c r="G2046" i="1"/>
  <c r="H2046" i="1"/>
  <c r="J2046" i="1"/>
  <c r="A2047" i="1"/>
  <c r="B2047" i="1"/>
  <c r="G2047" i="1"/>
  <c r="H2047" i="1"/>
  <c r="J2047" i="1"/>
  <c r="A2048" i="1"/>
  <c r="B2048" i="1"/>
  <c r="G2048" i="1"/>
  <c r="H2048" i="1"/>
  <c r="J2048" i="1"/>
  <c r="A2049" i="1"/>
  <c r="B2049" i="1"/>
  <c r="G2049" i="1"/>
  <c r="H2049" i="1"/>
  <c r="J2049" i="1"/>
  <c r="A2050" i="1"/>
  <c r="B2050" i="1"/>
  <c r="G2050" i="1"/>
  <c r="H2050" i="1"/>
  <c r="J2050" i="1"/>
  <c r="A2051" i="1"/>
  <c r="B2051" i="1"/>
  <c r="G2051" i="1"/>
  <c r="H2051" i="1"/>
  <c r="J2051" i="1"/>
  <c r="A2052" i="1"/>
  <c r="B2052" i="1"/>
  <c r="G2052" i="1"/>
  <c r="H2052" i="1"/>
  <c r="J2052" i="1"/>
  <c r="A2053" i="1"/>
  <c r="B2053" i="1"/>
  <c r="G2053" i="1"/>
  <c r="H2053" i="1"/>
  <c r="J2053" i="1"/>
  <c r="A2054" i="1"/>
  <c r="B2054" i="1"/>
  <c r="G2054" i="1"/>
  <c r="H2054" i="1"/>
  <c r="J2054" i="1"/>
  <c r="A2055" i="1"/>
  <c r="B2055" i="1"/>
  <c r="G2055" i="1"/>
  <c r="H2055" i="1"/>
  <c r="J2055" i="1"/>
  <c r="A2056" i="1"/>
  <c r="B2056" i="1"/>
  <c r="G2056" i="1"/>
  <c r="H2056" i="1"/>
  <c r="J2056" i="1"/>
  <c r="A2057" i="1"/>
  <c r="B2057" i="1"/>
  <c r="G2057" i="1"/>
  <c r="H2057" i="1"/>
  <c r="J2057" i="1"/>
  <c r="A2058" i="1"/>
  <c r="B2058" i="1"/>
  <c r="G2058" i="1"/>
  <c r="H2058" i="1"/>
  <c r="J2058" i="1"/>
  <c r="A2059" i="1"/>
  <c r="B2059" i="1"/>
  <c r="G2059" i="1"/>
  <c r="H2059" i="1"/>
  <c r="J2059" i="1"/>
  <c r="A2060" i="1"/>
  <c r="B2060" i="1"/>
  <c r="G2060" i="1"/>
  <c r="H2060" i="1"/>
  <c r="J2060" i="1"/>
  <c r="A2061" i="1"/>
  <c r="B2061" i="1"/>
  <c r="G2061" i="1"/>
  <c r="H2061" i="1"/>
  <c r="J2061" i="1"/>
  <c r="A2062" i="1"/>
  <c r="B2062" i="1"/>
  <c r="G2062" i="1"/>
  <c r="H2062" i="1"/>
  <c r="J2062" i="1"/>
  <c r="A2063" i="1"/>
  <c r="B2063" i="1"/>
  <c r="G2063" i="1"/>
  <c r="H2063" i="1"/>
  <c r="J2063" i="1"/>
  <c r="A2064" i="1"/>
  <c r="B2064" i="1"/>
  <c r="G2064" i="1"/>
  <c r="H2064" i="1"/>
  <c r="J2064" i="1"/>
  <c r="A2065" i="1"/>
  <c r="B2065" i="1"/>
  <c r="G2065" i="1"/>
  <c r="H2065" i="1"/>
  <c r="J2065" i="1"/>
  <c r="A2066" i="1"/>
  <c r="B2066" i="1"/>
  <c r="G2066" i="1"/>
  <c r="H2066" i="1"/>
  <c r="J2066" i="1"/>
  <c r="A2067" i="1"/>
  <c r="B2067" i="1"/>
  <c r="G2067" i="1"/>
  <c r="H2067" i="1"/>
  <c r="J2067" i="1"/>
  <c r="A2068" i="1"/>
  <c r="B2068" i="1"/>
  <c r="G2068" i="1"/>
  <c r="H2068" i="1"/>
  <c r="J2068" i="1"/>
  <c r="A2069" i="1"/>
  <c r="B2069" i="1"/>
  <c r="G2069" i="1"/>
  <c r="H2069" i="1"/>
  <c r="J2069" i="1"/>
  <c r="A2070" i="1"/>
  <c r="B2070" i="1"/>
  <c r="G2070" i="1"/>
  <c r="H2070" i="1"/>
  <c r="J2070" i="1"/>
  <c r="A2071" i="1"/>
  <c r="B2071" i="1"/>
  <c r="G2071" i="1"/>
  <c r="H2071" i="1"/>
  <c r="J2071" i="1"/>
  <c r="A2072" i="1"/>
  <c r="B2072" i="1"/>
  <c r="G2072" i="1"/>
  <c r="H2072" i="1"/>
  <c r="J2072" i="1"/>
  <c r="A2073" i="1"/>
  <c r="B2073" i="1"/>
  <c r="G2073" i="1"/>
  <c r="H2073" i="1"/>
  <c r="J2073" i="1"/>
  <c r="A2074" i="1"/>
  <c r="B2074" i="1"/>
  <c r="G2074" i="1"/>
  <c r="H2074" i="1"/>
  <c r="J2074" i="1"/>
  <c r="A2075" i="1"/>
  <c r="B2075" i="1"/>
  <c r="G2075" i="1"/>
  <c r="H2075" i="1"/>
  <c r="J2075" i="1"/>
  <c r="A2076" i="1"/>
  <c r="B2076" i="1"/>
  <c r="G2076" i="1"/>
  <c r="H2076" i="1"/>
  <c r="J2076" i="1"/>
  <c r="A2077" i="1"/>
  <c r="B2077" i="1"/>
  <c r="G2077" i="1"/>
  <c r="H2077" i="1"/>
  <c r="J2077" i="1"/>
  <c r="A2078" i="1"/>
  <c r="B2078" i="1"/>
  <c r="G2078" i="1"/>
  <c r="H2078" i="1"/>
  <c r="J2078" i="1"/>
  <c r="A2079" i="1"/>
  <c r="B2079" i="1"/>
  <c r="G2079" i="1"/>
  <c r="H2079" i="1"/>
  <c r="J2079" i="1"/>
  <c r="A2080" i="1"/>
  <c r="B2080" i="1"/>
  <c r="G2080" i="1"/>
  <c r="H2080" i="1"/>
  <c r="J2080" i="1"/>
  <c r="A2081" i="1"/>
  <c r="B2081" i="1"/>
  <c r="G2081" i="1"/>
  <c r="H2081" i="1"/>
  <c r="J2081" i="1"/>
  <c r="A2082" i="1"/>
  <c r="B2082" i="1"/>
  <c r="G2082" i="1"/>
  <c r="H2082" i="1"/>
  <c r="J2082" i="1"/>
  <c r="A2083" i="1"/>
  <c r="B2083" i="1"/>
  <c r="G2083" i="1"/>
  <c r="H2083" i="1"/>
  <c r="J2083" i="1"/>
  <c r="A2084" i="1"/>
  <c r="B2084" i="1"/>
  <c r="G2084" i="1"/>
  <c r="H2084" i="1"/>
  <c r="J2084" i="1"/>
  <c r="A2085" i="1"/>
  <c r="B2085" i="1"/>
  <c r="G2085" i="1"/>
  <c r="H2085" i="1"/>
  <c r="J2085" i="1"/>
  <c r="A2086" i="1"/>
  <c r="B2086" i="1"/>
  <c r="G2086" i="1"/>
  <c r="H2086" i="1"/>
  <c r="J2086" i="1"/>
  <c r="A2087" i="1"/>
  <c r="B2087" i="1"/>
  <c r="G2087" i="1"/>
  <c r="H2087" i="1"/>
  <c r="J2087" i="1"/>
  <c r="A2088" i="1"/>
  <c r="B2088" i="1"/>
  <c r="G2088" i="1"/>
  <c r="H2088" i="1"/>
  <c r="J2088" i="1"/>
  <c r="A2089" i="1"/>
  <c r="B2089" i="1"/>
  <c r="G2089" i="1"/>
  <c r="H2089" i="1"/>
  <c r="J2089" i="1"/>
  <c r="A2090" i="1"/>
  <c r="B2090" i="1"/>
  <c r="G2090" i="1"/>
  <c r="H2090" i="1"/>
  <c r="J2090" i="1"/>
  <c r="A2091" i="1"/>
  <c r="B2091" i="1"/>
  <c r="G2091" i="1"/>
  <c r="H2091" i="1"/>
  <c r="J2091" i="1"/>
  <c r="A2092" i="1"/>
  <c r="B2092" i="1"/>
  <c r="G2092" i="1"/>
  <c r="H2092" i="1"/>
  <c r="J2092" i="1"/>
  <c r="A2093" i="1"/>
  <c r="B2093" i="1"/>
  <c r="G2093" i="1"/>
  <c r="H2093" i="1"/>
  <c r="J2093" i="1"/>
  <c r="A2094" i="1"/>
  <c r="B2094" i="1"/>
  <c r="G2094" i="1"/>
  <c r="H2094" i="1"/>
  <c r="J2094" i="1"/>
  <c r="A2095" i="1"/>
  <c r="B2095" i="1"/>
  <c r="G2095" i="1"/>
  <c r="H2095" i="1"/>
  <c r="J2095" i="1"/>
  <c r="A2096" i="1"/>
  <c r="B2096" i="1"/>
  <c r="G2096" i="1"/>
  <c r="H2096" i="1"/>
  <c r="J2096" i="1"/>
  <c r="A2097" i="1"/>
  <c r="B2097" i="1"/>
  <c r="G2097" i="1"/>
  <c r="H2097" i="1"/>
  <c r="J2097" i="1"/>
  <c r="A2098" i="1"/>
  <c r="B2098" i="1"/>
  <c r="G2098" i="1"/>
  <c r="H2098" i="1"/>
  <c r="J2098" i="1"/>
  <c r="A2099" i="1"/>
  <c r="B2099" i="1"/>
  <c r="G2099" i="1"/>
  <c r="H2099" i="1"/>
  <c r="J2099" i="1"/>
  <c r="A2100" i="1"/>
  <c r="B2100" i="1"/>
  <c r="G2100" i="1"/>
  <c r="H2100" i="1"/>
  <c r="J2100" i="1"/>
  <c r="A2101" i="1"/>
  <c r="B2101" i="1"/>
  <c r="G2101" i="1"/>
  <c r="H2101" i="1"/>
  <c r="J2101" i="1"/>
  <c r="A2102" i="1"/>
  <c r="B2102" i="1"/>
  <c r="G2102" i="1"/>
  <c r="H2102" i="1"/>
  <c r="J2102" i="1"/>
  <c r="A2103" i="1"/>
  <c r="B2103" i="1"/>
  <c r="G2103" i="1"/>
  <c r="H2103" i="1"/>
  <c r="J2103" i="1"/>
  <c r="A2104" i="1"/>
  <c r="B2104" i="1"/>
  <c r="G2104" i="1"/>
  <c r="H2104" i="1"/>
  <c r="J2104" i="1"/>
  <c r="A2105" i="1"/>
  <c r="B2105" i="1"/>
  <c r="G2105" i="1"/>
  <c r="H2105" i="1"/>
  <c r="J2105" i="1"/>
  <c r="A2106" i="1"/>
  <c r="B2106" i="1"/>
  <c r="G2106" i="1"/>
  <c r="H2106" i="1"/>
  <c r="J2106" i="1"/>
  <c r="A2107" i="1"/>
  <c r="B2107" i="1"/>
  <c r="G2107" i="1"/>
  <c r="H2107" i="1"/>
  <c r="J2107" i="1"/>
  <c r="A2108" i="1"/>
  <c r="B2108" i="1"/>
  <c r="G2108" i="1"/>
  <c r="H2108" i="1"/>
  <c r="J2108" i="1"/>
  <c r="A2109" i="1"/>
  <c r="B2109" i="1"/>
  <c r="G2109" i="1"/>
  <c r="H2109" i="1"/>
  <c r="J2109" i="1"/>
  <c r="A2110" i="1"/>
  <c r="B2110" i="1"/>
  <c r="G2110" i="1"/>
  <c r="H2110" i="1"/>
  <c r="J2110" i="1"/>
  <c r="A2111" i="1"/>
  <c r="B2111" i="1"/>
  <c r="G2111" i="1"/>
  <c r="H2111" i="1"/>
  <c r="J2111" i="1"/>
  <c r="A2112" i="1"/>
  <c r="B2112" i="1"/>
  <c r="G2112" i="1"/>
  <c r="H2112" i="1"/>
  <c r="J2112" i="1"/>
  <c r="A2113" i="1"/>
  <c r="B2113" i="1"/>
  <c r="G2113" i="1"/>
  <c r="H2113" i="1"/>
  <c r="J2113" i="1"/>
  <c r="A2114" i="1"/>
  <c r="B2114" i="1"/>
  <c r="G2114" i="1"/>
  <c r="H2114" i="1"/>
  <c r="J2114" i="1"/>
  <c r="A2115" i="1"/>
  <c r="B2115" i="1"/>
  <c r="G2115" i="1"/>
  <c r="H2115" i="1"/>
  <c r="J2115" i="1"/>
  <c r="A2116" i="1"/>
  <c r="B2116" i="1"/>
  <c r="G2116" i="1"/>
  <c r="H2116" i="1"/>
  <c r="J2116" i="1"/>
  <c r="A2117" i="1"/>
  <c r="B2117" i="1"/>
  <c r="G2117" i="1"/>
  <c r="H2117" i="1"/>
  <c r="J2117" i="1"/>
  <c r="A2118" i="1"/>
  <c r="B2118" i="1"/>
  <c r="G2118" i="1"/>
  <c r="H2118" i="1"/>
  <c r="J2118" i="1"/>
  <c r="A2119" i="1"/>
  <c r="B2119" i="1"/>
  <c r="G2119" i="1"/>
  <c r="H2119" i="1"/>
  <c r="J2119" i="1"/>
  <c r="A2120" i="1"/>
  <c r="B2120" i="1"/>
  <c r="G2120" i="1"/>
  <c r="H2120" i="1"/>
  <c r="J2120" i="1"/>
  <c r="A2121" i="1"/>
  <c r="B2121" i="1"/>
  <c r="G2121" i="1"/>
  <c r="H2121" i="1"/>
  <c r="J2121" i="1"/>
  <c r="A2122" i="1"/>
  <c r="B2122" i="1"/>
  <c r="G2122" i="1"/>
  <c r="H2122" i="1"/>
  <c r="J2122" i="1"/>
  <c r="A2123" i="1"/>
  <c r="B2123" i="1"/>
  <c r="G2123" i="1"/>
  <c r="H2123" i="1"/>
  <c r="J2123" i="1"/>
  <c r="A2124" i="1"/>
  <c r="B2124" i="1"/>
  <c r="G2124" i="1"/>
  <c r="H2124" i="1"/>
  <c r="J2124" i="1"/>
  <c r="A2125" i="1"/>
  <c r="B2125" i="1"/>
  <c r="G2125" i="1"/>
  <c r="H2125" i="1"/>
  <c r="J2125" i="1"/>
  <c r="A2126" i="1"/>
  <c r="B2126" i="1"/>
  <c r="G2126" i="1"/>
  <c r="H2126" i="1"/>
  <c r="J2126" i="1"/>
  <c r="A2127" i="1"/>
  <c r="B2127" i="1"/>
  <c r="G2127" i="1"/>
  <c r="H2127" i="1"/>
  <c r="J2127" i="1"/>
  <c r="A2128" i="1"/>
  <c r="B2128" i="1"/>
  <c r="G2128" i="1"/>
  <c r="H2128" i="1"/>
  <c r="J2128" i="1"/>
  <c r="A2129" i="1"/>
  <c r="B2129" i="1"/>
  <c r="G2129" i="1"/>
  <c r="H2129" i="1"/>
  <c r="J2129" i="1"/>
  <c r="A2130" i="1"/>
  <c r="B2130" i="1"/>
  <c r="G2130" i="1"/>
  <c r="H2130" i="1"/>
  <c r="J2130" i="1"/>
  <c r="A2131" i="1"/>
  <c r="B2131" i="1"/>
  <c r="G2131" i="1"/>
  <c r="H2131" i="1"/>
  <c r="J2131" i="1"/>
  <c r="A2132" i="1"/>
  <c r="B2132" i="1"/>
  <c r="G2132" i="1"/>
  <c r="H2132" i="1"/>
  <c r="J2132" i="1"/>
  <c r="A2133" i="1"/>
  <c r="B2133" i="1"/>
  <c r="G2133" i="1"/>
  <c r="H2133" i="1"/>
  <c r="J2133" i="1"/>
  <c r="A2134" i="1"/>
  <c r="B2134" i="1"/>
  <c r="G2134" i="1"/>
  <c r="H2134" i="1"/>
  <c r="J2134" i="1"/>
  <c r="A2135" i="1"/>
  <c r="B2135" i="1"/>
  <c r="G2135" i="1"/>
  <c r="H2135" i="1"/>
  <c r="J2135" i="1"/>
  <c r="A2136" i="1"/>
  <c r="B2136" i="1"/>
  <c r="G2136" i="1"/>
  <c r="H2136" i="1"/>
  <c r="J2136" i="1"/>
  <c r="A2137" i="1"/>
  <c r="B2137" i="1"/>
  <c r="G2137" i="1"/>
  <c r="H2137" i="1"/>
  <c r="J2137" i="1"/>
  <c r="A2138" i="1"/>
  <c r="B2138" i="1"/>
  <c r="G2138" i="1"/>
  <c r="H2138" i="1"/>
  <c r="J2138" i="1"/>
  <c r="A2139" i="1"/>
  <c r="B2139" i="1"/>
  <c r="G2139" i="1"/>
  <c r="H2139" i="1"/>
  <c r="J2139" i="1"/>
  <c r="A2140" i="1"/>
  <c r="B2140" i="1"/>
  <c r="G2140" i="1"/>
  <c r="H2140" i="1"/>
  <c r="J2140" i="1"/>
  <c r="A2141" i="1"/>
  <c r="B2141" i="1"/>
  <c r="G2141" i="1"/>
  <c r="H2141" i="1"/>
  <c r="J2141" i="1"/>
  <c r="A2142" i="1"/>
  <c r="B2142" i="1"/>
  <c r="G2142" i="1"/>
  <c r="H2142" i="1"/>
  <c r="J2142" i="1"/>
  <c r="A2143" i="1"/>
  <c r="B2143" i="1"/>
  <c r="G2143" i="1"/>
  <c r="H2143" i="1"/>
  <c r="J2143" i="1"/>
  <c r="A2144" i="1"/>
  <c r="B2144" i="1"/>
  <c r="G2144" i="1"/>
  <c r="H2144" i="1"/>
  <c r="J2144" i="1"/>
  <c r="A2145" i="1"/>
  <c r="B2145" i="1"/>
  <c r="G2145" i="1"/>
  <c r="H2145" i="1"/>
  <c r="J2145" i="1"/>
  <c r="A2146" i="1"/>
  <c r="B2146" i="1"/>
  <c r="G2146" i="1"/>
  <c r="H2146" i="1"/>
  <c r="J2146" i="1"/>
  <c r="A2147" i="1"/>
  <c r="B2147" i="1"/>
  <c r="G2147" i="1"/>
  <c r="H2147" i="1"/>
  <c r="J2147" i="1"/>
  <c r="A2148" i="1"/>
  <c r="B2148" i="1"/>
  <c r="G2148" i="1"/>
  <c r="H2148" i="1"/>
  <c r="J2148" i="1"/>
  <c r="A2149" i="1"/>
  <c r="B2149" i="1"/>
  <c r="G2149" i="1"/>
  <c r="H2149" i="1"/>
  <c r="J2149" i="1"/>
  <c r="A2150" i="1"/>
  <c r="B2150" i="1"/>
  <c r="G2150" i="1"/>
  <c r="H2150" i="1"/>
  <c r="J2150" i="1"/>
  <c r="A2151" i="1"/>
  <c r="B2151" i="1"/>
  <c r="G2151" i="1"/>
  <c r="H2151" i="1"/>
  <c r="J2151" i="1"/>
  <c r="A2152" i="1"/>
  <c r="B2152" i="1"/>
  <c r="G2152" i="1"/>
  <c r="H2152" i="1"/>
  <c r="J2152" i="1"/>
  <c r="A2153" i="1"/>
  <c r="B2153" i="1"/>
  <c r="G2153" i="1"/>
  <c r="H2153" i="1"/>
  <c r="J2153" i="1"/>
  <c r="A2154" i="1"/>
  <c r="B2154" i="1"/>
  <c r="G2154" i="1"/>
  <c r="H2154" i="1"/>
  <c r="J2154" i="1"/>
  <c r="A2155" i="1"/>
  <c r="B2155" i="1"/>
  <c r="G2155" i="1"/>
  <c r="H2155" i="1"/>
  <c r="J2155" i="1"/>
  <c r="A2156" i="1"/>
  <c r="B2156" i="1"/>
  <c r="G2156" i="1"/>
  <c r="H2156" i="1"/>
  <c r="J2156" i="1"/>
  <c r="A2157" i="1"/>
  <c r="B2157" i="1"/>
  <c r="G2157" i="1"/>
  <c r="H2157" i="1"/>
  <c r="J2157" i="1"/>
  <c r="A2158" i="1"/>
  <c r="B2158" i="1"/>
  <c r="G2158" i="1"/>
  <c r="H2158" i="1"/>
  <c r="J2158" i="1"/>
  <c r="A2159" i="1"/>
  <c r="B2159" i="1"/>
  <c r="G2159" i="1"/>
  <c r="H2159" i="1"/>
  <c r="J2159" i="1"/>
  <c r="A2160" i="1"/>
  <c r="B2160" i="1"/>
  <c r="G2160" i="1"/>
  <c r="H2160" i="1"/>
  <c r="J2160" i="1"/>
  <c r="A2161" i="1"/>
  <c r="B2161" i="1"/>
  <c r="G2161" i="1"/>
  <c r="H2161" i="1"/>
  <c r="J2161" i="1"/>
  <c r="A2162" i="1"/>
  <c r="B2162" i="1"/>
  <c r="G2162" i="1"/>
  <c r="H2162" i="1"/>
  <c r="J2162" i="1"/>
  <c r="A2163" i="1"/>
  <c r="B2163" i="1"/>
  <c r="G2163" i="1"/>
  <c r="H2163" i="1"/>
  <c r="J2163" i="1"/>
  <c r="A2164" i="1"/>
  <c r="B2164" i="1"/>
  <c r="G2164" i="1"/>
  <c r="H2164" i="1"/>
  <c r="J2164" i="1"/>
  <c r="A2165" i="1"/>
  <c r="B2165" i="1"/>
  <c r="G2165" i="1"/>
  <c r="H2165" i="1"/>
  <c r="J2165" i="1"/>
  <c r="A2166" i="1"/>
  <c r="B2166" i="1"/>
  <c r="G2166" i="1"/>
  <c r="H2166" i="1"/>
  <c r="J2166" i="1"/>
  <c r="A2167" i="1"/>
  <c r="B2167" i="1"/>
  <c r="G2167" i="1"/>
  <c r="H2167" i="1"/>
  <c r="J2167" i="1"/>
  <c r="A2168" i="1"/>
  <c r="B2168" i="1"/>
  <c r="G2168" i="1"/>
  <c r="H2168" i="1"/>
  <c r="J2168" i="1"/>
  <c r="A2169" i="1"/>
  <c r="B2169" i="1"/>
  <c r="G2169" i="1"/>
  <c r="H2169" i="1"/>
  <c r="J2169" i="1"/>
  <c r="A2170" i="1"/>
  <c r="B2170" i="1"/>
  <c r="G2170" i="1"/>
  <c r="H2170" i="1"/>
  <c r="J2170" i="1"/>
  <c r="A2171" i="1"/>
  <c r="B2171" i="1"/>
  <c r="G2171" i="1"/>
  <c r="H2171" i="1"/>
  <c r="J2171" i="1"/>
  <c r="A2172" i="1"/>
  <c r="B2172" i="1"/>
  <c r="G2172" i="1"/>
  <c r="H2172" i="1"/>
  <c r="J2172" i="1"/>
  <c r="A2173" i="1"/>
  <c r="B2173" i="1"/>
  <c r="G2173" i="1"/>
  <c r="H2173" i="1"/>
  <c r="J2173" i="1"/>
  <c r="A2174" i="1"/>
  <c r="B2174" i="1"/>
  <c r="G2174" i="1"/>
  <c r="H2174" i="1"/>
  <c r="J2174" i="1"/>
  <c r="A2175" i="1"/>
  <c r="B2175" i="1"/>
  <c r="G2175" i="1"/>
  <c r="H2175" i="1"/>
  <c r="J2175" i="1"/>
  <c r="A2176" i="1"/>
  <c r="B2176" i="1"/>
  <c r="G2176" i="1"/>
  <c r="H2176" i="1"/>
  <c r="J2176" i="1"/>
  <c r="A2177" i="1"/>
  <c r="B2177" i="1"/>
  <c r="G2177" i="1"/>
  <c r="H2177" i="1"/>
  <c r="J2177" i="1"/>
  <c r="A2178" i="1"/>
  <c r="B2178" i="1"/>
  <c r="G2178" i="1"/>
  <c r="H2178" i="1"/>
  <c r="J2178" i="1"/>
  <c r="A2179" i="1"/>
  <c r="B2179" i="1"/>
  <c r="G2179" i="1"/>
  <c r="H2179" i="1"/>
  <c r="J2179" i="1"/>
  <c r="A2180" i="1"/>
  <c r="B2180" i="1"/>
  <c r="G2180" i="1"/>
  <c r="H2180" i="1"/>
  <c r="J2180" i="1"/>
  <c r="A2181" i="1"/>
  <c r="B2181" i="1"/>
  <c r="G2181" i="1"/>
  <c r="H2181" i="1"/>
  <c r="J2181" i="1"/>
  <c r="A2182" i="1"/>
  <c r="B2182" i="1"/>
  <c r="G2182" i="1"/>
  <c r="H2182" i="1"/>
  <c r="J2182" i="1"/>
  <c r="A2183" i="1"/>
  <c r="B2183" i="1"/>
  <c r="G2183" i="1"/>
  <c r="H2183" i="1"/>
  <c r="J2183" i="1"/>
  <c r="A2184" i="1"/>
  <c r="B2184" i="1"/>
  <c r="G2184" i="1"/>
  <c r="H2184" i="1"/>
  <c r="J2184" i="1"/>
  <c r="A2185" i="1"/>
  <c r="B2185" i="1"/>
  <c r="G2185" i="1"/>
  <c r="H2185" i="1"/>
  <c r="J2185" i="1"/>
  <c r="A2186" i="1"/>
  <c r="B2186" i="1"/>
  <c r="G2186" i="1"/>
  <c r="H2186" i="1"/>
  <c r="J2186" i="1"/>
  <c r="A2187" i="1"/>
  <c r="B2187" i="1"/>
  <c r="G2187" i="1"/>
  <c r="H2187" i="1"/>
  <c r="J2187" i="1"/>
  <c r="A2188" i="1"/>
  <c r="B2188" i="1"/>
  <c r="G2188" i="1"/>
  <c r="H2188" i="1"/>
  <c r="J2188" i="1"/>
  <c r="A2189" i="1"/>
  <c r="B2189" i="1"/>
  <c r="G2189" i="1"/>
  <c r="H2189" i="1"/>
  <c r="J2189" i="1"/>
  <c r="A2190" i="1"/>
  <c r="B2190" i="1"/>
  <c r="G2190" i="1"/>
  <c r="H2190" i="1"/>
  <c r="J2190" i="1"/>
  <c r="A2191" i="1"/>
  <c r="B2191" i="1"/>
  <c r="G2191" i="1"/>
  <c r="H2191" i="1"/>
  <c r="J2191" i="1"/>
  <c r="A2192" i="1"/>
  <c r="B2192" i="1"/>
  <c r="G2192" i="1"/>
  <c r="H2192" i="1"/>
  <c r="J2192" i="1"/>
  <c r="A2193" i="1"/>
  <c r="B2193" i="1"/>
  <c r="G2193" i="1"/>
  <c r="H2193" i="1"/>
  <c r="J2193" i="1"/>
  <c r="A2194" i="1"/>
  <c r="B2194" i="1"/>
  <c r="G2194" i="1"/>
  <c r="H2194" i="1"/>
  <c r="J2194" i="1"/>
  <c r="A2195" i="1"/>
  <c r="B2195" i="1"/>
  <c r="G2195" i="1"/>
  <c r="H2195" i="1"/>
  <c r="J2195" i="1"/>
  <c r="A2196" i="1"/>
  <c r="B2196" i="1"/>
  <c r="G2196" i="1"/>
  <c r="H2196" i="1"/>
  <c r="J2196" i="1"/>
  <c r="A2197" i="1"/>
  <c r="B2197" i="1"/>
  <c r="G2197" i="1"/>
  <c r="H2197" i="1"/>
  <c r="J2197" i="1"/>
  <c r="A2198" i="1"/>
  <c r="B2198" i="1"/>
  <c r="G2198" i="1"/>
  <c r="H2198" i="1"/>
  <c r="J2198" i="1"/>
  <c r="A2199" i="1"/>
  <c r="B2199" i="1"/>
  <c r="G2199" i="1"/>
  <c r="H2199" i="1"/>
  <c r="J2199" i="1"/>
  <c r="A2200" i="1"/>
  <c r="B2200" i="1"/>
  <c r="G2200" i="1"/>
  <c r="H2200" i="1"/>
  <c r="J2200" i="1"/>
  <c r="A2201" i="1"/>
  <c r="B2201" i="1"/>
  <c r="G2201" i="1"/>
  <c r="H2201" i="1"/>
  <c r="J2201" i="1"/>
  <c r="A2202" i="1"/>
  <c r="B2202" i="1"/>
  <c r="G2202" i="1"/>
  <c r="H2202" i="1"/>
  <c r="J2202" i="1"/>
  <c r="A2203" i="1"/>
  <c r="B2203" i="1"/>
  <c r="G2203" i="1"/>
  <c r="H2203" i="1"/>
  <c r="J2203" i="1"/>
  <c r="A2204" i="1"/>
  <c r="B2204" i="1"/>
  <c r="G2204" i="1"/>
  <c r="H2204" i="1"/>
  <c r="J2204" i="1"/>
  <c r="A2205" i="1"/>
  <c r="B2205" i="1"/>
  <c r="G2205" i="1"/>
  <c r="H2205" i="1"/>
  <c r="J2205" i="1"/>
  <c r="A2206" i="1"/>
  <c r="B2206" i="1"/>
  <c r="G2206" i="1"/>
  <c r="H2206" i="1"/>
  <c r="J2206" i="1"/>
  <c r="A2207" i="1"/>
  <c r="B2207" i="1"/>
  <c r="G2207" i="1"/>
  <c r="H2207" i="1"/>
  <c r="J2207" i="1"/>
  <c r="A2208" i="1"/>
  <c r="B2208" i="1"/>
  <c r="G2208" i="1"/>
  <c r="H2208" i="1"/>
  <c r="J2208" i="1"/>
  <c r="A2209" i="1"/>
  <c r="B2209" i="1"/>
  <c r="G2209" i="1"/>
  <c r="H2209" i="1"/>
  <c r="J2209" i="1"/>
  <c r="A2210" i="1"/>
  <c r="B2210" i="1"/>
  <c r="G2210" i="1"/>
  <c r="H2210" i="1"/>
  <c r="J2210" i="1"/>
  <c r="A2211" i="1"/>
  <c r="B2211" i="1"/>
  <c r="G2211" i="1"/>
  <c r="H2211" i="1"/>
  <c r="J2211" i="1"/>
  <c r="A2212" i="1"/>
  <c r="B2212" i="1"/>
  <c r="G2212" i="1"/>
  <c r="H2212" i="1"/>
  <c r="J2212" i="1"/>
  <c r="A2213" i="1"/>
  <c r="B2213" i="1"/>
  <c r="G2213" i="1"/>
  <c r="H2213" i="1"/>
  <c r="J2213" i="1"/>
  <c r="A2214" i="1"/>
  <c r="B2214" i="1"/>
  <c r="G2214" i="1"/>
  <c r="H2214" i="1"/>
  <c r="J2214" i="1"/>
  <c r="A2215" i="1"/>
  <c r="B2215" i="1"/>
  <c r="G2215" i="1"/>
  <c r="H2215" i="1"/>
  <c r="J2215" i="1"/>
  <c r="A2216" i="1"/>
  <c r="B2216" i="1"/>
  <c r="G2216" i="1"/>
  <c r="H2216" i="1"/>
  <c r="J2216" i="1"/>
  <c r="A2217" i="1"/>
  <c r="B2217" i="1"/>
  <c r="G2217" i="1"/>
  <c r="H2217" i="1"/>
  <c r="J2217" i="1"/>
  <c r="A2218" i="1"/>
  <c r="B2218" i="1"/>
  <c r="G2218" i="1"/>
  <c r="H2218" i="1"/>
  <c r="J2218" i="1"/>
  <c r="A2219" i="1"/>
  <c r="B2219" i="1"/>
  <c r="G2219" i="1"/>
  <c r="H2219" i="1"/>
  <c r="J2219" i="1"/>
  <c r="A2220" i="1"/>
  <c r="B2220" i="1"/>
  <c r="G2220" i="1"/>
  <c r="H2220" i="1"/>
  <c r="J2220" i="1"/>
  <c r="A2221" i="1"/>
  <c r="B2221" i="1"/>
  <c r="G2221" i="1"/>
  <c r="H2221" i="1"/>
  <c r="J2221" i="1"/>
  <c r="A2222" i="1"/>
  <c r="B2222" i="1"/>
  <c r="G2222" i="1"/>
  <c r="H2222" i="1"/>
  <c r="J2222" i="1"/>
  <c r="A2223" i="1"/>
  <c r="B2223" i="1"/>
  <c r="G2223" i="1"/>
  <c r="H2223" i="1"/>
  <c r="J2223" i="1"/>
  <c r="A2224" i="1"/>
  <c r="B2224" i="1"/>
  <c r="G2224" i="1"/>
  <c r="H2224" i="1"/>
  <c r="J2224" i="1"/>
  <c r="A2225" i="1"/>
  <c r="B2225" i="1"/>
  <c r="G2225" i="1"/>
  <c r="H2225" i="1"/>
  <c r="J2225" i="1"/>
  <c r="A2226" i="1"/>
  <c r="B2226" i="1"/>
  <c r="G2226" i="1"/>
  <c r="H2226" i="1"/>
  <c r="J2226" i="1"/>
  <c r="A2227" i="1"/>
  <c r="B2227" i="1"/>
  <c r="G2227" i="1"/>
  <c r="H2227" i="1"/>
  <c r="J2227" i="1"/>
  <c r="A2228" i="1"/>
  <c r="B2228" i="1"/>
  <c r="G2228" i="1"/>
  <c r="H2228" i="1"/>
  <c r="J2228" i="1"/>
  <c r="A2229" i="1"/>
  <c r="B2229" i="1"/>
  <c r="G2229" i="1"/>
  <c r="H2229" i="1"/>
  <c r="J2229" i="1"/>
  <c r="A2230" i="1"/>
  <c r="B2230" i="1"/>
  <c r="G2230" i="1"/>
  <c r="H2230" i="1"/>
  <c r="J2230" i="1"/>
  <c r="A2231" i="1"/>
  <c r="B2231" i="1"/>
  <c r="G2231" i="1"/>
  <c r="H2231" i="1"/>
  <c r="J2231" i="1"/>
  <c r="A2232" i="1"/>
  <c r="B2232" i="1"/>
  <c r="G2232" i="1"/>
  <c r="H2232" i="1"/>
  <c r="J2232" i="1"/>
  <c r="A2233" i="1"/>
  <c r="B2233" i="1"/>
  <c r="G2233" i="1"/>
  <c r="H2233" i="1"/>
  <c r="J2233" i="1"/>
  <c r="A2234" i="1"/>
  <c r="B2234" i="1"/>
  <c r="G2234" i="1"/>
  <c r="H2234" i="1"/>
  <c r="J2234" i="1"/>
  <c r="A2235" i="1"/>
  <c r="B2235" i="1"/>
  <c r="G2235" i="1"/>
  <c r="H2235" i="1"/>
  <c r="J2235" i="1"/>
  <c r="A2236" i="1"/>
  <c r="B2236" i="1"/>
  <c r="G2236" i="1"/>
  <c r="H2236" i="1"/>
  <c r="J2236" i="1"/>
  <c r="A2237" i="1"/>
  <c r="B2237" i="1"/>
  <c r="G2237" i="1"/>
  <c r="H2237" i="1"/>
  <c r="J2237" i="1"/>
  <c r="A2238" i="1"/>
  <c r="B2238" i="1"/>
  <c r="G2238" i="1"/>
  <c r="H2238" i="1"/>
  <c r="J2238" i="1"/>
  <c r="A2239" i="1"/>
  <c r="B2239" i="1"/>
  <c r="G2239" i="1"/>
  <c r="H2239" i="1"/>
  <c r="J2239" i="1"/>
  <c r="A2240" i="1"/>
  <c r="B2240" i="1"/>
  <c r="G2240" i="1"/>
  <c r="H2240" i="1"/>
  <c r="J2240" i="1"/>
  <c r="A2241" i="1"/>
  <c r="B2241" i="1"/>
  <c r="G2241" i="1"/>
  <c r="H2241" i="1"/>
  <c r="J2241" i="1"/>
  <c r="A2242" i="1"/>
  <c r="B2242" i="1"/>
  <c r="G2242" i="1"/>
  <c r="H2242" i="1"/>
  <c r="J2242" i="1"/>
  <c r="A2243" i="1"/>
  <c r="B2243" i="1"/>
  <c r="G2243" i="1"/>
  <c r="H2243" i="1"/>
  <c r="J2243" i="1"/>
  <c r="A2244" i="1"/>
  <c r="B2244" i="1"/>
  <c r="G2244" i="1"/>
  <c r="H2244" i="1"/>
  <c r="J2244" i="1"/>
  <c r="A2245" i="1"/>
  <c r="B2245" i="1"/>
  <c r="G2245" i="1"/>
  <c r="H2245" i="1"/>
  <c r="J2245" i="1"/>
  <c r="A2246" i="1"/>
  <c r="B2246" i="1"/>
  <c r="G2246" i="1"/>
  <c r="H2246" i="1"/>
  <c r="J2246" i="1"/>
  <c r="A2247" i="1"/>
  <c r="B2247" i="1"/>
  <c r="G2247" i="1"/>
  <c r="H2247" i="1"/>
  <c r="J2247" i="1"/>
  <c r="A2248" i="1"/>
  <c r="B2248" i="1"/>
  <c r="G2248" i="1"/>
  <c r="H2248" i="1"/>
  <c r="J2248" i="1"/>
  <c r="A2249" i="1"/>
  <c r="B2249" i="1"/>
  <c r="G2249" i="1"/>
  <c r="H2249" i="1"/>
  <c r="J2249" i="1"/>
  <c r="A2250" i="1"/>
  <c r="B2250" i="1"/>
  <c r="G2250" i="1"/>
  <c r="H2250" i="1"/>
  <c r="J2250" i="1"/>
  <c r="A2251" i="1"/>
  <c r="B2251" i="1"/>
  <c r="G2251" i="1"/>
  <c r="H2251" i="1"/>
  <c r="J2251" i="1"/>
  <c r="A2252" i="1"/>
  <c r="B2252" i="1"/>
  <c r="G2252" i="1"/>
  <c r="H2252" i="1"/>
  <c r="J2252" i="1"/>
  <c r="A2253" i="1"/>
  <c r="B2253" i="1"/>
  <c r="G2253" i="1"/>
  <c r="H2253" i="1"/>
  <c r="J2253" i="1"/>
  <c r="A2254" i="1"/>
  <c r="B2254" i="1"/>
  <c r="G2254" i="1"/>
  <c r="H2254" i="1"/>
  <c r="J2254" i="1"/>
  <c r="A2255" i="1"/>
  <c r="B2255" i="1"/>
  <c r="G2255" i="1"/>
  <c r="H2255" i="1"/>
  <c r="J2255" i="1"/>
  <c r="A2256" i="1"/>
  <c r="B2256" i="1"/>
  <c r="G2256" i="1"/>
  <c r="H2256" i="1"/>
  <c r="J2256" i="1"/>
  <c r="A2257" i="1"/>
  <c r="B2257" i="1"/>
  <c r="G2257" i="1"/>
  <c r="H2257" i="1"/>
  <c r="J2257" i="1"/>
  <c r="A2258" i="1"/>
  <c r="B2258" i="1"/>
  <c r="G2258" i="1"/>
  <c r="H2258" i="1"/>
  <c r="J2258" i="1"/>
  <c r="A2259" i="1"/>
  <c r="B2259" i="1"/>
  <c r="G2259" i="1"/>
  <c r="H2259" i="1"/>
  <c r="J2259" i="1"/>
  <c r="A2260" i="1"/>
  <c r="B2260" i="1"/>
  <c r="G2260" i="1"/>
  <c r="H2260" i="1"/>
  <c r="J2260" i="1"/>
  <c r="A2261" i="1"/>
  <c r="B2261" i="1"/>
  <c r="G2261" i="1"/>
  <c r="H2261" i="1"/>
  <c r="J2261" i="1"/>
  <c r="A2262" i="1"/>
  <c r="B2262" i="1"/>
  <c r="G2262" i="1"/>
  <c r="H2262" i="1"/>
  <c r="J2262" i="1"/>
  <c r="A2263" i="1"/>
  <c r="B2263" i="1"/>
  <c r="G2263" i="1"/>
  <c r="H2263" i="1"/>
  <c r="J2263" i="1"/>
  <c r="A2264" i="1"/>
  <c r="B2264" i="1"/>
  <c r="G2264" i="1"/>
  <c r="H2264" i="1"/>
  <c r="J2264" i="1"/>
  <c r="A2265" i="1"/>
  <c r="B2265" i="1"/>
  <c r="G2265" i="1"/>
  <c r="H2265" i="1"/>
  <c r="J2265" i="1"/>
  <c r="A2266" i="1"/>
  <c r="B2266" i="1"/>
  <c r="G2266" i="1"/>
  <c r="H2266" i="1"/>
  <c r="J2266" i="1"/>
  <c r="A2267" i="1"/>
  <c r="B2267" i="1"/>
  <c r="G2267" i="1"/>
  <c r="H2267" i="1"/>
  <c r="J2267" i="1"/>
  <c r="A2268" i="1"/>
  <c r="B2268" i="1"/>
  <c r="G2268" i="1"/>
  <c r="H2268" i="1"/>
  <c r="J2268" i="1"/>
  <c r="A2269" i="1"/>
  <c r="B2269" i="1"/>
  <c r="G2269" i="1"/>
  <c r="H2269" i="1"/>
  <c r="J2269" i="1"/>
  <c r="A2270" i="1"/>
  <c r="B2270" i="1"/>
  <c r="G2270" i="1"/>
  <c r="H2270" i="1"/>
  <c r="J2270" i="1"/>
  <c r="A2271" i="1"/>
  <c r="B2271" i="1"/>
  <c r="G2271" i="1"/>
  <c r="H2271" i="1"/>
  <c r="J2271" i="1"/>
  <c r="A2272" i="1"/>
  <c r="B2272" i="1"/>
  <c r="G2272" i="1"/>
  <c r="H2272" i="1"/>
  <c r="J2272" i="1"/>
  <c r="A2273" i="1"/>
  <c r="B2273" i="1"/>
  <c r="G2273" i="1"/>
  <c r="H2273" i="1"/>
  <c r="J2273" i="1"/>
  <c r="A2274" i="1"/>
  <c r="B2274" i="1"/>
  <c r="G2274" i="1"/>
  <c r="H2274" i="1"/>
  <c r="J2274" i="1"/>
  <c r="A2275" i="1"/>
  <c r="B2275" i="1"/>
  <c r="G2275" i="1"/>
  <c r="H2275" i="1"/>
  <c r="J2275" i="1"/>
  <c r="A2276" i="1"/>
  <c r="B2276" i="1"/>
  <c r="G2276" i="1"/>
  <c r="H2276" i="1"/>
  <c r="J2276" i="1"/>
  <c r="A2277" i="1"/>
  <c r="B2277" i="1"/>
  <c r="G2277" i="1"/>
  <c r="H2277" i="1"/>
  <c r="J2277" i="1"/>
  <c r="A2278" i="1"/>
  <c r="B2278" i="1"/>
  <c r="G2278" i="1"/>
  <c r="H2278" i="1"/>
  <c r="J2278" i="1"/>
  <c r="A2279" i="1"/>
  <c r="B2279" i="1"/>
  <c r="G2279" i="1"/>
  <c r="H2279" i="1"/>
  <c r="J2279" i="1"/>
  <c r="A2280" i="1"/>
  <c r="B2280" i="1"/>
  <c r="G2280" i="1"/>
  <c r="H2280" i="1"/>
  <c r="J2280" i="1"/>
  <c r="A2281" i="1"/>
  <c r="B2281" i="1"/>
  <c r="G2281" i="1"/>
  <c r="H2281" i="1"/>
  <c r="J2281" i="1"/>
  <c r="A2282" i="1"/>
  <c r="B2282" i="1"/>
  <c r="G2282" i="1"/>
  <c r="H2282" i="1"/>
  <c r="J2282" i="1"/>
  <c r="A2283" i="1"/>
  <c r="B2283" i="1"/>
  <c r="G2283" i="1"/>
  <c r="H2283" i="1"/>
  <c r="J2283" i="1"/>
  <c r="A2284" i="1"/>
  <c r="B2284" i="1"/>
  <c r="G2284" i="1"/>
  <c r="H2284" i="1"/>
  <c r="J2284" i="1"/>
  <c r="A2285" i="1"/>
  <c r="B2285" i="1"/>
  <c r="G2285" i="1"/>
  <c r="H2285" i="1"/>
  <c r="J2285" i="1"/>
  <c r="A2286" i="1"/>
  <c r="B2286" i="1"/>
  <c r="G2286" i="1"/>
  <c r="H2286" i="1"/>
  <c r="J2286" i="1"/>
  <c r="A2287" i="1"/>
  <c r="B2287" i="1"/>
  <c r="G2287" i="1"/>
  <c r="H2287" i="1"/>
  <c r="J2287" i="1"/>
  <c r="A2288" i="1"/>
  <c r="B2288" i="1"/>
  <c r="G2288" i="1"/>
  <c r="H2288" i="1"/>
  <c r="J2288" i="1"/>
  <c r="A2289" i="1"/>
  <c r="B2289" i="1"/>
  <c r="G2289" i="1"/>
  <c r="H2289" i="1"/>
  <c r="J2289" i="1"/>
  <c r="A2290" i="1"/>
  <c r="B2290" i="1"/>
  <c r="G2290" i="1"/>
  <c r="H2290" i="1"/>
  <c r="J2290" i="1"/>
  <c r="A2291" i="1"/>
  <c r="B2291" i="1"/>
  <c r="G2291" i="1"/>
  <c r="H2291" i="1"/>
  <c r="J2291" i="1"/>
  <c r="A2292" i="1"/>
  <c r="B2292" i="1"/>
  <c r="G2292" i="1"/>
  <c r="H2292" i="1"/>
  <c r="J2292" i="1"/>
  <c r="A2293" i="1"/>
  <c r="B2293" i="1"/>
  <c r="G2293" i="1"/>
  <c r="H2293" i="1"/>
  <c r="J2293" i="1"/>
  <c r="A2294" i="1"/>
  <c r="B2294" i="1"/>
  <c r="G2294" i="1"/>
  <c r="H2294" i="1"/>
  <c r="J2294" i="1"/>
  <c r="A2295" i="1"/>
  <c r="B2295" i="1"/>
  <c r="G2295" i="1"/>
  <c r="H2295" i="1"/>
  <c r="J2295" i="1"/>
  <c r="A2296" i="1"/>
  <c r="B2296" i="1"/>
  <c r="G2296" i="1"/>
  <c r="H2296" i="1"/>
  <c r="J2296" i="1"/>
  <c r="A2297" i="1"/>
  <c r="B2297" i="1"/>
  <c r="G2297" i="1"/>
  <c r="H2297" i="1"/>
  <c r="J2297" i="1"/>
  <c r="A2298" i="1"/>
  <c r="B2298" i="1"/>
  <c r="G2298" i="1"/>
  <c r="H2298" i="1"/>
  <c r="J2298" i="1"/>
  <c r="A2299" i="1"/>
  <c r="B2299" i="1"/>
  <c r="G2299" i="1"/>
  <c r="H2299" i="1"/>
  <c r="J2299" i="1"/>
  <c r="A2300" i="1"/>
  <c r="B2300" i="1"/>
  <c r="G2300" i="1"/>
  <c r="H2300" i="1"/>
  <c r="J2300" i="1"/>
  <c r="A2301" i="1"/>
  <c r="B2301" i="1"/>
  <c r="G2301" i="1"/>
  <c r="H2301" i="1"/>
  <c r="J2301" i="1"/>
  <c r="A2302" i="1"/>
  <c r="B2302" i="1"/>
  <c r="G2302" i="1"/>
  <c r="H2302" i="1"/>
  <c r="J2302" i="1"/>
  <c r="A2303" i="1"/>
  <c r="B2303" i="1"/>
  <c r="G2303" i="1"/>
  <c r="H2303" i="1"/>
  <c r="J2303" i="1"/>
  <c r="A2304" i="1"/>
  <c r="B2304" i="1"/>
  <c r="G2304" i="1"/>
  <c r="H2304" i="1"/>
  <c r="J2304" i="1"/>
  <c r="A2305" i="1"/>
  <c r="B2305" i="1"/>
  <c r="G2305" i="1"/>
  <c r="H2305" i="1"/>
  <c r="J2305" i="1"/>
  <c r="A2306" i="1"/>
  <c r="B2306" i="1"/>
  <c r="G2306" i="1"/>
  <c r="H2306" i="1"/>
  <c r="J2306" i="1"/>
  <c r="A2307" i="1"/>
  <c r="B2307" i="1"/>
  <c r="G2307" i="1"/>
  <c r="H2307" i="1"/>
  <c r="J2307" i="1"/>
  <c r="A2308" i="1"/>
  <c r="B2308" i="1"/>
  <c r="G2308" i="1"/>
  <c r="H2308" i="1"/>
  <c r="J2308" i="1"/>
  <c r="A2309" i="1"/>
  <c r="B2309" i="1"/>
  <c r="G2309" i="1"/>
  <c r="H2309" i="1"/>
  <c r="J2309" i="1"/>
  <c r="A2310" i="1"/>
  <c r="B2310" i="1"/>
  <c r="G2310" i="1"/>
  <c r="H2310" i="1"/>
  <c r="J2310" i="1"/>
  <c r="A2311" i="1"/>
  <c r="B2311" i="1"/>
  <c r="G2311" i="1"/>
  <c r="H2311" i="1"/>
  <c r="J2311" i="1"/>
  <c r="A2312" i="1"/>
  <c r="B2312" i="1"/>
  <c r="G2312" i="1"/>
  <c r="H2312" i="1"/>
  <c r="J2312" i="1"/>
  <c r="A2313" i="1"/>
  <c r="B2313" i="1"/>
  <c r="G2313" i="1"/>
  <c r="H2313" i="1"/>
  <c r="J2313" i="1"/>
  <c r="A2314" i="1"/>
  <c r="B2314" i="1"/>
  <c r="G2314" i="1"/>
  <c r="H2314" i="1"/>
  <c r="J2314" i="1"/>
  <c r="A2315" i="1"/>
  <c r="B2315" i="1"/>
  <c r="G2315" i="1"/>
  <c r="H2315" i="1"/>
  <c r="J2315" i="1"/>
  <c r="A2316" i="1"/>
  <c r="B2316" i="1"/>
  <c r="G2316" i="1"/>
  <c r="H2316" i="1"/>
  <c r="J2316" i="1"/>
  <c r="A2317" i="1"/>
  <c r="B2317" i="1"/>
  <c r="G2317" i="1"/>
  <c r="H2317" i="1"/>
  <c r="J2317" i="1"/>
  <c r="A2318" i="1"/>
  <c r="B2318" i="1"/>
  <c r="G2318" i="1"/>
  <c r="H2318" i="1"/>
  <c r="J2318" i="1"/>
  <c r="A2319" i="1"/>
  <c r="B2319" i="1"/>
  <c r="G2319" i="1"/>
  <c r="H2319" i="1"/>
  <c r="J2319" i="1"/>
  <c r="A2320" i="1"/>
  <c r="B2320" i="1"/>
  <c r="G2320" i="1"/>
  <c r="H2320" i="1"/>
  <c r="J2320" i="1"/>
  <c r="A2321" i="1"/>
  <c r="B2321" i="1"/>
  <c r="G2321" i="1"/>
  <c r="H2321" i="1"/>
  <c r="J2321" i="1"/>
  <c r="A2322" i="1"/>
  <c r="B2322" i="1"/>
  <c r="G2322" i="1"/>
  <c r="H2322" i="1"/>
  <c r="J2322" i="1"/>
  <c r="A2323" i="1"/>
  <c r="B2323" i="1"/>
  <c r="G2323" i="1"/>
  <c r="H2323" i="1"/>
  <c r="J2323" i="1"/>
  <c r="A2324" i="1"/>
  <c r="B2324" i="1"/>
  <c r="G2324" i="1"/>
  <c r="H2324" i="1"/>
  <c r="J2324" i="1"/>
  <c r="A2325" i="1"/>
  <c r="B2325" i="1"/>
  <c r="G2325" i="1"/>
  <c r="H2325" i="1"/>
  <c r="J2325" i="1"/>
  <c r="A2326" i="1"/>
  <c r="B2326" i="1"/>
  <c r="G2326" i="1"/>
  <c r="H2326" i="1"/>
  <c r="J2326" i="1"/>
  <c r="A2327" i="1"/>
  <c r="B2327" i="1"/>
  <c r="G2327" i="1"/>
  <c r="H2327" i="1"/>
  <c r="J2327" i="1"/>
  <c r="A2328" i="1"/>
  <c r="B2328" i="1"/>
  <c r="G2328" i="1"/>
  <c r="H2328" i="1"/>
  <c r="J2328" i="1"/>
  <c r="A2329" i="1"/>
  <c r="B2329" i="1"/>
  <c r="G2329" i="1"/>
  <c r="H2329" i="1"/>
  <c r="J2329" i="1"/>
  <c r="A2330" i="1"/>
  <c r="B2330" i="1"/>
  <c r="G2330" i="1"/>
  <c r="H2330" i="1"/>
  <c r="J2330" i="1"/>
  <c r="A2331" i="1"/>
  <c r="B2331" i="1"/>
  <c r="G2331" i="1"/>
  <c r="H2331" i="1"/>
  <c r="J2331" i="1"/>
  <c r="A2332" i="1"/>
  <c r="B2332" i="1"/>
  <c r="G2332" i="1"/>
  <c r="H2332" i="1"/>
  <c r="J2332" i="1"/>
  <c r="A2333" i="1"/>
  <c r="B2333" i="1"/>
  <c r="G2333" i="1"/>
  <c r="H2333" i="1"/>
  <c r="J2333" i="1"/>
  <c r="A2334" i="1"/>
  <c r="B2334" i="1"/>
  <c r="G2334" i="1"/>
  <c r="H2334" i="1"/>
  <c r="J2334" i="1"/>
  <c r="A2335" i="1"/>
  <c r="B2335" i="1"/>
  <c r="G2335" i="1"/>
  <c r="H2335" i="1"/>
  <c r="J2335" i="1"/>
  <c r="A2336" i="1"/>
  <c r="B2336" i="1"/>
  <c r="G2336" i="1"/>
  <c r="H2336" i="1"/>
  <c r="J2336" i="1"/>
  <c r="A2337" i="1"/>
  <c r="B2337" i="1"/>
  <c r="G2337" i="1"/>
  <c r="H2337" i="1"/>
  <c r="J2337" i="1"/>
  <c r="A2338" i="1"/>
  <c r="B2338" i="1"/>
  <c r="G2338" i="1"/>
  <c r="H2338" i="1"/>
  <c r="J2338" i="1"/>
  <c r="A2339" i="1"/>
  <c r="B2339" i="1"/>
  <c r="G2339" i="1"/>
  <c r="H2339" i="1"/>
  <c r="J2339" i="1"/>
  <c r="A2340" i="1"/>
  <c r="B2340" i="1"/>
  <c r="G2340" i="1"/>
  <c r="H2340" i="1"/>
  <c r="J2340" i="1"/>
  <c r="A2341" i="1"/>
  <c r="B2341" i="1"/>
  <c r="G2341" i="1"/>
  <c r="H2341" i="1"/>
  <c r="J2341" i="1"/>
  <c r="A2342" i="1"/>
  <c r="B2342" i="1"/>
  <c r="G2342" i="1"/>
  <c r="H2342" i="1"/>
  <c r="J2342" i="1"/>
  <c r="A2343" i="1"/>
  <c r="B2343" i="1"/>
  <c r="G2343" i="1"/>
  <c r="H2343" i="1"/>
  <c r="J2343" i="1"/>
  <c r="A2344" i="1"/>
  <c r="B2344" i="1"/>
  <c r="G2344" i="1"/>
  <c r="H2344" i="1"/>
  <c r="J2344" i="1"/>
  <c r="A2345" i="1"/>
  <c r="B2345" i="1"/>
  <c r="G2345" i="1"/>
  <c r="H2345" i="1"/>
  <c r="J2345" i="1"/>
  <c r="A2346" i="1"/>
  <c r="B2346" i="1"/>
  <c r="G2346" i="1"/>
  <c r="H2346" i="1"/>
  <c r="J2346" i="1"/>
  <c r="A2347" i="1"/>
  <c r="B2347" i="1"/>
  <c r="G2347" i="1"/>
  <c r="H2347" i="1"/>
  <c r="J2347" i="1"/>
  <c r="A2348" i="1"/>
  <c r="B2348" i="1"/>
  <c r="G2348" i="1"/>
  <c r="H2348" i="1"/>
  <c r="J2348" i="1"/>
  <c r="A2349" i="1"/>
  <c r="B2349" i="1"/>
  <c r="G2349" i="1"/>
  <c r="H2349" i="1"/>
  <c r="J2349" i="1"/>
  <c r="A2350" i="1"/>
  <c r="B2350" i="1"/>
  <c r="G2350" i="1"/>
  <c r="H2350" i="1"/>
  <c r="J2350" i="1"/>
  <c r="A2351" i="1"/>
  <c r="B2351" i="1"/>
  <c r="G2351" i="1"/>
  <c r="H2351" i="1"/>
  <c r="J2351" i="1"/>
  <c r="A2352" i="1"/>
  <c r="B2352" i="1"/>
  <c r="G2352" i="1"/>
  <c r="H2352" i="1"/>
  <c r="J2352" i="1"/>
  <c r="A2353" i="1"/>
  <c r="B2353" i="1"/>
  <c r="G2353" i="1"/>
  <c r="H2353" i="1"/>
  <c r="J2353" i="1"/>
  <c r="A2354" i="1"/>
  <c r="B2354" i="1"/>
  <c r="G2354" i="1"/>
  <c r="H2354" i="1"/>
  <c r="J2354" i="1"/>
  <c r="A2355" i="1"/>
  <c r="B2355" i="1"/>
  <c r="G2355" i="1"/>
  <c r="H2355" i="1"/>
  <c r="J2355" i="1"/>
  <c r="A2356" i="1"/>
  <c r="B2356" i="1"/>
  <c r="G2356" i="1"/>
  <c r="H2356" i="1"/>
  <c r="J2356" i="1"/>
  <c r="A2357" i="1"/>
  <c r="B2357" i="1"/>
  <c r="G2357" i="1"/>
  <c r="H2357" i="1"/>
  <c r="J2357" i="1"/>
  <c r="A2358" i="1"/>
  <c r="B2358" i="1"/>
  <c r="G2358" i="1"/>
  <c r="H2358" i="1"/>
  <c r="J2358" i="1"/>
  <c r="A2359" i="1"/>
  <c r="B2359" i="1"/>
  <c r="G2359" i="1"/>
  <c r="H2359" i="1"/>
  <c r="J2359" i="1"/>
  <c r="A2360" i="1"/>
  <c r="B2360" i="1"/>
  <c r="G2360" i="1"/>
  <c r="H2360" i="1"/>
  <c r="J2360" i="1"/>
  <c r="A2361" i="1"/>
  <c r="B2361" i="1"/>
  <c r="G2361" i="1"/>
  <c r="H2361" i="1"/>
  <c r="J2361" i="1"/>
  <c r="A2362" i="1"/>
  <c r="B2362" i="1"/>
  <c r="G2362" i="1"/>
  <c r="H2362" i="1"/>
  <c r="J2362" i="1"/>
  <c r="A2363" i="1"/>
  <c r="B2363" i="1"/>
  <c r="G2363" i="1"/>
  <c r="H2363" i="1"/>
  <c r="J2363" i="1"/>
  <c r="A2364" i="1"/>
  <c r="B2364" i="1"/>
  <c r="G2364" i="1"/>
  <c r="H2364" i="1"/>
  <c r="J2364" i="1"/>
  <c r="A2365" i="1"/>
  <c r="B2365" i="1"/>
  <c r="G2365" i="1"/>
  <c r="H2365" i="1"/>
  <c r="J2365" i="1"/>
  <c r="A2366" i="1"/>
  <c r="B2366" i="1"/>
  <c r="G2366" i="1"/>
  <c r="H2366" i="1"/>
  <c r="J2366" i="1"/>
  <c r="A2367" i="1"/>
  <c r="B2367" i="1"/>
  <c r="G2367" i="1"/>
  <c r="H2367" i="1"/>
  <c r="J2367" i="1"/>
  <c r="A2368" i="1"/>
  <c r="B2368" i="1"/>
  <c r="G2368" i="1"/>
  <c r="H2368" i="1"/>
  <c r="J2368" i="1"/>
  <c r="A2369" i="1"/>
  <c r="B2369" i="1"/>
  <c r="G2369" i="1"/>
  <c r="H2369" i="1"/>
  <c r="J2369" i="1"/>
  <c r="A2370" i="1"/>
  <c r="B2370" i="1"/>
  <c r="G2370" i="1"/>
  <c r="H2370" i="1"/>
  <c r="J2370" i="1"/>
</calcChain>
</file>

<file path=xl/sharedStrings.xml><?xml version="1.0" encoding="utf-8"?>
<sst xmlns="http://schemas.openxmlformats.org/spreadsheetml/2006/main" count="525" uniqueCount="413">
  <si>
    <t>Vendor Set</t>
  </si>
  <si>
    <t xml:space="preserve">Vendor # </t>
  </si>
  <si>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</si>
  <si>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</si>
  <si>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</si>
  <si>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</si>
  <si>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</si>
  <si>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</si>
  <si>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</si>
  <si>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</si>
  <si>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1 AFFORDABLE BAIL BONDS</t>
  </si>
  <si>
    <t>973 MATERIALS  LLC</t>
  </si>
  <si>
    <t>A PLUS BAIL BONDS</t>
  </si>
  <si>
    <t>ALLSHRED INC</t>
  </si>
  <si>
    <t>ARNOLD OIL COMPANY OF AUSTIN LP</t>
  </si>
  <si>
    <t>TIMOTHY HALL</t>
  </si>
  <si>
    <t>HAVERDA ENTERPRISES INC</t>
  </si>
  <si>
    <t>ACE MART RESTAURANT SUPPLY</t>
  </si>
  <si>
    <t>ADENA LEWIS</t>
  </si>
  <si>
    <t>ALBERT A. MARTINEZ  JR.</t>
  </si>
  <si>
    <t>ALBERT NEAL PFEIFFER</t>
  </si>
  <si>
    <t>S &amp; D PLUMBING-GIDDINGS LLC</t>
  </si>
  <si>
    <t>AMAZON CAPITAL SERVICES INC</t>
  </si>
  <si>
    <t>AMC SOLUTIONS</t>
  </si>
  <si>
    <t>AMERICAN ASSN OF NOTARIES</t>
  </si>
  <si>
    <t>AMERICAN FASTENERS INC</t>
  </si>
  <si>
    <t>AMERICAN HEALTH SERVICE SALES CORP</t>
  </si>
  <si>
    <t>AMERICAN TIRE DISTRIBUTORS INC</t>
  </si>
  <si>
    <t>AMERISOURCEBERGEN</t>
  </si>
  <si>
    <t>ANDERSON &amp; ANDERSON LAW FIRM PC</t>
  </si>
  <si>
    <t>ANDERSON MACHINERY AUSTIN INC</t>
  </si>
  <si>
    <t>ANTHONY WALL</t>
  </si>
  <si>
    <t>C APPLEMAN ENT INC</t>
  </si>
  <si>
    <t>APRIL KUCK</t>
  </si>
  <si>
    <t>AQUA BEVERAGE COMPANY/OZARKA</t>
  </si>
  <si>
    <t>AQUA WATER SUPPLY</t>
  </si>
  <si>
    <t>ARTHUR HURST</t>
  </si>
  <si>
    <t>ASCO</t>
  </si>
  <si>
    <t>AT &amp; T</t>
  </si>
  <si>
    <t>AT&amp;T</t>
  </si>
  <si>
    <t>AT&amp;T MOBILITY</t>
  </si>
  <si>
    <t>GRAND JUNCTION NEWSPAPERS INC</t>
  </si>
  <si>
    <t>AUSTIN LLOYD</t>
  </si>
  <si>
    <t>AUSTIN RADIOLOGICAL ASSOC</t>
  </si>
  <si>
    <t>AUSTIN SOUTHWEST ORTHOPAEDIC GROUP</t>
  </si>
  <si>
    <t>THE PERSONAL COMPUTER STORE INC</t>
  </si>
  <si>
    <t>JIM ATTRA INC</t>
  </si>
  <si>
    <t>BANKNOTE CORPORATION OF AMERICA INC</t>
  </si>
  <si>
    <t>="B1 9.5"x7"Dot Matrix"</t>
  </si>
  <si>
    <t>MICHAEL OLDHAM TIRE INC</t>
  </si>
  <si>
    <t>EDUARDO BARRIENTOS</t>
  </si>
  <si>
    <t>GRAND JUNCTION NEWSPAPERS  INC.</t>
  </si>
  <si>
    <t>BASTROP CNTY SHERIFF'S DEPT</t>
  </si>
  <si>
    <t>BASTROP COMMUNITY CARES</t>
  </si>
  <si>
    <t>DANIEL L HEPKER</t>
  </si>
  <si>
    <t>BASTROP PROVIDENCE FUNERAL HOME</t>
  </si>
  <si>
    <t>BASTROP TIRE &amp; AUTOMOTIVE LLC</t>
  </si>
  <si>
    <t>BASTROP VET. HOSPITAL  INC.</t>
  </si>
  <si>
    <t>DAVID H OUTON</t>
  </si>
  <si>
    <t>BEN E KEITH CO.</t>
  </si>
  <si>
    <t>BENJAMIN FOODS  LLC</t>
  </si>
  <si>
    <t>BENTON ESKEW</t>
  </si>
  <si>
    <t>MULTI SERVICE CORP</t>
  </si>
  <si>
    <t>BICKERSTAFF HEATH DELGADO ACOSTA LL</t>
  </si>
  <si>
    <t>BIMBO FOODS INC</t>
  </si>
  <si>
    <t>BLAS J COY JR</t>
  </si>
  <si>
    <t>BLUEBONNET AREA CRIME STOPPERS PROGRAM</t>
  </si>
  <si>
    <t>BLUEBONNET ELECTRIC COOP</t>
  </si>
  <si>
    <t>BLUEBONNET TRAILS MHMR</t>
  </si>
  <si>
    <t>BOB BARKER COMPANY  INC.</t>
  </si>
  <si>
    <t>BOBBY BROWN</t>
  </si>
  <si>
    <t>BRADLEY ARMSTRONG</t>
  </si>
  <si>
    <t>BRAUNTEX MATERIALS INC</t>
  </si>
  <si>
    <t>BRIDGETTE ESCOBEDO</t>
  </si>
  <si>
    <t>BUREAU OF VITAL STATISTICS</t>
  </si>
  <si>
    <t>CALEB BRANDON</t>
  </si>
  <si>
    <t>CANNON PLUMBING AND DRAIN  LLC</t>
  </si>
  <si>
    <t>CAPITAL AREA COUNCIL OF GOVERNMENTS</t>
  </si>
  <si>
    <t>DAVID &amp; SUSAN MC ADAMS</t>
  </si>
  <si>
    <t>CARAHSOFT TECHNOLOGY CORPORATION</t>
  </si>
  <si>
    <t>TIB-THE INDEPENDENT BANKERS BANK</t>
  </si>
  <si>
    <t>CDW GOVERNMENT INC</t>
  </si>
  <si>
    <t>CENTERPOINT ENERGY</t>
  </si>
  <si>
    <t>CENTEX MATERIALS LLC</t>
  </si>
  <si>
    <t>CENTEX MECHANICAL INC</t>
  </si>
  <si>
    <t>CG COMMUNICATIONS  INC.</t>
  </si>
  <si>
    <t>CHARLES SCHINDLER</t>
  </si>
  <si>
    <t>CHARLTON POWELL III</t>
  </si>
  <si>
    <t>CHARM-TEX</t>
  </si>
  <si>
    <t>CHESTNUT STREET BONDING COMPANY</t>
  </si>
  <si>
    <t>CHRIS MATT DILLON</t>
  </si>
  <si>
    <t>CINTAS CORPORATION</t>
  </si>
  <si>
    <t>CINTAS CORPORATION #86</t>
  </si>
  <si>
    <t>CITY OF BASTROP</t>
  </si>
  <si>
    <t>CITY OF SMITHVILLE</t>
  </si>
  <si>
    <t>CLAY WANECK</t>
  </si>
  <si>
    <t>CLINICAL PATHOLOGY LABORATORIES INC</t>
  </si>
  <si>
    <t>COMBINED COMMUNITY ACTION INC</t>
  </si>
  <si>
    <t>COMMUNITY COFFEE COMPANY LLC</t>
  </si>
  <si>
    <t>COTHRON SECURITY SOLUTIONS LLC</t>
  </si>
  <si>
    <t>CROSSROADS ANIMAL HOSPITAL</t>
  </si>
  <si>
    <t>CRYSTAL DEAR</t>
  </si>
  <si>
    <t>MUNICIPAL SERVICES BUREAU</t>
  </si>
  <si>
    <t>CURTIS OLTMANN</t>
  </si>
  <si>
    <t>CUSTOM PRODUCTS CORPORATION</t>
  </si>
  <si>
    <t>DAHILL INDUSTRIES  INC</t>
  </si>
  <si>
    <t>DALTON ELLIOTT JR</t>
  </si>
  <si>
    <t>DAN SMITH</t>
  </si>
  <si>
    <t>DANETTE PEREZ</t>
  </si>
  <si>
    <t>DARRELL STIFFLEMIRE</t>
  </si>
  <si>
    <t>DAVID B BROOKS</t>
  </si>
  <si>
    <t>DAVID DUBE</t>
  </si>
  <si>
    <t>DAVID S OWEN</t>
  </si>
  <si>
    <t>DELL</t>
  </si>
  <si>
    <t>SETON FAMILY OF HOSPITALS</t>
  </si>
  <si>
    <t>DELL FINANCIAL SERVICES LLC</t>
  </si>
  <si>
    <t>DENNIS ARTZ</t>
  </si>
  <si>
    <t>DENTRUST DENTAL TX PC</t>
  </si>
  <si>
    <t>DEREK STIFFLEMIRE</t>
  </si>
  <si>
    <t>DFW COMMUNICATIONS  INC.</t>
  </si>
  <si>
    <t>DICKENS LOCKSMITH INC</t>
  </si>
  <si>
    <t>DILLON MICHALEC</t>
  </si>
  <si>
    <t>DONNIE STARK</t>
  </si>
  <si>
    <t>DUNNE &amp; JUAREZ L.L.C.</t>
  </si>
  <si>
    <t>ECOLAB INC</t>
  </si>
  <si>
    <t>ECTOR COUNTY SHERIFF</t>
  </si>
  <si>
    <t>BLACKLANDS PUBLICATIONS INC</t>
  </si>
  <si>
    <t>CITY OF ELGIN UTILITIES</t>
  </si>
  <si>
    <t>ELLIOTT ELECTRIC SUPPLY INC</t>
  </si>
  <si>
    <t>ERIN NICKEL</t>
  </si>
  <si>
    <t>FEDERAL EXPRESS</t>
  </si>
  <si>
    <t>FLEET COR TECHNOLOGIES INC</t>
  </si>
  <si>
    <t>FLEETPRIDE</t>
  </si>
  <si>
    <t>FORREST L. SANDERSON</t>
  </si>
  <si>
    <t>FPC FINANCIAL f.s.b.</t>
  </si>
  <si>
    <t>AUSTIN TRUCK &amp; EQUIP LTD</t>
  </si>
  <si>
    <t>FTS FOREST TECHNOLOGY SYSTEMS LTD</t>
  </si>
  <si>
    <t>EUGENE W BRIGGS JR</t>
  </si>
  <si>
    <t>G &amp; K SERVICES</t>
  </si>
  <si>
    <t>GARMENTS TO GO  INC</t>
  </si>
  <si>
    <t>GOLDSTAR PRODUCTS INC</t>
  </si>
  <si>
    <t>GRACE BARTSCH</t>
  </si>
  <si>
    <t>GRAINGER INC</t>
  </si>
  <si>
    <t>GULF COAST PAPER CO. INC.</t>
  </si>
  <si>
    <t>HEARTLAND QUARRIES  LLC</t>
  </si>
  <si>
    <t>="RIP RAP/5"X8"/PCT#2"</t>
  </si>
  <si>
    <t>HERBERT J BARTSCH JR</t>
  </si>
  <si>
    <t>BASCOM L HODGES JR</t>
  </si>
  <si>
    <t>BD HOLT CO</t>
  </si>
  <si>
    <t>HOWARD BURNS</t>
  </si>
  <si>
    <t>HOWARD BURNS III</t>
  </si>
  <si>
    <t>HOWARD C DUCHARME</t>
  </si>
  <si>
    <t>HUDSON ENERGY CORP</t>
  </si>
  <si>
    <t>HUNTER TEDFORD</t>
  </si>
  <si>
    <t>HYDRAULIC HOUSE INC</t>
  </si>
  <si>
    <t>INDIGENT HEALTHCARE SOLUTIONS</t>
  </si>
  <si>
    <t>SPI MANAGEMENT CO.</t>
  </si>
  <si>
    <t>TRIPLE J JACKPOT</t>
  </si>
  <si>
    <t>JAIME SANTANA</t>
  </si>
  <si>
    <t>JAMES  JOHNSON</t>
  </si>
  <si>
    <t>JENKINS &amp; JENKINS LLP</t>
  </si>
  <si>
    <t>JAMES MORGAN</t>
  </si>
  <si>
    <t>JOE HOLUB</t>
  </si>
  <si>
    <t>JOHN R. GROHMAN</t>
  </si>
  <si>
    <t>BILLY JOSH GILL</t>
  </si>
  <si>
    <t>JUSTIN MATTHEW FOHN</t>
  </si>
  <si>
    <t>KEITH HELFORD</t>
  </si>
  <si>
    <t>KEITH SAEGERT</t>
  </si>
  <si>
    <t>KELLY-MOORE PAINT COMPANY  INC</t>
  </si>
  <si>
    <t>KENT BROUSSARD TOWER RENTAL INC</t>
  </si>
  <si>
    <t>KOETTER FIRE PROTECTION</t>
  </si>
  <si>
    <t>LABATT INSTITUTIONAL SUPPLY CO</t>
  </si>
  <si>
    <t>LARRY DICKENS</t>
  </si>
  <si>
    <t>J. MARQUE MOORE</t>
  </si>
  <si>
    <t>LUCIO LEAL</t>
  </si>
  <si>
    <t>LEE COUNTY WATER SUPPLY CORP</t>
  </si>
  <si>
    <t>LEE MACHEN</t>
  </si>
  <si>
    <t>LEROY FERRELL</t>
  </si>
  <si>
    <t>LEXISNEXIS RISK DATA MGMT INC</t>
  </si>
  <si>
    <t>LIBERTY FLAGS INC</t>
  </si>
  <si>
    <t>LIBERTY TIRE RECYCLING</t>
  </si>
  <si>
    <t>LINDA HARMON-TAX ASSESSOR</t>
  </si>
  <si>
    <t>LISA DUTY</t>
  </si>
  <si>
    <t>LOESA PANFILO VASQUEZ</t>
  </si>
  <si>
    <t>UNITED KWB COLLABORATIONS LLC</t>
  </si>
  <si>
    <t>LONGHORN EMERGENCY MEDICAL ASSOC PA</t>
  </si>
  <si>
    <t>LONGHORN INTERNATIONAL TRUCKS LTD</t>
  </si>
  <si>
    <t>SCOTT BRYANT</t>
  </si>
  <si>
    <t>LOWE'S</t>
  </si>
  <si>
    <t>MARIA CELESTE COSTLEY</t>
  </si>
  <si>
    <t>MARK A RUMPLE</t>
  </si>
  <si>
    <t>MARY GLOVER</t>
  </si>
  <si>
    <t>MATHESON TRI-GAS INC</t>
  </si>
  <si>
    <t>ROGER C MATHIS</t>
  </si>
  <si>
    <t>MATT AHLHORN</t>
  </si>
  <si>
    <t>MAUREEN S BURROWS MD MPH</t>
  </si>
  <si>
    <t>McCOY'S BUILDING SUPPLY CENTER</t>
  </si>
  <si>
    <t>McCREARY  VESELKA  BRAGG &amp; ALLEN P</t>
  </si>
  <si>
    <t>MENTALIX INC</t>
  </si>
  <si>
    <t>MICHAEL HARBICH</t>
  </si>
  <si>
    <t>MIDTEX MATERIALS</t>
  </si>
  <si>
    <t>MILLER UNIFORMS &amp; EMBLEMS</t>
  </si>
  <si>
    <t>AUGUST ALEX FUCHS II</t>
  </si>
  <si>
    <t>ANDREA LORRAINE OVERALL</t>
  </si>
  <si>
    <t>KAYLA BREANNA MONTGOMERY</t>
  </si>
  <si>
    <t>PAMELA SUE HOLDREN</t>
  </si>
  <si>
    <t>ANGELA LASHUN SNEED</t>
  </si>
  <si>
    <t>VICTORIA JEANNE EDWARDS</t>
  </si>
  <si>
    <t>VICKI JO MCMILLAN</t>
  </si>
  <si>
    <t>BARBARA MCKENNA HAWKINS</t>
  </si>
  <si>
    <t>HOLLY JO BROADWAY CHRISTIAN</t>
  </si>
  <si>
    <t>JULIE MARIE HECKEROTH</t>
  </si>
  <si>
    <t>VINCENT MICHAEL BARTSCH</t>
  </si>
  <si>
    <t>GRISELDA NUNEZ</t>
  </si>
  <si>
    <t>JOHNNY RAY PICKERING</t>
  </si>
  <si>
    <t>CHRISTOPHER PAUL CHILDS</t>
  </si>
  <si>
    <t>MARTHA MARIE WATTS</t>
  </si>
  <si>
    <t>SUSAN FAYE RHAME</t>
  </si>
  <si>
    <t>DANE MICHAEL LOUVIER</t>
  </si>
  <si>
    <t>BRIANNA CHIANN DAVIS</t>
  </si>
  <si>
    <t>KAREN JEAN CARNAHAN</t>
  </si>
  <si>
    <t>STEPHEN LEE CROLEY</t>
  </si>
  <si>
    <t>MARK THOMAS FJELSTED</t>
  </si>
  <si>
    <t>MARY NOELLE CLOWERS</t>
  </si>
  <si>
    <t>JOHN CLIFFORD THOMPSON</t>
  </si>
  <si>
    <t>KAITLIN RACHEL MAREE KIRBY</t>
  </si>
  <si>
    <t>JUSTIN HENRY ANDERSON</t>
  </si>
  <si>
    <t>PATRICIA BUECHE YATES</t>
  </si>
  <si>
    <t>JEANIE ANN RILEY</t>
  </si>
  <si>
    <t>ALMA ROSA BROWN</t>
  </si>
  <si>
    <t>EDUARDO AGUERO MARTINEZ</t>
  </si>
  <si>
    <t>ROSS TANNER-LATIMER SLAY</t>
  </si>
  <si>
    <t>JANA HOFFMAN MOORE</t>
  </si>
  <si>
    <t>ELIJAH SCOTT FOWLER</t>
  </si>
  <si>
    <t>SCOTT A SHIKE</t>
  </si>
  <si>
    <t>TIMOTHY EUGENE BROWN</t>
  </si>
  <si>
    <t>BRUCE ROBERT ALLYN</t>
  </si>
  <si>
    <t>DAVID KYLE BRUMMITT</t>
  </si>
  <si>
    <t>LAUREN N SCHECKTER</t>
  </si>
  <si>
    <t>JOSE ADRION FIGUEROA</t>
  </si>
  <si>
    <t>SARAH ELIZABETH-ANN EDSALL</t>
  </si>
  <si>
    <t>SYLVIA GONZALEZ WATSON</t>
  </si>
  <si>
    <t>LARRY GENE HANSEN</t>
  </si>
  <si>
    <t>ANTHONY MARK BONTEMPO</t>
  </si>
  <si>
    <t>LINDA STARNES RICHARD</t>
  </si>
  <si>
    <t>JOSHUA NATHAN CAMACHO</t>
  </si>
  <si>
    <t>NICOLASA AGUILAR BISHOP</t>
  </si>
  <si>
    <t>CALVIN DONELL VINCENT</t>
  </si>
  <si>
    <t>KATHRYN EVA ROGERS</t>
  </si>
  <si>
    <t>ANTHONY LEROY DELGADO</t>
  </si>
  <si>
    <t>JESSE JOE HERRERA</t>
  </si>
  <si>
    <t>URIEL HERNANDEZ</t>
  </si>
  <si>
    <t>LOIS VICKY DAWSON</t>
  </si>
  <si>
    <t>MARY ANN GRAY</t>
  </si>
  <si>
    <t>TERRY LEE MANTERNACH</t>
  </si>
  <si>
    <t>RICHARD DAYWOOD JR</t>
  </si>
  <si>
    <t>PRESLEY JADE HOLLOWAY</t>
  </si>
  <si>
    <t>CONNIE EILEEN HOFF</t>
  </si>
  <si>
    <t>BETHANY RENEE COOK</t>
  </si>
  <si>
    <t>CYNTHIA MELISSA STELTER</t>
  </si>
  <si>
    <t>MONARCH DISPOSAL  LLC</t>
  </si>
  <si>
    <t>MOORE MEDICAL LLC</t>
  </si>
  <si>
    <t>HAJOCA CORPORATION</t>
  </si>
  <si>
    <t>MOTOROLA INC</t>
  </si>
  <si>
    <t>NALCO COMPANY LLC</t>
  </si>
  <si>
    <t>NATIONAL FOOD GROUP INC</t>
  </si>
  <si>
    <t>NATIONAL EMERGENCY NUMBER ASSOCIATION</t>
  </si>
  <si>
    <t>O'REILLY AUTOMOTIVE  INC.</t>
  </si>
  <si>
    <t>SOUTHERN FOODS GROUP LP</t>
  </si>
  <si>
    <t>OFFICE DEPOT</t>
  </si>
  <si>
    <t>OMNIBASE SERVICES OF TEXAS LP</t>
  </si>
  <si>
    <t>ORENTHAL JOHNSON</t>
  </si>
  <si>
    <t>ROGER C OSBORN</t>
  </si>
  <si>
    <t>PAIGE TRACTORS INC</t>
  </si>
  <si>
    <t>SL PARKER PARTNERSHIP LLC</t>
  </si>
  <si>
    <t>PATRICK TYDLACKA</t>
  </si>
  <si>
    <t>JACOB  COX</t>
  </si>
  <si>
    <t>PATTERSON  VETERINARY SUPPLY INC</t>
  </si>
  <si>
    <t>PAUL GRANADO</t>
  </si>
  <si>
    <t>PETHEALTH SERVICES(USA) INC.</t>
  </si>
  <si>
    <t>PHILIP R DUCLOUX</t>
  </si>
  <si>
    <t>PINEY CREEK AUTO SERVICE</t>
  </si>
  <si>
    <t>PB PROFESSIONAL SERVICES INC</t>
  </si>
  <si>
    <t>PITNEY BOWES GLOBAL FINANCIAL SERVICES</t>
  </si>
  <si>
    <t>PRAXAIR DISTRIBUTION  INC.</t>
  </si>
  <si>
    <t>PRODUCTIVITY CENTER INC</t>
  </si>
  <si>
    <t>QUILL CORPORATION</t>
  </si>
  <si>
    <t>R &amp; D BISHOP INC</t>
  </si>
  <si>
    <t>RAJEEV GUPTA</t>
  </si>
  <si>
    <t>RANDAL'S TOWER TECH INC</t>
  </si>
  <si>
    <t>NESTLE WATERS N AMERICA INC</t>
  </si>
  <si>
    <t>RENT JOHNSON</t>
  </si>
  <si>
    <t>REPUBLIC SERVICES INC BFI WASTE SERVICE</t>
  </si>
  <si>
    <t>RICOH USA INC</t>
  </si>
  <si>
    <t>RICOH AMERICAS CORP</t>
  </si>
  <si>
    <t>ROADRUNNER RADIOLOGY EQUIP LLC</t>
  </si>
  <si>
    <t>ROBERT CARL STEUBING</t>
  </si>
  <si>
    <t>ROBERT H MILLER</t>
  </si>
  <si>
    <t>ROBERT KING</t>
  </si>
  <si>
    <t>ROBERT MADDEN INDUSTRIES LTD</t>
  </si>
  <si>
    <t>ROGERS CUSTOM AUTOMOTIVE</t>
  </si>
  <si>
    <t>ROSE PIETSCH COUNTY CLERK</t>
  </si>
  <si>
    <t>RUSH TRUCK CENTERS OF TEXAS  LP</t>
  </si>
  <si>
    <t>SAMES BASTROP FORD INC</t>
  </si>
  <si>
    <t>SARAH LOUCKS</t>
  </si>
  <si>
    <t>SCOTT &amp; WHITE CLINIC</t>
  </si>
  <si>
    <t>SCOTT &amp; WHITE HOSPITAL TAYLOR</t>
  </si>
  <si>
    <t>SECURUS TECHNOLOGIES INC</t>
  </si>
  <si>
    <t>SETH BRADLEY</t>
  </si>
  <si>
    <t>FERRELLGAS  LP</t>
  </si>
  <si>
    <t>SHELTON STOHLER</t>
  </si>
  <si>
    <t>SHERI LYNNE LINDER</t>
  </si>
  <si>
    <t>SHERWIN WILLIAMS CO</t>
  </si>
  <si>
    <t>SHI GOVERNMENT SOLUTIONS INC.</t>
  </si>
  <si>
    <t>SHOPPA'S FARM SUPPLY</t>
  </si>
  <si>
    <t>SISSY HUGHES</t>
  </si>
  <si>
    <t>GRACELAND COLLEGE CENTER</t>
  </si>
  <si>
    <t>ROBERT M SMITH JR</t>
  </si>
  <si>
    <t>SMITHVILLE AUTO PARTS  INC</t>
  </si>
  <si>
    <t>SOLARWINDS</t>
  </si>
  <si>
    <t>SOUTHWEST SOLUTIONS GROUP</t>
  </si>
  <si>
    <t>DS WATERS OF AMERICA INC</t>
  </si>
  <si>
    <t>ST.DAVID'S HEALTHCARE PARTNERSHIP</t>
  </si>
  <si>
    <t>STACY HOFFEREK</t>
  </si>
  <si>
    <t>STAPLES ADVANTAGE</t>
  </si>
  <si>
    <t>STATE OF TEXAS</t>
  </si>
  <si>
    <t>STEPHEN BECK</t>
  </si>
  <si>
    <t>STERICYCLE  INC.</t>
  </si>
  <si>
    <t>STEVE GRANADO</t>
  </si>
  <si>
    <t>MATTHEW LEE SULLINS</t>
  </si>
  <si>
    <t>TALLEY INC</t>
  </si>
  <si>
    <t>TAMARA BATOT</t>
  </si>
  <si>
    <t>TAVCO SERVICES INC</t>
  </si>
  <si>
    <t>TX COMM ON LAW ENFORCEMENT</t>
  </si>
  <si>
    <t>TDCAA</t>
  </si>
  <si>
    <t>TEEX</t>
  </si>
  <si>
    <t>TERRA EXCAVATION &amp; CONSTRUCTION LLC</t>
  </si>
  <si>
    <t>TERRY FLENNIKEN</t>
  </si>
  <si>
    <t>JOHN J FIETSAM INC</t>
  </si>
  <si>
    <t>TEX-CON OIL CO</t>
  </si>
  <si>
    <t>TEXAS AMERICAN TITLE COMPANY - INDEPENDENCE TITLE</t>
  </si>
  <si>
    <t>TEXAS ASSOCIATES INSURORS AGENCY</t>
  </si>
  <si>
    <t>TEXAS ASSOCIATION OF COUNTIES</t>
  </si>
  <si>
    <t>TEXAS ASSOCIATION OF ELECTIONS ADMINISTRATORS</t>
  </si>
  <si>
    <t>TEXAS BLACKLAND HARDWARE</t>
  </si>
  <si>
    <t>TEXAS CORRECTIONAL INDUSTRIES</t>
  </si>
  <si>
    <t>TEXAS CRUSHED STONE CO.</t>
  </si>
  <si>
    <t>TEXAS DEPT OF LICENSING &amp; REGULATION</t>
  </si>
  <si>
    <t>TEXAS ECONOMIC DEVELOPMENT COUNCIL</t>
  </si>
  <si>
    <t>TEXAS ONCOLOGY</t>
  </si>
  <si>
    <t>JEFFREY TOUSSAINT</t>
  </si>
  <si>
    <t>SANDRA FAYE ROBINSON</t>
  </si>
  <si>
    <t>RICHARD NELSON MOORE</t>
  </si>
  <si>
    <t>ATLAS HOTEL  LP</t>
  </si>
  <si>
    <t>TWE-ADVANCE/NEWHOUSE PARTNERSHIP</t>
  </si>
  <si>
    <t>TIMOTHY AULTFATHER</t>
  </si>
  <si>
    <t>TRACY MOGONYE</t>
  </si>
  <si>
    <t>TRAVIS CO CONSTABLE  PCT 5</t>
  </si>
  <si>
    <t>TRAVIS COUNTY CLERK</t>
  </si>
  <si>
    <t>TRAVIS COUNTY TREASURER</t>
  </si>
  <si>
    <t>TREADMAXX TIRE DISTRIBUTORS  INC.</t>
  </si>
  <si>
    <t>TRACTOR SUPPLY CREDIT PLAN</t>
  </si>
  <si>
    <t>TULL FARLEY</t>
  </si>
  <si>
    <t>LINDA WALKER</t>
  </si>
  <si>
    <t>TX DEPT OF MOTOR VEHICLES</t>
  </si>
  <si>
    <t>TEXAS DEPARTMENT OF TRANSPORTATION</t>
  </si>
  <si>
    <t>TY OTT</t>
  </si>
  <si>
    <t>TYLER TECHNOLOGIES INC</t>
  </si>
  <si>
    <t>ULINE</t>
  </si>
  <si>
    <t>UPS</t>
  </si>
  <si>
    <t>DEPARTMENT OF STATE HEALTH SERVICES</t>
  </si>
  <si>
    <t>VULCAN  INC.</t>
  </si>
  <si>
    <t>WALLER COUNTY ASPHALT INC</t>
  </si>
  <si>
    <t>WALMART COMMUNITY BRC</t>
  </si>
  <si>
    <t>WAYNE PEASE</t>
  </si>
  <si>
    <t>PROGRESSIVE WASTE SOLUTIONS OF TX. INC.</t>
  </si>
  <si>
    <t>WIND KNOT INCORPORATED</t>
  </si>
  <si>
    <t>COBRA EQUIPMENT RENTALS</t>
  </si>
  <si>
    <t>WEI-ANN LIN  MD PA</t>
  </si>
  <si>
    <t>WEST PUBLISHING CORPORATION</t>
  </si>
  <si>
    <t>XEROX CORPORATION</t>
  </si>
  <si>
    <t>YOUNG &amp; PRATT  INC.</t>
  </si>
  <si>
    <t>ACUITY SPECIALTY PRODUCTS INC</t>
  </si>
  <si>
    <t>BBTC LLC</t>
  </si>
  <si>
    <t>BEFCO ENGINEERING INC</t>
  </si>
  <si>
    <t>BROADDUS &amp; ASSOCIATES</t>
  </si>
  <si>
    <t>CITY OF ELGIN</t>
  </si>
  <si>
    <t>DONALD R. JOHANSON</t>
  </si>
  <si>
    <t>FIRST NATIONAL BANK</t>
  </si>
  <si>
    <t>I PLOW.COM LLC</t>
  </si>
  <si>
    <t>LANGFORD COMMUNITY MGMT INC</t>
  </si>
  <si>
    <t>MUSTANG MACHINERY COMPANY LTD</t>
  </si>
  <si>
    <t>SPEED FAB-CRETE CORPORATION</t>
  </si>
  <si>
    <t>ALLSTATE-AMERICAN HERITAGE LIFE INS CO</t>
  </si>
  <si>
    <t>BASTROP ASSN OF SHERIFFS EMPLOYEES</t>
  </si>
  <si>
    <t>BASTROP CNTY ADULT PROBATION</t>
  </si>
  <si>
    <t>COLONIAL LIFE &amp; ACCIDENT INS. CO.</t>
  </si>
  <si>
    <t>CUNA MUTUAL</t>
  </si>
  <si>
    <t>DEBORAH B LANGEHENNIG</t>
  </si>
  <si>
    <t>GUARDIAN</t>
  </si>
  <si>
    <t>INTERNAL REVENUE SERVICE - ACS SUPPORT</t>
  </si>
  <si>
    <t>IRS-PAYROLL TAXES</t>
  </si>
  <si>
    <t>MICHIGAN STATE DISBURSEMENT UNIT(MiSDU)</t>
  </si>
  <si>
    <t>MONUMENTAL LIFE INS CO</t>
  </si>
  <si>
    <t>GERALD FLORES OLIVO</t>
  </si>
  <si>
    <t>TAC HEALTH BENEFITS POOL</t>
  </si>
  <si>
    <t>TEXAS ATTY.GENERAL'S OFFICE</t>
  </si>
  <si>
    <t>TEXAS CNTY &amp; DIST RETIREMENT SYS</t>
  </si>
  <si>
    <t>TEXAS LEGAL PROTECTION PLAN INC</t>
  </si>
  <si>
    <t>TG STUDENT LOAN</t>
  </si>
  <si>
    <t>U.S. DEPT OF EDUCATION - FINANCIAL  ASST</t>
  </si>
  <si>
    <t>WAGEWORKS INC  FSA/HSA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</si>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</sst>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70"/>
  <sheetViews>
    <sheetView tabSelected="1" workbookViewId="0">
      <selection activeCell="E2" sqref="E2"/>
    </sheetView>
  </sheetViews>
  <sheetFormatPr defaultRowHeight="14.4" x14ac:dyDescent="0.3"/>
  <cols>
    <col min="1" max="1" width="9.88671875" bestFit="1" customWidth="1"/>
    <col min="2" max="2" width="8.77734375" bestFit="1" customWidth="1"/>
    <col min="3" max="3" width="49.88671875" bestFit="1" customWidth="1"/>
    <col min="4" max="4" width="7.33203125" bestFit="1" customWidth="1"/>
    <col min="5" max="5" width="12.77734375" style="2" bestFit="1" customWidth="1"/>
    <col min="6" max="6" width="10.5546875" bestFit="1" customWidth="1"/>
    <col min="7" max="7" width="20.5546875" bestFit="1" customWidth="1"/>
    <col min="8" max="8" width="33.21875" bestFit="1" customWidth="1"/>
    <col min="9" max="9" width="14.5546875" style="2" bestFit="1" customWidth="1"/>
    <col min="10" max="10" width="33.21875" bestFit="1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</row>
    <row r="2" spans="1:10" x14ac:dyDescent="0.3">
      <c r="A2" t="str">
        <f>"01"</f>
        <v>01</v>
      </c>
      <c r="B2" t="str">
        <f>"003799"</f>
        <v>003799</v>
      </c>
      <c r="C2" t="s">
        <v>10</v>
      </c>
      <c r="D2">
        <v>74821</v>
      </c>
      <c r="E2" s="2">
        <v>330</v>
      </c>
      <c r="F2" s="1">
        <v>43122</v>
      </c>
      <c r="G2" t="str">
        <f>"201801128156"</f>
        <v>201801128156</v>
      </c>
      <c r="H2" t="str">
        <f>"REFUND COUPONS"</f>
        <v>REFUND COUPONS</v>
      </c>
      <c r="I2" s="2">
        <v>330</v>
      </c>
      <c r="J2" t="str">
        <f>"REFUND COUPONS"</f>
        <v>REFUND COUPONS</v>
      </c>
    </row>
    <row r="3" spans="1:10" x14ac:dyDescent="0.3">
      <c r="A3" t="str">
        <f>"01"</f>
        <v>01</v>
      </c>
      <c r="B3" t="str">
        <f>"000598"</f>
        <v>000598</v>
      </c>
      <c r="C3" t="s">
        <v>11</v>
      </c>
      <c r="D3">
        <v>74595</v>
      </c>
      <c r="E3" s="2">
        <v>24015.51</v>
      </c>
      <c r="F3" s="1">
        <v>43108</v>
      </c>
      <c r="G3" t="str">
        <f>"9725-001-97094"</f>
        <v>9725-001-97094</v>
      </c>
      <c r="H3" t="str">
        <f>"ACCT#9725-001/REC BASE/PCT#2"</f>
        <v>ACCT#9725-001/REC BASE/PCT#2</v>
      </c>
      <c r="I3" s="2">
        <v>206.06</v>
      </c>
      <c r="J3" t="str">
        <f>"ACCT#9725-001/REC BASE/PCT#2"</f>
        <v>ACCT#9725-001/REC BASE/PCT#2</v>
      </c>
    </row>
    <row r="4" spans="1:10" x14ac:dyDescent="0.3">
      <c r="A4" t="str">
        <f>""</f>
        <v/>
      </c>
      <c r="B4" t="str">
        <f>""</f>
        <v/>
      </c>
      <c r="G4" t="str">
        <f>"9725-001-97120"</f>
        <v>9725-001-97120</v>
      </c>
      <c r="H4" t="str">
        <f>"ACCT#9725-001/REC BASE/PCT#2"</f>
        <v>ACCT#9725-001/REC BASE/PCT#2</v>
      </c>
      <c r="I4" s="2">
        <v>206.24</v>
      </c>
      <c r="J4" t="str">
        <f>"ACCT#9725-001/REC BASE/PCT#2"</f>
        <v>ACCT#9725-001/REC BASE/PCT#2</v>
      </c>
    </row>
    <row r="5" spans="1:10" x14ac:dyDescent="0.3">
      <c r="A5" t="str">
        <f>""</f>
        <v/>
      </c>
      <c r="B5" t="str">
        <f>""</f>
        <v/>
      </c>
      <c r="G5" t="str">
        <f>"9725-001-97146"</f>
        <v>9725-001-97146</v>
      </c>
      <c r="H5" t="str">
        <f>"ACCT#9725-001/REC BASE/PCT#2"</f>
        <v>ACCT#9725-001/REC BASE/PCT#2</v>
      </c>
      <c r="I5" s="2">
        <v>3918.01</v>
      </c>
      <c r="J5" t="str">
        <f>"ACCT#9725-001/REC BASE/PCT#2"</f>
        <v>ACCT#9725-001/REC BASE/PCT#2</v>
      </c>
    </row>
    <row r="6" spans="1:10" x14ac:dyDescent="0.3">
      <c r="A6" t="str">
        <f>""</f>
        <v/>
      </c>
      <c r="B6" t="str">
        <f>""</f>
        <v/>
      </c>
      <c r="G6" t="str">
        <f>"9725-001-97190"</f>
        <v>9725-001-97190</v>
      </c>
      <c r="H6" t="str">
        <f>"ACCT#9725-001/REC BASE/PCT#2"</f>
        <v>ACCT#9725-001/REC BASE/PCT#2</v>
      </c>
      <c r="I6" s="2">
        <v>3363.52</v>
      </c>
      <c r="J6" t="str">
        <f>"ACCT#9725-001/REC BASE/PCT#2"</f>
        <v>ACCT#9725-001/REC BASE/PCT#2</v>
      </c>
    </row>
    <row r="7" spans="1:10" x14ac:dyDescent="0.3">
      <c r="A7" t="str">
        <f>""</f>
        <v/>
      </c>
      <c r="B7" t="str">
        <f>""</f>
        <v/>
      </c>
      <c r="G7" t="str">
        <f>"9725-001-97210"</f>
        <v>9725-001-97210</v>
      </c>
      <c r="H7" t="str">
        <f>"ACCT#9725-001/REC BASE/PCT#2"</f>
        <v>ACCT#9725-001/REC BASE/PCT#2</v>
      </c>
      <c r="I7" s="2">
        <v>1230.3399999999999</v>
      </c>
      <c r="J7" t="str">
        <f>"ACCT#9725-001/REC BASE/PCT#2"</f>
        <v>ACCT#9725-001/REC BASE/PCT#2</v>
      </c>
    </row>
    <row r="8" spans="1:10" x14ac:dyDescent="0.3">
      <c r="A8" t="str">
        <f>""</f>
        <v/>
      </c>
      <c r="B8" t="str">
        <f>""</f>
        <v/>
      </c>
      <c r="G8" t="str">
        <f>"9725-013-97318"</f>
        <v>9725-013-97318</v>
      </c>
      <c r="H8" t="str">
        <f>"ACCT#9725-013/REC BASE/PCT#2"</f>
        <v>ACCT#9725-013/REC BASE/PCT#2</v>
      </c>
      <c r="I8" s="2">
        <v>213.24</v>
      </c>
      <c r="J8" t="str">
        <f>"ACCT#9725-013/REC BASE/PCT#2"</f>
        <v>ACCT#9725-013/REC BASE/PCT#2</v>
      </c>
    </row>
    <row r="9" spans="1:10" x14ac:dyDescent="0.3">
      <c r="A9" t="str">
        <f>""</f>
        <v/>
      </c>
      <c r="B9" t="str">
        <f>""</f>
        <v/>
      </c>
      <c r="G9" t="str">
        <f>"9725-014-97208"</f>
        <v>9725-014-97208</v>
      </c>
      <c r="H9" t="str">
        <f t="shared" ref="H9:H17" si="0">"ACCT#9725-014/REC BASE/PCT#2"</f>
        <v>ACCT#9725-014/REC BASE/PCT#2</v>
      </c>
      <c r="I9" s="2">
        <v>3645.74</v>
      </c>
      <c r="J9" t="str">
        <f t="shared" ref="J9:J17" si="1">"ACCT#9725-014/REC BASE/PCT#2"</f>
        <v>ACCT#9725-014/REC BASE/PCT#2</v>
      </c>
    </row>
    <row r="10" spans="1:10" x14ac:dyDescent="0.3">
      <c r="A10" t="str">
        <f>""</f>
        <v/>
      </c>
      <c r="B10" t="str">
        <f>""</f>
        <v/>
      </c>
      <c r="G10" t="str">
        <f>"9725-014-97233"</f>
        <v>9725-014-97233</v>
      </c>
      <c r="H10" t="str">
        <f t="shared" si="0"/>
        <v>ACCT#9725-014/REC BASE/PCT#2</v>
      </c>
      <c r="I10" s="2">
        <v>4970.55</v>
      </c>
      <c r="J10" t="str">
        <f t="shared" si="1"/>
        <v>ACCT#9725-014/REC BASE/PCT#2</v>
      </c>
    </row>
    <row r="11" spans="1:10" x14ac:dyDescent="0.3">
      <c r="A11" t="str">
        <f>""</f>
        <v/>
      </c>
      <c r="B11" t="str">
        <f>""</f>
        <v/>
      </c>
      <c r="G11" t="str">
        <f>"9725-014-97261"</f>
        <v>9725-014-97261</v>
      </c>
      <c r="H11" t="str">
        <f t="shared" si="0"/>
        <v>ACCT#9725-014/REC BASE/PCT#2</v>
      </c>
      <c r="I11" s="2">
        <v>895.48</v>
      </c>
      <c r="J11" t="str">
        <f t="shared" si="1"/>
        <v>ACCT#9725-014/REC BASE/PCT#2</v>
      </c>
    </row>
    <row r="12" spans="1:10" x14ac:dyDescent="0.3">
      <c r="A12" t="str">
        <f>""</f>
        <v/>
      </c>
      <c r="B12" t="str">
        <f>""</f>
        <v/>
      </c>
      <c r="G12" t="str">
        <f>"9725-014-97301"</f>
        <v>9725-014-97301</v>
      </c>
      <c r="H12" t="str">
        <f t="shared" si="0"/>
        <v>ACCT#9725-014/REC BASE/PCT#2</v>
      </c>
      <c r="I12" s="2">
        <v>1415.67</v>
      </c>
      <c r="J12" t="str">
        <f t="shared" si="1"/>
        <v>ACCT#9725-014/REC BASE/PCT#2</v>
      </c>
    </row>
    <row r="13" spans="1:10" x14ac:dyDescent="0.3">
      <c r="A13" t="str">
        <f>""</f>
        <v/>
      </c>
      <c r="B13" t="str">
        <f>""</f>
        <v/>
      </c>
      <c r="G13" t="str">
        <f>"9725-014-97320"</f>
        <v>9725-014-97320</v>
      </c>
      <c r="H13" t="str">
        <f t="shared" si="0"/>
        <v>ACCT#9725-014/REC BASE/PCT#2</v>
      </c>
      <c r="I13" s="2">
        <v>3548.33</v>
      </c>
      <c r="J13" t="str">
        <f t="shared" si="1"/>
        <v>ACCT#9725-014/REC BASE/PCT#2</v>
      </c>
    </row>
    <row r="14" spans="1:10" x14ac:dyDescent="0.3">
      <c r="A14" t="str">
        <f>""</f>
        <v/>
      </c>
      <c r="B14" t="str">
        <f>""</f>
        <v/>
      </c>
      <c r="G14" t="str">
        <f>"9725-014-97343"</f>
        <v>9725-014-97343</v>
      </c>
      <c r="H14" t="str">
        <f t="shared" si="0"/>
        <v>ACCT#9725-014/REC BASE/PCT#2</v>
      </c>
      <c r="I14" s="2">
        <v>200.9</v>
      </c>
      <c r="J14" t="str">
        <f t="shared" si="1"/>
        <v>ACCT#9725-014/REC BASE/PCT#2</v>
      </c>
    </row>
    <row r="15" spans="1:10" x14ac:dyDescent="0.3">
      <c r="A15" t="str">
        <f>""</f>
        <v/>
      </c>
      <c r="B15" t="str">
        <f>""</f>
        <v/>
      </c>
      <c r="G15" t="str">
        <f>"9725-014-97374"</f>
        <v>9725-014-97374</v>
      </c>
      <c r="H15" t="str">
        <f t="shared" si="0"/>
        <v>ACCT#9725-014/REC BASE/PCT#2</v>
      </c>
      <c r="I15" s="2">
        <v>201.43</v>
      </c>
      <c r="J15" t="str">
        <f t="shared" si="1"/>
        <v>ACCT#9725-014/REC BASE/PCT#2</v>
      </c>
    </row>
    <row r="16" spans="1:10" x14ac:dyDescent="0.3">
      <c r="A16" t="str">
        <f>"01"</f>
        <v>01</v>
      </c>
      <c r="B16" t="str">
        <f>"000598"</f>
        <v>000598</v>
      </c>
      <c r="C16" t="s">
        <v>11</v>
      </c>
      <c r="D16">
        <v>74822</v>
      </c>
      <c r="E16" s="2">
        <v>7182.92</v>
      </c>
      <c r="F16" s="1">
        <v>43122</v>
      </c>
      <c r="G16" t="str">
        <f>"9725-014-97432"</f>
        <v>9725-014-97432</v>
      </c>
      <c r="H16" t="str">
        <f t="shared" si="0"/>
        <v>ACCT#9725-014/REC BASE/PCT#2</v>
      </c>
      <c r="I16" s="2">
        <v>612.94000000000005</v>
      </c>
      <c r="J16" t="str">
        <f t="shared" si="1"/>
        <v>ACCT#9725-014/REC BASE/PCT#2</v>
      </c>
    </row>
    <row r="17" spans="1:10" x14ac:dyDescent="0.3">
      <c r="A17" t="str">
        <f>""</f>
        <v/>
      </c>
      <c r="B17" t="str">
        <f>""</f>
        <v/>
      </c>
      <c r="G17" t="str">
        <f>"9725-014-97460"</f>
        <v>9725-014-97460</v>
      </c>
      <c r="H17" t="str">
        <f t="shared" si="0"/>
        <v>ACCT#9725-014/REC BASE/PCT#2</v>
      </c>
      <c r="I17" s="2">
        <v>837.38</v>
      </c>
      <c r="J17" t="str">
        <f t="shared" si="1"/>
        <v>ACCT#9725-014/REC BASE/PCT#2</v>
      </c>
    </row>
    <row r="18" spans="1:10" x14ac:dyDescent="0.3">
      <c r="A18" t="str">
        <f>""</f>
        <v/>
      </c>
      <c r="B18" t="str">
        <f>""</f>
        <v/>
      </c>
      <c r="G18" t="str">
        <f>"9725-014-97533"</f>
        <v>9725-014-97533</v>
      </c>
      <c r="H18" t="str">
        <f>"ACCT#9725-014/PCT#2"</f>
        <v>ACCT#9725-014/PCT#2</v>
      </c>
      <c r="I18" s="2">
        <v>3905.58</v>
      </c>
      <c r="J18" t="str">
        <f>"ACCT#9725-014/PCT#2"</f>
        <v>ACCT#9725-014/PCT#2</v>
      </c>
    </row>
    <row r="19" spans="1:10" x14ac:dyDescent="0.3">
      <c r="A19" t="str">
        <f>""</f>
        <v/>
      </c>
      <c r="B19" t="str">
        <f>""</f>
        <v/>
      </c>
      <c r="G19" t="str">
        <f>"9725-014-97559"</f>
        <v>9725-014-97559</v>
      </c>
      <c r="H19" t="str">
        <f>"ACCT#9725-014/PCT#2"</f>
        <v>ACCT#9725-014/PCT#2</v>
      </c>
      <c r="I19" s="2">
        <v>1827.02</v>
      </c>
      <c r="J19" t="str">
        <f>"ACCT#9725-014/PCT#2"</f>
        <v>ACCT#9725-014/PCT#2</v>
      </c>
    </row>
    <row r="20" spans="1:10" x14ac:dyDescent="0.3">
      <c r="A20" t="str">
        <f>"01"</f>
        <v>01</v>
      </c>
      <c r="B20" t="str">
        <f>"002656"</f>
        <v>002656</v>
      </c>
      <c r="C20" t="s">
        <v>12</v>
      </c>
      <c r="D20">
        <v>74823</v>
      </c>
      <c r="E20" s="2">
        <v>750</v>
      </c>
      <c r="F20" s="1">
        <v>43122</v>
      </c>
      <c r="G20" t="str">
        <f>"201801128158"</f>
        <v>201801128158</v>
      </c>
      <c r="H20" t="str">
        <f>"REFUND COUPONS"</f>
        <v>REFUND COUPONS</v>
      </c>
      <c r="I20" s="2">
        <v>750</v>
      </c>
      <c r="J20" t="str">
        <f>"REFUND COUPONS"</f>
        <v>REFUND COUPONS</v>
      </c>
    </row>
    <row r="21" spans="1:10" x14ac:dyDescent="0.3">
      <c r="A21" t="str">
        <f>"01"</f>
        <v>01</v>
      </c>
      <c r="B21" t="str">
        <f>"004643"</f>
        <v>004643</v>
      </c>
      <c r="C21" t="s">
        <v>13</v>
      </c>
      <c r="D21">
        <v>999999</v>
      </c>
      <c r="E21" s="2">
        <v>103</v>
      </c>
      <c r="F21" s="1">
        <v>43109</v>
      </c>
      <c r="G21" t="str">
        <f>"751326"</f>
        <v>751326</v>
      </c>
      <c r="H21" t="str">
        <f>"SHREDDING SVCS/PURCHASING"</f>
        <v>SHREDDING SVCS/PURCHASING</v>
      </c>
      <c r="I21" s="2">
        <v>103</v>
      </c>
      <c r="J21" t="str">
        <f t="shared" ref="J21:J27" si="2">"SHREDDING SVCS/PURCHASING"</f>
        <v>SHREDDING SVCS/PURCHASING</v>
      </c>
    </row>
    <row r="22" spans="1:10" x14ac:dyDescent="0.3">
      <c r="A22" t="str">
        <f>""</f>
        <v/>
      </c>
      <c r="B22" t="str">
        <f>""</f>
        <v/>
      </c>
      <c r="G22" t="str">
        <f>""</f>
        <v/>
      </c>
      <c r="H22" t="str">
        <f>""</f>
        <v/>
      </c>
      <c r="J22" t="str">
        <f t="shared" si="2"/>
        <v>SHREDDING SVCS/PURCHASING</v>
      </c>
    </row>
    <row r="23" spans="1:10" x14ac:dyDescent="0.3">
      <c r="A23" t="str">
        <f>""</f>
        <v/>
      </c>
      <c r="B23" t="str">
        <f>""</f>
        <v/>
      </c>
      <c r="G23" t="str">
        <f>""</f>
        <v/>
      </c>
      <c r="H23" t="str">
        <f>""</f>
        <v/>
      </c>
      <c r="J23" t="str">
        <f t="shared" si="2"/>
        <v>SHREDDING SVCS/PURCHASING</v>
      </c>
    </row>
    <row r="24" spans="1:10" x14ac:dyDescent="0.3">
      <c r="A24" t="str">
        <f>""</f>
        <v/>
      </c>
      <c r="B24" t="str">
        <f>""</f>
        <v/>
      </c>
      <c r="G24" t="str">
        <f>""</f>
        <v/>
      </c>
      <c r="H24" t="str">
        <f>""</f>
        <v/>
      </c>
      <c r="J24" t="str">
        <f t="shared" si="2"/>
        <v>SHREDDING SVCS/PURCHASING</v>
      </c>
    </row>
    <row r="25" spans="1:10" x14ac:dyDescent="0.3">
      <c r="A25" t="str">
        <f>""</f>
        <v/>
      </c>
      <c r="B25" t="str">
        <f>""</f>
        <v/>
      </c>
      <c r="G25" t="str">
        <f>""</f>
        <v/>
      </c>
      <c r="H25" t="str">
        <f>""</f>
        <v/>
      </c>
      <c r="J25" t="str">
        <f t="shared" si="2"/>
        <v>SHREDDING SVCS/PURCHASING</v>
      </c>
    </row>
    <row r="26" spans="1:10" x14ac:dyDescent="0.3">
      <c r="A26" t="str">
        <f>""</f>
        <v/>
      </c>
      <c r="B26" t="str">
        <f>""</f>
        <v/>
      </c>
      <c r="G26" t="str">
        <f>""</f>
        <v/>
      </c>
      <c r="H26" t="str">
        <f>""</f>
        <v/>
      </c>
      <c r="J26" t="str">
        <f t="shared" si="2"/>
        <v>SHREDDING SVCS/PURCHASING</v>
      </c>
    </row>
    <row r="27" spans="1:10" x14ac:dyDescent="0.3">
      <c r="A27" t="str">
        <f>""</f>
        <v/>
      </c>
      <c r="B27" t="str">
        <f>""</f>
        <v/>
      </c>
      <c r="G27" t="str">
        <f>""</f>
        <v/>
      </c>
      <c r="H27" t="str">
        <f>""</f>
        <v/>
      </c>
      <c r="J27" t="str">
        <f t="shared" si="2"/>
        <v>SHREDDING SVCS/PURCHASING</v>
      </c>
    </row>
    <row r="28" spans="1:10" x14ac:dyDescent="0.3">
      <c r="A28" t="str">
        <f>"01"</f>
        <v>01</v>
      </c>
      <c r="B28" t="str">
        <f>"004643"</f>
        <v>004643</v>
      </c>
      <c r="C28" t="s">
        <v>13</v>
      </c>
      <c r="D28">
        <v>999999</v>
      </c>
      <c r="E28" s="2">
        <v>225</v>
      </c>
      <c r="F28" s="1">
        <v>43123</v>
      </c>
      <c r="G28" t="str">
        <f>"751282"</f>
        <v>751282</v>
      </c>
      <c r="H28" t="str">
        <f>"INV 751282"</f>
        <v>INV 751282</v>
      </c>
      <c r="I28" s="2">
        <v>122</v>
      </c>
      <c r="J28" t="str">
        <f>"INV 751282 - LAW ENF"</f>
        <v>INV 751282 - LAW ENF</v>
      </c>
    </row>
    <row r="29" spans="1:10" x14ac:dyDescent="0.3">
      <c r="A29" t="str">
        <f>""</f>
        <v/>
      </c>
      <c r="B29" t="str">
        <f>""</f>
        <v/>
      </c>
      <c r="G29" t="str">
        <f>""</f>
        <v/>
      </c>
      <c r="H29" t="str">
        <f>""</f>
        <v/>
      </c>
      <c r="J29" t="str">
        <f>"INV 751282 - JAIL"</f>
        <v>INV 751282 - JAIL</v>
      </c>
    </row>
    <row r="30" spans="1:10" x14ac:dyDescent="0.3">
      <c r="A30" t="str">
        <f>""</f>
        <v/>
      </c>
      <c r="B30" t="str">
        <f>""</f>
        <v/>
      </c>
      <c r="G30" t="str">
        <f>"751283"</f>
        <v>751283</v>
      </c>
      <c r="H30" t="str">
        <f>"SERVICING OF SHREDDING/TAX OFF"</f>
        <v>SERVICING OF SHREDDING/TAX OFF</v>
      </c>
      <c r="I30" s="2">
        <v>51.5</v>
      </c>
      <c r="J30" t="str">
        <f>"SERVICING OF SHREDDING/TAX OFF"</f>
        <v>SERVICING OF SHREDDING/TAX OFF</v>
      </c>
    </row>
    <row r="31" spans="1:10" x14ac:dyDescent="0.3">
      <c r="A31" t="str">
        <f>""</f>
        <v/>
      </c>
      <c r="B31" t="str">
        <f>""</f>
        <v/>
      </c>
      <c r="G31" t="str">
        <f>"751450"</f>
        <v>751450</v>
      </c>
      <c r="H31" t="str">
        <f>"SVC OF SHREDDING CONTAINERS"</f>
        <v>SVC OF SHREDDING CONTAINERS</v>
      </c>
      <c r="I31" s="2">
        <v>51.5</v>
      </c>
      <c r="J31" t="str">
        <f>"SVC OF SHREDDING CONTAINERS"</f>
        <v>SVC OF SHREDDING CONTAINERS</v>
      </c>
    </row>
    <row r="32" spans="1:10" x14ac:dyDescent="0.3">
      <c r="A32" t="str">
        <f>"01"</f>
        <v>01</v>
      </c>
      <c r="B32" t="str">
        <f>"ALINE"</f>
        <v>ALINE</v>
      </c>
      <c r="C32" t="s">
        <v>14</v>
      </c>
      <c r="D32">
        <v>74596</v>
      </c>
      <c r="E32" s="2">
        <v>621.83000000000004</v>
      </c>
      <c r="F32" s="1">
        <v>43108</v>
      </c>
      <c r="G32" t="str">
        <f>"201801027684"</f>
        <v>201801027684</v>
      </c>
      <c r="H32" t="str">
        <f>"CUST#16500/STATMENT#290040/P4"</f>
        <v>CUST#16500/STATMENT#290040/P4</v>
      </c>
      <c r="I32" s="2">
        <v>621.83000000000004</v>
      </c>
      <c r="J32" t="str">
        <f>"CUST#16500/STATMENT#290040/P4"</f>
        <v>CUST#16500/STATMENT#290040/P4</v>
      </c>
    </row>
    <row r="33" spans="1:10" x14ac:dyDescent="0.3">
      <c r="A33" t="str">
        <f>"01"</f>
        <v>01</v>
      </c>
      <c r="B33" t="str">
        <f>"002048"</f>
        <v>002048</v>
      </c>
      <c r="C33" t="s">
        <v>15</v>
      </c>
      <c r="D33">
        <v>999999</v>
      </c>
      <c r="E33" s="2">
        <v>7809.93</v>
      </c>
      <c r="F33" s="1">
        <v>43109</v>
      </c>
      <c r="G33" t="str">
        <f>"201801027665"</f>
        <v>201801027665</v>
      </c>
      <c r="H33" t="str">
        <f>"TICKET#3923954/PCT#4"</f>
        <v>TICKET#3923954/PCT#4</v>
      </c>
      <c r="I33" s="2">
        <v>175.62</v>
      </c>
      <c r="J33" t="str">
        <f>"TICKET#3923954/PCT#4"</f>
        <v>TICKET#3923954/PCT#4</v>
      </c>
    </row>
    <row r="34" spans="1:10" x14ac:dyDescent="0.3">
      <c r="A34" t="str">
        <f>""</f>
        <v/>
      </c>
      <c r="B34" t="str">
        <f>""</f>
        <v/>
      </c>
      <c r="G34" t="str">
        <f>"201801027666"</f>
        <v>201801027666</v>
      </c>
      <c r="H34" t="str">
        <f>"HAULING EXP 12/28/17/PCT#4"</f>
        <v>HAULING EXP 12/28/17/PCT#4</v>
      </c>
      <c r="I34" s="2">
        <v>710.18</v>
      </c>
      <c r="J34" t="str">
        <f>"HAULING EXP 12/28/17/PCT#4"</f>
        <v>HAULING EXP 12/28/17/PCT#4</v>
      </c>
    </row>
    <row r="35" spans="1:10" x14ac:dyDescent="0.3">
      <c r="A35" t="str">
        <f>""</f>
        <v/>
      </c>
      <c r="B35" t="str">
        <f>""</f>
        <v/>
      </c>
      <c r="G35" t="str">
        <f>"201801037694"</f>
        <v>201801037694</v>
      </c>
      <c r="H35" t="str">
        <f>"HAULING EXP 12/20-12/28/PCT#1"</f>
        <v>HAULING EXP 12/20-12/28/PCT#1</v>
      </c>
      <c r="I35" s="2">
        <v>6924.13</v>
      </c>
      <c r="J35" t="str">
        <f>"HAULING EXP 12/20-12/28/PCT#1"</f>
        <v>HAULING EXP 12/20-12/28/PCT#1</v>
      </c>
    </row>
    <row r="36" spans="1:10" x14ac:dyDescent="0.3">
      <c r="A36" t="str">
        <f>"01"</f>
        <v>01</v>
      </c>
      <c r="B36" t="str">
        <f>"002048"</f>
        <v>002048</v>
      </c>
      <c r="C36" t="s">
        <v>15</v>
      </c>
      <c r="D36">
        <v>999999</v>
      </c>
      <c r="E36" s="2">
        <v>2471.42</v>
      </c>
      <c r="F36" s="1">
        <v>43123</v>
      </c>
      <c r="G36" t="str">
        <f>"201801178168"</f>
        <v>201801178168</v>
      </c>
      <c r="H36" t="str">
        <f>"HAULING SVCS 01/04/PCT#4"</f>
        <v>HAULING SVCS 01/04/PCT#4</v>
      </c>
      <c r="I36" s="2">
        <v>717.08</v>
      </c>
      <c r="J36" t="str">
        <f>"HAULING SVCS 01/04/PCT#4"</f>
        <v>HAULING SVCS 01/04/PCT#4</v>
      </c>
    </row>
    <row r="37" spans="1:10" x14ac:dyDescent="0.3">
      <c r="A37" t="str">
        <f>""</f>
        <v/>
      </c>
      <c r="B37" t="str">
        <f>""</f>
        <v/>
      </c>
      <c r="G37" t="str">
        <f>"201801178171"</f>
        <v>201801178171</v>
      </c>
      <c r="H37" t="str">
        <f>"HAULING SVCS 01/04/PCT#4"</f>
        <v>HAULING SVCS 01/04/PCT#4</v>
      </c>
      <c r="I37" s="2">
        <v>1754.34</v>
      </c>
      <c r="J37" t="str">
        <f>"HAULING SVCS 01/04/PCT#4"</f>
        <v>HAULING SVCS 01/04/PCT#4</v>
      </c>
    </row>
    <row r="38" spans="1:10" x14ac:dyDescent="0.3">
      <c r="A38" t="str">
        <f>"01"</f>
        <v>01</v>
      </c>
      <c r="B38" t="str">
        <f>"ACE"</f>
        <v>ACE</v>
      </c>
      <c r="C38" t="s">
        <v>16</v>
      </c>
      <c r="D38">
        <v>74597</v>
      </c>
      <c r="E38" s="2">
        <v>45</v>
      </c>
      <c r="F38" s="1">
        <v>43108</v>
      </c>
      <c r="G38" t="str">
        <f>"84703"</f>
        <v>84703</v>
      </c>
      <c r="H38" t="str">
        <f>"EMPTY WHITE POLY FILL BAG/PCT2"</f>
        <v>EMPTY WHITE POLY FILL BAG/PCT2</v>
      </c>
      <c r="I38" s="2">
        <v>45</v>
      </c>
      <c r="J38" t="str">
        <f>"EMPTY WHITE POLY FILL BAG/PCT2"</f>
        <v>EMPTY WHITE POLY FILL BAG/PCT2</v>
      </c>
    </row>
    <row r="39" spans="1:10" x14ac:dyDescent="0.3">
      <c r="A39" t="str">
        <f>"01"</f>
        <v>01</v>
      </c>
      <c r="B39" t="str">
        <f>"000466"</f>
        <v>000466</v>
      </c>
      <c r="C39" t="s">
        <v>17</v>
      </c>
      <c r="D39">
        <v>74824</v>
      </c>
      <c r="E39" s="2">
        <v>216.43</v>
      </c>
      <c r="F39" s="1">
        <v>43122</v>
      </c>
      <c r="G39" t="str">
        <f>"20988148"</f>
        <v>20988148</v>
      </c>
      <c r="H39" t="str">
        <f>"INV 20988148"</f>
        <v>INV 20988148</v>
      </c>
      <c r="I39" s="2">
        <v>216.43</v>
      </c>
      <c r="J39" t="str">
        <f>"INV 20988148"</f>
        <v>INV 20988148</v>
      </c>
    </row>
    <row r="40" spans="1:10" x14ac:dyDescent="0.3">
      <c r="A40" t="str">
        <f>"01"</f>
        <v>01</v>
      </c>
      <c r="B40" t="str">
        <f>"003117"</f>
        <v>003117</v>
      </c>
      <c r="C40" t="s">
        <v>18</v>
      </c>
      <c r="D40">
        <v>999999</v>
      </c>
      <c r="E40" s="2">
        <v>339.71</v>
      </c>
      <c r="F40" s="1">
        <v>43109</v>
      </c>
      <c r="G40" t="str">
        <f>"201801027582"</f>
        <v>201801027582</v>
      </c>
      <c r="H40" t="str">
        <f>"REIMBURSE HOTEL"</f>
        <v>REIMBURSE HOTEL</v>
      </c>
      <c r="I40" s="2">
        <v>223.74</v>
      </c>
      <c r="J40" t="str">
        <f>"REIMBURSE HOTEL"</f>
        <v>REIMBURSE HOTEL</v>
      </c>
    </row>
    <row r="41" spans="1:10" x14ac:dyDescent="0.3">
      <c r="A41" t="str">
        <f>""</f>
        <v/>
      </c>
      <c r="B41" t="str">
        <f>""</f>
        <v/>
      </c>
      <c r="G41" t="str">
        <f>"201801027583"</f>
        <v>201801027583</v>
      </c>
      <c r="H41" t="str">
        <f>"REIMB HOBBY LOBBY/WALGREENS"</f>
        <v>REIMB HOBBY LOBBY/WALGREENS</v>
      </c>
      <c r="I41" s="2">
        <v>115.97</v>
      </c>
      <c r="J41" t="str">
        <f>"REIMB HOBBY LOBBY/WALGREENS"</f>
        <v>REIMB HOBBY LOBBY/WALGREENS</v>
      </c>
    </row>
    <row r="42" spans="1:10" x14ac:dyDescent="0.3">
      <c r="A42" t="str">
        <f>"01"</f>
        <v>01</v>
      </c>
      <c r="B42" t="str">
        <f>"003117"</f>
        <v>003117</v>
      </c>
      <c r="C42" t="s">
        <v>18</v>
      </c>
      <c r="D42">
        <v>999999</v>
      </c>
      <c r="E42" s="2">
        <v>470.27</v>
      </c>
      <c r="F42" s="1">
        <v>43123</v>
      </c>
      <c r="G42" t="str">
        <f>"201801108110"</f>
        <v>201801108110</v>
      </c>
      <c r="H42" t="str">
        <f>"PER DIEM-FT WORTH RODEO BOOTH"</f>
        <v>PER DIEM-FT WORTH RODEO BOOTH</v>
      </c>
      <c r="I42" s="2">
        <v>75</v>
      </c>
      <c r="J42" t="str">
        <f>"PER DIEM-FT WORTH RODEO BOOTH"</f>
        <v>PER DIEM-FT WORTH RODEO BOOTH</v>
      </c>
    </row>
    <row r="43" spans="1:10" x14ac:dyDescent="0.3">
      <c r="A43" t="str">
        <f>""</f>
        <v/>
      </c>
      <c r="B43" t="str">
        <f>""</f>
        <v/>
      </c>
      <c r="G43" t="str">
        <f>"201801178176"</f>
        <v>201801178176</v>
      </c>
      <c r="H43" t="str">
        <f>"REIMBURSEMENT"</f>
        <v>REIMBURSEMENT</v>
      </c>
      <c r="I43" s="2">
        <v>395.27</v>
      </c>
      <c r="J43" t="str">
        <f>"REIMBURSEMENT"</f>
        <v>REIMBURSEMENT</v>
      </c>
    </row>
    <row r="44" spans="1:10" x14ac:dyDescent="0.3">
      <c r="A44" t="str">
        <f>"01"</f>
        <v>01</v>
      </c>
      <c r="B44" t="str">
        <f>"005096"</f>
        <v>005096</v>
      </c>
      <c r="C44" t="s">
        <v>19</v>
      </c>
      <c r="D44">
        <v>74598</v>
      </c>
      <c r="E44" s="2">
        <v>35</v>
      </c>
      <c r="F44" s="1">
        <v>43108</v>
      </c>
      <c r="G44" t="str">
        <f>"201801027601"</f>
        <v>201801027601</v>
      </c>
      <c r="H44" t="str">
        <f>"FERAL HOGS"</f>
        <v>FERAL HOGS</v>
      </c>
      <c r="I44" s="2">
        <v>35</v>
      </c>
      <c r="J44" t="str">
        <f>"FERAL HOGS"</f>
        <v>FERAL HOGS</v>
      </c>
    </row>
    <row r="45" spans="1:10" x14ac:dyDescent="0.3">
      <c r="A45" t="str">
        <f>"01"</f>
        <v>01</v>
      </c>
      <c r="B45" t="str">
        <f>"NPP"</f>
        <v>NPP</v>
      </c>
      <c r="C45" t="s">
        <v>20</v>
      </c>
      <c r="D45">
        <v>999999</v>
      </c>
      <c r="E45" s="2">
        <v>200</v>
      </c>
      <c r="F45" s="1">
        <v>43109</v>
      </c>
      <c r="G45" t="str">
        <f>"201801027643"</f>
        <v>201801027643</v>
      </c>
      <c r="H45" t="str">
        <f>"423-5408"</f>
        <v>423-5408</v>
      </c>
      <c r="I45" s="2">
        <v>100</v>
      </c>
      <c r="J45" t="str">
        <f>"423-5408"</f>
        <v>423-5408</v>
      </c>
    </row>
    <row r="46" spans="1:10" x14ac:dyDescent="0.3">
      <c r="A46" t="str">
        <f>""</f>
        <v/>
      </c>
      <c r="B46" t="str">
        <f>""</f>
        <v/>
      </c>
      <c r="G46" t="str">
        <f>"201801027644"</f>
        <v>201801027644</v>
      </c>
      <c r="H46" t="str">
        <f>"423-5424"</f>
        <v>423-5424</v>
      </c>
      <c r="I46" s="2">
        <v>100</v>
      </c>
      <c r="J46" t="str">
        <f>"423-5424"</f>
        <v>423-5424</v>
      </c>
    </row>
    <row r="47" spans="1:10" x14ac:dyDescent="0.3">
      <c r="A47" t="str">
        <f>"01"</f>
        <v>01</v>
      </c>
      <c r="B47" t="str">
        <f>"004642"</f>
        <v>004642</v>
      </c>
      <c r="C47" t="s">
        <v>21</v>
      </c>
      <c r="D47">
        <v>74825</v>
      </c>
      <c r="E47" s="2">
        <v>1295</v>
      </c>
      <c r="F47" s="1">
        <v>43122</v>
      </c>
      <c r="G47" t="str">
        <f>"27866"</f>
        <v>27866</v>
      </c>
      <c r="H47" t="str">
        <f>"COOL WATER-PCT#1"</f>
        <v>COOL WATER-PCT#1</v>
      </c>
      <c r="I47" s="2">
        <v>305</v>
      </c>
      <c r="J47" t="str">
        <f>"COOL WATER-PCT#1"</f>
        <v>COOL WATER-PCT#1</v>
      </c>
    </row>
    <row r="48" spans="1:10" x14ac:dyDescent="0.3">
      <c r="A48" t="str">
        <f>""</f>
        <v/>
      </c>
      <c r="B48" t="str">
        <f>""</f>
        <v/>
      </c>
      <c r="G48" t="str">
        <f>"27867"</f>
        <v>27867</v>
      </c>
      <c r="H48" t="str">
        <f>"RIVERSIDE DR-PCT#1"</f>
        <v>RIVERSIDE DR-PCT#1</v>
      </c>
      <c r="I48" s="2">
        <v>259</v>
      </c>
      <c r="J48" t="str">
        <f>"RIVERSIDE DR-PCT#1"</f>
        <v>RIVERSIDE DR-PCT#1</v>
      </c>
    </row>
    <row r="49" spans="1:10" x14ac:dyDescent="0.3">
      <c r="A49" t="str">
        <f>""</f>
        <v/>
      </c>
      <c r="B49" t="str">
        <f>""</f>
        <v/>
      </c>
      <c r="G49" t="str">
        <f>"28251/28252/28253"</f>
        <v>28251/28252/28253</v>
      </c>
      <c r="H49" t="str">
        <f>"Inv#28251 &amp; 28253 &amp; 28252"</f>
        <v>Inv#28251 &amp; 28253 &amp; 28252</v>
      </c>
      <c r="I49" s="2">
        <v>731</v>
      </c>
      <c r="J49" t="str">
        <f>"Inv# 28252"</f>
        <v>Inv# 28252</v>
      </c>
    </row>
    <row r="50" spans="1:10" x14ac:dyDescent="0.3">
      <c r="A50" t="str">
        <f>""</f>
        <v/>
      </c>
      <c r="B50" t="str">
        <f>""</f>
        <v/>
      </c>
      <c r="G50" t="str">
        <f>""</f>
        <v/>
      </c>
      <c r="H50" t="str">
        <f>""</f>
        <v/>
      </c>
      <c r="J50" t="str">
        <f>"Inv#28253"</f>
        <v>Inv#28253</v>
      </c>
    </row>
    <row r="51" spans="1:10" x14ac:dyDescent="0.3">
      <c r="A51" t="str">
        <f>""</f>
        <v/>
      </c>
      <c r="B51" t="str">
        <f>""</f>
        <v/>
      </c>
      <c r="G51" t="str">
        <f>""</f>
        <v/>
      </c>
      <c r="H51" t="str">
        <f>""</f>
        <v/>
      </c>
      <c r="J51" t="str">
        <f>"Inv#28251"</f>
        <v>Inv#28251</v>
      </c>
    </row>
    <row r="52" spans="1:10" x14ac:dyDescent="0.3">
      <c r="A52" t="str">
        <f>"01"</f>
        <v>01</v>
      </c>
      <c r="B52" t="str">
        <f>"005237"</f>
        <v>005237</v>
      </c>
      <c r="C52" t="s">
        <v>22</v>
      </c>
      <c r="D52">
        <v>999999</v>
      </c>
      <c r="E52" s="2">
        <v>340.5</v>
      </c>
      <c r="F52" s="1">
        <v>43109</v>
      </c>
      <c r="G52" t="str">
        <f>"1NM7-GRWK-T3LH"</f>
        <v>1NM7-GRWK-T3LH</v>
      </c>
      <c r="H52" t="str">
        <f>"JP2 CS530 Headset (2)"</f>
        <v>JP2 CS530 Headset (2)</v>
      </c>
      <c r="I52" s="2">
        <v>340.5</v>
      </c>
      <c r="J52" t="str">
        <f>"CS530 Headset (1)"</f>
        <v>CS530 Headset (1)</v>
      </c>
    </row>
    <row r="53" spans="1:10" x14ac:dyDescent="0.3">
      <c r="A53" t="str">
        <f>""</f>
        <v/>
      </c>
      <c r="B53" t="str">
        <f>""</f>
        <v/>
      </c>
      <c r="G53" t="str">
        <f>""</f>
        <v/>
      </c>
      <c r="H53" t="str">
        <f>""</f>
        <v/>
      </c>
      <c r="J53" t="str">
        <f>"CS530 Headset (2)"</f>
        <v>CS530 Headset (2)</v>
      </c>
    </row>
    <row r="54" spans="1:10" x14ac:dyDescent="0.3">
      <c r="A54" t="str">
        <f t="shared" ref="A54:A62" si="3">"01"</f>
        <v>01</v>
      </c>
      <c r="B54" t="str">
        <f>"005237"</f>
        <v>005237</v>
      </c>
      <c r="C54" t="s">
        <v>22</v>
      </c>
      <c r="D54">
        <v>999999</v>
      </c>
      <c r="E54" s="2">
        <v>9.6999999999999993</v>
      </c>
      <c r="F54" s="1">
        <v>43123</v>
      </c>
      <c r="G54" t="str">
        <f>"1RPY-NKTP-3WTC"</f>
        <v>1RPY-NKTP-3WTC</v>
      </c>
      <c r="H54" t="str">
        <f>"Sent to Treasurer Stamp"</f>
        <v>Sent to Treasurer Stamp</v>
      </c>
      <c r="I54" s="2">
        <v>9.6999999999999993</v>
      </c>
      <c r="J54" t="str">
        <f>"Sent to Treasurer Stamp"</f>
        <v>Sent to Treasurer Stamp</v>
      </c>
    </row>
    <row r="55" spans="1:10" x14ac:dyDescent="0.3">
      <c r="A55" t="str">
        <f t="shared" si="3"/>
        <v>01</v>
      </c>
      <c r="B55" t="str">
        <f>"002599"</f>
        <v>002599</v>
      </c>
      <c r="C55" t="s">
        <v>23</v>
      </c>
      <c r="D55">
        <v>74599</v>
      </c>
      <c r="E55" s="2">
        <v>309.47000000000003</v>
      </c>
      <c r="F55" s="1">
        <v>43108</v>
      </c>
      <c r="G55" t="str">
        <f>"24434-1"</f>
        <v>24434-1</v>
      </c>
      <c r="H55" t="str">
        <f>"CUST#100031/PCT#3"</f>
        <v>CUST#100031/PCT#3</v>
      </c>
      <c r="I55" s="2">
        <v>309.47000000000003</v>
      </c>
      <c r="J55" t="str">
        <f>"CUST#100031/PCT#3"</f>
        <v>CUST#100031/PCT#3</v>
      </c>
    </row>
    <row r="56" spans="1:10" x14ac:dyDescent="0.3">
      <c r="A56" t="str">
        <f t="shared" si="3"/>
        <v>01</v>
      </c>
      <c r="B56" t="str">
        <f>"002599"</f>
        <v>002599</v>
      </c>
      <c r="C56" t="s">
        <v>23</v>
      </c>
      <c r="D56">
        <v>74826</v>
      </c>
      <c r="E56" s="2">
        <v>252.96</v>
      </c>
      <c r="F56" s="1">
        <v>43122</v>
      </c>
      <c r="G56" t="str">
        <f>"24434-2"</f>
        <v>24434-2</v>
      </c>
      <c r="H56" t="str">
        <f>"CUST#100031/PCT#3"</f>
        <v>CUST#100031/PCT#3</v>
      </c>
      <c r="I56" s="2">
        <v>252.96</v>
      </c>
      <c r="J56" t="str">
        <f>"CUST#100031/PCT#3"</f>
        <v>CUST#100031/PCT#3</v>
      </c>
    </row>
    <row r="57" spans="1:10" x14ac:dyDescent="0.3">
      <c r="A57" t="str">
        <f t="shared" si="3"/>
        <v>01</v>
      </c>
      <c r="B57" t="str">
        <f>"T6702"</f>
        <v>T6702</v>
      </c>
      <c r="C57" t="s">
        <v>24</v>
      </c>
      <c r="D57">
        <v>74600</v>
      </c>
      <c r="E57" s="2">
        <v>95.9</v>
      </c>
      <c r="F57" s="1">
        <v>43108</v>
      </c>
      <c r="G57" t="str">
        <f>"201801027662"</f>
        <v>201801027662</v>
      </c>
      <c r="H57" t="str">
        <f>"NOTARY APP/FILING FEE/STAMP"</f>
        <v>NOTARY APP/FILING FEE/STAMP</v>
      </c>
      <c r="I57" s="2">
        <v>95.9</v>
      </c>
      <c r="J57" t="str">
        <f>"NOTARY APP/FILING FEE/STAMP"</f>
        <v>NOTARY APP/FILING FEE/STAMP</v>
      </c>
    </row>
    <row r="58" spans="1:10" x14ac:dyDescent="0.3">
      <c r="A58" t="str">
        <f t="shared" si="3"/>
        <v>01</v>
      </c>
      <c r="B58" t="str">
        <f>"AMERIC"</f>
        <v>AMERIC</v>
      </c>
      <c r="C58" t="s">
        <v>25</v>
      </c>
      <c r="D58">
        <v>74827</v>
      </c>
      <c r="E58" s="2">
        <v>138.9</v>
      </c>
      <c r="F58" s="1">
        <v>43122</v>
      </c>
      <c r="G58" t="str">
        <f>"5303574"</f>
        <v>5303574</v>
      </c>
      <c r="H58" t="str">
        <f>"CUST#100074/ORD#5303574/P3"</f>
        <v>CUST#100074/ORD#5303574/P3</v>
      </c>
      <c r="I58" s="2">
        <v>138.9</v>
      </c>
      <c r="J58" t="str">
        <f>"CUST#100074/ORD#5303574/P3"</f>
        <v>CUST#100074/ORD#5303574/P3</v>
      </c>
    </row>
    <row r="59" spans="1:10" x14ac:dyDescent="0.3">
      <c r="A59" t="str">
        <f t="shared" si="3"/>
        <v>01</v>
      </c>
      <c r="B59" t="str">
        <f>"003253"</f>
        <v>003253</v>
      </c>
      <c r="C59" t="s">
        <v>26</v>
      </c>
      <c r="D59">
        <v>74828</v>
      </c>
      <c r="E59" s="2">
        <v>194.2</v>
      </c>
      <c r="F59" s="1">
        <v>43122</v>
      </c>
      <c r="G59" t="str">
        <f>"934828-1-1"</f>
        <v>934828-1-1</v>
      </c>
      <c r="H59" t="str">
        <f>"CUST#235716/ANIMAL SHELTER"</f>
        <v>CUST#235716/ANIMAL SHELTER</v>
      </c>
      <c r="I59" s="2">
        <v>194.2</v>
      </c>
      <c r="J59" t="str">
        <f>"CUST#235716/ANIMAL SHELTER"</f>
        <v>CUST#235716/ANIMAL SHELTER</v>
      </c>
    </row>
    <row r="60" spans="1:10" x14ac:dyDescent="0.3">
      <c r="A60" t="str">
        <f t="shared" si="3"/>
        <v>01</v>
      </c>
      <c r="B60" t="str">
        <f>"003296"</f>
        <v>003296</v>
      </c>
      <c r="C60" t="s">
        <v>27</v>
      </c>
      <c r="D60">
        <v>74601</v>
      </c>
      <c r="E60" s="2">
        <v>843.47</v>
      </c>
      <c r="F60" s="1">
        <v>43108</v>
      </c>
      <c r="G60" t="str">
        <f>"S101542642/789908"</f>
        <v>S101542642/789908</v>
      </c>
      <c r="H60" t="str">
        <f>"ACCT#379865/PCT#2"</f>
        <v>ACCT#379865/PCT#2</v>
      </c>
      <c r="I60" s="2">
        <v>843.47</v>
      </c>
      <c r="J60" t="str">
        <f>"ACCT#379865/PCT#2"</f>
        <v>ACCT#379865/PCT#2</v>
      </c>
    </row>
    <row r="61" spans="1:10" x14ac:dyDescent="0.3">
      <c r="A61" t="str">
        <f t="shared" si="3"/>
        <v>01</v>
      </c>
      <c r="B61" t="str">
        <f>"002148"</f>
        <v>002148</v>
      </c>
      <c r="C61" t="s">
        <v>28</v>
      </c>
      <c r="D61">
        <v>74602</v>
      </c>
      <c r="E61" s="2">
        <v>126.41</v>
      </c>
      <c r="F61" s="1">
        <v>43108</v>
      </c>
      <c r="G61" t="str">
        <f>"9301495020"</f>
        <v>9301495020</v>
      </c>
      <c r="H61" t="str">
        <f>"INV 930149500"</f>
        <v>INV 930149500</v>
      </c>
      <c r="I61" s="2">
        <v>126.41</v>
      </c>
      <c r="J61" t="str">
        <f>"INV 9301495020"</f>
        <v>INV 9301495020</v>
      </c>
    </row>
    <row r="62" spans="1:10" x14ac:dyDescent="0.3">
      <c r="A62" t="str">
        <f t="shared" si="3"/>
        <v>01</v>
      </c>
      <c r="B62" t="str">
        <f>"T7520"</f>
        <v>T7520</v>
      </c>
      <c r="C62" t="s">
        <v>29</v>
      </c>
      <c r="D62">
        <v>999999</v>
      </c>
      <c r="E62" s="2">
        <v>1550</v>
      </c>
      <c r="F62" s="1">
        <v>43109</v>
      </c>
      <c r="G62" t="str">
        <f>"201801027646"</f>
        <v>201801027646</v>
      </c>
      <c r="H62" t="str">
        <f>"17-S-04833"</f>
        <v>17-S-04833</v>
      </c>
      <c r="I62" s="2">
        <v>400</v>
      </c>
      <c r="J62" t="str">
        <f>"17-S-04833"</f>
        <v>17-S-04833</v>
      </c>
    </row>
    <row r="63" spans="1:10" x14ac:dyDescent="0.3">
      <c r="A63" t="str">
        <f>""</f>
        <v/>
      </c>
      <c r="B63" t="str">
        <f>""</f>
        <v/>
      </c>
      <c r="G63" t="str">
        <f>"201801027647"</f>
        <v>201801027647</v>
      </c>
      <c r="H63" t="str">
        <f>"16 036"</f>
        <v>16 036</v>
      </c>
      <c r="I63" s="2">
        <v>400</v>
      </c>
      <c r="J63" t="str">
        <f>"16 036"</f>
        <v>16 036</v>
      </c>
    </row>
    <row r="64" spans="1:10" x14ac:dyDescent="0.3">
      <c r="A64" t="str">
        <f>""</f>
        <v/>
      </c>
      <c r="B64" t="str">
        <f>""</f>
        <v/>
      </c>
      <c r="G64" t="str">
        <f>"201801027648"</f>
        <v>201801027648</v>
      </c>
      <c r="H64" t="str">
        <f>"16 228"</f>
        <v>16 228</v>
      </c>
      <c r="I64" s="2">
        <v>400</v>
      </c>
      <c r="J64" t="str">
        <f>"16 228"</f>
        <v>16 228</v>
      </c>
    </row>
    <row r="65" spans="1:10" x14ac:dyDescent="0.3">
      <c r="A65" t="str">
        <f>""</f>
        <v/>
      </c>
      <c r="B65" t="str">
        <f>""</f>
        <v/>
      </c>
      <c r="G65" t="str">
        <f>"201801027649"</f>
        <v>201801027649</v>
      </c>
      <c r="H65" t="str">
        <f>"634-21"</f>
        <v>634-21</v>
      </c>
      <c r="I65" s="2">
        <v>100</v>
      </c>
      <c r="J65" t="str">
        <f>"634-21"</f>
        <v>634-21</v>
      </c>
    </row>
    <row r="66" spans="1:10" x14ac:dyDescent="0.3">
      <c r="A66" t="str">
        <f>""</f>
        <v/>
      </c>
      <c r="B66" t="str">
        <f>""</f>
        <v/>
      </c>
      <c r="G66" t="str">
        <f>"201801037706"</f>
        <v>201801037706</v>
      </c>
      <c r="H66" t="str">
        <f>"52 751"</f>
        <v>52 751</v>
      </c>
      <c r="I66" s="2">
        <v>250</v>
      </c>
      <c r="J66" t="str">
        <f>"52 751"</f>
        <v>52 751</v>
      </c>
    </row>
    <row r="67" spans="1:10" x14ac:dyDescent="0.3">
      <c r="A67" t="str">
        <f>"01"</f>
        <v>01</v>
      </c>
      <c r="B67" t="str">
        <f>"AMC"</f>
        <v>AMC</v>
      </c>
      <c r="C67" t="s">
        <v>30</v>
      </c>
      <c r="D67">
        <v>74829</v>
      </c>
      <c r="E67" s="2">
        <v>762.7</v>
      </c>
      <c r="F67" s="1">
        <v>43122</v>
      </c>
      <c r="G67" t="str">
        <f>"A45116"</f>
        <v>A45116</v>
      </c>
      <c r="H67" t="str">
        <f>"CUST#400300/DOC#A45116/PCT#2"</f>
        <v>CUST#400300/DOC#A45116/PCT#2</v>
      </c>
      <c r="I67" s="2">
        <v>762.7</v>
      </c>
      <c r="J67" t="str">
        <f>"CUST#400300/DOC#A45116/PCT#2"</f>
        <v>CUST#400300/DOC#A45116/PCT#2</v>
      </c>
    </row>
    <row r="68" spans="1:10" x14ac:dyDescent="0.3">
      <c r="A68" t="str">
        <f>"01"</f>
        <v>01</v>
      </c>
      <c r="B68" t="str">
        <f>"005309"</f>
        <v>005309</v>
      </c>
      <c r="C68" t="s">
        <v>31</v>
      </c>
      <c r="D68">
        <v>74603</v>
      </c>
      <c r="E68" s="2">
        <v>60</v>
      </c>
      <c r="F68" s="1">
        <v>43108</v>
      </c>
      <c r="G68" t="str">
        <f>"201801027602"</f>
        <v>201801027602</v>
      </c>
      <c r="H68" t="str">
        <f>"FERAL HOGS"</f>
        <v>FERAL HOGS</v>
      </c>
      <c r="I68" s="2">
        <v>60</v>
      </c>
      <c r="J68" t="str">
        <f>"FERAL HOGS"</f>
        <v>FERAL HOGS</v>
      </c>
    </row>
    <row r="69" spans="1:10" x14ac:dyDescent="0.3">
      <c r="A69" t="str">
        <f>"01"</f>
        <v>01</v>
      </c>
      <c r="B69" t="str">
        <f>"002661"</f>
        <v>002661</v>
      </c>
      <c r="C69" t="s">
        <v>32</v>
      </c>
      <c r="D69">
        <v>74604</v>
      </c>
      <c r="E69" s="2">
        <v>45.47</v>
      </c>
      <c r="F69" s="1">
        <v>43108</v>
      </c>
      <c r="G69" t="str">
        <f>"1712-372473"</f>
        <v>1712-372473</v>
      </c>
      <c r="H69" t="str">
        <f>"ACCT#3-3053/PCT#2"</f>
        <v>ACCT#3-3053/PCT#2</v>
      </c>
      <c r="I69" s="2">
        <v>45.47</v>
      </c>
      <c r="J69" t="str">
        <f>"ACCT#3-3053/PCT#2"</f>
        <v>ACCT#3-3053/PCT#2</v>
      </c>
    </row>
    <row r="70" spans="1:10" x14ac:dyDescent="0.3">
      <c r="A70" t="str">
        <f>"01"</f>
        <v>01</v>
      </c>
      <c r="B70" t="str">
        <f>"004902"</f>
        <v>004902</v>
      </c>
      <c r="C70" t="s">
        <v>33</v>
      </c>
      <c r="D70">
        <v>999999</v>
      </c>
      <c r="E70" s="2">
        <v>238.08</v>
      </c>
      <c r="F70" s="1">
        <v>43109</v>
      </c>
      <c r="G70" t="str">
        <f>"201801027673"</f>
        <v>201801027673</v>
      </c>
      <c r="H70" t="str">
        <f>"MILEAGE REIMBURSEMENT/DEC2017"</f>
        <v>MILEAGE REIMBURSEMENT/DEC2017</v>
      </c>
      <c r="I70" s="2">
        <v>238.08</v>
      </c>
      <c r="J70" t="str">
        <f>"MILEAGE REIMBURSEMENT/DEC2017"</f>
        <v>MILEAGE REIMBURSEMENT/DEC2017</v>
      </c>
    </row>
    <row r="71" spans="1:10" x14ac:dyDescent="0.3">
      <c r="A71" t="str">
        <f>"01"</f>
        <v>01</v>
      </c>
      <c r="B71" t="str">
        <f>"AQUAB"</f>
        <v>AQUAB</v>
      </c>
      <c r="C71" t="s">
        <v>34</v>
      </c>
      <c r="D71">
        <v>74830</v>
      </c>
      <c r="E71" s="2">
        <v>1705.66</v>
      </c>
      <c r="F71" s="1">
        <v>43122</v>
      </c>
      <c r="G71" t="str">
        <f>"201801098008"</f>
        <v>201801098008</v>
      </c>
      <c r="H71" t="str">
        <f>"ACCT#010238/GEN SVCS"</f>
        <v>ACCT#010238/GEN SVCS</v>
      </c>
      <c r="I71" s="2">
        <v>164.25</v>
      </c>
      <c r="J71" t="str">
        <f>"ACCT#010238/GEN SVCS"</f>
        <v>ACCT#010238/GEN SVCS</v>
      </c>
    </row>
    <row r="72" spans="1:10" x14ac:dyDescent="0.3">
      <c r="A72" t="str">
        <f>""</f>
        <v/>
      </c>
      <c r="B72" t="str">
        <f>""</f>
        <v/>
      </c>
      <c r="G72" t="str">
        <f>"201801098009"</f>
        <v>201801098009</v>
      </c>
      <c r="H72" t="str">
        <f>"ACCT#001280/COUNTY CLERK"</f>
        <v>ACCT#001280/COUNTY CLERK</v>
      </c>
      <c r="I72" s="2">
        <v>78</v>
      </c>
      <c r="J72" t="str">
        <f>"ACCT#001280/COUNTY CLERK"</f>
        <v>ACCT#001280/COUNTY CLERK</v>
      </c>
    </row>
    <row r="73" spans="1:10" x14ac:dyDescent="0.3">
      <c r="A73" t="str">
        <f>""</f>
        <v/>
      </c>
      <c r="B73" t="str">
        <f>""</f>
        <v/>
      </c>
      <c r="G73" t="str">
        <f>"201801098011"</f>
        <v>201801098011</v>
      </c>
      <c r="H73" t="str">
        <f>"ACCT#010311/COUNTY COURT"</f>
        <v>ACCT#010311/COUNTY COURT</v>
      </c>
      <c r="I73" s="2">
        <v>61.5</v>
      </c>
      <c r="J73" t="str">
        <f>"ACCT#010311/COUNTY COURT"</f>
        <v>ACCT#010311/COUNTY COURT</v>
      </c>
    </row>
    <row r="74" spans="1:10" x14ac:dyDescent="0.3">
      <c r="A74" t="str">
        <f>""</f>
        <v/>
      </c>
      <c r="B74" t="str">
        <f>""</f>
        <v/>
      </c>
      <c r="G74" t="str">
        <f>"201801098012"</f>
        <v>201801098012</v>
      </c>
      <c r="H74" t="str">
        <f>"ACCT#010111/CCAL-BASTROP"</f>
        <v>ACCT#010111/CCAL-BASTROP</v>
      </c>
      <c r="I74" s="2">
        <v>26</v>
      </c>
      <c r="J74" t="str">
        <f>"ACCT#010111/CCAL-BASTROP"</f>
        <v>ACCT#010111/CCAL-BASTROP</v>
      </c>
    </row>
    <row r="75" spans="1:10" x14ac:dyDescent="0.3">
      <c r="A75" t="str">
        <f>""</f>
        <v/>
      </c>
      <c r="B75" t="str">
        <f>""</f>
        <v/>
      </c>
      <c r="G75" t="str">
        <f>"201801098072"</f>
        <v>201801098072</v>
      </c>
      <c r="H75" t="str">
        <f>"ACCT#013393/BAST CO HR"</f>
        <v>ACCT#013393/BAST CO HR</v>
      </c>
      <c r="I75" s="2">
        <v>65</v>
      </c>
      <c r="J75" t="str">
        <f>"ACCT#013393/BAST CO HR"</f>
        <v>ACCT#013393/BAST CO HR</v>
      </c>
    </row>
    <row r="76" spans="1:10" x14ac:dyDescent="0.3">
      <c r="A76" t="str">
        <f>""</f>
        <v/>
      </c>
      <c r="B76" t="str">
        <f>""</f>
        <v/>
      </c>
      <c r="G76" t="str">
        <f>"201801098073"</f>
        <v>201801098073</v>
      </c>
      <c r="H76" t="str">
        <f>"ACCT#011033/IT DEPT"</f>
        <v>ACCT#011033/IT DEPT</v>
      </c>
      <c r="I76" s="2">
        <v>16.5</v>
      </c>
      <c r="J76" t="str">
        <f>"ACCT#011033/IT DEPT"</f>
        <v>ACCT#011033/IT DEPT</v>
      </c>
    </row>
    <row r="77" spans="1:10" x14ac:dyDescent="0.3">
      <c r="A77" t="str">
        <f>""</f>
        <v/>
      </c>
      <c r="B77" t="str">
        <f>""</f>
        <v/>
      </c>
      <c r="G77" t="str">
        <f>"201801098074"</f>
        <v>201801098074</v>
      </c>
      <c r="H77" t="str">
        <f>"ACCT#012571/TREASURER"</f>
        <v>ACCT#012571/TREASURER</v>
      </c>
      <c r="I77" s="2">
        <v>48</v>
      </c>
      <c r="J77" t="str">
        <f>"ACCT#012571/TREASURER"</f>
        <v>ACCT#012571/TREASURER</v>
      </c>
    </row>
    <row r="78" spans="1:10" x14ac:dyDescent="0.3">
      <c r="A78" t="str">
        <f>""</f>
        <v/>
      </c>
      <c r="B78" t="str">
        <f>""</f>
        <v/>
      </c>
      <c r="G78" t="str">
        <f>"201801098075"</f>
        <v>201801098075</v>
      </c>
      <c r="H78" t="str">
        <f>"ACCT#012260/D.A.'S OFFICE"</f>
        <v>ACCT#012260/D.A.'S OFFICE</v>
      </c>
      <c r="I78" s="2">
        <v>120</v>
      </c>
      <c r="J78" t="str">
        <f>"ACCT#012260/D.A.'S OFFICE"</f>
        <v>ACCT#012260/D.A.'S OFFICE</v>
      </c>
    </row>
    <row r="79" spans="1:10" x14ac:dyDescent="0.3">
      <c r="A79" t="str">
        <f>""</f>
        <v/>
      </c>
      <c r="B79" t="str">
        <f>""</f>
        <v/>
      </c>
      <c r="G79" t="str">
        <f>"201801098078"</f>
        <v>201801098078</v>
      </c>
      <c r="H79" t="str">
        <f>"ACCT#010057/AUDITOR"</f>
        <v>ACCT#010057/AUDITOR</v>
      </c>
      <c r="I79" s="2">
        <v>33</v>
      </c>
      <c r="J79" t="str">
        <f>"ACCT#010057/AUDITOR"</f>
        <v>ACCT#010057/AUDITOR</v>
      </c>
    </row>
    <row r="80" spans="1:10" x14ac:dyDescent="0.3">
      <c r="A80" t="str">
        <f>""</f>
        <v/>
      </c>
      <c r="B80" t="str">
        <f>""</f>
        <v/>
      </c>
      <c r="G80" t="str">
        <f>"201801098080"</f>
        <v>201801098080</v>
      </c>
      <c r="H80" t="str">
        <f>"ACCT#015538/EMER COMM"</f>
        <v>ACCT#015538/EMER COMM</v>
      </c>
      <c r="I80" s="2">
        <v>196.43</v>
      </c>
      <c r="J80" t="str">
        <f>"ACCT#015538/EMER COMM"</f>
        <v>ACCT#015538/EMER COMM</v>
      </c>
    </row>
    <row r="81" spans="1:10" x14ac:dyDescent="0.3">
      <c r="A81" t="str">
        <f>""</f>
        <v/>
      </c>
      <c r="B81" t="str">
        <f>""</f>
        <v/>
      </c>
      <c r="G81" t="str">
        <f>"201801098081"</f>
        <v>201801098081</v>
      </c>
      <c r="H81" t="str">
        <f>"ACCT#010149/TEXAS AGRI LIVE EX"</f>
        <v>ACCT#010149/TEXAS AGRI LIVE EX</v>
      </c>
      <c r="I81" s="2">
        <v>65.180000000000007</v>
      </c>
      <c r="J81" t="str">
        <f>"ACCT#010149/TEXAS AGRI LIVE EX"</f>
        <v>ACCT#010149/TEXAS AGRI LIVE EX</v>
      </c>
    </row>
    <row r="82" spans="1:10" x14ac:dyDescent="0.3">
      <c r="A82" t="str">
        <f>""</f>
        <v/>
      </c>
      <c r="B82" t="str">
        <f>""</f>
        <v/>
      </c>
      <c r="G82" t="str">
        <f>"201801108096"</f>
        <v>201801108096</v>
      </c>
      <c r="H82" t="str">
        <f>"ACCT#012259/DIST CLERK"</f>
        <v>ACCT#012259/DIST CLERK</v>
      </c>
      <c r="I82" s="2">
        <v>192</v>
      </c>
      <c r="J82" t="str">
        <f>"ACCT#012259/DIST CLERK"</f>
        <v>ACCT#012259/DIST CLERK</v>
      </c>
    </row>
    <row r="83" spans="1:10" x14ac:dyDescent="0.3">
      <c r="A83" t="str">
        <f>""</f>
        <v/>
      </c>
      <c r="B83" t="str">
        <f>""</f>
        <v/>
      </c>
      <c r="G83" t="str">
        <f>"201801108097"</f>
        <v>201801108097</v>
      </c>
      <c r="H83" t="str">
        <f>"ACCT#011955/DIST JUDGE"</f>
        <v>ACCT#011955/DIST JUDGE</v>
      </c>
      <c r="I83" s="2">
        <v>123</v>
      </c>
      <c r="J83" t="str">
        <f>"ACCT#011955/DIST JUDGE"</f>
        <v>ACCT#011955/DIST JUDGE</v>
      </c>
    </row>
    <row r="84" spans="1:10" x14ac:dyDescent="0.3">
      <c r="A84" t="str">
        <f>""</f>
        <v/>
      </c>
      <c r="B84" t="str">
        <f>""</f>
        <v/>
      </c>
      <c r="G84" t="str">
        <f>"201801108098"</f>
        <v>201801108098</v>
      </c>
      <c r="H84" t="str">
        <f>"ACCT#012231/DIST JUDGE"</f>
        <v>ACCT#012231/DIST JUDGE</v>
      </c>
      <c r="I84" s="2">
        <v>42</v>
      </c>
      <c r="J84" t="str">
        <f>"ACCT#012231/DIST JUDGE"</f>
        <v>ACCT#012231/DIST JUDGE</v>
      </c>
    </row>
    <row r="85" spans="1:10" x14ac:dyDescent="0.3">
      <c r="A85" t="str">
        <f>""</f>
        <v/>
      </c>
      <c r="B85" t="str">
        <f>""</f>
        <v/>
      </c>
      <c r="G85" t="str">
        <f>"201801108099"</f>
        <v>201801108099</v>
      </c>
      <c r="H85" t="str">
        <f>"ACCT#011474/ELECTIONS"</f>
        <v>ACCT#011474/ELECTIONS</v>
      </c>
      <c r="I85" s="2">
        <v>50</v>
      </c>
      <c r="J85" t="str">
        <f>"ACCT#011474/ELECTIONS"</f>
        <v>ACCT#011474/ELECTIONS</v>
      </c>
    </row>
    <row r="86" spans="1:10" x14ac:dyDescent="0.3">
      <c r="A86" t="str">
        <f>""</f>
        <v/>
      </c>
      <c r="B86" t="str">
        <f>""</f>
        <v/>
      </c>
      <c r="G86" t="str">
        <f>"201801108101"</f>
        <v>201801108101</v>
      </c>
      <c r="H86" t="str">
        <f>"ACCT#010602/COMMISSIONERS OFF"</f>
        <v>ACCT#010602/COMMISSIONERS OFF</v>
      </c>
      <c r="I86" s="2">
        <v>91.5</v>
      </c>
      <c r="J86" t="str">
        <f>"ACCT#010602/COMMISSIONERS OFF"</f>
        <v>ACCT#010602/COMMISSIONERS OFF</v>
      </c>
    </row>
    <row r="87" spans="1:10" x14ac:dyDescent="0.3">
      <c r="A87" t="str">
        <f>""</f>
        <v/>
      </c>
      <c r="B87" t="str">
        <f>""</f>
        <v/>
      </c>
      <c r="G87" t="str">
        <f>"201801108102"</f>
        <v>201801108102</v>
      </c>
      <c r="H87" t="str">
        <f>"ACCT#012803/BASTROP CO JUDGE"</f>
        <v>ACCT#012803/BASTROP CO JUDGE</v>
      </c>
      <c r="I87" s="2">
        <v>33</v>
      </c>
      <c r="J87" t="str">
        <f>"ACCT#012803/BASTROP CO JUDGE"</f>
        <v>ACCT#012803/BASTROP CO JUDGE</v>
      </c>
    </row>
    <row r="88" spans="1:10" x14ac:dyDescent="0.3">
      <c r="A88" t="str">
        <f>""</f>
        <v/>
      </c>
      <c r="B88" t="str">
        <f>""</f>
        <v/>
      </c>
      <c r="G88" t="str">
        <f>"201801108103"</f>
        <v>201801108103</v>
      </c>
      <c r="H88" t="str">
        <f>"ACCT#013789/BASTROP COUNTY"</f>
        <v>ACCT#013789/BASTROP COUNTY</v>
      </c>
      <c r="I88" s="2">
        <v>83.68</v>
      </c>
      <c r="J88" t="str">
        <f>"ACCT#013789/BASTROP COUNTY"</f>
        <v>ACCT#013789/BASTROP COUNTY</v>
      </c>
    </row>
    <row r="89" spans="1:10" x14ac:dyDescent="0.3">
      <c r="A89" t="str">
        <f>""</f>
        <v/>
      </c>
      <c r="B89" t="str">
        <f>""</f>
        <v/>
      </c>
      <c r="G89" t="str">
        <f>"201801108107"</f>
        <v>201801108107</v>
      </c>
      <c r="H89" t="str">
        <f>"ACCT#015199/JP#1"</f>
        <v>ACCT#015199/JP#1</v>
      </c>
      <c r="I89" s="2">
        <v>38.68</v>
      </c>
      <c r="J89" t="str">
        <f>"ACCT#015199/JP#1"</f>
        <v>ACCT#015199/JP#1</v>
      </c>
    </row>
    <row r="90" spans="1:10" x14ac:dyDescent="0.3">
      <c r="A90" t="str">
        <f>""</f>
        <v/>
      </c>
      <c r="B90" t="str">
        <f>""</f>
        <v/>
      </c>
      <c r="G90" t="str">
        <f>"201801118114"</f>
        <v>201801118114</v>
      </c>
      <c r="H90" t="str">
        <f>"ACCT#014737/BASTROP CO ANIMAL"</f>
        <v>ACCT#014737/BASTROP CO ANIMAL</v>
      </c>
      <c r="I90" s="2">
        <v>107.92</v>
      </c>
      <c r="J90" t="str">
        <f>"ACCT#014737/BASTROP CO ANIMAL"</f>
        <v>ACCT#014737/BASTROP CO ANIMAL</v>
      </c>
    </row>
    <row r="91" spans="1:10" x14ac:dyDescent="0.3">
      <c r="A91" t="str">
        <f>""</f>
        <v/>
      </c>
      <c r="B91" t="str">
        <f>""</f>
        <v/>
      </c>
      <c r="G91" t="str">
        <f>"201801118115"</f>
        <v>201801118115</v>
      </c>
      <c r="H91" t="str">
        <f>"ACCT#010835/COMMISSIONER PCT#1"</f>
        <v>ACCT#010835/COMMISSIONER PCT#1</v>
      </c>
      <c r="I91" s="2">
        <v>70.02</v>
      </c>
      <c r="J91" t="str">
        <f>"ACCT#010835/COMMISSIONER PCT#1"</f>
        <v>ACCT#010835/COMMISSIONER PCT#1</v>
      </c>
    </row>
    <row r="92" spans="1:10" x14ac:dyDescent="0.3">
      <c r="A92" t="str">
        <f>"01"</f>
        <v>01</v>
      </c>
      <c r="B92" t="str">
        <f>"AWS"</f>
        <v>AWS</v>
      </c>
      <c r="C92" t="s">
        <v>35</v>
      </c>
      <c r="D92">
        <v>74588</v>
      </c>
      <c r="E92" s="2">
        <v>1910.64</v>
      </c>
      <c r="F92" s="1">
        <v>43105</v>
      </c>
      <c r="G92" t="str">
        <f>"201801057733"</f>
        <v>201801057733</v>
      </c>
      <c r="H92" t="str">
        <f>"ACCT#0102120801 / 01012018"</f>
        <v>ACCT#0102120801 / 01012018</v>
      </c>
      <c r="I92" s="2">
        <v>826.26</v>
      </c>
      <c r="J92" t="str">
        <f>"ACCT#0102120801 / 01012018"</f>
        <v>ACCT#0102120801 / 01012018</v>
      </c>
    </row>
    <row r="93" spans="1:10" x14ac:dyDescent="0.3">
      <c r="A93" t="str">
        <f>""</f>
        <v/>
      </c>
      <c r="B93" t="str">
        <f>""</f>
        <v/>
      </c>
      <c r="G93" t="str">
        <f>"201801057734"</f>
        <v>201801057734</v>
      </c>
      <c r="H93" t="str">
        <f>"ACCT#0201855301 / 01012018"</f>
        <v>ACCT#0201855301 / 01012018</v>
      </c>
      <c r="I93" s="2">
        <v>42.69</v>
      </c>
      <c r="J93" t="str">
        <f>"ACCT#0201855301 / 01012018"</f>
        <v>ACCT#0201855301 / 01012018</v>
      </c>
    </row>
    <row r="94" spans="1:10" x14ac:dyDescent="0.3">
      <c r="A94" t="str">
        <f>""</f>
        <v/>
      </c>
      <c r="B94" t="str">
        <f>""</f>
        <v/>
      </c>
      <c r="G94" t="str">
        <f>"201801057735"</f>
        <v>201801057735</v>
      </c>
      <c r="H94" t="str">
        <f>"ACCT#0201891401 / 01012018"</f>
        <v>ACCT#0201891401 / 01012018</v>
      </c>
      <c r="I94" s="2">
        <v>83.95</v>
      </c>
      <c r="J94" t="str">
        <f>"ACCT#0201891401 / 01012018"</f>
        <v>ACCT#0201891401 / 01012018</v>
      </c>
    </row>
    <row r="95" spans="1:10" x14ac:dyDescent="0.3">
      <c r="A95" t="str">
        <f>""</f>
        <v/>
      </c>
      <c r="B95" t="str">
        <f>""</f>
        <v/>
      </c>
      <c r="G95" t="str">
        <f>"201801057736"</f>
        <v>201801057736</v>
      </c>
      <c r="H95" t="str">
        <f>"ACCT#0400785803 / 01012018"</f>
        <v>ACCT#0400785803 / 01012018</v>
      </c>
      <c r="I95" s="2">
        <v>301.81</v>
      </c>
      <c r="J95" t="str">
        <f>"ACCT#0400785803 / 01012018"</f>
        <v>ACCT#0400785803 / 01012018</v>
      </c>
    </row>
    <row r="96" spans="1:10" x14ac:dyDescent="0.3">
      <c r="A96" t="str">
        <f>""</f>
        <v/>
      </c>
      <c r="B96" t="str">
        <f>""</f>
        <v/>
      </c>
      <c r="G96" t="str">
        <f>"201801057737"</f>
        <v>201801057737</v>
      </c>
      <c r="H96" t="str">
        <f>"ACCT#0401408501 / 01012018"</f>
        <v>ACCT#0401408501 / 01012018</v>
      </c>
      <c r="I96" s="2">
        <v>618.27</v>
      </c>
      <c r="J96" t="str">
        <f>"ACCT#0401408501 / 01012018"</f>
        <v>ACCT#0401408501 / 01012018</v>
      </c>
    </row>
    <row r="97" spans="1:10" x14ac:dyDescent="0.3">
      <c r="A97" t="str">
        <f>""</f>
        <v/>
      </c>
      <c r="B97" t="str">
        <f>""</f>
        <v/>
      </c>
      <c r="G97" t="str">
        <f>"201801057738"</f>
        <v>201801057738</v>
      </c>
      <c r="H97" t="str">
        <f>"ACCT#0800042801 / 01012018"</f>
        <v>ACCT#0800042801 / 01012018</v>
      </c>
      <c r="I97" s="2">
        <v>37.659999999999997</v>
      </c>
      <c r="J97" t="str">
        <f>"ACCT#0800042801 / 01012018"</f>
        <v>ACCT#0800042801 / 01012018</v>
      </c>
    </row>
    <row r="98" spans="1:10" x14ac:dyDescent="0.3">
      <c r="A98" t="str">
        <f>"01"</f>
        <v>01</v>
      </c>
      <c r="B98" t="str">
        <f>"AWS"</f>
        <v>AWS</v>
      </c>
      <c r="C98" t="s">
        <v>35</v>
      </c>
      <c r="D98">
        <v>74831</v>
      </c>
      <c r="E98" s="2">
        <v>215.25</v>
      </c>
      <c r="F98" s="1">
        <v>43122</v>
      </c>
      <c r="G98" t="str">
        <f>"201801128159"</f>
        <v>201801128159</v>
      </c>
      <c r="H98" t="str">
        <f>"ACCT#7700010026/15 LDS WTR/P3"</f>
        <v>ACCT#7700010026/15 LDS WTR/P3</v>
      </c>
      <c r="I98" s="2">
        <v>153.75</v>
      </c>
      <c r="J98" t="str">
        <f>"ACCT#7700010026/15 LDS WTR/P3"</f>
        <v>ACCT#7700010026/15 LDS WTR/P3</v>
      </c>
    </row>
    <row r="99" spans="1:10" x14ac:dyDescent="0.3">
      <c r="A99" t="str">
        <f>""</f>
        <v/>
      </c>
      <c r="B99" t="str">
        <f>""</f>
        <v/>
      </c>
      <c r="G99" t="str">
        <f>"201801128161"</f>
        <v>201801128161</v>
      </c>
      <c r="H99" t="str">
        <f>"ACCT#7700010025/6 LDS WTR/P2"</f>
        <v>ACCT#7700010025/6 LDS WTR/P2</v>
      </c>
      <c r="I99" s="2">
        <v>61.5</v>
      </c>
      <c r="J99" t="str">
        <f>"ACCT#7700010025/6 LDS WTR/P2"</f>
        <v>ACCT#7700010025/6 LDS WTR/P2</v>
      </c>
    </row>
    <row r="100" spans="1:10" x14ac:dyDescent="0.3">
      <c r="A100" t="str">
        <f>"01"</f>
        <v>01</v>
      </c>
      <c r="B100" t="str">
        <f>"003610"</f>
        <v>003610</v>
      </c>
      <c r="C100" t="s">
        <v>36</v>
      </c>
      <c r="D100">
        <v>74605</v>
      </c>
      <c r="E100" s="2">
        <v>260</v>
      </c>
      <c r="F100" s="1">
        <v>43108</v>
      </c>
      <c r="G100" t="str">
        <f>"201801027603"</f>
        <v>201801027603</v>
      </c>
      <c r="H100" t="str">
        <f>"FERAL HOGS"</f>
        <v>FERAL HOGS</v>
      </c>
      <c r="I100" s="2">
        <v>260</v>
      </c>
      <c r="J100" t="str">
        <f>"FERAL HOGS"</f>
        <v>FERAL HOGS</v>
      </c>
    </row>
    <row r="101" spans="1:10" x14ac:dyDescent="0.3">
      <c r="A101" t="str">
        <f>"01"</f>
        <v>01</v>
      </c>
      <c r="B101" t="str">
        <f>"001533"</f>
        <v>001533</v>
      </c>
      <c r="C101" t="s">
        <v>37</v>
      </c>
      <c r="D101">
        <v>74832</v>
      </c>
      <c r="E101" s="2">
        <v>808.78</v>
      </c>
      <c r="F101" s="1">
        <v>43122</v>
      </c>
      <c r="G101" t="str">
        <f>"C13693"</f>
        <v>C13693</v>
      </c>
      <c r="H101" t="str">
        <f>"CUST#A0030790/PCT#1"</f>
        <v>CUST#A0030790/PCT#1</v>
      </c>
      <c r="I101" s="2">
        <v>808.78</v>
      </c>
      <c r="J101" t="str">
        <f>"CUST#A0030790/PCT#1"</f>
        <v>CUST#A0030790/PCT#1</v>
      </c>
    </row>
    <row r="102" spans="1:10" x14ac:dyDescent="0.3">
      <c r="A102" t="str">
        <f>"01"</f>
        <v>01</v>
      </c>
      <c r="B102" t="str">
        <f>"003673"</f>
        <v>003673</v>
      </c>
      <c r="C102" t="s">
        <v>38</v>
      </c>
      <c r="D102">
        <v>74606</v>
      </c>
      <c r="E102" s="2">
        <v>5010.47</v>
      </c>
      <c r="F102" s="1">
        <v>43108</v>
      </c>
      <c r="G102" t="str">
        <f>"201801027588"</f>
        <v>201801027588</v>
      </c>
      <c r="H102" t="str">
        <f>"ACCT#512A49-0048 193 3"</f>
        <v>ACCT#512A49-0048 193 3</v>
      </c>
      <c r="I102" s="2">
        <v>4448.34</v>
      </c>
      <c r="J102" t="str">
        <f>"ACCT#512A49-0048 193 3"</f>
        <v>ACCT#512A49-0048 193 3</v>
      </c>
    </row>
    <row r="103" spans="1:10" x14ac:dyDescent="0.3">
      <c r="A103" t="str">
        <f>""</f>
        <v/>
      </c>
      <c r="B103" t="str">
        <f>""</f>
        <v/>
      </c>
      <c r="G103" t="str">
        <f>""</f>
        <v/>
      </c>
      <c r="H103" t="str">
        <f>""</f>
        <v/>
      </c>
      <c r="J103" t="str">
        <f>"ACCT#512A49-0048 193 3"</f>
        <v>ACCT#512A49-0048 193 3</v>
      </c>
    </row>
    <row r="104" spans="1:10" x14ac:dyDescent="0.3">
      <c r="A104" t="str">
        <f>""</f>
        <v/>
      </c>
      <c r="B104" t="str">
        <f>""</f>
        <v/>
      </c>
      <c r="G104" t="str">
        <f>"201801027597"</f>
        <v>201801027597</v>
      </c>
      <c r="H104" t="str">
        <f>"ACCT#512A49-0048 193 3/PCT#2"</f>
        <v>ACCT#512A49-0048 193 3/PCT#2</v>
      </c>
      <c r="I104" s="2">
        <v>244.98</v>
      </c>
      <c r="J104" t="str">
        <f>"ACCT#512A49-0048 193 3/PCT#2"</f>
        <v>ACCT#512A49-0048 193 3/PCT#2</v>
      </c>
    </row>
    <row r="105" spans="1:10" x14ac:dyDescent="0.3">
      <c r="A105" t="str">
        <f>""</f>
        <v/>
      </c>
      <c r="B105" t="str">
        <f>""</f>
        <v/>
      </c>
      <c r="G105" t="str">
        <f>"201801027599"</f>
        <v>201801027599</v>
      </c>
      <c r="H105" t="str">
        <f>"ACCT#512A49-0048 193 3"</f>
        <v>ACCT#512A49-0048 193 3</v>
      </c>
      <c r="I105" s="2">
        <v>181.28</v>
      </c>
      <c r="J105" t="str">
        <f>"ACCT#512A49-0048 193 3"</f>
        <v>ACCT#512A49-0048 193 3</v>
      </c>
    </row>
    <row r="106" spans="1:10" x14ac:dyDescent="0.3">
      <c r="A106" t="str">
        <f>""</f>
        <v/>
      </c>
      <c r="B106" t="str">
        <f>""</f>
        <v/>
      </c>
      <c r="G106" t="str">
        <f>"201801027600"</f>
        <v>201801027600</v>
      </c>
      <c r="H106" t="str">
        <f>"ACCT#512A49-0048 193 3/PCT#4"</f>
        <v>ACCT#512A49-0048 193 3/PCT#4</v>
      </c>
      <c r="I106" s="2">
        <v>135.87</v>
      </c>
      <c r="J106" t="str">
        <f>"ACCT#512A49-0048 193 3/PCT#4"</f>
        <v>ACCT#512A49-0048 193 3/PCT#4</v>
      </c>
    </row>
    <row r="107" spans="1:10" x14ac:dyDescent="0.3">
      <c r="A107" t="str">
        <f>"01"</f>
        <v>01</v>
      </c>
      <c r="B107" t="str">
        <f>"AT&amp;TLO"</f>
        <v>AT&amp;TLO</v>
      </c>
      <c r="C107" t="s">
        <v>39</v>
      </c>
      <c r="D107">
        <v>74607</v>
      </c>
      <c r="E107" s="2">
        <v>2896.44</v>
      </c>
      <c r="F107" s="1">
        <v>43108</v>
      </c>
      <c r="G107" t="str">
        <f>"4395170403"</f>
        <v>4395170403</v>
      </c>
      <c r="H107" t="str">
        <f>"ACCT#831-000-7218 923"</f>
        <v>ACCT#831-000-7218 923</v>
      </c>
      <c r="I107" s="2">
        <v>990.65</v>
      </c>
      <c r="J107" t="str">
        <f>"ACCT#831-000-7218 923"</f>
        <v>ACCT#831-000-7218 923</v>
      </c>
    </row>
    <row r="108" spans="1:10" x14ac:dyDescent="0.3">
      <c r="A108" t="str">
        <f>""</f>
        <v/>
      </c>
      <c r="B108" t="str">
        <f>""</f>
        <v/>
      </c>
      <c r="G108" t="str">
        <f>"5539249301"</f>
        <v>5539249301</v>
      </c>
      <c r="H108" t="str">
        <f>"ACCT#831-000-6084 095"</f>
        <v>ACCT#831-000-6084 095</v>
      </c>
      <c r="I108" s="2">
        <v>1905.79</v>
      </c>
      <c r="J108" t="str">
        <f>"ACCT#831-000-6084 095"</f>
        <v>ACCT#831-000-6084 095</v>
      </c>
    </row>
    <row r="109" spans="1:10" x14ac:dyDescent="0.3">
      <c r="A109" t="str">
        <f>"01"</f>
        <v>01</v>
      </c>
      <c r="B109" t="str">
        <f>"T7386"</f>
        <v>T7386</v>
      </c>
      <c r="C109" t="s">
        <v>39</v>
      </c>
      <c r="D109">
        <v>74833</v>
      </c>
      <c r="E109" s="2">
        <v>1796.84</v>
      </c>
      <c r="F109" s="1">
        <v>43122</v>
      </c>
      <c r="G109" t="str">
        <f>"201801188187"</f>
        <v>201801188187</v>
      </c>
      <c r="H109" t="str">
        <f>"ACCT#51230310802385/SHERIFF"</f>
        <v>ACCT#51230310802385/SHERIFF</v>
      </c>
      <c r="I109" s="2">
        <v>1796.84</v>
      </c>
      <c r="J109" t="str">
        <f>"ACCT#51230310802385/SHERIFF"</f>
        <v>ACCT#51230310802385/SHERIFF</v>
      </c>
    </row>
    <row r="110" spans="1:10" x14ac:dyDescent="0.3">
      <c r="A110" t="str">
        <f>"01"</f>
        <v>01</v>
      </c>
      <c r="B110" t="str">
        <f>"AT&amp;TMO"</f>
        <v>AT&amp;TMO</v>
      </c>
      <c r="C110" t="s">
        <v>40</v>
      </c>
      <c r="D110">
        <v>74608</v>
      </c>
      <c r="E110" s="2">
        <v>3933.9</v>
      </c>
      <c r="F110" s="1">
        <v>43108</v>
      </c>
      <c r="G110" t="str">
        <f>"287263291729X12202"</f>
        <v>287263291729X12202</v>
      </c>
      <c r="H110" t="str">
        <f>"ACCT#287263291729/FAN06062279"</f>
        <v>ACCT#287263291729/FAN06062279</v>
      </c>
      <c r="I110" s="2">
        <v>3933.9</v>
      </c>
      <c r="J110" t="str">
        <f>"ACCT#287263291729/FAN06062279"</f>
        <v>ACCT#287263291729/FAN06062279</v>
      </c>
    </row>
    <row r="111" spans="1:10" x14ac:dyDescent="0.3">
      <c r="A111" t="str">
        <f>"01"</f>
        <v>01</v>
      </c>
      <c r="B111" t="str">
        <f>"003291"</f>
        <v>003291</v>
      </c>
      <c r="C111" t="s">
        <v>41</v>
      </c>
      <c r="D111">
        <v>999999</v>
      </c>
      <c r="E111" s="2">
        <v>760.32</v>
      </c>
      <c r="F111" s="1">
        <v>43123</v>
      </c>
      <c r="G111" t="str">
        <f>"ACCT#30772"</f>
        <v>ACCT#30772</v>
      </c>
      <c r="H111" t="str">
        <f>"Public Notices"</f>
        <v>Public Notices</v>
      </c>
      <c r="I111" s="2">
        <v>760.32</v>
      </c>
      <c r="J111" t="str">
        <f>"Ad # 0000270372"</f>
        <v>Ad # 0000270372</v>
      </c>
    </row>
    <row r="112" spans="1:10" x14ac:dyDescent="0.3">
      <c r="A112" t="str">
        <f>""</f>
        <v/>
      </c>
      <c r="B112" t="str">
        <f>""</f>
        <v/>
      </c>
      <c r="G112" t="str">
        <f>""</f>
        <v/>
      </c>
      <c r="H112" t="str">
        <f>""</f>
        <v/>
      </c>
      <c r="J112" t="str">
        <f>"Ad # 0000270369"</f>
        <v>Ad # 0000270369</v>
      </c>
    </row>
    <row r="113" spans="1:10" x14ac:dyDescent="0.3">
      <c r="A113" t="str">
        <f>"01"</f>
        <v>01</v>
      </c>
      <c r="B113" t="str">
        <f>"005206"</f>
        <v>005206</v>
      </c>
      <c r="C113" t="s">
        <v>42</v>
      </c>
      <c r="D113">
        <v>74609</v>
      </c>
      <c r="E113" s="2">
        <v>1410</v>
      </c>
      <c r="F113" s="1">
        <v>43108</v>
      </c>
      <c r="G113" t="str">
        <f>"201801037730"</f>
        <v>201801037730</v>
      </c>
      <c r="H113" t="str">
        <f>"FEMA DOCUMENTATION"</f>
        <v>FEMA DOCUMENTATION</v>
      </c>
      <c r="I113" s="2">
        <v>1410</v>
      </c>
      <c r="J113" t="str">
        <f>"FEMA DOCUMENTATION"</f>
        <v>FEMA DOCUMENTATION</v>
      </c>
    </row>
    <row r="114" spans="1:10" x14ac:dyDescent="0.3">
      <c r="A114" t="str">
        <f>"01"</f>
        <v>01</v>
      </c>
      <c r="B114" t="str">
        <f>"T1251"</f>
        <v>T1251</v>
      </c>
      <c r="C114" t="s">
        <v>43</v>
      </c>
      <c r="D114">
        <v>74834</v>
      </c>
      <c r="E114" s="2">
        <v>39.56</v>
      </c>
      <c r="F114" s="1">
        <v>43122</v>
      </c>
      <c r="G114" t="str">
        <f>"4329*98039*1"</f>
        <v>4329*98039*1</v>
      </c>
      <c r="H114" t="str">
        <f>"JAIL MEDICAL"</f>
        <v>JAIL MEDICAL</v>
      </c>
      <c r="I114" s="2">
        <v>39.56</v>
      </c>
      <c r="J114" t="str">
        <f>"JAIL MEDICAL"</f>
        <v>JAIL MEDICAL</v>
      </c>
    </row>
    <row r="115" spans="1:10" x14ac:dyDescent="0.3">
      <c r="A115" t="str">
        <f>"01"</f>
        <v>01</v>
      </c>
      <c r="B115" t="str">
        <f>"T3200"</f>
        <v>T3200</v>
      </c>
      <c r="C115" t="s">
        <v>44</v>
      </c>
      <c r="D115">
        <v>74835</v>
      </c>
      <c r="E115" s="2">
        <v>54.41</v>
      </c>
      <c r="F115" s="1">
        <v>43122</v>
      </c>
      <c r="G115" t="str">
        <f>"4330*98001*1"</f>
        <v>4330*98001*1</v>
      </c>
      <c r="H115" t="str">
        <f>"JAIL MEDICAL"</f>
        <v>JAIL MEDICAL</v>
      </c>
      <c r="I115" s="2">
        <v>54.41</v>
      </c>
      <c r="J115" t="str">
        <f>"JAIL MEDICAL"</f>
        <v>JAIL MEDICAL</v>
      </c>
    </row>
    <row r="116" spans="1:10" x14ac:dyDescent="0.3">
      <c r="A116" t="str">
        <f>"01"</f>
        <v>01</v>
      </c>
      <c r="B116" t="str">
        <f>"002321"</f>
        <v>002321</v>
      </c>
      <c r="C116" t="s">
        <v>45</v>
      </c>
      <c r="D116">
        <v>74836</v>
      </c>
      <c r="E116" s="2">
        <v>623</v>
      </c>
      <c r="F116" s="1">
        <v>43122</v>
      </c>
      <c r="G116" t="str">
        <f>"289557"</f>
        <v>289557</v>
      </c>
      <c r="H116" t="str">
        <f>"Surge Protectors"</f>
        <v>Surge Protectors</v>
      </c>
      <c r="I116" s="2">
        <v>623</v>
      </c>
      <c r="J116" t="str">
        <f>"Surge Protectors"</f>
        <v>Surge Protectors</v>
      </c>
    </row>
    <row r="117" spans="1:10" x14ac:dyDescent="0.3">
      <c r="A117" t="str">
        <f>"01"</f>
        <v>01</v>
      </c>
      <c r="B117" t="str">
        <f>"B&amp;B"</f>
        <v>B&amp;B</v>
      </c>
      <c r="C117" t="s">
        <v>46</v>
      </c>
      <c r="D117">
        <v>74610</v>
      </c>
      <c r="E117" s="2">
        <v>1288.1500000000001</v>
      </c>
      <c r="F117" s="1">
        <v>43108</v>
      </c>
      <c r="G117" t="str">
        <f>"201801027678"</f>
        <v>201801027678</v>
      </c>
      <c r="H117" t="str">
        <f>"CUST#1750/PCT#3"</f>
        <v>CUST#1750/PCT#3</v>
      </c>
      <c r="I117" s="2">
        <v>717.54</v>
      </c>
      <c r="J117" t="str">
        <f>"CUST#1750/PCT#3"</f>
        <v>CUST#1750/PCT#3</v>
      </c>
    </row>
    <row r="118" spans="1:10" x14ac:dyDescent="0.3">
      <c r="A118" t="str">
        <f>""</f>
        <v/>
      </c>
      <c r="B118" t="str">
        <f>""</f>
        <v/>
      </c>
      <c r="G118" t="str">
        <f>"201801027683"</f>
        <v>201801027683</v>
      </c>
      <c r="H118" t="str">
        <f>"CUST#1800/PCT#4"</f>
        <v>CUST#1800/PCT#4</v>
      </c>
      <c r="I118" s="2">
        <v>52.95</v>
      </c>
      <c r="J118" t="str">
        <f>"CUST#1800/PCT#4"</f>
        <v>CUST#1800/PCT#4</v>
      </c>
    </row>
    <row r="119" spans="1:10" x14ac:dyDescent="0.3">
      <c r="A119" t="str">
        <f>""</f>
        <v/>
      </c>
      <c r="B119" t="str">
        <f>""</f>
        <v/>
      </c>
      <c r="G119" t="str">
        <f>"201801027690"</f>
        <v>201801027690</v>
      </c>
      <c r="H119" t="str">
        <f>"CUST#1650"</f>
        <v>CUST#1650</v>
      </c>
      <c r="I119" s="2">
        <v>150.80000000000001</v>
      </c>
      <c r="J119" t="str">
        <f>"CUST#1650"</f>
        <v>CUST#1650</v>
      </c>
    </row>
    <row r="120" spans="1:10" x14ac:dyDescent="0.3">
      <c r="A120" t="str">
        <f>""</f>
        <v/>
      </c>
      <c r="B120" t="str">
        <f>""</f>
        <v/>
      </c>
      <c r="G120" t="str">
        <f>""</f>
        <v/>
      </c>
      <c r="H120" t="str">
        <f>""</f>
        <v/>
      </c>
      <c r="J120" t="str">
        <f>"CUST#1650"</f>
        <v>CUST#1650</v>
      </c>
    </row>
    <row r="121" spans="1:10" x14ac:dyDescent="0.3">
      <c r="A121" t="str">
        <f>""</f>
        <v/>
      </c>
      <c r="B121" t="str">
        <f>""</f>
        <v/>
      </c>
      <c r="G121" t="str">
        <f>"201801037695"</f>
        <v>201801037695</v>
      </c>
      <c r="H121" t="str">
        <f>"CUST#1650/PCT#1"</f>
        <v>CUST#1650/PCT#1</v>
      </c>
      <c r="I121" s="2">
        <v>366.86</v>
      </c>
      <c r="J121" t="str">
        <f>"CUST#1650/PCT#1"</f>
        <v>CUST#1650/PCT#1</v>
      </c>
    </row>
    <row r="122" spans="1:10" x14ac:dyDescent="0.3">
      <c r="A122" t="str">
        <f>""</f>
        <v/>
      </c>
      <c r="B122" t="str">
        <f>""</f>
        <v/>
      </c>
      <c r="G122" t="str">
        <f>""</f>
        <v/>
      </c>
      <c r="H122" t="str">
        <f>""</f>
        <v/>
      </c>
      <c r="J122" t="str">
        <f>"CUST#1650/PCT#1"</f>
        <v>CUST#1650/PCT#1</v>
      </c>
    </row>
    <row r="123" spans="1:10" x14ac:dyDescent="0.3">
      <c r="A123" t="str">
        <f>"01"</f>
        <v>01</v>
      </c>
      <c r="B123" t="str">
        <f>"B&amp;B"</f>
        <v>B&amp;B</v>
      </c>
      <c r="C123" t="s">
        <v>46</v>
      </c>
      <c r="D123">
        <v>74837</v>
      </c>
      <c r="E123" s="2">
        <v>230</v>
      </c>
      <c r="F123" s="1">
        <v>43122</v>
      </c>
      <c r="G123" t="str">
        <f>"9205-558123"</f>
        <v>9205-558123</v>
      </c>
      <c r="H123" t="str">
        <f>"INV 9205-558123"</f>
        <v>INV 9205-558123</v>
      </c>
      <c r="I123" s="2">
        <v>230</v>
      </c>
      <c r="J123" t="str">
        <f>"INV 9205-558123"</f>
        <v>INV 9205-558123</v>
      </c>
    </row>
    <row r="124" spans="1:10" x14ac:dyDescent="0.3">
      <c r="A124" t="str">
        <f>"01"</f>
        <v>01</v>
      </c>
      <c r="B124" t="str">
        <f>"004668"</f>
        <v>004668</v>
      </c>
      <c r="C124" t="s">
        <v>47</v>
      </c>
      <c r="D124">
        <v>74838</v>
      </c>
      <c r="E124" s="2">
        <v>1154</v>
      </c>
      <c r="F124" s="1">
        <v>43122</v>
      </c>
      <c r="G124" t="str">
        <f>"IN1801018"</f>
        <v>IN1801018</v>
      </c>
      <c r="H124" t="str">
        <f>"B1 BankNote Paper"</f>
        <v>B1 BankNote Paper</v>
      </c>
      <c r="I124" s="2">
        <v>1154</v>
      </c>
      <c r="J124" t="str">
        <f>"Set Up Cost"</f>
        <v>Set Up Cost</v>
      </c>
    </row>
    <row r="125" spans="1:10" x14ac:dyDescent="0.3">
      <c r="A125" t="str">
        <f>""</f>
        <v/>
      </c>
      <c r="B125" t="str">
        <f>""</f>
        <v/>
      </c>
      <c r="G125" t="str">
        <f>""</f>
        <v/>
      </c>
      <c r="H125" t="str">
        <f>""</f>
        <v/>
      </c>
      <c r="J125" t="s">
        <v>48</v>
      </c>
    </row>
    <row r="126" spans="1:10" x14ac:dyDescent="0.3">
      <c r="A126" t="str">
        <f>"01"</f>
        <v>01</v>
      </c>
      <c r="B126" t="str">
        <f>"BTW"</f>
        <v>BTW</v>
      </c>
      <c r="C126" t="s">
        <v>49</v>
      </c>
      <c r="D126">
        <v>74611</v>
      </c>
      <c r="E126" s="2">
        <v>558.94000000000005</v>
      </c>
      <c r="F126" s="1">
        <v>43108</v>
      </c>
      <c r="G126" t="str">
        <f>"201801027660"</f>
        <v>201801027660</v>
      </c>
      <c r="H126" t="str">
        <f>"CUST#0008/INV#346665/346893"</f>
        <v>CUST#0008/INV#346665/346893</v>
      </c>
      <c r="I126" s="2">
        <v>57.95</v>
      </c>
      <c r="J126" t="str">
        <f>"CUST#0008/INV#346665/346893"</f>
        <v>CUST#0008/INV#346665/346893</v>
      </c>
    </row>
    <row r="127" spans="1:10" x14ac:dyDescent="0.3">
      <c r="A127" t="str">
        <f>""</f>
        <v/>
      </c>
      <c r="B127" t="str">
        <f>""</f>
        <v/>
      </c>
      <c r="G127" t="str">
        <f>"201801027661"</f>
        <v>201801027661</v>
      </c>
      <c r="H127" t="str">
        <f>"CUST#0009/PCT1"</f>
        <v>CUST#0009/PCT1</v>
      </c>
      <c r="I127" s="2">
        <v>48</v>
      </c>
      <c r="J127" t="str">
        <f>"CUST#0009/PCT1"</f>
        <v>CUST#0009/PCT1</v>
      </c>
    </row>
    <row r="128" spans="1:10" x14ac:dyDescent="0.3">
      <c r="A128" t="str">
        <f>""</f>
        <v/>
      </c>
      <c r="B128" t="str">
        <f>""</f>
        <v/>
      </c>
      <c r="G128" t="str">
        <f>""</f>
        <v/>
      </c>
      <c r="H128" t="str">
        <f>""</f>
        <v/>
      </c>
      <c r="J128" t="str">
        <f>"CUST#0009/PCT1"</f>
        <v>CUST#0009/PCT1</v>
      </c>
    </row>
    <row r="129" spans="1:10" x14ac:dyDescent="0.3">
      <c r="A129" t="str">
        <f>""</f>
        <v/>
      </c>
      <c r="B129" t="str">
        <f>""</f>
        <v/>
      </c>
      <c r="G129" t="str">
        <f>"201801027664"</f>
        <v>201801027664</v>
      </c>
      <c r="H129" t="str">
        <f>"CUST#0009/PCT#1"</f>
        <v>CUST#0009/PCT#1</v>
      </c>
      <c r="I129" s="2">
        <v>97.5</v>
      </c>
      <c r="J129" t="str">
        <f>"CUST#0009/PCT#1"</f>
        <v>CUST#0009/PCT#1</v>
      </c>
    </row>
    <row r="130" spans="1:10" x14ac:dyDescent="0.3">
      <c r="A130" t="str">
        <f>""</f>
        <v/>
      </c>
      <c r="B130" t="str">
        <f>""</f>
        <v/>
      </c>
      <c r="G130" t="str">
        <f>"201801027675"</f>
        <v>201801027675</v>
      </c>
      <c r="H130" t="str">
        <f>"CUST#0010/PCT#2"</f>
        <v>CUST#0010/PCT#2</v>
      </c>
      <c r="I130" s="2">
        <v>337.49</v>
      </c>
      <c r="J130" t="str">
        <f>"CUST#0010/PCT#2"</f>
        <v>CUST#0010/PCT#2</v>
      </c>
    </row>
    <row r="131" spans="1:10" x14ac:dyDescent="0.3">
      <c r="A131" t="str">
        <f>""</f>
        <v/>
      </c>
      <c r="B131" t="str">
        <f>""</f>
        <v/>
      </c>
      <c r="G131" t="str">
        <f>"346943"</f>
        <v>346943</v>
      </c>
      <c r="H131" t="str">
        <f>"INV 346943"</f>
        <v>INV 346943</v>
      </c>
      <c r="I131" s="2">
        <v>18</v>
      </c>
      <c r="J131" t="str">
        <f>"INV 346943"</f>
        <v>INV 346943</v>
      </c>
    </row>
    <row r="132" spans="1:10" x14ac:dyDescent="0.3">
      <c r="A132" t="str">
        <f>"01"</f>
        <v>01</v>
      </c>
      <c r="B132" t="str">
        <f>"001769"</f>
        <v>001769</v>
      </c>
      <c r="C132" t="s">
        <v>50</v>
      </c>
      <c r="D132">
        <v>999999</v>
      </c>
      <c r="E132" s="2">
        <v>4900</v>
      </c>
      <c r="F132" s="1">
        <v>43123</v>
      </c>
      <c r="G132" t="str">
        <f>"1527"</f>
        <v>1527</v>
      </c>
      <c r="H132" t="str">
        <f>"CONCRETE WORK MT OLIVE RD/PCT1"</f>
        <v>CONCRETE WORK MT OLIVE RD/PCT1</v>
      </c>
      <c r="I132" s="2">
        <v>2450</v>
      </c>
      <c r="J132" t="str">
        <f>"CONCRETE WORK MT OLIVE RD/PCT1"</f>
        <v>CONCRETE WORK MT OLIVE RD/PCT1</v>
      </c>
    </row>
    <row r="133" spans="1:10" x14ac:dyDescent="0.3">
      <c r="A133" t="str">
        <f>""</f>
        <v/>
      </c>
      <c r="B133" t="str">
        <f>""</f>
        <v/>
      </c>
      <c r="G133" t="str">
        <f>"1528"</f>
        <v>1528</v>
      </c>
      <c r="H133" t="str">
        <f>"CONCRETE WORK PHELAN RD/PCT#1"</f>
        <v>CONCRETE WORK PHELAN RD/PCT#1</v>
      </c>
      <c r="I133" s="2">
        <v>2450</v>
      </c>
      <c r="J133" t="str">
        <f>"CONCRETE WORK PHELAN RD/PCT#1"</f>
        <v>CONCRETE WORK PHELAN RD/PCT#1</v>
      </c>
    </row>
    <row r="134" spans="1:10" x14ac:dyDescent="0.3">
      <c r="A134" t="str">
        <f>"01"</f>
        <v>01</v>
      </c>
      <c r="B134" t="str">
        <f>"005167"</f>
        <v>005167</v>
      </c>
      <c r="C134" t="s">
        <v>51</v>
      </c>
      <c r="D134">
        <v>74612</v>
      </c>
      <c r="E134" s="2">
        <v>97.76</v>
      </c>
      <c r="F134" s="1">
        <v>43108</v>
      </c>
      <c r="G134" t="str">
        <f>"201801027671"</f>
        <v>201801027671</v>
      </c>
      <c r="H134" t="str">
        <f>"ACCT#15619929"</f>
        <v>ACCT#15619929</v>
      </c>
      <c r="I134" s="2">
        <v>97.76</v>
      </c>
      <c r="J134" t="str">
        <f>"ACCT#15619929"</f>
        <v>ACCT#15619929</v>
      </c>
    </row>
    <row r="135" spans="1:10" x14ac:dyDescent="0.3">
      <c r="A135" t="str">
        <f>"01"</f>
        <v>01</v>
      </c>
      <c r="B135" t="str">
        <f>"T1636"</f>
        <v>T1636</v>
      </c>
      <c r="C135" t="s">
        <v>52</v>
      </c>
      <c r="D135">
        <v>74839</v>
      </c>
      <c r="E135" s="2">
        <v>1158</v>
      </c>
      <c r="F135" s="1">
        <v>43122</v>
      </c>
      <c r="G135" t="str">
        <f>"12176"</f>
        <v>12176</v>
      </c>
      <c r="H135" t="str">
        <f>"SERVICE 11/21/17"</f>
        <v>SERVICE 11/21/17</v>
      </c>
      <c r="I135" s="2">
        <v>375</v>
      </c>
      <c r="J135" t="str">
        <f>"SERVICE 11/21/17"</f>
        <v>SERVICE 11/21/17</v>
      </c>
    </row>
    <row r="136" spans="1:10" x14ac:dyDescent="0.3">
      <c r="A136" t="str">
        <f>""</f>
        <v/>
      </c>
      <c r="B136" t="str">
        <f>""</f>
        <v/>
      </c>
      <c r="G136" t="str">
        <f>"12552"</f>
        <v>12552</v>
      </c>
      <c r="H136" t="str">
        <f>"SERVICE  11/08/17"</f>
        <v>SERVICE  11/08/17</v>
      </c>
      <c r="I136" s="2">
        <v>75</v>
      </c>
      <c r="J136" t="str">
        <f>"SERVICE  11/08/17"</f>
        <v>SERVICE  11/08/17</v>
      </c>
    </row>
    <row r="137" spans="1:10" x14ac:dyDescent="0.3">
      <c r="A137" t="str">
        <f>""</f>
        <v/>
      </c>
      <c r="B137" t="str">
        <f>""</f>
        <v/>
      </c>
      <c r="G137" t="str">
        <f>"12577  11/14/17"</f>
        <v>12577  11/14/17</v>
      </c>
      <c r="H137" t="str">
        <f>"SERVICE 11/14/17"</f>
        <v>SERVICE 11/14/17</v>
      </c>
      <c r="I137" s="2">
        <v>83</v>
      </c>
      <c r="J137" t="str">
        <f>"SERVICE 11/14/17"</f>
        <v>SERVICE 11/14/17</v>
      </c>
    </row>
    <row r="138" spans="1:10" x14ac:dyDescent="0.3">
      <c r="A138" t="str">
        <f>""</f>
        <v/>
      </c>
      <c r="B138" t="str">
        <f>""</f>
        <v/>
      </c>
      <c r="G138" t="str">
        <f>"12638"</f>
        <v>12638</v>
      </c>
      <c r="H138" t="str">
        <f>"SERVICE 11/20/17"</f>
        <v>SERVICE 11/20/17</v>
      </c>
      <c r="I138" s="2">
        <v>300</v>
      </c>
      <c r="J138" t="str">
        <f>"SERVICE 11/20/17"</f>
        <v>SERVICE 11/20/17</v>
      </c>
    </row>
    <row r="139" spans="1:10" x14ac:dyDescent="0.3">
      <c r="A139" t="str">
        <f>""</f>
        <v/>
      </c>
      <c r="B139" t="str">
        <f>""</f>
        <v/>
      </c>
      <c r="G139" t="str">
        <f>"12670"</f>
        <v>12670</v>
      </c>
      <c r="H139" t="str">
        <f>"SERVICE  11/14/17"</f>
        <v>SERVICE  11/14/17</v>
      </c>
      <c r="I139" s="2">
        <v>325</v>
      </c>
      <c r="J139" t="str">
        <f>"SERVICE  11/14/17"</f>
        <v>SERVICE  11/14/17</v>
      </c>
    </row>
    <row r="140" spans="1:10" x14ac:dyDescent="0.3">
      <c r="A140" t="str">
        <f>"01"</f>
        <v>01</v>
      </c>
      <c r="B140" t="str">
        <f>"005396"</f>
        <v>005396</v>
      </c>
      <c r="C140" t="s">
        <v>53</v>
      </c>
      <c r="D140">
        <v>74820</v>
      </c>
      <c r="E140" s="2">
        <v>10889.99</v>
      </c>
      <c r="F140" s="1">
        <v>43119</v>
      </c>
      <c r="G140" t="str">
        <f>"201801198190"</f>
        <v>201801198190</v>
      </c>
      <c r="H140" t="str">
        <f>"SEPT/OCT REIMBURSEMENT"</f>
        <v>SEPT/OCT REIMBURSEMENT</v>
      </c>
      <c r="I140" s="2">
        <v>10889.99</v>
      </c>
      <c r="J140" t="str">
        <f>"SEPT/OCT REIMBURSEMENT"</f>
        <v>SEPT/OCT REIMBURSEMENT</v>
      </c>
    </row>
    <row r="141" spans="1:10" x14ac:dyDescent="0.3">
      <c r="A141" t="str">
        <f>"01"</f>
        <v>01</v>
      </c>
      <c r="B141" t="str">
        <f>"BASCO"</f>
        <v>BASCO</v>
      </c>
      <c r="C141" t="s">
        <v>54</v>
      </c>
      <c r="D141">
        <v>74613</v>
      </c>
      <c r="E141" s="2">
        <v>431.68</v>
      </c>
      <c r="F141" s="1">
        <v>43108</v>
      </c>
      <c r="G141" t="str">
        <f>"201801037698"</f>
        <v>201801037698</v>
      </c>
      <c r="H141" t="str">
        <f>"ACCT#BC01/OFFICE SUPPLIES"</f>
        <v>ACCT#BC01/OFFICE SUPPLIES</v>
      </c>
      <c r="I141" s="2">
        <v>431.68</v>
      </c>
      <c r="J141" t="str">
        <f>"ACCT#BC01/OFFICE SUPPLIES"</f>
        <v>ACCT#BC01/OFFICE SUPPLIES</v>
      </c>
    </row>
    <row r="142" spans="1:10" x14ac:dyDescent="0.3">
      <c r="A142" t="str">
        <f>"01"</f>
        <v>01</v>
      </c>
      <c r="B142" t="str">
        <f>"BASCO"</f>
        <v>BASCO</v>
      </c>
      <c r="C142" t="s">
        <v>54</v>
      </c>
      <c r="D142">
        <v>74840</v>
      </c>
      <c r="E142" s="2">
        <v>29.88</v>
      </c>
      <c r="F142" s="1">
        <v>43122</v>
      </c>
      <c r="G142" t="str">
        <f>"10647"</f>
        <v>10647</v>
      </c>
      <c r="H142" t="str">
        <f>"INV 10647"</f>
        <v>INV 10647</v>
      </c>
      <c r="I142" s="2">
        <v>29.88</v>
      </c>
      <c r="J142" t="str">
        <f>"INV 10647"</f>
        <v>INV 10647</v>
      </c>
    </row>
    <row r="143" spans="1:10" x14ac:dyDescent="0.3">
      <c r="A143" t="str">
        <f>"01"</f>
        <v>01</v>
      </c>
      <c r="B143" t="str">
        <f>"001542"</f>
        <v>001542</v>
      </c>
      <c r="C143" t="s">
        <v>55</v>
      </c>
      <c r="D143">
        <v>999999</v>
      </c>
      <c r="E143" s="2">
        <v>695</v>
      </c>
      <c r="F143" s="1">
        <v>43109</v>
      </c>
      <c r="G143" t="str">
        <f>"2017172"</f>
        <v>2017172</v>
      </c>
      <c r="H143" t="str">
        <f>"TRANSPORT-J.G. WILSON"</f>
        <v>TRANSPORT-J.G. WILSON</v>
      </c>
      <c r="I143" s="2">
        <v>695</v>
      </c>
      <c r="J143" t="str">
        <f>"TRANSPORT-J.G. WILSON"</f>
        <v>TRANSPORT-J.G. WILSON</v>
      </c>
    </row>
    <row r="144" spans="1:10" x14ac:dyDescent="0.3">
      <c r="A144" t="str">
        <f>"01"</f>
        <v>01</v>
      </c>
      <c r="B144" t="str">
        <f>"001542"</f>
        <v>001542</v>
      </c>
      <c r="C144" t="s">
        <v>55</v>
      </c>
      <c r="D144">
        <v>999999</v>
      </c>
      <c r="E144" s="2">
        <v>3675</v>
      </c>
      <c r="F144" s="1">
        <v>43123</v>
      </c>
      <c r="G144" t="str">
        <f>"2017159"</f>
        <v>2017159</v>
      </c>
      <c r="H144" t="str">
        <f>"TRANSPORT-H.R. STARK"</f>
        <v>TRANSPORT-H.R. STARK</v>
      </c>
      <c r="I144" s="2">
        <v>400</v>
      </c>
      <c r="J144" t="str">
        <f>"TRANSPORT-H.R. STARK"</f>
        <v>TRANSPORT-H.R. STARK</v>
      </c>
    </row>
    <row r="145" spans="1:10" x14ac:dyDescent="0.3">
      <c r="A145" t="str">
        <f>""</f>
        <v/>
      </c>
      <c r="B145" t="str">
        <f>""</f>
        <v/>
      </c>
      <c r="G145" t="str">
        <f>"2017160"</f>
        <v>2017160</v>
      </c>
      <c r="H145" t="str">
        <f>"TRANSPORT-A. DE LOS SANTOS"</f>
        <v>TRANSPORT-A. DE LOS SANTOS</v>
      </c>
      <c r="I145" s="2">
        <v>400</v>
      </c>
      <c r="J145" t="str">
        <f>"TRANSPORT-A. DE LOS SANTOS"</f>
        <v>TRANSPORT-A. DE LOS SANTOS</v>
      </c>
    </row>
    <row r="146" spans="1:10" x14ac:dyDescent="0.3">
      <c r="A146" t="str">
        <f>""</f>
        <v/>
      </c>
      <c r="B146" t="str">
        <f>""</f>
        <v/>
      </c>
      <c r="G146" t="str">
        <f>"2017164"</f>
        <v>2017164</v>
      </c>
      <c r="H146" t="str">
        <f>"TRANSPORT-C. L. DAVIS"</f>
        <v>TRANSPORT-C. L. DAVIS</v>
      </c>
      <c r="I146" s="2">
        <v>495</v>
      </c>
      <c r="J146" t="str">
        <f>"TRANSPORT-C. L. DAVIS"</f>
        <v>TRANSPORT-C. L. DAVIS</v>
      </c>
    </row>
    <row r="147" spans="1:10" x14ac:dyDescent="0.3">
      <c r="A147" t="str">
        <f>""</f>
        <v/>
      </c>
      <c r="B147" t="str">
        <f>""</f>
        <v/>
      </c>
      <c r="G147" t="str">
        <f>"2017169"</f>
        <v>2017169</v>
      </c>
      <c r="H147" t="str">
        <f>"TRANSPORT-C.HAMPTON"</f>
        <v>TRANSPORT-C.HAMPTON</v>
      </c>
      <c r="I147" s="2">
        <v>495</v>
      </c>
      <c r="J147" t="str">
        <f>"TRANSPORT-C.HAMPTON"</f>
        <v>TRANSPORT-C.HAMPTON</v>
      </c>
    </row>
    <row r="148" spans="1:10" x14ac:dyDescent="0.3">
      <c r="A148" t="str">
        <f>""</f>
        <v/>
      </c>
      <c r="B148" t="str">
        <f>""</f>
        <v/>
      </c>
      <c r="G148" t="str">
        <f>"2017170"</f>
        <v>2017170</v>
      </c>
      <c r="H148" t="str">
        <f>"TRANSPORT-G. GUAJARDO"</f>
        <v>TRANSPORT-G. GUAJARDO</v>
      </c>
      <c r="I148" s="2">
        <v>295</v>
      </c>
      <c r="J148" t="str">
        <f>"TRANSPORT-G. GUAJARDO"</f>
        <v>TRANSPORT-G. GUAJARDO</v>
      </c>
    </row>
    <row r="149" spans="1:10" x14ac:dyDescent="0.3">
      <c r="A149" t="str">
        <f>""</f>
        <v/>
      </c>
      <c r="B149" t="str">
        <f>""</f>
        <v/>
      </c>
      <c r="G149" t="str">
        <f>"2017171"</f>
        <v>2017171</v>
      </c>
      <c r="H149" t="str">
        <f>"TRANSPORT-J. WILSON"</f>
        <v>TRANSPORT-J. WILSON</v>
      </c>
      <c r="I149" s="2">
        <v>495</v>
      </c>
      <c r="J149" t="str">
        <f>"TRANSPORT-J. WILSON"</f>
        <v>TRANSPORT-J. WILSON</v>
      </c>
    </row>
    <row r="150" spans="1:10" x14ac:dyDescent="0.3">
      <c r="A150" t="str">
        <f>""</f>
        <v/>
      </c>
      <c r="B150" t="str">
        <f>""</f>
        <v/>
      </c>
      <c r="G150" t="str">
        <f>"2017174"</f>
        <v>2017174</v>
      </c>
      <c r="H150" t="str">
        <f>"TRANSPORT-R. TREVINO"</f>
        <v>TRANSPORT-R. TREVINO</v>
      </c>
      <c r="I150" s="2">
        <v>400</v>
      </c>
      <c r="J150" t="str">
        <f>"TRANSPORT-R. TREVINO"</f>
        <v>TRANSPORT-R. TREVINO</v>
      </c>
    </row>
    <row r="151" spans="1:10" x14ac:dyDescent="0.3">
      <c r="A151" t="str">
        <f>""</f>
        <v/>
      </c>
      <c r="B151" t="str">
        <f>""</f>
        <v/>
      </c>
      <c r="G151" t="str">
        <f>"2017178"</f>
        <v>2017178</v>
      </c>
      <c r="H151" t="str">
        <f>"TRANSPORT-K.W. HAZARD"</f>
        <v>TRANSPORT-K.W. HAZARD</v>
      </c>
      <c r="I151" s="2">
        <v>695</v>
      </c>
      <c r="J151" t="str">
        <f>"TRANSPORT-K.W. HAZARD"</f>
        <v>TRANSPORT-K.W. HAZARD</v>
      </c>
    </row>
    <row r="152" spans="1:10" x14ac:dyDescent="0.3">
      <c r="A152" t="str">
        <f>"01"</f>
        <v>01</v>
      </c>
      <c r="B152" t="str">
        <f>"T5228"</f>
        <v>T5228</v>
      </c>
      <c r="C152" t="s">
        <v>56</v>
      </c>
      <c r="D152">
        <v>74614</v>
      </c>
      <c r="E152" s="2">
        <v>696.82</v>
      </c>
      <c r="F152" s="1">
        <v>43108</v>
      </c>
      <c r="G152" t="str">
        <f>"1-27102"</f>
        <v>1-27102</v>
      </c>
      <c r="H152" t="str">
        <f>"2010 FORD/BCAS"</f>
        <v>2010 FORD/BCAS</v>
      </c>
      <c r="I152" s="2">
        <v>696.82</v>
      </c>
      <c r="J152" t="str">
        <f>"2010 FORD/BCAS"</f>
        <v>2010 FORD/BCAS</v>
      </c>
    </row>
    <row r="153" spans="1:10" x14ac:dyDescent="0.3">
      <c r="A153" t="str">
        <f>"01"</f>
        <v>01</v>
      </c>
      <c r="B153" t="str">
        <f>"BVH"</f>
        <v>BVH</v>
      </c>
      <c r="C153" t="s">
        <v>57</v>
      </c>
      <c r="D153">
        <v>74841</v>
      </c>
      <c r="E153" s="2">
        <v>84.42</v>
      </c>
      <c r="F153" s="1">
        <v>43122</v>
      </c>
      <c r="G153" t="str">
        <f>"1099631"</f>
        <v>1099631</v>
      </c>
      <c r="H153" t="str">
        <f>"INV 1099631 / K-9 LUTHER"</f>
        <v>INV 1099631 / K-9 LUTHER</v>
      </c>
      <c r="I153" s="2">
        <v>84.42</v>
      </c>
      <c r="J153" t="str">
        <f>"INV 1099631 / K-9 LUTHER"</f>
        <v>INV 1099631 / K-9 LUTHER</v>
      </c>
    </row>
    <row r="154" spans="1:10" x14ac:dyDescent="0.3">
      <c r="A154" t="str">
        <f>"01"</f>
        <v>01</v>
      </c>
      <c r="B154" t="str">
        <f>"000110"</f>
        <v>000110</v>
      </c>
      <c r="C154" t="s">
        <v>58</v>
      </c>
      <c r="D154">
        <v>999999</v>
      </c>
      <c r="E154" s="2">
        <v>1387.09</v>
      </c>
      <c r="F154" s="1">
        <v>43123</v>
      </c>
      <c r="G154" t="str">
        <f>"DECEMBER SVCS"</f>
        <v>DECEMBER SVCS</v>
      </c>
      <c r="H154" t="str">
        <f>"DECEMBER BILLING"</f>
        <v>DECEMBER BILLING</v>
      </c>
      <c r="I154" s="2">
        <v>1387.09</v>
      </c>
      <c r="J154" t="str">
        <f>"DECEMBER - LAW ENFOR"</f>
        <v>DECEMBER - LAW ENFOR</v>
      </c>
    </row>
    <row r="155" spans="1:10" x14ac:dyDescent="0.3">
      <c r="A155" t="str">
        <f>""</f>
        <v/>
      </c>
      <c r="B155" t="str">
        <f>""</f>
        <v/>
      </c>
      <c r="G155" t="str">
        <f>""</f>
        <v/>
      </c>
      <c r="H155" t="str">
        <f>""</f>
        <v/>
      </c>
      <c r="J155" t="str">
        <f>"DECEMBER - JAIL"</f>
        <v>DECEMBER - JAIL</v>
      </c>
    </row>
    <row r="156" spans="1:10" x14ac:dyDescent="0.3">
      <c r="A156" t="str">
        <f>"01"</f>
        <v>01</v>
      </c>
      <c r="B156" t="str">
        <f>"KEITH"</f>
        <v>KEITH</v>
      </c>
      <c r="C156" t="s">
        <v>59</v>
      </c>
      <c r="D156">
        <v>74615</v>
      </c>
      <c r="E156" s="2">
        <v>1776.81</v>
      </c>
      <c r="F156" s="1">
        <v>43108</v>
      </c>
      <c r="G156" t="str">
        <f>"74539676/7454500"</f>
        <v>74539676/7454500</v>
      </c>
      <c r="H156" t="str">
        <f>"INV 74539676"</f>
        <v>INV 74539676</v>
      </c>
      <c r="I156" s="2">
        <v>1776.81</v>
      </c>
      <c r="J156" t="str">
        <f>"INV 74539676"</f>
        <v>INV 74539676</v>
      </c>
    </row>
    <row r="157" spans="1:10" x14ac:dyDescent="0.3">
      <c r="A157" t="str">
        <f>""</f>
        <v/>
      </c>
      <c r="B157" t="str">
        <f>""</f>
        <v/>
      </c>
      <c r="G157" t="str">
        <f>""</f>
        <v/>
      </c>
      <c r="H157" t="str">
        <f>""</f>
        <v/>
      </c>
      <c r="J157" t="str">
        <f>"INV 74545000"</f>
        <v>INV 74545000</v>
      </c>
    </row>
    <row r="158" spans="1:10" x14ac:dyDescent="0.3">
      <c r="A158" t="str">
        <f>"01"</f>
        <v>01</v>
      </c>
      <c r="B158" t="str">
        <f>"KEITH"</f>
        <v>KEITH</v>
      </c>
      <c r="C158" t="s">
        <v>59</v>
      </c>
      <c r="D158">
        <v>74842</v>
      </c>
      <c r="E158" s="2">
        <v>2162.0700000000002</v>
      </c>
      <c r="F158" s="1">
        <v>43122</v>
      </c>
      <c r="G158" t="str">
        <f>"74550905/7518"</f>
        <v>74550905/7518</v>
      </c>
      <c r="H158" t="str">
        <f>"INV 74550905"</f>
        <v>INV 74550905</v>
      </c>
      <c r="I158" s="2">
        <v>2162.0700000000002</v>
      </c>
      <c r="J158" t="str">
        <f>"INV 74550905"</f>
        <v>INV 74550905</v>
      </c>
    </row>
    <row r="159" spans="1:10" x14ac:dyDescent="0.3">
      <c r="A159" t="str">
        <f>""</f>
        <v/>
      </c>
      <c r="B159" t="str">
        <f>""</f>
        <v/>
      </c>
      <c r="G159" t="str">
        <f>""</f>
        <v/>
      </c>
      <c r="H159" t="str">
        <f>""</f>
        <v/>
      </c>
      <c r="J159" t="str">
        <f>"INV 74557518"</f>
        <v>INV 74557518</v>
      </c>
    </row>
    <row r="160" spans="1:10" x14ac:dyDescent="0.3">
      <c r="A160" t="str">
        <f>"01"</f>
        <v>01</v>
      </c>
      <c r="B160" t="str">
        <f>"004075"</f>
        <v>004075</v>
      </c>
      <c r="C160" t="s">
        <v>60</v>
      </c>
      <c r="D160">
        <v>999999</v>
      </c>
      <c r="E160" s="2">
        <v>2669.25</v>
      </c>
      <c r="F160" s="1">
        <v>43109</v>
      </c>
      <c r="G160" t="str">
        <f>"201289-00"</f>
        <v>201289-00</v>
      </c>
      <c r="H160" t="str">
        <f>"INV 201289-00"</f>
        <v>INV 201289-00</v>
      </c>
      <c r="I160" s="2">
        <v>2669.25</v>
      </c>
      <c r="J160" t="str">
        <f>"INV 201289-00"</f>
        <v>INV 201289-00</v>
      </c>
    </row>
    <row r="161" spans="1:10" x14ac:dyDescent="0.3">
      <c r="A161" t="str">
        <f>"01"</f>
        <v>01</v>
      </c>
      <c r="B161" t="str">
        <f>"ESKEW"</f>
        <v>ESKEW</v>
      </c>
      <c r="C161" t="s">
        <v>61</v>
      </c>
      <c r="D161">
        <v>74616</v>
      </c>
      <c r="E161" s="2">
        <v>216.16</v>
      </c>
      <c r="F161" s="1">
        <v>43108</v>
      </c>
      <c r="G161" t="str">
        <f>"201801037704"</f>
        <v>201801037704</v>
      </c>
      <c r="H161" t="str">
        <f>"REIMBURSE BOND PAYMENT"</f>
        <v>REIMBURSE BOND PAYMENT</v>
      </c>
      <c r="I161" s="2">
        <v>216.16</v>
      </c>
      <c r="J161" t="str">
        <f>"REIMBURSE BOND PAYMENT"</f>
        <v>REIMBURSE BOND PAYMENT</v>
      </c>
    </row>
    <row r="162" spans="1:10" x14ac:dyDescent="0.3">
      <c r="A162" t="str">
        <f>"01"</f>
        <v>01</v>
      </c>
      <c r="B162" t="str">
        <f>"001112"</f>
        <v>001112</v>
      </c>
      <c r="C162" t="s">
        <v>62</v>
      </c>
      <c r="D162">
        <v>74617</v>
      </c>
      <c r="E162" s="2">
        <v>129.96</v>
      </c>
      <c r="F162" s="1">
        <v>43108</v>
      </c>
      <c r="G162" t="str">
        <f>"3081685"</f>
        <v>3081685</v>
      </c>
      <c r="H162" t="str">
        <f>"Inv# 3081685"</f>
        <v>Inv# 3081685</v>
      </c>
      <c r="I162" s="2">
        <v>129.96</v>
      </c>
      <c r="J162" t="str">
        <f>"Inv# 3081685"</f>
        <v>Inv# 3081685</v>
      </c>
    </row>
    <row r="163" spans="1:10" x14ac:dyDescent="0.3">
      <c r="A163" t="str">
        <f>"01"</f>
        <v>01</v>
      </c>
      <c r="B163" t="str">
        <f>"001112"</f>
        <v>001112</v>
      </c>
      <c r="C163" t="s">
        <v>62</v>
      </c>
      <c r="D163">
        <v>74843</v>
      </c>
      <c r="E163" s="2">
        <v>139.4</v>
      </c>
      <c r="F163" s="1">
        <v>43122</v>
      </c>
      <c r="G163" t="str">
        <f>"3089596"</f>
        <v>3089596</v>
      </c>
      <c r="H163" t="str">
        <f>"Canon- PIXMA iX6820"</f>
        <v>Canon- PIXMA iX6820</v>
      </c>
      <c r="I163" s="2">
        <v>139.4</v>
      </c>
      <c r="J163" t="str">
        <f>"Canon- PIXMA iX6820"</f>
        <v>Canon- PIXMA iX6820</v>
      </c>
    </row>
    <row r="164" spans="1:10" x14ac:dyDescent="0.3">
      <c r="A164" t="str">
        <f>""</f>
        <v/>
      </c>
      <c r="B164" t="str">
        <f>""</f>
        <v/>
      </c>
      <c r="G164" t="str">
        <f>""</f>
        <v/>
      </c>
      <c r="H164" t="str">
        <f>""</f>
        <v/>
      </c>
      <c r="J164" t="str">
        <f>"Shipping"</f>
        <v>Shipping</v>
      </c>
    </row>
    <row r="165" spans="1:10" x14ac:dyDescent="0.3">
      <c r="A165" t="str">
        <f>"01"</f>
        <v>01</v>
      </c>
      <c r="B165" t="str">
        <f>"T2043"</f>
        <v>T2043</v>
      </c>
      <c r="C165" t="s">
        <v>63</v>
      </c>
      <c r="D165">
        <v>999999</v>
      </c>
      <c r="E165" s="2">
        <v>260</v>
      </c>
      <c r="F165" s="1">
        <v>43123</v>
      </c>
      <c r="G165" t="str">
        <f>"105453"</f>
        <v>105453</v>
      </c>
      <c r="H165" t="str">
        <f>"CLIENT#001309/PROF SVCS"</f>
        <v>CLIENT#001309/PROF SVCS</v>
      </c>
      <c r="I165" s="2">
        <v>260</v>
      </c>
      <c r="J165" t="str">
        <f>"CLIENT#001309/PROF SVCS"</f>
        <v>CLIENT#001309/PROF SVCS</v>
      </c>
    </row>
    <row r="166" spans="1:10" x14ac:dyDescent="0.3">
      <c r="A166" t="str">
        <f>"01"</f>
        <v>01</v>
      </c>
      <c r="B166" t="str">
        <f>"000593"</f>
        <v>000593</v>
      </c>
      <c r="C166" t="s">
        <v>64</v>
      </c>
      <c r="D166">
        <v>74618</v>
      </c>
      <c r="E166" s="2">
        <v>531.88</v>
      </c>
      <c r="F166" s="1">
        <v>43108</v>
      </c>
      <c r="G166" t="str">
        <f>"84078931190/1281"</f>
        <v>84078931190/1281</v>
      </c>
      <c r="H166" t="str">
        <f>"INV 84078931190"</f>
        <v>INV 84078931190</v>
      </c>
      <c r="I166" s="2">
        <v>531.88</v>
      </c>
      <c r="J166" t="str">
        <f>"INV 84078931190"</f>
        <v>INV 84078931190</v>
      </c>
    </row>
    <row r="167" spans="1:10" x14ac:dyDescent="0.3">
      <c r="A167" t="str">
        <f>""</f>
        <v/>
      </c>
      <c r="B167" t="str">
        <f>""</f>
        <v/>
      </c>
      <c r="G167" t="str">
        <f>""</f>
        <v/>
      </c>
      <c r="H167" t="str">
        <f>""</f>
        <v/>
      </c>
      <c r="J167" t="str">
        <f>"INV 84078931281"</f>
        <v>INV 84078931281</v>
      </c>
    </row>
    <row r="168" spans="1:10" x14ac:dyDescent="0.3">
      <c r="A168" t="str">
        <f>"01"</f>
        <v>01</v>
      </c>
      <c r="B168" t="str">
        <f>"000593"</f>
        <v>000593</v>
      </c>
      <c r="C168" t="s">
        <v>64</v>
      </c>
      <c r="D168">
        <v>74844</v>
      </c>
      <c r="E168" s="2">
        <v>664.6</v>
      </c>
      <c r="F168" s="1">
        <v>43122</v>
      </c>
      <c r="G168" t="str">
        <f>"84078931363/1451"</f>
        <v>84078931363/1451</v>
      </c>
      <c r="H168" t="str">
        <f>"INV 84078931363"</f>
        <v>INV 84078931363</v>
      </c>
      <c r="I168" s="2">
        <v>664.6</v>
      </c>
      <c r="J168" t="str">
        <f>"INV 84078931363"</f>
        <v>INV 84078931363</v>
      </c>
    </row>
    <row r="169" spans="1:10" x14ac:dyDescent="0.3">
      <c r="A169" t="str">
        <f>""</f>
        <v/>
      </c>
      <c r="B169" t="str">
        <f>""</f>
        <v/>
      </c>
      <c r="G169" t="str">
        <f>""</f>
        <v/>
      </c>
      <c r="H169" t="str">
        <f>""</f>
        <v/>
      </c>
      <c r="J169" t="str">
        <f>"INV 84078931451"</f>
        <v>INV 84078931451</v>
      </c>
    </row>
    <row r="170" spans="1:10" x14ac:dyDescent="0.3">
      <c r="A170" t="str">
        <f>"01"</f>
        <v>01</v>
      </c>
      <c r="B170" t="str">
        <f>"003732"</f>
        <v>003732</v>
      </c>
      <c r="C170" t="s">
        <v>65</v>
      </c>
      <c r="D170">
        <v>999999</v>
      </c>
      <c r="E170" s="2">
        <v>250</v>
      </c>
      <c r="F170" s="1">
        <v>43109</v>
      </c>
      <c r="G170" t="str">
        <f>"201801037707"</f>
        <v>201801037707</v>
      </c>
      <c r="H170" t="str">
        <f>"55 631"</f>
        <v>55 631</v>
      </c>
      <c r="I170" s="2">
        <v>250</v>
      </c>
      <c r="J170" t="str">
        <f>"55 631"</f>
        <v>55 631</v>
      </c>
    </row>
    <row r="171" spans="1:10" x14ac:dyDescent="0.3">
      <c r="A171" t="str">
        <f>"01"</f>
        <v>01</v>
      </c>
      <c r="B171" t="str">
        <f>"001135"</f>
        <v>001135</v>
      </c>
      <c r="C171" t="s">
        <v>66</v>
      </c>
      <c r="D171">
        <v>74845</v>
      </c>
      <c r="E171" s="2">
        <v>535.21</v>
      </c>
      <c r="F171" s="1">
        <v>43122</v>
      </c>
      <c r="G171" t="str">
        <f>"201801128155"</f>
        <v>201801128155</v>
      </c>
      <c r="H171" t="str">
        <f>"CRIMESTOPPER FEES-DECEMBER '17"</f>
        <v>CRIMESTOPPER FEES-DECEMBER '17</v>
      </c>
      <c r="I171" s="2">
        <v>535.21</v>
      </c>
      <c r="J171" t="str">
        <f>"CRIMESTOPPER FEES-DECEMBER '17"</f>
        <v>CRIMESTOPPER FEES-DECEMBER '17</v>
      </c>
    </row>
    <row r="172" spans="1:10" x14ac:dyDescent="0.3">
      <c r="A172" t="str">
        <f>"01"</f>
        <v>01</v>
      </c>
      <c r="B172" t="str">
        <f>"BEC"</f>
        <v>BEC</v>
      </c>
      <c r="C172" t="s">
        <v>67</v>
      </c>
      <c r="D172">
        <v>74975</v>
      </c>
      <c r="E172" s="2">
        <v>3993.71</v>
      </c>
      <c r="F172" s="1">
        <v>43123</v>
      </c>
      <c r="G172" t="str">
        <f>"201801238205"</f>
        <v>201801238205</v>
      </c>
      <c r="H172" t="str">
        <f>"ACCT#5000057374 / 01/03/2018"</f>
        <v>ACCT#5000057374 / 01/03/2018</v>
      </c>
      <c r="I172" s="2">
        <v>3963.71</v>
      </c>
      <c r="J172" t="str">
        <f>"ACCT#5000057374 / 01/03/2018"</f>
        <v>ACCT#5000057374 / 01/03/2018</v>
      </c>
    </row>
    <row r="173" spans="1:10" x14ac:dyDescent="0.3">
      <c r="A173" t="str">
        <f>""</f>
        <v/>
      </c>
      <c r="B173" t="str">
        <f>""</f>
        <v/>
      </c>
      <c r="G173" t="str">
        <f>""</f>
        <v/>
      </c>
      <c r="H173" t="str">
        <f>""</f>
        <v/>
      </c>
      <c r="J173" t="str">
        <f>"ACCT#5000057374 / 01/03/2018"</f>
        <v>ACCT#5000057374 / 01/03/2018</v>
      </c>
    </row>
    <row r="174" spans="1:10" x14ac:dyDescent="0.3">
      <c r="A174" t="str">
        <f>""</f>
        <v/>
      </c>
      <c r="B174" t="str">
        <f>""</f>
        <v/>
      </c>
      <c r="G174" t="str">
        <f>""</f>
        <v/>
      </c>
      <c r="H174" t="str">
        <f>""</f>
        <v/>
      </c>
      <c r="J174" t="str">
        <f>"ACCT#5000057374 / 01/03/2018"</f>
        <v>ACCT#5000057374 / 01/03/2018</v>
      </c>
    </row>
    <row r="175" spans="1:10" x14ac:dyDescent="0.3">
      <c r="A175" t="str">
        <f>""</f>
        <v/>
      </c>
      <c r="B175" t="str">
        <f>""</f>
        <v/>
      </c>
      <c r="G175" t="str">
        <f>""</f>
        <v/>
      </c>
      <c r="H175" t="str">
        <f>""</f>
        <v/>
      </c>
      <c r="J175" t="str">
        <f>"ACCT#5000057374 / 01/03/2018"</f>
        <v>ACCT#5000057374 / 01/03/2018</v>
      </c>
    </row>
    <row r="176" spans="1:10" x14ac:dyDescent="0.3">
      <c r="A176" t="str">
        <f>""</f>
        <v/>
      </c>
      <c r="B176" t="str">
        <f>""</f>
        <v/>
      </c>
      <c r="G176" t="str">
        <f>"201801238207"</f>
        <v>201801238207</v>
      </c>
      <c r="H176" t="str">
        <f>"ACCT#5000033554 / 01/03/2018"</f>
        <v>ACCT#5000033554 / 01/03/2018</v>
      </c>
      <c r="I176" s="2">
        <v>30</v>
      </c>
      <c r="J176" t="str">
        <f>"ACCT#5000033554 / 01/03/2018"</f>
        <v>ACCT#5000033554 / 01/03/2018</v>
      </c>
    </row>
    <row r="177" spans="1:10" x14ac:dyDescent="0.3">
      <c r="A177" t="str">
        <f>"01"</f>
        <v>01</v>
      </c>
      <c r="B177" t="str">
        <f>"T5975"</f>
        <v>T5975</v>
      </c>
      <c r="C177" t="s">
        <v>68</v>
      </c>
      <c r="D177">
        <v>74846</v>
      </c>
      <c r="E177" s="2">
        <v>900</v>
      </c>
      <c r="F177" s="1">
        <v>43122</v>
      </c>
      <c r="G177" t="str">
        <f>"25122017"</f>
        <v>25122017</v>
      </c>
      <c r="H177" t="str">
        <f>"INV 25122017"</f>
        <v>INV 25122017</v>
      </c>
      <c r="I177" s="2">
        <v>900</v>
      </c>
      <c r="J177" t="str">
        <f>"INV 25122017"</f>
        <v>INV 25122017</v>
      </c>
    </row>
    <row r="178" spans="1:10" x14ac:dyDescent="0.3">
      <c r="A178" t="str">
        <f>"01"</f>
        <v>01</v>
      </c>
      <c r="B178" t="str">
        <f>"BBCI"</f>
        <v>BBCI</v>
      </c>
      <c r="C178" t="s">
        <v>69</v>
      </c>
      <c r="D178">
        <v>74847</v>
      </c>
      <c r="E178" s="2">
        <v>2599.41</v>
      </c>
      <c r="F178" s="1">
        <v>43122</v>
      </c>
      <c r="G178" t="str">
        <f>"UT1000442377/78"</f>
        <v>UT1000442377/78</v>
      </c>
      <c r="H178" t="str">
        <f>"INV UT1000442378"</f>
        <v>INV UT1000442378</v>
      </c>
      <c r="I178" s="2">
        <v>161.91</v>
      </c>
      <c r="J178" t="str">
        <f>"INV UT1000442378"</f>
        <v>INV UT1000442378</v>
      </c>
    </row>
    <row r="179" spans="1:10" x14ac:dyDescent="0.3">
      <c r="A179" t="str">
        <f>""</f>
        <v/>
      </c>
      <c r="B179" t="str">
        <f>""</f>
        <v/>
      </c>
      <c r="G179" t="str">
        <f>""</f>
        <v/>
      </c>
      <c r="H179" t="str">
        <f>""</f>
        <v/>
      </c>
      <c r="J179" t="str">
        <f>"INV UT1000442377"</f>
        <v>INV UT1000442377</v>
      </c>
    </row>
    <row r="180" spans="1:10" x14ac:dyDescent="0.3">
      <c r="A180" t="str">
        <f>""</f>
        <v/>
      </c>
      <c r="B180" t="str">
        <f>""</f>
        <v/>
      </c>
      <c r="G180" t="str">
        <f>"UT1000443126"</f>
        <v>UT1000443126</v>
      </c>
      <c r="H180" t="str">
        <f>"INV UT1000443126"</f>
        <v>INV UT1000443126</v>
      </c>
      <c r="I180" s="2">
        <v>2437.5</v>
      </c>
      <c r="J180" t="str">
        <f>"INV UT1000443126"</f>
        <v>INV UT1000443126</v>
      </c>
    </row>
    <row r="181" spans="1:10" x14ac:dyDescent="0.3">
      <c r="A181" t="str">
        <f>"01"</f>
        <v>01</v>
      </c>
      <c r="B181" t="str">
        <f>"001367"</f>
        <v>001367</v>
      </c>
      <c r="C181" t="s">
        <v>70</v>
      </c>
      <c r="D181">
        <v>74619</v>
      </c>
      <c r="E181" s="2">
        <v>21</v>
      </c>
      <c r="F181" s="1">
        <v>43108</v>
      </c>
      <c r="G181" t="str">
        <f>"REF#6934"</f>
        <v>REF#6934</v>
      </c>
      <c r="H181" t="str">
        <f>"VEHICLE INSPECTION/PCT#1"</f>
        <v>VEHICLE INSPECTION/PCT#1</v>
      </c>
      <c r="I181" s="2">
        <v>7</v>
      </c>
      <c r="J181" t="str">
        <f>"VEHICLE INSPECTION/PCT#1"</f>
        <v>VEHICLE INSPECTION/PCT#1</v>
      </c>
    </row>
    <row r="182" spans="1:10" x14ac:dyDescent="0.3">
      <c r="A182" t="str">
        <f>""</f>
        <v/>
      </c>
      <c r="B182" t="str">
        <f>""</f>
        <v/>
      </c>
      <c r="G182" t="str">
        <f>"REF#6935"</f>
        <v>REF#6935</v>
      </c>
      <c r="H182" t="str">
        <f>"VEHICLE INSPECTION"</f>
        <v>VEHICLE INSPECTION</v>
      </c>
      <c r="I182" s="2">
        <v>7</v>
      </c>
      <c r="J182" t="str">
        <f>"VEHICLE INSPECTION"</f>
        <v>VEHICLE INSPECTION</v>
      </c>
    </row>
    <row r="183" spans="1:10" x14ac:dyDescent="0.3">
      <c r="A183" t="str">
        <f>""</f>
        <v/>
      </c>
      <c r="B183" t="str">
        <f>""</f>
        <v/>
      </c>
      <c r="G183" t="str">
        <f>"REF#6936"</f>
        <v>REF#6936</v>
      </c>
      <c r="H183" t="str">
        <f>"VEHICLE INSPECTION/PCT#1"</f>
        <v>VEHICLE INSPECTION/PCT#1</v>
      </c>
      <c r="I183" s="2">
        <v>7</v>
      </c>
      <c r="J183" t="str">
        <f>"VEHICLE INSPECTION/PCT#1"</f>
        <v>VEHICLE INSPECTION/PCT#1</v>
      </c>
    </row>
    <row r="184" spans="1:10" x14ac:dyDescent="0.3">
      <c r="A184" t="str">
        <f>"01"</f>
        <v>01</v>
      </c>
      <c r="B184" t="str">
        <f>"001367"</f>
        <v>001367</v>
      </c>
      <c r="C184" t="s">
        <v>70</v>
      </c>
      <c r="D184">
        <v>74848</v>
      </c>
      <c r="E184" s="2">
        <v>3213.48</v>
      </c>
      <c r="F184" s="1">
        <v>43122</v>
      </c>
      <c r="G184" t="str">
        <f>"6920"</f>
        <v>6920</v>
      </c>
      <c r="H184" t="str">
        <f>"INV 6920/UNIT 0118"</f>
        <v>INV 6920/UNIT 0118</v>
      </c>
      <c r="I184" s="2">
        <v>371.5</v>
      </c>
      <c r="J184" t="str">
        <f>"INV 6920/UNIT 0118"</f>
        <v>INV 6920/UNIT 0118</v>
      </c>
    </row>
    <row r="185" spans="1:10" x14ac:dyDescent="0.3">
      <c r="A185" t="str">
        <f>""</f>
        <v/>
      </c>
      <c r="B185" t="str">
        <f>""</f>
        <v/>
      </c>
      <c r="G185" t="str">
        <f>"INV6913/UNIT81"</f>
        <v>INV6913/UNIT81</v>
      </c>
      <c r="H185" t="str">
        <f>"INV 6913/UNIT 81"</f>
        <v>INV 6913/UNIT 81</v>
      </c>
      <c r="I185" s="2">
        <v>873.11</v>
      </c>
      <c r="J185" t="str">
        <f>"INV 6913/UNIT 81"</f>
        <v>INV 6913/UNIT 81</v>
      </c>
    </row>
    <row r="186" spans="1:10" x14ac:dyDescent="0.3">
      <c r="A186" t="str">
        <f>""</f>
        <v/>
      </c>
      <c r="B186" t="str">
        <f>""</f>
        <v/>
      </c>
      <c r="G186" t="str">
        <f>"REF#6991"</f>
        <v>REF#6991</v>
      </c>
      <c r="H186" t="str">
        <f>"INSPECTIONS/PCT#1"</f>
        <v>INSPECTIONS/PCT#1</v>
      </c>
      <c r="I186" s="2">
        <v>14</v>
      </c>
      <c r="J186" t="str">
        <f>"INSPECTIONS/PCT#1"</f>
        <v>INSPECTIONS/PCT#1</v>
      </c>
    </row>
    <row r="187" spans="1:10" x14ac:dyDescent="0.3">
      <c r="A187" t="str">
        <f>""</f>
        <v/>
      </c>
      <c r="B187" t="str">
        <f>""</f>
        <v/>
      </c>
      <c r="G187" t="str">
        <f>"REF#7011"</f>
        <v>REF#7011</v>
      </c>
      <c r="H187" t="str">
        <f>"2017 DODGE OIL CHANGE"</f>
        <v>2017 DODGE OIL CHANGE</v>
      </c>
      <c r="I187" s="2">
        <v>39.32</v>
      </c>
      <c r="J187" t="str">
        <f>"2017 DODGE OIL CHANGE"</f>
        <v>2017 DODGE OIL CHANGE</v>
      </c>
    </row>
    <row r="188" spans="1:10" x14ac:dyDescent="0.3">
      <c r="A188" t="str">
        <f>""</f>
        <v/>
      </c>
      <c r="B188" t="str">
        <f>""</f>
        <v/>
      </c>
      <c r="G188" t="str">
        <f>"REF#7018"</f>
        <v>REF#7018</v>
      </c>
      <c r="H188" t="str">
        <f>"INSPECTION-2003 FORD F150/GEN"</f>
        <v>INSPECTION-2003 FORD F150/GEN</v>
      </c>
      <c r="I188" s="2">
        <v>7</v>
      </c>
      <c r="J188" t="str">
        <f>"INSPECTION-2003 FORD F150/GEN"</f>
        <v>INSPECTION-2003 FORD F150/GEN</v>
      </c>
    </row>
    <row r="189" spans="1:10" x14ac:dyDescent="0.3">
      <c r="A189" t="str">
        <f>""</f>
        <v/>
      </c>
      <c r="B189" t="str">
        <f>""</f>
        <v/>
      </c>
      <c r="G189" t="str">
        <f>"SO VEH MAINTENANCE"</f>
        <v>SO VEH MAINTENANCE</v>
      </c>
      <c r="H189" t="str">
        <f>"INV 6931/UNIT 6520"</f>
        <v>INV 6931/UNIT 6520</v>
      </c>
      <c r="I189" s="2">
        <v>686.57</v>
      </c>
      <c r="J189" t="str">
        <f>"INV 6931/UNIT 6520"</f>
        <v>INV 6931/UNIT 6520</v>
      </c>
    </row>
    <row r="190" spans="1:10" x14ac:dyDescent="0.3">
      <c r="A190" t="str">
        <f>""</f>
        <v/>
      </c>
      <c r="B190" t="str">
        <f>""</f>
        <v/>
      </c>
      <c r="G190" t="str">
        <f>""</f>
        <v/>
      </c>
      <c r="H190" t="str">
        <f>""</f>
        <v/>
      </c>
      <c r="J190" t="str">
        <f>"INV 6939/UNIT 0122"</f>
        <v>INV 6939/UNIT 0122</v>
      </c>
    </row>
    <row r="191" spans="1:10" x14ac:dyDescent="0.3">
      <c r="A191" t="str">
        <f>""</f>
        <v/>
      </c>
      <c r="B191" t="str">
        <f>""</f>
        <v/>
      </c>
      <c r="G191" t="str">
        <f>""</f>
        <v/>
      </c>
      <c r="H191" t="str">
        <f>""</f>
        <v/>
      </c>
      <c r="J191" t="str">
        <f>"INV 6946/UNIT 0312"</f>
        <v>INV 6946/UNIT 0312</v>
      </c>
    </row>
    <row r="192" spans="1:10" x14ac:dyDescent="0.3">
      <c r="A192" t="str">
        <f>""</f>
        <v/>
      </c>
      <c r="B192" t="str">
        <f>""</f>
        <v/>
      </c>
      <c r="G192" t="str">
        <f>""</f>
        <v/>
      </c>
      <c r="H192" t="str">
        <f>""</f>
        <v/>
      </c>
      <c r="J192" t="str">
        <f>"INV 6947/UNIT 0311"</f>
        <v>INV 6947/UNIT 0311</v>
      </c>
    </row>
    <row r="193" spans="1:10" x14ac:dyDescent="0.3">
      <c r="A193" t="str">
        <f>""</f>
        <v/>
      </c>
      <c r="B193" t="str">
        <f>""</f>
        <v/>
      </c>
      <c r="G193" t="str">
        <f>""</f>
        <v/>
      </c>
      <c r="H193" t="str">
        <f>""</f>
        <v/>
      </c>
      <c r="J193" t="str">
        <f>"INV 6951/UNIT 1630"</f>
        <v>INV 6951/UNIT 1630</v>
      </c>
    </row>
    <row r="194" spans="1:10" x14ac:dyDescent="0.3">
      <c r="A194" t="str">
        <f>""</f>
        <v/>
      </c>
      <c r="B194" t="str">
        <f>""</f>
        <v/>
      </c>
      <c r="G194" t="str">
        <f>""</f>
        <v/>
      </c>
      <c r="H194" t="str">
        <f>""</f>
        <v/>
      </c>
      <c r="J194" t="str">
        <f>"INV 6975/UNIT 0126"</f>
        <v>INV 6975/UNIT 0126</v>
      </c>
    </row>
    <row r="195" spans="1:10" x14ac:dyDescent="0.3">
      <c r="A195" t="str">
        <f>""</f>
        <v/>
      </c>
      <c r="B195" t="str">
        <f>""</f>
        <v/>
      </c>
      <c r="G195" t="str">
        <f>""</f>
        <v/>
      </c>
      <c r="H195" t="str">
        <f>""</f>
        <v/>
      </c>
      <c r="J195" t="str">
        <f>"INV 6976/UNIT 8948"</f>
        <v>INV 6976/UNIT 8948</v>
      </c>
    </row>
    <row r="196" spans="1:10" x14ac:dyDescent="0.3">
      <c r="A196" t="str">
        <f>""</f>
        <v/>
      </c>
      <c r="B196" t="str">
        <f>""</f>
        <v/>
      </c>
      <c r="G196" t="str">
        <f>""</f>
        <v/>
      </c>
      <c r="H196" t="str">
        <f>""</f>
        <v/>
      </c>
      <c r="J196" t="str">
        <f>"INV 6982/UNIT 9379"</f>
        <v>INV 6982/UNIT 9379</v>
      </c>
    </row>
    <row r="197" spans="1:10" x14ac:dyDescent="0.3">
      <c r="A197" t="str">
        <f>""</f>
        <v/>
      </c>
      <c r="B197" t="str">
        <f>""</f>
        <v/>
      </c>
      <c r="G197" t="str">
        <f>""</f>
        <v/>
      </c>
      <c r="H197" t="str">
        <f>""</f>
        <v/>
      </c>
      <c r="J197" t="str">
        <f>"INV 6986/UNIT 5273"</f>
        <v>INV 6986/UNIT 5273</v>
      </c>
    </row>
    <row r="198" spans="1:10" x14ac:dyDescent="0.3">
      <c r="A198" t="str">
        <f>""</f>
        <v/>
      </c>
      <c r="B198" t="str">
        <f>""</f>
        <v/>
      </c>
      <c r="G198" t="str">
        <f>""</f>
        <v/>
      </c>
      <c r="H198" t="str">
        <f>""</f>
        <v/>
      </c>
      <c r="J198" t="str">
        <f>"INV 6989/UNIT 0314"</f>
        <v>INV 6989/UNIT 0314</v>
      </c>
    </row>
    <row r="199" spans="1:10" x14ac:dyDescent="0.3">
      <c r="A199" t="str">
        <f>""</f>
        <v/>
      </c>
      <c r="B199" t="str">
        <f>""</f>
        <v/>
      </c>
      <c r="G199" t="str">
        <f>""</f>
        <v/>
      </c>
      <c r="H199" t="str">
        <f>""</f>
        <v/>
      </c>
      <c r="J199" t="str">
        <f>"INV 7006/UNIT 6557"</f>
        <v>INV 7006/UNIT 6557</v>
      </c>
    </row>
    <row r="200" spans="1:10" x14ac:dyDescent="0.3">
      <c r="A200" t="str">
        <f>""</f>
        <v/>
      </c>
      <c r="B200" t="str">
        <f>""</f>
        <v/>
      </c>
      <c r="G200" t="str">
        <f>""</f>
        <v/>
      </c>
      <c r="H200" t="str">
        <f>""</f>
        <v/>
      </c>
      <c r="J200" t="str">
        <f>"INV 7007/UNIT 1670"</f>
        <v>INV 7007/UNIT 1670</v>
      </c>
    </row>
    <row r="201" spans="1:10" x14ac:dyDescent="0.3">
      <c r="A201" t="str">
        <f>""</f>
        <v/>
      </c>
      <c r="B201" t="str">
        <f>""</f>
        <v/>
      </c>
      <c r="G201" t="str">
        <f>""</f>
        <v/>
      </c>
      <c r="H201" t="str">
        <f>""</f>
        <v/>
      </c>
      <c r="J201" t="str">
        <f>"INV 7012/UNIT 6520"</f>
        <v>INV 7012/UNIT 6520</v>
      </c>
    </row>
    <row r="202" spans="1:10" x14ac:dyDescent="0.3">
      <c r="A202" t="str">
        <f>""</f>
        <v/>
      </c>
      <c r="B202" t="str">
        <f>""</f>
        <v/>
      </c>
      <c r="G202" t="str">
        <f>""</f>
        <v/>
      </c>
      <c r="H202" t="str">
        <f>""</f>
        <v/>
      </c>
      <c r="J202" t="str">
        <f>"INV 7013/UNIT 8968"</f>
        <v>INV 7013/UNIT 8968</v>
      </c>
    </row>
    <row r="203" spans="1:10" x14ac:dyDescent="0.3">
      <c r="A203" t="str">
        <f>""</f>
        <v/>
      </c>
      <c r="B203" t="str">
        <f>""</f>
        <v/>
      </c>
      <c r="G203" t="str">
        <f>"VEHICLE MAINT-SHER"</f>
        <v>VEHICLE MAINT-SHER</v>
      </c>
      <c r="H203" t="str">
        <f>"INV 6915/UNIT 1666"</f>
        <v>INV 6915/UNIT 1666</v>
      </c>
      <c r="I203" s="2">
        <v>662.42</v>
      </c>
      <c r="J203" t="str">
        <f>"INV 6915/UNIT 1666"</f>
        <v>INV 6915/UNIT 1666</v>
      </c>
    </row>
    <row r="204" spans="1:10" x14ac:dyDescent="0.3">
      <c r="A204" t="str">
        <f>""</f>
        <v/>
      </c>
      <c r="B204" t="str">
        <f>""</f>
        <v/>
      </c>
      <c r="G204" t="str">
        <f>""</f>
        <v/>
      </c>
      <c r="H204" t="str">
        <f>""</f>
        <v/>
      </c>
      <c r="J204" t="str">
        <f>"INV 6917/UNIT 6541"</f>
        <v>INV 6917/UNIT 6541</v>
      </c>
    </row>
    <row r="205" spans="1:10" x14ac:dyDescent="0.3">
      <c r="A205" t="str">
        <f>""</f>
        <v/>
      </c>
      <c r="B205" t="str">
        <f>""</f>
        <v/>
      </c>
      <c r="G205" t="str">
        <f>""</f>
        <v/>
      </c>
      <c r="H205" t="str">
        <f>""</f>
        <v/>
      </c>
      <c r="J205" t="str">
        <f>"INV 6918/UNIT 6486"</f>
        <v>INV 6918/UNIT 6486</v>
      </c>
    </row>
    <row r="206" spans="1:10" x14ac:dyDescent="0.3">
      <c r="A206" t="str">
        <f>""</f>
        <v/>
      </c>
      <c r="B206" t="str">
        <f>""</f>
        <v/>
      </c>
      <c r="G206" t="str">
        <f>""</f>
        <v/>
      </c>
      <c r="H206" t="str">
        <f>""</f>
        <v/>
      </c>
      <c r="J206" t="str">
        <f>"INV 6919/UNIT 0118"</f>
        <v>INV 6919/UNIT 0118</v>
      </c>
    </row>
    <row r="207" spans="1:10" x14ac:dyDescent="0.3">
      <c r="A207" t="str">
        <f>""</f>
        <v/>
      </c>
      <c r="B207" t="str">
        <f>""</f>
        <v/>
      </c>
      <c r="G207" t="str">
        <f>""</f>
        <v/>
      </c>
      <c r="H207" t="str">
        <f>""</f>
        <v/>
      </c>
      <c r="J207" t="str">
        <f>"INV 6921/UNIT 4717"</f>
        <v>INV 6921/UNIT 4717</v>
      </c>
    </row>
    <row r="208" spans="1:10" x14ac:dyDescent="0.3">
      <c r="A208" t="str">
        <f>""</f>
        <v/>
      </c>
      <c r="B208" t="str">
        <f>""</f>
        <v/>
      </c>
      <c r="G208" t="str">
        <f>""</f>
        <v/>
      </c>
      <c r="H208" t="str">
        <f>""</f>
        <v/>
      </c>
      <c r="J208" t="str">
        <f>"INV 6924/UNIT 3805"</f>
        <v>INV 6924/UNIT 3805</v>
      </c>
    </row>
    <row r="209" spans="1:10" x14ac:dyDescent="0.3">
      <c r="A209" t="str">
        <f>""</f>
        <v/>
      </c>
      <c r="B209" t="str">
        <f>""</f>
        <v/>
      </c>
      <c r="G209" t="str">
        <f>""</f>
        <v/>
      </c>
      <c r="H209" t="str">
        <f>""</f>
        <v/>
      </c>
      <c r="J209" t="str">
        <f>"INV 6925/UNIT 3804"</f>
        <v>INV 6925/UNIT 3804</v>
      </c>
    </row>
    <row r="210" spans="1:10" x14ac:dyDescent="0.3">
      <c r="A210" t="str">
        <f>""</f>
        <v/>
      </c>
      <c r="B210" t="str">
        <f>""</f>
        <v/>
      </c>
      <c r="G210" t="str">
        <f>""</f>
        <v/>
      </c>
      <c r="H210" t="str">
        <f>""</f>
        <v/>
      </c>
      <c r="J210" t="str">
        <f>"INV 6985/UNIT 0311"</f>
        <v>INV 6985/UNIT 0311</v>
      </c>
    </row>
    <row r="211" spans="1:10" x14ac:dyDescent="0.3">
      <c r="A211" t="str">
        <f>""</f>
        <v/>
      </c>
      <c r="B211" t="str">
        <f>""</f>
        <v/>
      </c>
      <c r="G211" t="str">
        <f>""</f>
        <v/>
      </c>
      <c r="H211" t="str">
        <f>""</f>
        <v/>
      </c>
      <c r="J211" t="str">
        <f>"INV 7029/UNIT 6535"</f>
        <v>INV 7029/UNIT 6535</v>
      </c>
    </row>
    <row r="212" spans="1:10" x14ac:dyDescent="0.3">
      <c r="A212" t="str">
        <f>""</f>
        <v/>
      </c>
      <c r="B212" t="str">
        <f>""</f>
        <v/>
      </c>
      <c r="G212" t="str">
        <f>""</f>
        <v/>
      </c>
      <c r="H212" t="str">
        <f>""</f>
        <v/>
      </c>
      <c r="J212" t="str">
        <f>"INV 7043/UNIT 1663"</f>
        <v>INV 7043/UNIT 1663</v>
      </c>
    </row>
    <row r="213" spans="1:10" x14ac:dyDescent="0.3">
      <c r="A213" t="str">
        <f>""</f>
        <v/>
      </c>
      <c r="B213" t="str">
        <f>""</f>
        <v/>
      </c>
      <c r="G213" t="str">
        <f>""</f>
        <v/>
      </c>
      <c r="H213" t="str">
        <f>""</f>
        <v/>
      </c>
      <c r="J213" t="str">
        <f>"INV 7051/UNIT 4717"</f>
        <v>INV 7051/UNIT 4717</v>
      </c>
    </row>
    <row r="214" spans="1:10" x14ac:dyDescent="0.3">
      <c r="A214" t="str">
        <f>""</f>
        <v/>
      </c>
      <c r="B214" t="str">
        <f>""</f>
        <v/>
      </c>
      <c r="G214" t="str">
        <f>"VEHICLE MAINT-SO"</f>
        <v>VEHICLE MAINT-SO</v>
      </c>
      <c r="H214" t="str">
        <f>"INV 6865/UNIT 6556"</f>
        <v>INV 6865/UNIT 6556</v>
      </c>
      <c r="I214" s="2">
        <v>559.55999999999995</v>
      </c>
      <c r="J214" t="str">
        <f>"INV 6865/UNIT 6556"</f>
        <v>INV 6865/UNIT 6556</v>
      </c>
    </row>
    <row r="215" spans="1:10" x14ac:dyDescent="0.3">
      <c r="A215" t="str">
        <f>""</f>
        <v/>
      </c>
      <c r="B215" t="str">
        <f>""</f>
        <v/>
      </c>
      <c r="G215" t="str">
        <f>""</f>
        <v/>
      </c>
      <c r="H215" t="str">
        <f>""</f>
        <v/>
      </c>
      <c r="J215" t="str">
        <f>"INV 6872/UNIT 6499"</f>
        <v>INV 6872/UNIT 6499</v>
      </c>
    </row>
    <row r="216" spans="1:10" x14ac:dyDescent="0.3">
      <c r="A216" t="str">
        <f>""</f>
        <v/>
      </c>
      <c r="B216" t="str">
        <f>""</f>
        <v/>
      </c>
      <c r="G216" t="str">
        <f>""</f>
        <v/>
      </c>
      <c r="H216" t="str">
        <f>""</f>
        <v/>
      </c>
      <c r="J216" t="str">
        <f>"INV 6875/UNIT 0120"</f>
        <v>INV 6875/UNIT 0120</v>
      </c>
    </row>
    <row r="217" spans="1:10" x14ac:dyDescent="0.3">
      <c r="A217" t="str">
        <f>""</f>
        <v/>
      </c>
      <c r="B217" t="str">
        <f>""</f>
        <v/>
      </c>
      <c r="G217" t="str">
        <f>""</f>
        <v/>
      </c>
      <c r="H217" t="str">
        <f>""</f>
        <v/>
      </c>
      <c r="J217" t="str">
        <f>"INV 6883/UNIT 6502"</f>
        <v>INV 6883/UNIT 6502</v>
      </c>
    </row>
    <row r="218" spans="1:10" x14ac:dyDescent="0.3">
      <c r="A218" t="str">
        <f>""</f>
        <v/>
      </c>
      <c r="B218" t="str">
        <f>""</f>
        <v/>
      </c>
      <c r="G218" t="str">
        <f>""</f>
        <v/>
      </c>
      <c r="H218" t="str">
        <f>""</f>
        <v/>
      </c>
      <c r="J218" t="str">
        <f>"INV 6888/UNIT 4718"</f>
        <v>INV 6888/UNIT 4718</v>
      </c>
    </row>
    <row r="219" spans="1:10" x14ac:dyDescent="0.3">
      <c r="A219" t="str">
        <f>""</f>
        <v/>
      </c>
      <c r="B219" t="str">
        <f>""</f>
        <v/>
      </c>
      <c r="G219" t="str">
        <f>""</f>
        <v/>
      </c>
      <c r="H219" t="str">
        <f>""</f>
        <v/>
      </c>
      <c r="J219" t="str">
        <f>"INV 6903/UNIT 6535"</f>
        <v>INV 6903/UNIT 6535</v>
      </c>
    </row>
    <row r="220" spans="1:10" x14ac:dyDescent="0.3">
      <c r="A220" t="str">
        <f>""</f>
        <v/>
      </c>
      <c r="B220" t="str">
        <f>""</f>
        <v/>
      </c>
      <c r="G220" t="str">
        <f>""</f>
        <v/>
      </c>
      <c r="H220" t="str">
        <f>""</f>
        <v/>
      </c>
      <c r="J220" t="str">
        <f>"INV 6905/UNIT 0125"</f>
        <v>INV 6905/UNIT 0125</v>
      </c>
    </row>
    <row r="221" spans="1:10" x14ac:dyDescent="0.3">
      <c r="A221" t="str">
        <f>""</f>
        <v/>
      </c>
      <c r="B221" t="str">
        <f>""</f>
        <v/>
      </c>
      <c r="G221" t="str">
        <f>""</f>
        <v/>
      </c>
      <c r="H221" t="str">
        <f>""</f>
        <v/>
      </c>
      <c r="J221" t="str">
        <f>"INV 6912/UNIT 91"</f>
        <v>INV 6912/UNIT 91</v>
      </c>
    </row>
    <row r="222" spans="1:10" x14ac:dyDescent="0.3">
      <c r="A222" t="str">
        <f>"01"</f>
        <v>01</v>
      </c>
      <c r="B222" t="str">
        <f>"004016"</f>
        <v>004016</v>
      </c>
      <c r="C222" t="s">
        <v>71</v>
      </c>
      <c r="D222">
        <v>74620</v>
      </c>
      <c r="E222" s="2">
        <v>200</v>
      </c>
      <c r="F222" s="1">
        <v>43108</v>
      </c>
      <c r="G222" t="str">
        <f>"201801027604"</f>
        <v>201801027604</v>
      </c>
      <c r="H222" t="str">
        <f>"FERAL HOGS"</f>
        <v>FERAL HOGS</v>
      </c>
      <c r="I222" s="2">
        <v>200</v>
      </c>
      <c r="J222" t="str">
        <f>"FERAL HOGS"</f>
        <v>FERAL HOGS</v>
      </c>
    </row>
    <row r="223" spans="1:10" x14ac:dyDescent="0.3">
      <c r="A223" t="str">
        <f>"01"</f>
        <v>01</v>
      </c>
      <c r="B223" t="str">
        <f>"004069"</f>
        <v>004069</v>
      </c>
      <c r="C223" t="s">
        <v>72</v>
      </c>
      <c r="D223">
        <v>74621</v>
      </c>
      <c r="E223" s="2">
        <v>190.95</v>
      </c>
      <c r="F223" s="1">
        <v>43108</v>
      </c>
      <c r="G223" t="str">
        <f>"90715"</f>
        <v>90715</v>
      </c>
      <c r="H223" t="str">
        <f>"ACCT#1268/PCT#3"</f>
        <v>ACCT#1268/PCT#3</v>
      </c>
      <c r="I223" s="2">
        <v>190.95</v>
      </c>
      <c r="J223" t="str">
        <f>"ACCT#1268/PCT#3"</f>
        <v>ACCT#1268/PCT#3</v>
      </c>
    </row>
    <row r="224" spans="1:10" x14ac:dyDescent="0.3">
      <c r="A224" t="str">
        <f>"01"</f>
        <v>01</v>
      </c>
      <c r="B224" t="str">
        <f>"004069"</f>
        <v>004069</v>
      </c>
      <c r="C224" t="s">
        <v>72</v>
      </c>
      <c r="D224">
        <v>74849</v>
      </c>
      <c r="E224" s="2">
        <v>852.06</v>
      </c>
      <c r="F224" s="1">
        <v>43122</v>
      </c>
      <c r="G224" t="str">
        <f>"91040"</f>
        <v>91040</v>
      </c>
      <c r="H224" t="str">
        <f>"ACCT#1268/PCT#3"</f>
        <v>ACCT#1268/PCT#3</v>
      </c>
      <c r="I224" s="2">
        <v>284.70999999999998</v>
      </c>
      <c r="J224" t="str">
        <f>"ACCT#1268/PCT#3"</f>
        <v>ACCT#1268/PCT#3</v>
      </c>
    </row>
    <row r="225" spans="1:10" x14ac:dyDescent="0.3">
      <c r="A225" t="str">
        <f>""</f>
        <v/>
      </c>
      <c r="B225" t="str">
        <f>""</f>
        <v/>
      </c>
      <c r="G225" t="str">
        <f>"91156"</f>
        <v>91156</v>
      </c>
      <c r="H225" t="str">
        <f>"ACCT#1268/PCT#3"</f>
        <v>ACCT#1268/PCT#3</v>
      </c>
      <c r="I225" s="2">
        <v>567.35</v>
      </c>
      <c r="J225" t="str">
        <f>"ACCT#1268/PCT#3"</f>
        <v>ACCT#1268/PCT#3</v>
      </c>
    </row>
    <row r="226" spans="1:10" x14ac:dyDescent="0.3">
      <c r="A226" t="str">
        <f t="shared" ref="A226:A233" si="4">"01"</f>
        <v>01</v>
      </c>
      <c r="B226" t="str">
        <f>"T14544"</f>
        <v>T14544</v>
      </c>
      <c r="C226" t="s">
        <v>73</v>
      </c>
      <c r="D226">
        <v>74622</v>
      </c>
      <c r="E226" s="2">
        <v>120</v>
      </c>
      <c r="F226" s="1">
        <v>43108</v>
      </c>
      <c r="G226" t="str">
        <f>"201801027658"</f>
        <v>201801027658</v>
      </c>
      <c r="H226" t="str">
        <f>"PER DIEM"</f>
        <v>PER DIEM</v>
      </c>
      <c r="I226" s="2">
        <v>120</v>
      </c>
      <c r="J226" t="str">
        <f>"PER DIEM"</f>
        <v>PER DIEM</v>
      </c>
    </row>
    <row r="227" spans="1:10" x14ac:dyDescent="0.3">
      <c r="A227" t="str">
        <f t="shared" si="4"/>
        <v>01</v>
      </c>
      <c r="B227" t="str">
        <f>"002356"</f>
        <v>002356</v>
      </c>
      <c r="C227" t="s">
        <v>74</v>
      </c>
      <c r="D227">
        <v>74623</v>
      </c>
      <c r="E227" s="2">
        <v>15</v>
      </c>
      <c r="F227" s="1">
        <v>43108</v>
      </c>
      <c r="G227" t="str">
        <f>"17-18789"</f>
        <v>17-18789</v>
      </c>
      <c r="H227" t="str">
        <f>"CENTRAL ADOPTION REGISTRY FUND"</f>
        <v>CENTRAL ADOPTION REGISTRY FUND</v>
      </c>
      <c r="I227" s="2">
        <v>15</v>
      </c>
      <c r="J227" t="str">
        <f>"CENTRAL ADOPTION REGISTRY FUND"</f>
        <v>CENTRAL ADOPTION REGISTRY FUND</v>
      </c>
    </row>
    <row r="228" spans="1:10" x14ac:dyDescent="0.3">
      <c r="A228" t="str">
        <f t="shared" si="4"/>
        <v>01</v>
      </c>
      <c r="B228" t="str">
        <f>"002356"</f>
        <v>002356</v>
      </c>
      <c r="C228" t="s">
        <v>74</v>
      </c>
      <c r="D228">
        <v>74850</v>
      </c>
      <c r="E228" s="2">
        <v>15</v>
      </c>
      <c r="F228" s="1">
        <v>43122</v>
      </c>
      <c r="G228" t="str">
        <f>"17-18726"</f>
        <v>17-18726</v>
      </c>
      <c r="H228" t="str">
        <f>"CENTRAL ADOPTION REGISTRY"</f>
        <v>CENTRAL ADOPTION REGISTRY</v>
      </c>
      <c r="I228" s="2">
        <v>15</v>
      </c>
      <c r="J228" t="str">
        <f>"CENTRAL ADOPTION REGISTRY"</f>
        <v>CENTRAL ADOPTION REGISTRY</v>
      </c>
    </row>
    <row r="229" spans="1:10" x14ac:dyDescent="0.3">
      <c r="A229" t="str">
        <f t="shared" si="4"/>
        <v>01</v>
      </c>
      <c r="B229" t="str">
        <f>"005379"</f>
        <v>005379</v>
      </c>
      <c r="C229" t="s">
        <v>75</v>
      </c>
      <c r="D229">
        <v>74851</v>
      </c>
      <c r="E229" s="2">
        <v>210</v>
      </c>
      <c r="F229" s="1">
        <v>43122</v>
      </c>
      <c r="G229" t="str">
        <f>"201801108094"</f>
        <v>201801108094</v>
      </c>
      <c r="H229" t="str">
        <f>"FERAL HOGS"</f>
        <v>FERAL HOGS</v>
      </c>
      <c r="I229" s="2">
        <v>210</v>
      </c>
      <c r="J229" t="str">
        <f>"FERAL HOGS"</f>
        <v>FERAL HOGS</v>
      </c>
    </row>
    <row r="230" spans="1:10" x14ac:dyDescent="0.3">
      <c r="A230" t="str">
        <f t="shared" si="4"/>
        <v>01</v>
      </c>
      <c r="B230" t="str">
        <f>"005267"</f>
        <v>005267</v>
      </c>
      <c r="C230" t="s">
        <v>76</v>
      </c>
      <c r="D230">
        <v>74586</v>
      </c>
      <c r="E230" s="2">
        <v>6475</v>
      </c>
      <c r="F230" s="1">
        <v>43102</v>
      </c>
      <c r="G230" t="str">
        <f>"1379 Reissue"</f>
        <v>1379 Reissue</v>
      </c>
      <c r="H230" t="str">
        <f>"50% Draw on Surgical Center"</f>
        <v>50% Draw on Surgical Center</v>
      </c>
      <c r="I230" s="2">
        <v>6475</v>
      </c>
      <c r="J230" t="str">
        <f>"50% Draw on Surgical Center"</f>
        <v>50% Draw on Surgical Center</v>
      </c>
    </row>
    <row r="231" spans="1:10" x14ac:dyDescent="0.3">
      <c r="A231" t="str">
        <f t="shared" si="4"/>
        <v>01</v>
      </c>
      <c r="B231" t="str">
        <f>"T12518"</f>
        <v>T12518</v>
      </c>
      <c r="C231" t="s">
        <v>77</v>
      </c>
      <c r="D231">
        <v>74852</v>
      </c>
      <c r="E231" s="2">
        <v>30</v>
      </c>
      <c r="F231" s="1">
        <v>43122</v>
      </c>
      <c r="G231" t="str">
        <f>"TRAINING-T.THAMES"</f>
        <v>TRAINING-T.THAMES</v>
      </c>
      <c r="H231" t="str">
        <f>"INV"</f>
        <v>INV</v>
      </c>
      <c r="I231" s="2">
        <v>30</v>
      </c>
      <c r="J231" t="str">
        <f>"T. THAMES 1/25/2018"</f>
        <v>T. THAMES 1/25/2018</v>
      </c>
    </row>
    <row r="232" spans="1:10" x14ac:dyDescent="0.3">
      <c r="A232" t="str">
        <f t="shared" si="4"/>
        <v>01</v>
      </c>
      <c r="B232" t="str">
        <f>"002723"</f>
        <v>002723</v>
      </c>
      <c r="C232" t="s">
        <v>78</v>
      </c>
      <c r="D232">
        <v>74853</v>
      </c>
      <c r="E232" s="2">
        <v>325</v>
      </c>
      <c r="F232" s="1">
        <v>43122</v>
      </c>
      <c r="G232" t="str">
        <f>"15331"</f>
        <v>15331</v>
      </c>
      <c r="H232" t="str">
        <f>"1ST QTR MAINTENANCE/GEN SVCS"</f>
        <v>1ST QTR MAINTENANCE/GEN SVCS</v>
      </c>
      <c r="I232" s="2">
        <v>325</v>
      </c>
      <c r="J232" t="str">
        <f>"1ST QTR MAINTENANCE/GEN SVCS"</f>
        <v>1ST QTR MAINTENANCE/GEN SVCS</v>
      </c>
    </row>
    <row r="233" spans="1:10" x14ac:dyDescent="0.3">
      <c r="A233" t="str">
        <f t="shared" si="4"/>
        <v>01</v>
      </c>
      <c r="B233" t="str">
        <f>"005343"</f>
        <v>005343</v>
      </c>
      <c r="C233" t="s">
        <v>79</v>
      </c>
      <c r="D233">
        <v>74854</v>
      </c>
      <c r="E233" s="2">
        <v>4166.67</v>
      </c>
      <c r="F233" s="1">
        <v>43122</v>
      </c>
      <c r="G233" t="str">
        <f>"IN516535"</f>
        <v>IN516535</v>
      </c>
      <c r="H233" t="str">
        <f>"DocuSign - IT"</f>
        <v>DocuSign - IT</v>
      </c>
      <c r="I233" s="2">
        <v>4166.67</v>
      </c>
      <c r="J233" t="str">
        <f>"DocuSign Pro"</f>
        <v>DocuSign Pro</v>
      </c>
    </row>
    <row r="234" spans="1:10" x14ac:dyDescent="0.3">
      <c r="A234" t="str">
        <f>""</f>
        <v/>
      </c>
      <c r="B234" t="str">
        <f>""</f>
        <v/>
      </c>
      <c r="G234" t="str">
        <f>""</f>
        <v/>
      </c>
      <c r="H234" t="str">
        <f>""</f>
        <v/>
      </c>
      <c r="J234" t="str">
        <f>"Premier Support"</f>
        <v>Premier Support</v>
      </c>
    </row>
    <row r="235" spans="1:10" x14ac:dyDescent="0.3">
      <c r="A235" t="str">
        <f>""</f>
        <v/>
      </c>
      <c r="B235" t="str">
        <f>""</f>
        <v/>
      </c>
      <c r="G235" t="str">
        <f>""</f>
        <v/>
      </c>
      <c r="H235" t="str">
        <f>""</f>
        <v/>
      </c>
      <c r="J235" t="str">
        <f>"Adopition QuickStart"</f>
        <v>Adopition QuickStart</v>
      </c>
    </row>
    <row r="236" spans="1:10" x14ac:dyDescent="0.3">
      <c r="A236" t="str">
        <f>"01"</f>
        <v>01</v>
      </c>
      <c r="B236" t="str">
        <f>"002726"</f>
        <v>002726</v>
      </c>
      <c r="C236" t="s">
        <v>80</v>
      </c>
      <c r="D236">
        <v>74624</v>
      </c>
      <c r="E236" s="2">
        <v>1262.4000000000001</v>
      </c>
      <c r="F236" s="1">
        <v>43108</v>
      </c>
      <c r="G236" t="str">
        <f>"ACCT#XXXX 0058"</f>
        <v>ACCT#XXXX 0058</v>
      </c>
      <c r="H236" t="str">
        <f>"Acct# 0058"</f>
        <v>Acct# 0058</v>
      </c>
      <c r="I236" s="2">
        <v>1262.4000000000001</v>
      </c>
      <c r="J236" t="str">
        <f>"TeachuComp"</f>
        <v>TeachuComp</v>
      </c>
    </row>
    <row r="237" spans="1:10" x14ac:dyDescent="0.3">
      <c r="A237" t="str">
        <f>""</f>
        <v/>
      </c>
      <c r="B237" t="str">
        <f>""</f>
        <v/>
      </c>
      <c r="G237" t="str">
        <f>""</f>
        <v/>
      </c>
      <c r="H237" t="str">
        <f>""</f>
        <v/>
      </c>
      <c r="J237" t="str">
        <f>"TxPPA"</f>
        <v>TxPPA</v>
      </c>
    </row>
    <row r="238" spans="1:10" x14ac:dyDescent="0.3">
      <c r="A238" t="str">
        <f>""</f>
        <v/>
      </c>
      <c r="B238" t="str">
        <f>""</f>
        <v/>
      </c>
      <c r="G238" t="str">
        <f>""</f>
        <v/>
      </c>
      <c r="H238" t="str">
        <f>""</f>
        <v/>
      </c>
      <c r="J238" t="str">
        <f>"National PERLA"</f>
        <v>National PERLA</v>
      </c>
    </row>
    <row r="239" spans="1:10" x14ac:dyDescent="0.3">
      <c r="A239" t="str">
        <f>""</f>
        <v/>
      </c>
      <c r="B239" t="str">
        <f>""</f>
        <v/>
      </c>
      <c r="G239" t="str">
        <f>""</f>
        <v/>
      </c>
      <c r="H239" t="str">
        <f>""</f>
        <v/>
      </c>
      <c r="J239" t="str">
        <f>"JC Penny Credit"</f>
        <v>JC Penny Credit</v>
      </c>
    </row>
    <row r="240" spans="1:10" x14ac:dyDescent="0.3">
      <c r="A240" t="str">
        <f>""</f>
        <v/>
      </c>
      <c r="B240" t="str">
        <f>""</f>
        <v/>
      </c>
      <c r="G240" t="str">
        <f>""</f>
        <v/>
      </c>
      <c r="H240" t="str">
        <f>""</f>
        <v/>
      </c>
      <c r="J240" t="str">
        <f>"Jc Penny Credit"</f>
        <v>Jc Penny Credit</v>
      </c>
    </row>
    <row r="241" spans="1:10" x14ac:dyDescent="0.3">
      <c r="A241" t="str">
        <f>""</f>
        <v/>
      </c>
      <c r="B241" t="str">
        <f>""</f>
        <v/>
      </c>
      <c r="G241" t="str">
        <f>""</f>
        <v/>
      </c>
      <c r="H241" t="str">
        <f>""</f>
        <v/>
      </c>
      <c r="J241" t="str">
        <f>"Jc Penny Credit"</f>
        <v>Jc Penny Credit</v>
      </c>
    </row>
    <row r="242" spans="1:10" x14ac:dyDescent="0.3">
      <c r="A242" t="str">
        <f>""</f>
        <v/>
      </c>
      <c r="B242" t="str">
        <f>""</f>
        <v/>
      </c>
      <c r="G242" t="str">
        <f>""</f>
        <v/>
      </c>
      <c r="H242" t="str">
        <f>""</f>
        <v/>
      </c>
      <c r="J242" t="str">
        <f>"Irrigation Outlet"</f>
        <v>Irrigation Outlet</v>
      </c>
    </row>
    <row r="243" spans="1:10" x14ac:dyDescent="0.3">
      <c r="A243" t="str">
        <f>""</f>
        <v/>
      </c>
      <c r="B243" t="str">
        <f>""</f>
        <v/>
      </c>
      <c r="G243" t="str">
        <f>""</f>
        <v/>
      </c>
      <c r="H243" t="str">
        <f>""</f>
        <v/>
      </c>
      <c r="J243" t="str">
        <f>"Joe Fly"</f>
        <v>Joe Fly</v>
      </c>
    </row>
    <row r="244" spans="1:10" x14ac:dyDescent="0.3">
      <c r="A244" t="str">
        <f>""</f>
        <v/>
      </c>
      <c r="B244" t="str">
        <f>""</f>
        <v/>
      </c>
      <c r="G244" t="str">
        <f>""</f>
        <v/>
      </c>
      <c r="H244" t="str">
        <f>""</f>
        <v/>
      </c>
      <c r="J244" t="str">
        <f>"N-Line"</f>
        <v>N-Line</v>
      </c>
    </row>
    <row r="245" spans="1:10" x14ac:dyDescent="0.3">
      <c r="A245" t="str">
        <f>""</f>
        <v/>
      </c>
      <c r="B245" t="str">
        <f>""</f>
        <v/>
      </c>
      <c r="G245" t="str">
        <f>""</f>
        <v/>
      </c>
      <c r="H245" t="str">
        <f>""</f>
        <v/>
      </c>
      <c r="J245" t="str">
        <f>"Rosanna Garza"</f>
        <v>Rosanna Garza</v>
      </c>
    </row>
    <row r="246" spans="1:10" x14ac:dyDescent="0.3">
      <c r="A246" t="str">
        <f>""</f>
        <v/>
      </c>
      <c r="B246" t="str">
        <f>""</f>
        <v/>
      </c>
      <c r="G246" t="str">
        <f>""</f>
        <v/>
      </c>
      <c r="H246" t="str">
        <f>""</f>
        <v/>
      </c>
      <c r="J246" t="str">
        <f>"Annette Murley"</f>
        <v>Annette Murley</v>
      </c>
    </row>
    <row r="247" spans="1:10" x14ac:dyDescent="0.3">
      <c r="A247" t="str">
        <f>""</f>
        <v/>
      </c>
      <c r="B247" t="str">
        <f>""</f>
        <v/>
      </c>
      <c r="G247" t="str">
        <f>""</f>
        <v/>
      </c>
      <c r="H247" t="str">
        <f>""</f>
        <v/>
      </c>
      <c r="J247" t="str">
        <f>"Robert Bennet"</f>
        <v>Robert Bennet</v>
      </c>
    </row>
    <row r="248" spans="1:10" x14ac:dyDescent="0.3">
      <c r="A248" t="str">
        <f>""</f>
        <v/>
      </c>
      <c r="B248" t="str">
        <f>""</f>
        <v/>
      </c>
      <c r="G248" t="str">
        <f>""</f>
        <v/>
      </c>
      <c r="H248" t="str">
        <f>""</f>
        <v/>
      </c>
      <c r="J248" t="str">
        <f>"Charles Adams"</f>
        <v>Charles Adams</v>
      </c>
    </row>
    <row r="249" spans="1:10" x14ac:dyDescent="0.3">
      <c r="A249" t="str">
        <f>""</f>
        <v/>
      </c>
      <c r="B249" t="str">
        <f>""</f>
        <v/>
      </c>
      <c r="G249" t="str">
        <f>""</f>
        <v/>
      </c>
      <c r="H249" t="str">
        <f>""</f>
        <v/>
      </c>
      <c r="J249" t="str">
        <f>"Kenneth Leatherwood"</f>
        <v>Kenneth Leatherwood</v>
      </c>
    </row>
    <row r="250" spans="1:10" x14ac:dyDescent="0.3">
      <c r="A250" t="str">
        <f>""</f>
        <v/>
      </c>
      <c r="B250" t="str">
        <f>""</f>
        <v/>
      </c>
      <c r="G250" t="str">
        <f>""</f>
        <v/>
      </c>
      <c r="H250" t="str">
        <f>""</f>
        <v/>
      </c>
      <c r="J250" t="str">
        <f>"QC Supplu"</f>
        <v>QC Supplu</v>
      </c>
    </row>
    <row r="251" spans="1:10" x14ac:dyDescent="0.3">
      <c r="A251" t="str">
        <f>""</f>
        <v/>
      </c>
      <c r="B251" t="str">
        <f>""</f>
        <v/>
      </c>
      <c r="G251" t="str">
        <f>""</f>
        <v/>
      </c>
      <c r="H251" t="str">
        <f>""</f>
        <v/>
      </c>
      <c r="J251" t="str">
        <f>"ValleyVet"</f>
        <v>ValleyVet</v>
      </c>
    </row>
    <row r="252" spans="1:10" x14ac:dyDescent="0.3">
      <c r="A252" t="str">
        <f>""</f>
        <v/>
      </c>
      <c r="B252" t="str">
        <f>""</f>
        <v/>
      </c>
      <c r="G252" t="str">
        <f>""</f>
        <v/>
      </c>
      <c r="H252" t="str">
        <f>""</f>
        <v/>
      </c>
      <c r="J252" t="str">
        <f>"Academy"</f>
        <v>Academy</v>
      </c>
    </row>
    <row r="253" spans="1:10" x14ac:dyDescent="0.3">
      <c r="A253" t="str">
        <f>""</f>
        <v/>
      </c>
      <c r="B253" t="str">
        <f>""</f>
        <v/>
      </c>
      <c r="G253" t="str">
        <f>""</f>
        <v/>
      </c>
      <c r="H253" t="str">
        <f>""</f>
        <v/>
      </c>
      <c r="J253" t="str">
        <f>"Sears"</f>
        <v>Sears</v>
      </c>
    </row>
    <row r="254" spans="1:10" x14ac:dyDescent="0.3">
      <c r="A254" t="str">
        <f>""</f>
        <v/>
      </c>
      <c r="B254" t="str">
        <f>""</f>
        <v/>
      </c>
      <c r="G254" t="str">
        <f>""</f>
        <v/>
      </c>
      <c r="H254" t="str">
        <f>""</f>
        <v/>
      </c>
      <c r="J254" t="str">
        <f>"HE-Gov."</f>
        <v>HE-Gov.</v>
      </c>
    </row>
    <row r="255" spans="1:10" x14ac:dyDescent="0.3">
      <c r="A255" t="str">
        <f>""</f>
        <v/>
      </c>
      <c r="B255" t="str">
        <f>""</f>
        <v/>
      </c>
      <c r="G255" t="str">
        <f>""</f>
        <v/>
      </c>
      <c r="H255" t="str">
        <f>""</f>
        <v/>
      </c>
      <c r="J255" t="str">
        <f>"Southwest-Grace"</f>
        <v>Southwest-Grace</v>
      </c>
    </row>
    <row r="256" spans="1:10" x14ac:dyDescent="0.3">
      <c r="A256" t="str">
        <f>""</f>
        <v/>
      </c>
      <c r="B256" t="str">
        <f>""</f>
        <v/>
      </c>
      <c r="G256" t="str">
        <f>""</f>
        <v/>
      </c>
      <c r="H256" t="str">
        <f>""</f>
        <v/>
      </c>
      <c r="J256" t="str">
        <f>"Southwest-Bidgette"</f>
        <v>Southwest-Bidgette</v>
      </c>
    </row>
    <row r="257" spans="1:10" x14ac:dyDescent="0.3">
      <c r="A257" t="str">
        <f>"01"</f>
        <v>01</v>
      </c>
      <c r="B257" t="str">
        <f>"CARD"</f>
        <v>CARD</v>
      </c>
      <c r="C257" t="s">
        <v>80</v>
      </c>
      <c r="D257">
        <v>74855</v>
      </c>
      <c r="E257" s="2">
        <v>385.24</v>
      </c>
      <c r="F257" s="1">
        <v>43122</v>
      </c>
      <c r="G257" t="str">
        <f>"ACCT0574"</f>
        <v>ACCT0574</v>
      </c>
      <c r="H257" t="str">
        <f>"#0574  11/23 -  12/22"</f>
        <v>#0574  11/23 -  12/22</v>
      </c>
      <c r="I257" s="2">
        <v>385.24</v>
      </c>
      <c r="J257" t="str">
        <f>"ACADEMY"</f>
        <v>ACADEMY</v>
      </c>
    </row>
    <row r="258" spans="1:10" x14ac:dyDescent="0.3">
      <c r="A258" t="str">
        <f>""</f>
        <v/>
      </c>
      <c r="B258" t="str">
        <f>""</f>
        <v/>
      </c>
      <c r="G258" t="str">
        <f>""</f>
        <v/>
      </c>
      <c r="H258" t="str">
        <f>""</f>
        <v/>
      </c>
      <c r="J258" t="str">
        <f>"SAMZIE'S"</f>
        <v>SAMZIE'S</v>
      </c>
    </row>
    <row r="259" spans="1:10" x14ac:dyDescent="0.3">
      <c r="A259" t="str">
        <f>""</f>
        <v/>
      </c>
      <c r="B259" t="str">
        <f>""</f>
        <v/>
      </c>
      <c r="G259" t="str">
        <f>""</f>
        <v/>
      </c>
      <c r="H259" t="str">
        <f>""</f>
        <v/>
      </c>
      <c r="J259" t="str">
        <f>"SAMZIE'S"</f>
        <v>SAMZIE'S</v>
      </c>
    </row>
    <row r="260" spans="1:10" x14ac:dyDescent="0.3">
      <c r="A260" t="str">
        <f>""</f>
        <v/>
      </c>
      <c r="B260" t="str">
        <f>""</f>
        <v/>
      </c>
      <c r="G260" t="str">
        <f>""</f>
        <v/>
      </c>
      <c r="H260" t="str">
        <f>""</f>
        <v/>
      </c>
      <c r="J260" t="str">
        <f>"UNITED UNIFORM"</f>
        <v>UNITED UNIFORM</v>
      </c>
    </row>
    <row r="261" spans="1:10" x14ac:dyDescent="0.3">
      <c r="A261" t="str">
        <f>""</f>
        <v/>
      </c>
      <c r="B261" t="str">
        <f>""</f>
        <v/>
      </c>
      <c r="G261" t="str">
        <f>""</f>
        <v/>
      </c>
      <c r="H261" t="str">
        <f>""</f>
        <v/>
      </c>
      <c r="J261" t="str">
        <f>"COPQUEST INC"</f>
        <v>COPQUEST INC</v>
      </c>
    </row>
    <row r="262" spans="1:10" x14ac:dyDescent="0.3">
      <c r="A262" t="str">
        <f>""</f>
        <v/>
      </c>
      <c r="B262" t="str">
        <f>""</f>
        <v/>
      </c>
      <c r="G262" t="str">
        <f>""</f>
        <v/>
      </c>
      <c r="H262" t="str">
        <f>""</f>
        <v/>
      </c>
      <c r="J262" t="str">
        <f>"LATE FEE"</f>
        <v>LATE FEE</v>
      </c>
    </row>
    <row r="263" spans="1:10" x14ac:dyDescent="0.3">
      <c r="A263" t="str">
        <f>""</f>
        <v/>
      </c>
      <c r="B263" t="str">
        <f>""</f>
        <v/>
      </c>
      <c r="G263" t="str">
        <f>""</f>
        <v/>
      </c>
      <c r="H263" t="str">
        <f>""</f>
        <v/>
      </c>
      <c r="J263" t="str">
        <f>"INTEREST"</f>
        <v>INTEREST</v>
      </c>
    </row>
    <row r="264" spans="1:10" x14ac:dyDescent="0.3">
      <c r="A264" t="str">
        <f>"01"</f>
        <v>01</v>
      </c>
      <c r="B264" t="str">
        <f>"T4871"</f>
        <v>T4871</v>
      </c>
      <c r="C264" t="s">
        <v>81</v>
      </c>
      <c r="D264">
        <v>999999</v>
      </c>
      <c r="E264" s="2">
        <v>126.96</v>
      </c>
      <c r="F264" s="1">
        <v>43123</v>
      </c>
      <c r="G264" t="str">
        <f>"LJL1594"</f>
        <v>LJL1594</v>
      </c>
      <c r="H264" t="str">
        <f>"APC Back-Ups BE600M1"</f>
        <v>APC Back-Ups BE600M1</v>
      </c>
      <c r="I264" s="2">
        <v>126.96</v>
      </c>
      <c r="J264" t="str">
        <f>"APC Back-Ups BE600M1"</f>
        <v>APC Back-Ups BE600M1</v>
      </c>
    </row>
    <row r="265" spans="1:10" x14ac:dyDescent="0.3">
      <c r="A265" t="str">
        <f>"01"</f>
        <v>01</v>
      </c>
      <c r="B265" t="str">
        <f>"CTRPNT"</f>
        <v>CTRPNT</v>
      </c>
      <c r="C265" t="s">
        <v>82</v>
      </c>
      <c r="D265">
        <v>74589</v>
      </c>
      <c r="E265" s="2">
        <v>1769.7</v>
      </c>
      <c r="F265" s="1">
        <v>43105</v>
      </c>
      <c r="G265" t="str">
        <f>"201801057739"</f>
        <v>201801057739</v>
      </c>
      <c r="H265" t="str">
        <f>"ACCT#2974567 / 12192017"</f>
        <v>ACCT#2974567 / 12192017</v>
      </c>
      <c r="I265" s="2">
        <v>1449.17</v>
      </c>
      <c r="J265" t="str">
        <f>"ACCT#2974567 / 12192017"</f>
        <v>ACCT#2974567 / 12192017</v>
      </c>
    </row>
    <row r="266" spans="1:10" x14ac:dyDescent="0.3">
      <c r="A266" t="str">
        <f>""</f>
        <v/>
      </c>
      <c r="B266" t="str">
        <f>""</f>
        <v/>
      </c>
      <c r="G266" t="str">
        <f>"201801057740"</f>
        <v>201801057740</v>
      </c>
      <c r="H266" t="str">
        <f>"ACCT#3204433 / 12192017"</f>
        <v>ACCT#3204433 / 12192017</v>
      </c>
      <c r="I266" s="2">
        <v>40.1</v>
      </c>
      <c r="J266" t="str">
        <f>"ACCT#3204433 / 12192017"</f>
        <v>ACCT#3204433 / 12192017</v>
      </c>
    </row>
    <row r="267" spans="1:10" x14ac:dyDescent="0.3">
      <c r="A267" t="str">
        <f>""</f>
        <v/>
      </c>
      <c r="B267" t="str">
        <f>""</f>
        <v/>
      </c>
      <c r="G267" t="str">
        <f>"201801057741"</f>
        <v>201801057741</v>
      </c>
      <c r="H267" t="str">
        <f>"ACCT#3204434 / 12192017"</f>
        <v>ACCT#3204434 / 12192017</v>
      </c>
      <c r="I267" s="2">
        <v>40.1</v>
      </c>
      <c r="J267" t="str">
        <f>"ACCT#3204434 / 12192017"</f>
        <v>ACCT#3204434 / 12192017</v>
      </c>
    </row>
    <row r="268" spans="1:10" x14ac:dyDescent="0.3">
      <c r="A268" t="str">
        <f>""</f>
        <v/>
      </c>
      <c r="B268" t="str">
        <f>""</f>
        <v/>
      </c>
      <c r="G268" t="str">
        <f>"201801057742"</f>
        <v>201801057742</v>
      </c>
      <c r="H268" t="str">
        <f>"ACCT#2959097 / 12192017"</f>
        <v>ACCT#2959097 / 12192017</v>
      </c>
      <c r="I268" s="2">
        <v>55.99</v>
      </c>
      <c r="J268" t="str">
        <f>"ACCT#2959097 / 12192017"</f>
        <v>ACCT#2959097 / 12192017</v>
      </c>
    </row>
    <row r="269" spans="1:10" x14ac:dyDescent="0.3">
      <c r="A269" t="str">
        <f>""</f>
        <v/>
      </c>
      <c r="B269" t="str">
        <f>""</f>
        <v/>
      </c>
      <c r="G269" t="str">
        <f>"201801057743"</f>
        <v>201801057743</v>
      </c>
      <c r="H269" t="str">
        <f>"ACCT#2959074 / 12192017"</f>
        <v>ACCT#2959074 / 12192017</v>
      </c>
      <c r="I269" s="2">
        <v>56.81</v>
      </c>
      <c r="J269" t="str">
        <f>"ACCT#2959074 / 12192017"</f>
        <v>ACCT#2959074 / 12192017</v>
      </c>
    </row>
    <row r="270" spans="1:10" x14ac:dyDescent="0.3">
      <c r="A270" t="str">
        <f>""</f>
        <v/>
      </c>
      <c r="B270" t="str">
        <f>""</f>
        <v/>
      </c>
      <c r="G270" t="str">
        <f>"201801057744"</f>
        <v>201801057744</v>
      </c>
      <c r="H270" t="str">
        <f>"ACCT#6400890108 / 12192017"</f>
        <v>ACCT#6400890108 / 12192017</v>
      </c>
      <c r="I270" s="2">
        <v>41.49</v>
      </c>
      <c r="J270" t="str">
        <f>"ACCT#6400890108 / 12192017"</f>
        <v>ACCT#6400890108 / 12192017</v>
      </c>
    </row>
    <row r="271" spans="1:10" x14ac:dyDescent="0.3">
      <c r="A271" t="str">
        <f>""</f>
        <v/>
      </c>
      <c r="B271" t="str">
        <f>""</f>
        <v/>
      </c>
      <c r="G271" t="str">
        <f>"201801057745"</f>
        <v>201801057745</v>
      </c>
      <c r="H271" t="str">
        <f>"ACCT#6400893680 / 12192017"</f>
        <v>ACCT#6400893680 / 12192017</v>
      </c>
      <c r="I271" s="2">
        <v>43.86</v>
      </c>
      <c r="J271" t="str">
        <f>"ACCT#6400893680 / 12192017"</f>
        <v>ACCT#6400893680 / 12192017</v>
      </c>
    </row>
    <row r="272" spans="1:10" x14ac:dyDescent="0.3">
      <c r="A272" t="str">
        <f>""</f>
        <v/>
      </c>
      <c r="B272" t="str">
        <f>""</f>
        <v/>
      </c>
      <c r="G272" t="str">
        <f>"201801057765"</f>
        <v>201801057765</v>
      </c>
      <c r="H272" t="str">
        <f>"ACCT#2814197 / 12192017"</f>
        <v>ACCT#2814197 / 12192017</v>
      </c>
      <c r="I272" s="2">
        <v>42.18</v>
      </c>
      <c r="J272" t="str">
        <f>"ACCT#2814197 / 12192017"</f>
        <v>ACCT#2814197 / 12192017</v>
      </c>
    </row>
    <row r="273" spans="1:10" x14ac:dyDescent="0.3">
      <c r="A273" t="str">
        <f>"01"</f>
        <v>01</v>
      </c>
      <c r="B273" t="str">
        <f>"CTRPNT"</f>
        <v>CTRPNT</v>
      </c>
      <c r="C273" t="s">
        <v>82</v>
      </c>
      <c r="D273">
        <v>74976</v>
      </c>
      <c r="E273" s="2">
        <v>2638.17</v>
      </c>
      <c r="F273" s="1">
        <v>43123</v>
      </c>
      <c r="G273" t="str">
        <f>"201801238208"</f>
        <v>201801238208</v>
      </c>
      <c r="H273" t="str">
        <f>"ACCT#8000081165-5 / 01192018"</f>
        <v>ACCT#8000081165-5 / 01192018</v>
      </c>
      <c r="I273" s="2">
        <v>2638.17</v>
      </c>
      <c r="J273" t="str">
        <f>"ACCT#8000081165-5 / 01192018"</f>
        <v>ACCT#8000081165-5 / 01192018</v>
      </c>
    </row>
    <row r="274" spans="1:10" x14ac:dyDescent="0.3">
      <c r="A274" t="str">
        <f>""</f>
        <v/>
      </c>
      <c r="B274" t="str">
        <f>""</f>
        <v/>
      </c>
      <c r="G274" t="str">
        <f>""</f>
        <v/>
      </c>
      <c r="H274" t="str">
        <f>""</f>
        <v/>
      </c>
      <c r="J274" t="str">
        <f>"ACCT#8000081165-5 / 01192018"</f>
        <v>ACCT#8000081165-5 / 01192018</v>
      </c>
    </row>
    <row r="275" spans="1:10" x14ac:dyDescent="0.3">
      <c r="A275" t="str">
        <f>"01"</f>
        <v>01</v>
      </c>
      <c r="B275" t="str">
        <f>"CENTEX"</f>
        <v>CENTEX</v>
      </c>
      <c r="C275" t="s">
        <v>83</v>
      </c>
      <c r="D275">
        <v>74625</v>
      </c>
      <c r="E275" s="2">
        <v>7992</v>
      </c>
      <c r="F275" s="1">
        <v>43108</v>
      </c>
      <c r="G275" t="str">
        <f>"30122900"</f>
        <v>30122900</v>
      </c>
      <c r="H275" t="str">
        <f>"CUST#BASPCT1/ORD#37-19558/PCT1"</f>
        <v>CUST#BASPCT1/ORD#37-19558/PCT1</v>
      </c>
      <c r="I275" s="2">
        <v>409.86</v>
      </c>
      <c r="J275" t="str">
        <f>"CUST#BASPCT1/ORD#37-19558/PCT1"</f>
        <v>CUST#BASPCT1/ORD#37-19558/PCT1</v>
      </c>
    </row>
    <row r="276" spans="1:10" x14ac:dyDescent="0.3">
      <c r="A276" t="str">
        <f>""</f>
        <v/>
      </c>
      <c r="B276" t="str">
        <f>""</f>
        <v/>
      </c>
      <c r="G276" t="str">
        <f>"30122961"</f>
        <v>30122961</v>
      </c>
      <c r="H276" t="str">
        <f>"CUST#BASPCT1/ORD#37-19558/PCT1"</f>
        <v>CUST#BASPCT1/ORD#37-19558/PCT1</v>
      </c>
      <c r="I276" s="2">
        <v>1633.68</v>
      </c>
      <c r="J276" t="str">
        <f>"CUST#BASPCT1/ORD#37-19558/PCT1"</f>
        <v>CUST#BASPCT1/ORD#37-19558/PCT1</v>
      </c>
    </row>
    <row r="277" spans="1:10" x14ac:dyDescent="0.3">
      <c r="A277" t="str">
        <f>""</f>
        <v/>
      </c>
      <c r="B277" t="str">
        <f>""</f>
        <v/>
      </c>
      <c r="G277" t="str">
        <f>"30122991"</f>
        <v>30122991</v>
      </c>
      <c r="H277" t="str">
        <f>"CUST#BASPCT1/ORD#37-19558/PCT1"</f>
        <v>CUST#BASPCT1/ORD#37-19558/PCT1</v>
      </c>
      <c r="I277" s="2">
        <v>1631.52</v>
      </c>
      <c r="J277" t="str">
        <f>"CUST#BASPCT1/ORD#37-19558/PCT1"</f>
        <v>CUST#BASPCT1/ORD#37-19558/PCT1</v>
      </c>
    </row>
    <row r="278" spans="1:10" x14ac:dyDescent="0.3">
      <c r="A278" t="str">
        <f>""</f>
        <v/>
      </c>
      <c r="B278" t="str">
        <f>""</f>
        <v/>
      </c>
      <c r="G278" t="str">
        <f>"30123007"</f>
        <v>30123007</v>
      </c>
      <c r="H278" t="str">
        <f>"CUST#BASPCT1/ORD#37-19558/PCT1"</f>
        <v>CUST#BASPCT1/ORD#37-19558/PCT1</v>
      </c>
      <c r="I278" s="2">
        <v>2471.58</v>
      </c>
      <c r="J278" t="str">
        <f>"CUST#BASPCT1/ORD#37-19558/PCT1"</f>
        <v>CUST#BASPCT1/ORD#37-19558/PCT1</v>
      </c>
    </row>
    <row r="279" spans="1:10" x14ac:dyDescent="0.3">
      <c r="A279" t="str">
        <f>""</f>
        <v/>
      </c>
      <c r="B279" t="str">
        <f>""</f>
        <v/>
      </c>
      <c r="G279" t="str">
        <f>"30123031"</f>
        <v>30123031</v>
      </c>
      <c r="H279" t="str">
        <f>"CUST#BASPCT1/ORD#37-19558/PCT1"</f>
        <v>CUST#BASPCT1/ORD#37-19558/PCT1</v>
      </c>
      <c r="I279" s="2">
        <v>1845.36</v>
      </c>
      <c r="J279" t="str">
        <f>"CUST#BASPCT1/ORD#37-19558/PCT1"</f>
        <v>CUST#BASPCT1/ORD#37-19558/PCT1</v>
      </c>
    </row>
    <row r="280" spans="1:10" x14ac:dyDescent="0.3">
      <c r="A280" t="str">
        <f>"01"</f>
        <v>01</v>
      </c>
      <c r="B280" t="str">
        <f>"CENTEX"</f>
        <v>CENTEX</v>
      </c>
      <c r="C280" t="s">
        <v>83</v>
      </c>
      <c r="D280">
        <v>74856</v>
      </c>
      <c r="E280" s="2">
        <v>1879.65</v>
      </c>
      <c r="F280" s="1">
        <v>43122</v>
      </c>
      <c r="G280" t="str">
        <f>"30123103"</f>
        <v>30123103</v>
      </c>
      <c r="H280" t="str">
        <f>"CUST#BASPCT1/ORD#37-19558/PCT4"</f>
        <v>CUST#BASPCT1/ORD#37-19558/PCT4</v>
      </c>
      <c r="I280" s="2">
        <v>1879.65</v>
      </c>
      <c r="J280" t="str">
        <f>"CUST#BASPCT1/ORD#37-19558/PCT4"</f>
        <v>CUST#BASPCT1/ORD#37-19558/PCT4</v>
      </c>
    </row>
    <row r="281" spans="1:10" x14ac:dyDescent="0.3">
      <c r="A281" t="str">
        <f>"01"</f>
        <v>01</v>
      </c>
      <c r="B281" t="str">
        <f>"003739"</f>
        <v>003739</v>
      </c>
      <c r="C281" t="s">
        <v>84</v>
      </c>
      <c r="D281">
        <v>74626</v>
      </c>
      <c r="E281" s="2">
        <v>539.5</v>
      </c>
      <c r="F281" s="1">
        <v>43108</v>
      </c>
      <c r="G281" t="str">
        <f>"0000046142"</f>
        <v>0000046142</v>
      </c>
      <c r="H281" t="str">
        <f>"REPLACEMENT OF CAPACITOR/BCAS"</f>
        <v>REPLACEMENT OF CAPACITOR/BCAS</v>
      </c>
      <c r="I281" s="2">
        <v>269.75</v>
      </c>
    </row>
    <row r="282" spans="1:10" x14ac:dyDescent="0.3">
      <c r="A282" t="str">
        <f>""</f>
        <v/>
      </c>
      <c r="B282" t="str">
        <f>""</f>
        <v/>
      </c>
      <c r="G282" t="str">
        <f>"46142"</f>
        <v>46142</v>
      </c>
      <c r="H282" t="str">
        <f>"Invoice# 0000046142"</f>
        <v>Invoice# 0000046142</v>
      </c>
      <c r="I282" s="2">
        <v>269.75</v>
      </c>
    </row>
    <row r="283" spans="1:10" x14ac:dyDescent="0.3">
      <c r="A283" t="str">
        <f>"01"</f>
        <v>01</v>
      </c>
      <c r="B283" t="str">
        <f>"003739"</f>
        <v>003739</v>
      </c>
      <c r="C283" t="s">
        <v>84</v>
      </c>
      <c r="D283">
        <v>74626</v>
      </c>
      <c r="E283" s="2">
        <v>539.5</v>
      </c>
      <c r="F283" s="1">
        <v>43108</v>
      </c>
      <c r="G283" t="str">
        <f>"CHECK"</f>
        <v>CHECK</v>
      </c>
      <c r="H283" t="str">
        <f>""</f>
        <v/>
      </c>
      <c r="I283" s="2">
        <v>539.5</v>
      </c>
    </row>
    <row r="284" spans="1:10" x14ac:dyDescent="0.3">
      <c r="A284" t="str">
        <f>"01"</f>
        <v>01</v>
      </c>
      <c r="B284" t="str">
        <f>"003739"</f>
        <v>003739</v>
      </c>
      <c r="C284" t="s">
        <v>84</v>
      </c>
      <c r="D284">
        <v>74752</v>
      </c>
      <c r="E284" s="2">
        <v>269.75</v>
      </c>
      <c r="F284" s="1">
        <v>43108</v>
      </c>
      <c r="G284" t="str">
        <f>"0000046142 Reissue"</f>
        <v>0000046142 Reissue</v>
      </c>
      <c r="H284" t="str">
        <f>"Replacement of Capacitor / GS"</f>
        <v>Replacement of Capacitor / GS</v>
      </c>
      <c r="I284" s="2">
        <v>269.75</v>
      </c>
      <c r="J284" t="str">
        <f>"Replacement of Capacitor / GS"</f>
        <v>Replacement of Capacitor / GS</v>
      </c>
    </row>
    <row r="285" spans="1:10" x14ac:dyDescent="0.3">
      <c r="A285" t="str">
        <f>"01"</f>
        <v>01</v>
      </c>
      <c r="B285" t="str">
        <f>"003739"</f>
        <v>003739</v>
      </c>
      <c r="C285" t="s">
        <v>84</v>
      </c>
      <c r="D285">
        <v>74857</v>
      </c>
      <c r="E285" s="2">
        <v>173.75</v>
      </c>
      <c r="F285" s="1">
        <v>43122</v>
      </c>
      <c r="G285" t="str">
        <f>"0000046200"</f>
        <v>0000046200</v>
      </c>
      <c r="H285" t="str">
        <f>"INSTALLATION/ANIMAL SHELTER"</f>
        <v>INSTALLATION/ANIMAL SHELTER</v>
      </c>
      <c r="I285" s="2">
        <v>173.75</v>
      </c>
      <c r="J285" t="str">
        <f>"INSTALLATION/ANIMAL SHELTER"</f>
        <v>INSTALLATION/ANIMAL SHELTER</v>
      </c>
    </row>
    <row r="286" spans="1:10" x14ac:dyDescent="0.3">
      <c r="A286" t="str">
        <f>"01"</f>
        <v>01</v>
      </c>
      <c r="B286" t="str">
        <f>"005385"</f>
        <v>005385</v>
      </c>
      <c r="C286" t="s">
        <v>85</v>
      </c>
      <c r="D286">
        <v>74982</v>
      </c>
      <c r="E286" s="2">
        <v>897.55</v>
      </c>
      <c r="F286" s="1">
        <v>43124</v>
      </c>
      <c r="G286" t="str">
        <f>"60722"</f>
        <v>60722</v>
      </c>
      <c r="H286" t="str">
        <f>"BASIC INTERNET / P3"</f>
        <v>BASIC INTERNET / P3</v>
      </c>
      <c r="I286" s="2">
        <v>515.4</v>
      </c>
      <c r="J286" t="str">
        <f>"BASIC INTERNET / P3"</f>
        <v>BASIC INTERNET / P3</v>
      </c>
    </row>
    <row r="287" spans="1:10" x14ac:dyDescent="0.3">
      <c r="A287" t="str">
        <f>""</f>
        <v/>
      </c>
      <c r="B287" t="str">
        <f>""</f>
        <v/>
      </c>
      <c r="G287" t="str">
        <f>"61298"</f>
        <v>61298</v>
      </c>
      <c r="H287" t="str">
        <f>"INTERNET SERVICE INSTALL / P3"</f>
        <v>INTERNET SERVICE INSTALL / P3</v>
      </c>
      <c r="I287" s="2">
        <v>382.15</v>
      </c>
      <c r="J287" t="str">
        <f>"INTERNET SERVICE INSTALL / P3"</f>
        <v>INTERNET SERVICE INSTALL / P3</v>
      </c>
    </row>
    <row r="288" spans="1:10" x14ac:dyDescent="0.3">
      <c r="A288" t="str">
        <f>"01"</f>
        <v>01</v>
      </c>
      <c r="B288" t="str">
        <f>"004382"</f>
        <v>004382</v>
      </c>
      <c r="C288" t="s">
        <v>86</v>
      </c>
      <c r="D288">
        <v>74627</v>
      </c>
      <c r="E288" s="2">
        <v>430</v>
      </c>
      <c r="F288" s="1">
        <v>43108</v>
      </c>
      <c r="G288" t="str">
        <f>"201801027605"</f>
        <v>201801027605</v>
      </c>
      <c r="H288" t="str">
        <f>"FERAL HOGS"</f>
        <v>FERAL HOGS</v>
      </c>
      <c r="I288" s="2">
        <v>430</v>
      </c>
      <c r="J288" t="str">
        <f>"FERAL HOGS"</f>
        <v>FERAL HOGS</v>
      </c>
    </row>
    <row r="289" spans="1:10" x14ac:dyDescent="0.3">
      <c r="A289" t="str">
        <f>"01"</f>
        <v>01</v>
      </c>
      <c r="B289" t="str">
        <f>"T11408"</f>
        <v>T11408</v>
      </c>
      <c r="C289" t="s">
        <v>87</v>
      </c>
      <c r="D289">
        <v>74628</v>
      </c>
      <c r="E289" s="2">
        <v>70</v>
      </c>
      <c r="F289" s="1">
        <v>43108</v>
      </c>
      <c r="G289" t="str">
        <f>"201801027606"</f>
        <v>201801027606</v>
      </c>
      <c r="H289" t="str">
        <f>"FERAL HOGS"</f>
        <v>FERAL HOGS</v>
      </c>
      <c r="I289" s="2">
        <v>70</v>
      </c>
      <c r="J289" t="str">
        <f>"FERAL HOGS"</f>
        <v>FERAL HOGS</v>
      </c>
    </row>
    <row r="290" spans="1:10" x14ac:dyDescent="0.3">
      <c r="A290" t="str">
        <f>"01"</f>
        <v>01</v>
      </c>
      <c r="B290" t="str">
        <f>"T11831"</f>
        <v>T11831</v>
      </c>
      <c r="C290" t="s">
        <v>88</v>
      </c>
      <c r="D290">
        <v>74629</v>
      </c>
      <c r="E290" s="2">
        <v>430.8</v>
      </c>
      <c r="F290" s="1">
        <v>43108</v>
      </c>
      <c r="G290" t="str">
        <f>"0153563-IN"</f>
        <v>0153563-IN</v>
      </c>
      <c r="H290" t="str">
        <f>"INV 0153563-IN"</f>
        <v>INV 0153563-IN</v>
      </c>
      <c r="I290" s="2">
        <v>430.8</v>
      </c>
      <c r="J290" t="str">
        <f>"INV 0153563-IN"</f>
        <v>INV 0153563-IN</v>
      </c>
    </row>
    <row r="291" spans="1:10" x14ac:dyDescent="0.3">
      <c r="A291" t="str">
        <f>"01"</f>
        <v>01</v>
      </c>
      <c r="B291" t="str">
        <f>"003890"</f>
        <v>003890</v>
      </c>
      <c r="C291" t="s">
        <v>89</v>
      </c>
      <c r="D291">
        <v>74858</v>
      </c>
      <c r="E291" s="2">
        <v>210</v>
      </c>
      <c r="F291" s="1">
        <v>43122</v>
      </c>
      <c r="G291" t="str">
        <f>"201801128157"</f>
        <v>201801128157</v>
      </c>
      <c r="H291" t="str">
        <f>"REFUND COUPONS"</f>
        <v>REFUND COUPONS</v>
      </c>
      <c r="I291" s="2">
        <v>210</v>
      </c>
      <c r="J291" t="str">
        <f>"REFUND COUPONS"</f>
        <v>REFUND COUPONS</v>
      </c>
    </row>
    <row r="292" spans="1:10" x14ac:dyDescent="0.3">
      <c r="A292" t="str">
        <f>"01"</f>
        <v>01</v>
      </c>
      <c r="B292" t="str">
        <f>"T9145"</f>
        <v>T9145</v>
      </c>
      <c r="C292" t="s">
        <v>90</v>
      </c>
      <c r="D292">
        <v>999999</v>
      </c>
      <c r="E292" s="2">
        <v>1200</v>
      </c>
      <c r="F292" s="1">
        <v>43123</v>
      </c>
      <c r="G292" t="str">
        <f>"201801118144"</f>
        <v>201801118144</v>
      </c>
      <c r="H292" t="str">
        <f>"20170504A"</f>
        <v>20170504A</v>
      </c>
      <c r="I292" s="2">
        <v>400</v>
      </c>
      <c r="J292" t="str">
        <f>"20170504A"</f>
        <v>20170504A</v>
      </c>
    </row>
    <row r="293" spans="1:10" x14ac:dyDescent="0.3">
      <c r="A293" t="str">
        <f>""</f>
        <v/>
      </c>
      <c r="B293" t="str">
        <f>""</f>
        <v/>
      </c>
      <c r="G293" t="str">
        <f>"201801118145"</f>
        <v>201801118145</v>
      </c>
      <c r="H293" t="str">
        <f>"17-5-03560"</f>
        <v>17-5-03560</v>
      </c>
      <c r="I293" s="2">
        <v>400</v>
      </c>
      <c r="J293" t="str">
        <f>"17-5-03560"</f>
        <v>17-5-03560</v>
      </c>
    </row>
    <row r="294" spans="1:10" x14ac:dyDescent="0.3">
      <c r="A294" t="str">
        <f>""</f>
        <v/>
      </c>
      <c r="B294" t="str">
        <f>""</f>
        <v/>
      </c>
      <c r="G294" t="str">
        <f>"201801118146"</f>
        <v>201801118146</v>
      </c>
      <c r="H294" t="str">
        <f>"403195.1MW"</f>
        <v>403195.1MW</v>
      </c>
      <c r="I294" s="2">
        <v>400</v>
      </c>
      <c r="J294" t="str">
        <f>"403195.1MW"</f>
        <v>403195.1MW</v>
      </c>
    </row>
    <row r="295" spans="1:10" x14ac:dyDescent="0.3">
      <c r="A295" t="str">
        <f>"01"</f>
        <v>01</v>
      </c>
      <c r="B295" t="str">
        <f>"005132"</f>
        <v>005132</v>
      </c>
      <c r="C295" t="s">
        <v>91</v>
      </c>
      <c r="D295">
        <v>74630</v>
      </c>
      <c r="E295" s="2">
        <v>211.9</v>
      </c>
      <c r="F295" s="1">
        <v>43108</v>
      </c>
      <c r="G295" t="str">
        <f>"8403469324"</f>
        <v>8403469324</v>
      </c>
      <c r="H295" t="str">
        <f>"CUST#10377368/PCT#3"</f>
        <v>CUST#10377368/PCT#3</v>
      </c>
      <c r="I295" s="2">
        <v>211.9</v>
      </c>
      <c r="J295" t="str">
        <f>"CUST#10377368/PCT#3"</f>
        <v>CUST#10377368/PCT#3</v>
      </c>
    </row>
    <row r="296" spans="1:10" x14ac:dyDescent="0.3">
      <c r="A296" t="str">
        <f>"01"</f>
        <v>01</v>
      </c>
      <c r="B296" t="str">
        <f>"005132"</f>
        <v>005132</v>
      </c>
      <c r="C296" t="s">
        <v>91</v>
      </c>
      <c r="D296">
        <v>74859</v>
      </c>
      <c r="E296" s="2">
        <v>200.52</v>
      </c>
      <c r="F296" s="1">
        <v>43122</v>
      </c>
      <c r="G296" t="str">
        <f>"8403476033"</f>
        <v>8403476033</v>
      </c>
      <c r="H296" t="str">
        <f>"CUST#10377368/PCT#3"</f>
        <v>CUST#10377368/PCT#3</v>
      </c>
      <c r="I296" s="2">
        <v>200.52</v>
      </c>
      <c r="J296" t="str">
        <f>"CUST#10377368/PCT#3"</f>
        <v>CUST#10377368/PCT#3</v>
      </c>
    </row>
    <row r="297" spans="1:10" x14ac:dyDescent="0.3">
      <c r="A297" t="str">
        <f>"01"</f>
        <v>01</v>
      </c>
      <c r="B297" t="str">
        <f>"004728"</f>
        <v>004728</v>
      </c>
      <c r="C297" t="s">
        <v>92</v>
      </c>
      <c r="D297">
        <v>74860</v>
      </c>
      <c r="E297" s="2">
        <v>4060.47</v>
      </c>
      <c r="F297" s="1">
        <v>43122</v>
      </c>
      <c r="G297" t="str">
        <f>"201801108106"</f>
        <v>201801108106</v>
      </c>
      <c r="H297" t="str">
        <f>"ACCT#086-11458/ANIMAL SHELTER"</f>
        <v>ACCT#086-11458/ANIMAL SHELTER</v>
      </c>
      <c r="I297" s="2">
        <v>215.19</v>
      </c>
      <c r="J297" t="str">
        <f>"ACCT#086-11458/ANIMAL SHELTER"</f>
        <v>ACCT#086-11458/ANIMAL SHELTER</v>
      </c>
    </row>
    <row r="298" spans="1:10" x14ac:dyDescent="0.3">
      <c r="A298" t="str">
        <f>""</f>
        <v/>
      </c>
      <c r="B298" t="str">
        <f>""</f>
        <v/>
      </c>
      <c r="G298" t="str">
        <f>"201801108111"</f>
        <v>201801108111</v>
      </c>
      <c r="H298" t="str">
        <f>"ACCT#086-11381/GEN SVCS"</f>
        <v>ACCT#086-11381/GEN SVCS</v>
      </c>
      <c r="I298" s="2">
        <v>752.79</v>
      </c>
      <c r="J298" t="str">
        <f>"ACCT#086-11381/GEN SVCS"</f>
        <v>ACCT#086-11381/GEN SVCS</v>
      </c>
    </row>
    <row r="299" spans="1:10" x14ac:dyDescent="0.3">
      <c r="A299" t="str">
        <f>""</f>
        <v/>
      </c>
      <c r="B299" t="str">
        <f>""</f>
        <v/>
      </c>
      <c r="G299" t="str">
        <f>"201801108112"</f>
        <v>201801108112</v>
      </c>
      <c r="H299" t="str">
        <f>"ACCT#086-11451"</f>
        <v>ACCT#086-11451</v>
      </c>
      <c r="I299" s="2">
        <v>41.56</v>
      </c>
      <c r="J299" t="str">
        <f>"ACCT#086-11451"</f>
        <v>ACCT#086-11451</v>
      </c>
    </row>
    <row r="300" spans="1:10" x14ac:dyDescent="0.3">
      <c r="A300" t="str">
        <f>""</f>
        <v/>
      </c>
      <c r="B300" t="str">
        <f>""</f>
        <v/>
      </c>
      <c r="G300" t="str">
        <f>"201801118118"</f>
        <v>201801118118</v>
      </c>
      <c r="H300" t="str">
        <f>"ACCT#086-11451/PCT#1"</f>
        <v>ACCT#086-11451/PCT#1</v>
      </c>
      <c r="I300" s="2">
        <v>698.11</v>
      </c>
      <c r="J300" t="str">
        <f>"ACCT#086-11451/PCT#1"</f>
        <v>ACCT#086-11451/PCT#1</v>
      </c>
    </row>
    <row r="301" spans="1:10" x14ac:dyDescent="0.3">
      <c r="A301" t="str">
        <f>""</f>
        <v/>
      </c>
      <c r="B301" t="str">
        <f>""</f>
        <v/>
      </c>
      <c r="G301" t="str">
        <f>"201801118128"</f>
        <v>201801118128</v>
      </c>
      <c r="H301" t="str">
        <f>"ACCT#086-11386"</f>
        <v>ACCT#086-11386</v>
      </c>
      <c r="I301" s="2">
        <v>1244.8399999999999</v>
      </c>
      <c r="J301" t="str">
        <f>"ACCT#086-11386"</f>
        <v>ACCT#086-11386</v>
      </c>
    </row>
    <row r="302" spans="1:10" x14ac:dyDescent="0.3">
      <c r="A302" t="str">
        <f>""</f>
        <v/>
      </c>
      <c r="B302" t="str">
        <f>""</f>
        <v/>
      </c>
      <c r="G302" t="str">
        <f>"201801178175"</f>
        <v>201801178175</v>
      </c>
      <c r="H302" t="str">
        <f>"ACCT#086-11375/PCT#2"</f>
        <v>ACCT#086-11375/PCT#2</v>
      </c>
      <c r="I302" s="2">
        <v>1107.98</v>
      </c>
      <c r="J302" t="str">
        <f>"ACCT#086-11375/PCT#2"</f>
        <v>ACCT#086-11375/PCT#2</v>
      </c>
    </row>
    <row r="303" spans="1:10" x14ac:dyDescent="0.3">
      <c r="A303" t="str">
        <f t="shared" ref="A303:A308" si="5">"01"</f>
        <v>01</v>
      </c>
      <c r="B303" t="str">
        <f>"BCO"</f>
        <v>BCO</v>
      </c>
      <c r="C303" t="s">
        <v>93</v>
      </c>
      <c r="D303">
        <v>74755</v>
      </c>
      <c r="E303" s="2">
        <v>469.1</v>
      </c>
      <c r="F303" s="1">
        <v>43109</v>
      </c>
      <c r="G303" t="str">
        <f>"201801098004"</f>
        <v>201801098004</v>
      </c>
      <c r="H303" t="str">
        <f>"ACCT#02-2083-04 / 12292017"</f>
        <v>ACCT#02-2083-04 / 12292017</v>
      </c>
      <c r="I303" s="2">
        <v>469.1</v>
      </c>
      <c r="J303" t="str">
        <f>"ACCT#02-2083-04 / 12292017"</f>
        <v>ACCT#02-2083-04 / 12292017</v>
      </c>
    </row>
    <row r="304" spans="1:10" x14ac:dyDescent="0.3">
      <c r="A304" t="str">
        <f t="shared" si="5"/>
        <v>01</v>
      </c>
      <c r="B304" t="str">
        <f>"BCO"</f>
        <v>BCO</v>
      </c>
      <c r="C304" t="s">
        <v>93</v>
      </c>
      <c r="D304">
        <v>74756</v>
      </c>
      <c r="E304" s="2">
        <v>1705.9</v>
      </c>
      <c r="F304" s="1">
        <v>43109</v>
      </c>
      <c r="G304" t="str">
        <f>"201801098005"</f>
        <v>201801098005</v>
      </c>
      <c r="H304" t="str">
        <f>"COUNTY DEVELOPMENT CENTER"</f>
        <v>COUNTY DEVELOPMENT CENTER</v>
      </c>
      <c r="I304" s="2">
        <v>1705.9</v>
      </c>
      <c r="J304" t="str">
        <f>"COUNTY DEVELOPMENT CENTER"</f>
        <v>COUNTY DEVELOPMENT CENTER</v>
      </c>
    </row>
    <row r="305" spans="1:10" x14ac:dyDescent="0.3">
      <c r="A305" t="str">
        <f t="shared" si="5"/>
        <v>01</v>
      </c>
      <c r="B305" t="str">
        <f>"BCO"</f>
        <v>BCO</v>
      </c>
      <c r="C305" t="s">
        <v>93</v>
      </c>
      <c r="D305">
        <v>74757</v>
      </c>
      <c r="E305" s="2">
        <v>20742.96</v>
      </c>
      <c r="F305" s="1">
        <v>43109</v>
      </c>
      <c r="G305" t="str">
        <f>"201801098006"</f>
        <v>201801098006</v>
      </c>
      <c r="H305" t="str">
        <f>"LAW ENFORCEMENT CENTER"</f>
        <v>LAW ENFORCEMENT CENTER</v>
      </c>
      <c r="I305" s="2">
        <v>20742.96</v>
      </c>
      <c r="J305" t="str">
        <f>"LAW ENFORCEMENT CENTER"</f>
        <v>LAW ENFORCEMENT CENTER</v>
      </c>
    </row>
    <row r="306" spans="1:10" x14ac:dyDescent="0.3">
      <c r="A306" t="str">
        <f t="shared" si="5"/>
        <v>01</v>
      </c>
      <c r="B306" t="str">
        <f>"BCO"</f>
        <v>BCO</v>
      </c>
      <c r="C306" t="s">
        <v>93</v>
      </c>
      <c r="D306">
        <v>74758</v>
      </c>
      <c r="E306" s="2">
        <v>13001.99</v>
      </c>
      <c r="F306" s="1">
        <v>43109</v>
      </c>
      <c r="G306" t="str">
        <f>"201801098007"</f>
        <v>201801098007</v>
      </c>
      <c r="H306" t="str">
        <f>"BASTROP COUNTY COURTHOUSE"</f>
        <v>BASTROP COUNTY COURTHOUSE</v>
      </c>
      <c r="I306" s="2">
        <v>13001.99</v>
      </c>
      <c r="J306" t="str">
        <f>"BASTROP COUNTY COURTHOUSE"</f>
        <v>BASTROP COUNTY COURTHOUSE</v>
      </c>
    </row>
    <row r="307" spans="1:10" x14ac:dyDescent="0.3">
      <c r="A307" t="str">
        <f t="shared" si="5"/>
        <v>01</v>
      </c>
      <c r="B307" t="str">
        <f>"COB"</f>
        <v>COB</v>
      </c>
      <c r="C307" t="s">
        <v>93</v>
      </c>
      <c r="D307">
        <v>74861</v>
      </c>
      <c r="E307" s="2">
        <v>500</v>
      </c>
      <c r="F307" s="1">
        <v>43122</v>
      </c>
      <c r="G307" t="str">
        <f>"201801098082"</f>
        <v>201801098082</v>
      </c>
      <c r="H307" t="str">
        <f>"RENTAL-PARKING LOT"</f>
        <v>RENTAL-PARKING LOT</v>
      </c>
      <c r="I307" s="2">
        <v>500</v>
      </c>
      <c r="J307" t="str">
        <f>"RENTAL-PARKING LOT"</f>
        <v>RENTAL-PARKING LOT</v>
      </c>
    </row>
    <row r="308" spans="1:10" x14ac:dyDescent="0.3">
      <c r="A308" t="str">
        <f t="shared" si="5"/>
        <v>01</v>
      </c>
      <c r="B308" t="str">
        <f>"SCO"</f>
        <v>SCO</v>
      </c>
      <c r="C308" t="s">
        <v>94</v>
      </c>
      <c r="D308">
        <v>74590</v>
      </c>
      <c r="E308" s="2">
        <v>1131.18</v>
      </c>
      <c r="F308" s="1">
        <v>43105</v>
      </c>
      <c r="G308" t="str">
        <f>"201801057754"</f>
        <v>201801057754</v>
      </c>
      <c r="H308" t="str">
        <f>"ACCT#007-0000388-000/12192017"</f>
        <v>ACCT#007-0000388-000/12192017</v>
      </c>
      <c r="I308" s="2">
        <v>399.86</v>
      </c>
      <c r="J308" t="str">
        <f>"ACCT#007-0000388-000/12192017"</f>
        <v>ACCT#007-0000388-000/12192017</v>
      </c>
    </row>
    <row r="309" spans="1:10" x14ac:dyDescent="0.3">
      <c r="A309" t="str">
        <f>""</f>
        <v/>
      </c>
      <c r="B309" t="str">
        <f>""</f>
        <v/>
      </c>
      <c r="G309" t="str">
        <f>"201801057755"</f>
        <v>201801057755</v>
      </c>
      <c r="H309" t="str">
        <f>"ACCT#007-0000389-000/12192017"</f>
        <v>ACCT#007-0000389-000/12192017</v>
      </c>
      <c r="I309" s="2">
        <v>47.8</v>
      </c>
      <c r="J309" t="str">
        <f>"ACCT#007-0000389-000/12192017"</f>
        <v>ACCT#007-0000389-000/12192017</v>
      </c>
    </row>
    <row r="310" spans="1:10" x14ac:dyDescent="0.3">
      <c r="A310" t="str">
        <f>""</f>
        <v/>
      </c>
      <c r="B310" t="str">
        <f>""</f>
        <v/>
      </c>
      <c r="G310" t="str">
        <f>"201801057756"</f>
        <v>201801057756</v>
      </c>
      <c r="H310" t="str">
        <f>"ACCT#044-0001240-000/12192017"</f>
        <v>ACCT#044-0001240-000/12192017</v>
      </c>
      <c r="I310" s="2">
        <v>254.5</v>
      </c>
      <c r="J310" t="str">
        <f>"ACCT#044-0001240-000/12192017"</f>
        <v>ACCT#044-0001240-000/12192017</v>
      </c>
    </row>
    <row r="311" spans="1:10" x14ac:dyDescent="0.3">
      <c r="A311" t="str">
        <f>""</f>
        <v/>
      </c>
      <c r="B311" t="str">
        <f>""</f>
        <v/>
      </c>
      <c r="G311" t="str">
        <f>"201801057757"</f>
        <v>201801057757</v>
      </c>
      <c r="H311" t="str">
        <f>"ACCT#044-0001250-000/12192017"</f>
        <v>ACCT#044-0001250-000/12192017</v>
      </c>
      <c r="I311" s="2">
        <v>112.16</v>
      </c>
      <c r="J311" t="str">
        <f>"ACCT#044-0001250-000/12192017"</f>
        <v>ACCT#044-0001250-000/12192017</v>
      </c>
    </row>
    <row r="312" spans="1:10" x14ac:dyDescent="0.3">
      <c r="A312" t="str">
        <f>""</f>
        <v/>
      </c>
      <c r="B312" t="str">
        <f>""</f>
        <v/>
      </c>
      <c r="G312" t="str">
        <f>"201801057758"</f>
        <v>201801057758</v>
      </c>
      <c r="H312" t="str">
        <f>"ACCT#044-0001252-000/12192017"</f>
        <v>ACCT#044-0001252-000/12192017</v>
      </c>
      <c r="I312" s="2">
        <v>7.82</v>
      </c>
      <c r="J312" t="str">
        <f>"ACCT#044-0001252-000/12192017"</f>
        <v>ACCT#044-0001252-000/12192017</v>
      </c>
    </row>
    <row r="313" spans="1:10" x14ac:dyDescent="0.3">
      <c r="A313" t="str">
        <f>""</f>
        <v/>
      </c>
      <c r="B313" t="str">
        <f>""</f>
        <v/>
      </c>
      <c r="G313" t="str">
        <f>"201801057759"</f>
        <v>201801057759</v>
      </c>
      <c r="H313" t="str">
        <f>"ACCT#044-0001253-000/12192017"</f>
        <v>ACCT#044-0001253-000/12192017</v>
      </c>
      <c r="I313" s="2">
        <v>309.04000000000002</v>
      </c>
      <c r="J313" t="str">
        <f>"ACCT#044-0001253-000/12192017"</f>
        <v>ACCT#044-0001253-000/12192017</v>
      </c>
    </row>
    <row r="314" spans="1:10" x14ac:dyDescent="0.3">
      <c r="A314" t="str">
        <f>"01"</f>
        <v>01</v>
      </c>
      <c r="B314" t="str">
        <f>"003318"</f>
        <v>003318</v>
      </c>
      <c r="C314" t="s">
        <v>95</v>
      </c>
      <c r="D314">
        <v>74631</v>
      </c>
      <c r="E314" s="2">
        <v>180</v>
      </c>
      <c r="F314" s="1">
        <v>43108</v>
      </c>
      <c r="G314" t="str">
        <f>"201801027607"</f>
        <v>201801027607</v>
      </c>
      <c r="H314" t="str">
        <f>"FERAL HOGS"</f>
        <v>FERAL HOGS</v>
      </c>
      <c r="I314" s="2">
        <v>20</v>
      </c>
      <c r="J314" t="str">
        <f>"FERAL HOGS"</f>
        <v>FERAL HOGS</v>
      </c>
    </row>
    <row r="315" spans="1:10" x14ac:dyDescent="0.3">
      <c r="A315" t="str">
        <f>""</f>
        <v/>
      </c>
      <c r="B315" t="str">
        <f>""</f>
        <v/>
      </c>
      <c r="G315" t="str">
        <f>"201801027608"</f>
        <v>201801027608</v>
      </c>
      <c r="H315" t="str">
        <f>"FERAL HOGS"</f>
        <v>FERAL HOGS</v>
      </c>
      <c r="I315" s="2">
        <v>120</v>
      </c>
      <c r="J315" t="str">
        <f>"FERAL HOGS"</f>
        <v>FERAL HOGS</v>
      </c>
    </row>
    <row r="316" spans="1:10" x14ac:dyDescent="0.3">
      <c r="A316" t="str">
        <f>""</f>
        <v/>
      </c>
      <c r="B316" t="str">
        <f>""</f>
        <v/>
      </c>
      <c r="G316" t="str">
        <f>"201801027609"</f>
        <v>201801027609</v>
      </c>
      <c r="H316" t="str">
        <f>"FERAL HOGS"</f>
        <v>FERAL HOGS</v>
      </c>
      <c r="I316" s="2">
        <v>40</v>
      </c>
      <c r="J316" t="str">
        <f>"FERAL HOGS"</f>
        <v>FERAL HOGS</v>
      </c>
    </row>
    <row r="317" spans="1:10" x14ac:dyDescent="0.3">
      <c r="A317" t="str">
        <f>"01"</f>
        <v>01</v>
      </c>
      <c r="B317" t="str">
        <f>"003318"</f>
        <v>003318</v>
      </c>
      <c r="C317" t="s">
        <v>95</v>
      </c>
      <c r="D317">
        <v>74862</v>
      </c>
      <c r="E317" s="2">
        <v>75</v>
      </c>
      <c r="F317" s="1">
        <v>43122</v>
      </c>
      <c r="G317" t="str">
        <f>"201801108090"</f>
        <v>201801108090</v>
      </c>
      <c r="H317" t="str">
        <f>"FERAL HOGS"</f>
        <v>FERAL HOGS</v>
      </c>
      <c r="I317" s="2">
        <v>15</v>
      </c>
      <c r="J317" t="str">
        <f>"FERAL HOGS"</f>
        <v>FERAL HOGS</v>
      </c>
    </row>
    <row r="318" spans="1:10" x14ac:dyDescent="0.3">
      <c r="A318" t="str">
        <f>""</f>
        <v/>
      </c>
      <c r="B318" t="str">
        <f>""</f>
        <v/>
      </c>
      <c r="G318" t="str">
        <f>"201801108091"</f>
        <v>201801108091</v>
      </c>
      <c r="H318" t="str">
        <f>"FERAL HOGS"</f>
        <v>FERAL HOGS</v>
      </c>
      <c r="I318" s="2">
        <v>60</v>
      </c>
      <c r="J318" t="str">
        <f>"FERAL HOGS"</f>
        <v>FERAL HOGS</v>
      </c>
    </row>
    <row r="319" spans="1:10" x14ac:dyDescent="0.3">
      <c r="A319" t="str">
        <f>"01"</f>
        <v>01</v>
      </c>
      <c r="B319" t="str">
        <f>"CLINIC"</f>
        <v>CLINIC</v>
      </c>
      <c r="C319" t="s">
        <v>96</v>
      </c>
      <c r="D319">
        <v>999999</v>
      </c>
      <c r="E319" s="2">
        <v>149.32</v>
      </c>
      <c r="F319" s="1">
        <v>43123</v>
      </c>
      <c r="G319" t="str">
        <f>"201712-0"</f>
        <v>201712-0</v>
      </c>
      <c r="H319" t="str">
        <f>"INV 201712-0"</f>
        <v>INV 201712-0</v>
      </c>
      <c r="I319" s="2">
        <v>140.02000000000001</v>
      </c>
      <c r="J319" t="str">
        <f>"INV 201712-0"</f>
        <v>INV 201712-0</v>
      </c>
    </row>
    <row r="320" spans="1:10" x14ac:dyDescent="0.3">
      <c r="A320" t="str">
        <f>""</f>
        <v/>
      </c>
      <c r="B320" t="str">
        <f>""</f>
        <v/>
      </c>
      <c r="G320" t="str">
        <f>"4327-98062*1"</f>
        <v>4327-98062*1</v>
      </c>
      <c r="H320" t="str">
        <f>"JAIL MEDICAL"</f>
        <v>JAIL MEDICAL</v>
      </c>
      <c r="I320" s="2">
        <v>9.3000000000000007</v>
      </c>
      <c r="J320" t="str">
        <f>"JAIL MEDICAL"</f>
        <v>JAIL MEDICAL</v>
      </c>
    </row>
    <row r="321" spans="1:10" x14ac:dyDescent="0.3">
      <c r="A321" t="str">
        <f>"01"</f>
        <v>01</v>
      </c>
      <c r="B321" t="str">
        <f>"CCA"</f>
        <v>CCA</v>
      </c>
      <c r="C321" t="s">
        <v>97</v>
      </c>
      <c r="D321">
        <v>74863</v>
      </c>
      <c r="E321" s="2">
        <v>10000</v>
      </c>
      <c r="F321" s="1">
        <v>43122</v>
      </c>
      <c r="G321" t="str">
        <f>"201801098077"</f>
        <v>201801098077</v>
      </c>
      <c r="H321" t="str">
        <f>"FUNDS FOR 2018 BUDGET"</f>
        <v>FUNDS FOR 2018 BUDGET</v>
      </c>
      <c r="I321" s="2">
        <v>10000</v>
      </c>
      <c r="J321" t="str">
        <f>"FUNDS FOR 2018 BUDGET"</f>
        <v>FUNDS FOR 2018 BUDGET</v>
      </c>
    </row>
    <row r="322" spans="1:10" x14ac:dyDescent="0.3">
      <c r="A322" t="str">
        <f>"01"</f>
        <v>01</v>
      </c>
      <c r="B322" t="str">
        <f>"002809"</f>
        <v>002809</v>
      </c>
      <c r="C322" t="s">
        <v>98</v>
      </c>
      <c r="D322">
        <v>74632</v>
      </c>
      <c r="E322" s="2">
        <v>544</v>
      </c>
      <c r="F322" s="1">
        <v>43108</v>
      </c>
      <c r="G322" t="str">
        <f>"12457736149"</f>
        <v>12457736149</v>
      </c>
      <c r="H322" t="str">
        <f>"INV 12457736149"</f>
        <v>INV 12457736149</v>
      </c>
      <c r="I322" s="2">
        <v>544</v>
      </c>
      <c r="J322" t="str">
        <f>"INV 12457736149"</f>
        <v>INV 12457736149</v>
      </c>
    </row>
    <row r="323" spans="1:10" x14ac:dyDescent="0.3">
      <c r="A323" t="str">
        <f>"01"</f>
        <v>01</v>
      </c>
      <c r="B323" t="str">
        <f>"001457"</f>
        <v>001457</v>
      </c>
      <c r="C323" t="s">
        <v>99</v>
      </c>
      <c r="D323">
        <v>74864</v>
      </c>
      <c r="E323" s="2">
        <v>3350</v>
      </c>
      <c r="F323" s="1">
        <v>43122</v>
      </c>
      <c r="G323" t="str">
        <f>"JCW-30121-01"</f>
        <v>JCW-30121-01</v>
      </c>
      <c r="H323" t="str">
        <f>"Card Reader Treasurer's"</f>
        <v>Card Reader Treasurer's</v>
      </c>
      <c r="I323" s="2">
        <v>3350</v>
      </c>
      <c r="J323" t="str">
        <f>"RSC-2"</f>
        <v>RSC-2</v>
      </c>
    </row>
    <row r="324" spans="1:10" x14ac:dyDescent="0.3">
      <c r="A324" t="str">
        <f>""</f>
        <v/>
      </c>
      <c r="B324" t="str">
        <f>""</f>
        <v/>
      </c>
      <c r="G324" t="str">
        <f>""</f>
        <v/>
      </c>
      <c r="H324" t="str">
        <f>""</f>
        <v/>
      </c>
      <c r="J324" t="str">
        <f>"SE RPK40"</f>
        <v>SE RPK40</v>
      </c>
    </row>
    <row r="325" spans="1:10" x14ac:dyDescent="0.3">
      <c r="A325" t="str">
        <f>""</f>
        <v/>
      </c>
      <c r="B325" t="str">
        <f>""</f>
        <v/>
      </c>
      <c r="G325" t="str">
        <f>""</f>
        <v/>
      </c>
      <c r="H325" t="str">
        <f>""</f>
        <v/>
      </c>
      <c r="J325" t="str">
        <f>"ML8053EL"</f>
        <v>ML8053EL</v>
      </c>
    </row>
    <row r="326" spans="1:10" x14ac:dyDescent="0.3">
      <c r="A326" t="str">
        <f>""</f>
        <v/>
      </c>
      <c r="B326" t="str">
        <f>""</f>
        <v/>
      </c>
      <c r="G326" t="str">
        <f>""</f>
        <v/>
      </c>
      <c r="H326" t="str">
        <f>""</f>
        <v/>
      </c>
      <c r="J326" t="str">
        <f>"ETH45454W-626-5HW"</f>
        <v>ETH45454W-626-5HW</v>
      </c>
    </row>
    <row r="327" spans="1:10" x14ac:dyDescent="0.3">
      <c r="A327" t="str">
        <f>""</f>
        <v/>
      </c>
      <c r="B327" t="str">
        <f>""</f>
        <v/>
      </c>
      <c r="G327" t="str">
        <f>""</f>
        <v/>
      </c>
      <c r="H327" t="str">
        <f>""</f>
        <v/>
      </c>
      <c r="J327" t="str">
        <f>"CL7080"</f>
        <v>CL7080</v>
      </c>
    </row>
    <row r="328" spans="1:10" x14ac:dyDescent="0.3">
      <c r="A328" t="str">
        <f>""</f>
        <v/>
      </c>
      <c r="B328" t="str">
        <f>""</f>
        <v/>
      </c>
      <c r="G328" t="str">
        <f>""</f>
        <v/>
      </c>
      <c r="H328" t="str">
        <f>""</f>
        <v/>
      </c>
      <c r="J328" t="str">
        <f>"Core Door"</f>
        <v>Core Door</v>
      </c>
    </row>
    <row r="329" spans="1:10" x14ac:dyDescent="0.3">
      <c r="A329" t="str">
        <f>""</f>
        <v/>
      </c>
      <c r="B329" t="str">
        <f>""</f>
        <v/>
      </c>
      <c r="G329" t="str">
        <f>""</f>
        <v/>
      </c>
      <c r="H329" t="str">
        <f>""</f>
        <v/>
      </c>
      <c r="J329" t="str">
        <f>"Wire  Wiremold  MISC"</f>
        <v>Wire  Wiremold  MISC</v>
      </c>
    </row>
    <row r="330" spans="1:10" x14ac:dyDescent="0.3">
      <c r="A330" t="str">
        <f>""</f>
        <v/>
      </c>
      <c r="B330" t="str">
        <f>""</f>
        <v/>
      </c>
      <c r="G330" t="str">
        <f>""</f>
        <v/>
      </c>
      <c r="H330" t="str">
        <f>""</f>
        <v/>
      </c>
      <c r="J330" t="str">
        <f>"Installation"</f>
        <v>Installation</v>
      </c>
    </row>
    <row r="331" spans="1:10" x14ac:dyDescent="0.3">
      <c r="A331" t="str">
        <f>"01"</f>
        <v>01</v>
      </c>
      <c r="B331" t="str">
        <f>"T7302"</f>
        <v>T7302</v>
      </c>
      <c r="C331" t="s">
        <v>100</v>
      </c>
      <c r="D331">
        <v>74865</v>
      </c>
      <c r="E331" s="2">
        <v>145.30000000000001</v>
      </c>
      <c r="F331" s="1">
        <v>43122</v>
      </c>
      <c r="G331" t="str">
        <f>"1839"</f>
        <v>1839</v>
      </c>
      <c r="H331" t="str">
        <f>"ACCT#1839/VACCINATIONS"</f>
        <v>ACCT#1839/VACCINATIONS</v>
      </c>
      <c r="I331" s="2">
        <v>145.30000000000001</v>
      </c>
      <c r="J331" t="str">
        <f>"ACCT#1839/VACCINATIONS"</f>
        <v>ACCT#1839/VACCINATIONS</v>
      </c>
    </row>
    <row r="332" spans="1:10" x14ac:dyDescent="0.3">
      <c r="A332" t="str">
        <f>"01"</f>
        <v>01</v>
      </c>
      <c r="B332" t="str">
        <f>"T11708"</f>
        <v>T11708</v>
      </c>
      <c r="C332" t="s">
        <v>101</v>
      </c>
      <c r="D332">
        <v>74633</v>
      </c>
      <c r="E332" s="2">
        <v>200</v>
      </c>
      <c r="F332" s="1">
        <v>43108</v>
      </c>
      <c r="G332" t="str">
        <f>"201801027677"</f>
        <v>201801027677</v>
      </c>
      <c r="H332" t="str">
        <f>"CLEANING 12/1 12/15 &amp; 12/29/P2"</f>
        <v>CLEANING 12/1 12/15 &amp; 12/29/P2</v>
      </c>
      <c r="I332" s="2">
        <v>200</v>
      </c>
      <c r="J332" t="str">
        <f>"CLEANING 12/1 12/15 &amp; 12/29/P2"</f>
        <v>CLEANING 12/1 12/15 &amp; 12/29/P2</v>
      </c>
    </row>
    <row r="333" spans="1:10" x14ac:dyDescent="0.3">
      <c r="A333" t="str">
        <f>"01"</f>
        <v>01</v>
      </c>
      <c r="B333" t="str">
        <f>"003136"</f>
        <v>003136</v>
      </c>
      <c r="C333" t="s">
        <v>102</v>
      </c>
      <c r="D333">
        <v>74634</v>
      </c>
      <c r="E333" s="2">
        <v>19.14</v>
      </c>
      <c r="F333" s="1">
        <v>43108</v>
      </c>
      <c r="G333" t="str">
        <f>"UCX019"</f>
        <v>UCX019</v>
      </c>
      <c r="H333" t="str">
        <f>"Reference# UCX019"</f>
        <v>Reference# UCX019</v>
      </c>
      <c r="I333" s="2">
        <v>3.32</v>
      </c>
      <c r="J333" t="str">
        <f>"Reference# UCX019"</f>
        <v>Reference# UCX019</v>
      </c>
    </row>
    <row r="334" spans="1:10" x14ac:dyDescent="0.3">
      <c r="A334" t="str">
        <f>""</f>
        <v/>
      </c>
      <c r="B334" t="str">
        <f>""</f>
        <v/>
      </c>
      <c r="G334" t="str">
        <f>"UEK751"</f>
        <v>UEK751</v>
      </c>
      <c r="H334" t="str">
        <f>"Reference# UEK751"</f>
        <v>Reference# UEK751</v>
      </c>
      <c r="I334" s="2">
        <v>10</v>
      </c>
      <c r="J334" t="str">
        <f>"Reference# UEK751"</f>
        <v>Reference# UEK751</v>
      </c>
    </row>
    <row r="335" spans="1:10" x14ac:dyDescent="0.3">
      <c r="A335" t="str">
        <f>""</f>
        <v/>
      </c>
      <c r="B335" t="str">
        <f>""</f>
        <v/>
      </c>
      <c r="G335" t="str">
        <f>"UIF486"</f>
        <v>UIF486</v>
      </c>
      <c r="H335" t="str">
        <f>"Reference# UIF486"</f>
        <v>Reference# UIF486</v>
      </c>
      <c r="I335" s="2">
        <v>2.5</v>
      </c>
      <c r="J335" t="str">
        <f>"Reference# UIF486"</f>
        <v>Reference# UIF486</v>
      </c>
    </row>
    <row r="336" spans="1:10" x14ac:dyDescent="0.3">
      <c r="A336" t="str">
        <f>""</f>
        <v/>
      </c>
      <c r="B336" t="str">
        <f>""</f>
        <v/>
      </c>
      <c r="G336" t="str">
        <f>"UII366"</f>
        <v>UII366</v>
      </c>
      <c r="H336" t="str">
        <f>"Reference# UII366"</f>
        <v>Reference# UII366</v>
      </c>
      <c r="I336" s="2">
        <v>3.32</v>
      </c>
      <c r="J336" t="str">
        <f>"Reference# UII366"</f>
        <v>Reference# UII366</v>
      </c>
    </row>
    <row r="337" spans="1:10" x14ac:dyDescent="0.3">
      <c r="A337" t="str">
        <f>"01"</f>
        <v>01</v>
      </c>
      <c r="B337" t="str">
        <f>"T13909"</f>
        <v>T13909</v>
      </c>
      <c r="C337" t="s">
        <v>103</v>
      </c>
      <c r="D337">
        <v>74984</v>
      </c>
      <c r="E337" s="2">
        <v>1500</v>
      </c>
      <c r="F337" s="1">
        <v>43130</v>
      </c>
      <c r="G337" t="str">
        <f>"1152"</f>
        <v>1152</v>
      </c>
      <c r="H337" t="str">
        <f>"EXCAVATION - CARDINAL LOOP/P2"</f>
        <v>EXCAVATION - CARDINAL LOOP/P2</v>
      </c>
      <c r="I337" s="2">
        <v>1500</v>
      </c>
      <c r="J337" t="str">
        <f>"EXCAVATION - CARDINAL LOOP/P2"</f>
        <v>EXCAVATION - CARDINAL LOOP/P2</v>
      </c>
    </row>
    <row r="338" spans="1:10" x14ac:dyDescent="0.3">
      <c r="A338" t="str">
        <f>"01"</f>
        <v>01</v>
      </c>
      <c r="B338" t="str">
        <f>"T9280"</f>
        <v>T9280</v>
      </c>
      <c r="C338" t="s">
        <v>104</v>
      </c>
      <c r="D338">
        <v>74635</v>
      </c>
      <c r="E338" s="2">
        <v>839.21</v>
      </c>
      <c r="F338" s="1">
        <v>43108</v>
      </c>
      <c r="G338" t="str">
        <f>"325528"</f>
        <v>325528</v>
      </c>
      <c r="H338" t="str">
        <f>"CUSTOM PRODUCTS CORPORATION"</f>
        <v>CUSTOM PRODUCTS CORPORATION</v>
      </c>
      <c r="I338" s="2">
        <v>839.21</v>
      </c>
      <c r="J338" t="str">
        <f>"Dileneators"</f>
        <v>Dileneators</v>
      </c>
    </row>
    <row r="339" spans="1:10" x14ac:dyDescent="0.3">
      <c r="A339" t="str">
        <f>""</f>
        <v/>
      </c>
      <c r="B339" t="str">
        <f>""</f>
        <v/>
      </c>
      <c r="G339" t="str">
        <f>""</f>
        <v/>
      </c>
      <c r="H339" t="str">
        <f>""</f>
        <v/>
      </c>
      <c r="J339" t="str">
        <f>"Shipping"</f>
        <v>Shipping</v>
      </c>
    </row>
    <row r="340" spans="1:10" x14ac:dyDescent="0.3">
      <c r="A340" t="str">
        <f t="shared" ref="A340:A345" si="6">"01"</f>
        <v>01</v>
      </c>
      <c r="B340" t="str">
        <f>"T7935"</f>
        <v>T7935</v>
      </c>
      <c r="C340" t="s">
        <v>105</v>
      </c>
      <c r="D340">
        <v>74636</v>
      </c>
      <c r="E340" s="2">
        <v>140.32</v>
      </c>
      <c r="F340" s="1">
        <v>43108</v>
      </c>
      <c r="G340" t="str">
        <f>"31512381-54"</f>
        <v>31512381-54</v>
      </c>
      <c r="H340" t="str">
        <f>"COPIER/PURCHASING"</f>
        <v>COPIER/PURCHASING</v>
      </c>
      <c r="I340" s="2">
        <v>140.32</v>
      </c>
      <c r="J340" t="str">
        <f>"COPIER/PURCHASING"</f>
        <v>COPIER/PURCHASING</v>
      </c>
    </row>
    <row r="341" spans="1:10" x14ac:dyDescent="0.3">
      <c r="A341" t="str">
        <f t="shared" si="6"/>
        <v>01</v>
      </c>
      <c r="B341" t="str">
        <f>"T7935"</f>
        <v>T7935</v>
      </c>
      <c r="C341" t="s">
        <v>105</v>
      </c>
      <c r="D341">
        <v>74866</v>
      </c>
      <c r="E341" s="2">
        <v>140.32</v>
      </c>
      <c r="F341" s="1">
        <v>43122</v>
      </c>
      <c r="G341" t="str">
        <f>"31512381 - 55"</f>
        <v>31512381 - 55</v>
      </c>
      <c r="H341" t="str">
        <f>"LEASE EQUIP-PURCHASING"</f>
        <v>LEASE EQUIP-PURCHASING</v>
      </c>
      <c r="I341" s="2">
        <v>140.32</v>
      </c>
      <c r="J341" t="str">
        <f>"LEASE EQUIP-PURCHASING"</f>
        <v>LEASE EQUIP-PURCHASING</v>
      </c>
    </row>
    <row r="342" spans="1:10" x14ac:dyDescent="0.3">
      <c r="A342" t="str">
        <f t="shared" si="6"/>
        <v>01</v>
      </c>
      <c r="B342" t="str">
        <f>"005380"</f>
        <v>005380</v>
      </c>
      <c r="C342" t="s">
        <v>106</v>
      </c>
      <c r="D342">
        <v>74867</v>
      </c>
      <c r="E342" s="2">
        <v>15</v>
      </c>
      <c r="F342" s="1">
        <v>43122</v>
      </c>
      <c r="G342" t="str">
        <f>"201801108095"</f>
        <v>201801108095</v>
      </c>
      <c r="H342" t="str">
        <f>"FERAL HOGS"</f>
        <v>FERAL HOGS</v>
      </c>
      <c r="I342" s="2">
        <v>15</v>
      </c>
      <c r="J342" t="str">
        <f>"FERAL HOGS"</f>
        <v>FERAL HOGS</v>
      </c>
    </row>
    <row r="343" spans="1:10" x14ac:dyDescent="0.3">
      <c r="A343" t="str">
        <f t="shared" si="6"/>
        <v>01</v>
      </c>
      <c r="B343" t="str">
        <f>"005364"</f>
        <v>005364</v>
      </c>
      <c r="C343" t="s">
        <v>107</v>
      </c>
      <c r="D343">
        <v>74637</v>
      </c>
      <c r="E343" s="2">
        <v>10</v>
      </c>
      <c r="F343" s="1">
        <v>43108</v>
      </c>
      <c r="G343" t="str">
        <f>"201801027610"</f>
        <v>201801027610</v>
      </c>
      <c r="H343" t="str">
        <f>"FERAL HOGS"</f>
        <v>FERAL HOGS</v>
      </c>
      <c r="I343" s="2">
        <v>10</v>
      </c>
      <c r="J343" t="str">
        <f>"FERAL HOGS"</f>
        <v>FERAL HOGS</v>
      </c>
    </row>
    <row r="344" spans="1:10" x14ac:dyDescent="0.3">
      <c r="A344" t="str">
        <f t="shared" si="6"/>
        <v>01</v>
      </c>
      <c r="B344" t="str">
        <f>"004962"</f>
        <v>004962</v>
      </c>
      <c r="C344" t="s">
        <v>108</v>
      </c>
      <c r="D344">
        <v>74638</v>
      </c>
      <c r="E344" s="2">
        <v>20.92</v>
      </c>
      <c r="F344" s="1">
        <v>43108</v>
      </c>
      <c r="G344" t="str">
        <f>"201801027585"</f>
        <v>201801027585</v>
      </c>
      <c r="H344" t="str">
        <f>"MILEAGE REIMBURSEMENT"</f>
        <v>MILEAGE REIMBURSEMENT</v>
      </c>
      <c r="I344" s="2">
        <v>20.92</v>
      </c>
      <c r="J344" t="str">
        <f>"MILEAGE REIMBURSEMENT"</f>
        <v>MILEAGE REIMBURSEMENT</v>
      </c>
    </row>
    <row r="345" spans="1:10" x14ac:dyDescent="0.3">
      <c r="A345" t="str">
        <f t="shared" si="6"/>
        <v>01</v>
      </c>
      <c r="B345" t="str">
        <f>"004018"</f>
        <v>004018</v>
      </c>
      <c r="C345" t="s">
        <v>109</v>
      </c>
      <c r="D345">
        <v>74639</v>
      </c>
      <c r="E345" s="2">
        <v>80</v>
      </c>
      <c r="F345" s="1">
        <v>43108</v>
      </c>
      <c r="G345" t="str">
        <f>"201801027611"</f>
        <v>201801027611</v>
      </c>
      <c r="H345" t="str">
        <f>"FERAL HOGS"</f>
        <v>FERAL HOGS</v>
      </c>
      <c r="I345" s="2">
        <v>50</v>
      </c>
      <c r="J345" t="str">
        <f>"FERAL HOGS"</f>
        <v>FERAL HOGS</v>
      </c>
    </row>
    <row r="346" spans="1:10" x14ac:dyDescent="0.3">
      <c r="A346" t="str">
        <f>""</f>
        <v/>
      </c>
      <c r="B346" t="str">
        <f>""</f>
        <v/>
      </c>
      <c r="G346" t="str">
        <f>"201801027612"</f>
        <v>201801027612</v>
      </c>
      <c r="H346" t="str">
        <f>"FERAL HOGS"</f>
        <v>FERAL HOGS</v>
      </c>
      <c r="I346" s="2">
        <v>20</v>
      </c>
      <c r="J346" t="str">
        <f>"FERAL HOGS"</f>
        <v>FERAL HOGS</v>
      </c>
    </row>
    <row r="347" spans="1:10" x14ac:dyDescent="0.3">
      <c r="A347" t="str">
        <f>""</f>
        <v/>
      </c>
      <c r="B347" t="str">
        <f>""</f>
        <v/>
      </c>
      <c r="G347" t="str">
        <f>"201801037731"</f>
        <v>201801037731</v>
      </c>
      <c r="H347" t="str">
        <f>"FERAL HOGS"</f>
        <v>FERAL HOGS</v>
      </c>
      <c r="I347" s="2">
        <v>10</v>
      </c>
      <c r="J347" t="str">
        <f>"FERAL HOGS"</f>
        <v>FERAL HOGS</v>
      </c>
    </row>
    <row r="348" spans="1:10" x14ac:dyDescent="0.3">
      <c r="A348" t="str">
        <f>"01"</f>
        <v>01</v>
      </c>
      <c r="B348" t="str">
        <f>"BROOKS"</f>
        <v>BROOKS</v>
      </c>
      <c r="C348" t="s">
        <v>110</v>
      </c>
      <c r="D348">
        <v>74868</v>
      </c>
      <c r="E348" s="2">
        <v>100</v>
      </c>
      <c r="F348" s="1">
        <v>43122</v>
      </c>
      <c r="G348" t="str">
        <f>"201801098076"</f>
        <v>201801098076</v>
      </c>
      <c r="H348" t="str">
        <f>"LEGAL CONSULTATION SVCS-DEC 17"</f>
        <v>LEGAL CONSULTATION SVCS-DEC 17</v>
      </c>
      <c r="I348" s="2">
        <v>100</v>
      </c>
      <c r="J348" t="str">
        <f>"LEGAL CONSULTATION SVCS"</f>
        <v>LEGAL CONSULTATION SVCS</v>
      </c>
    </row>
    <row r="349" spans="1:10" x14ac:dyDescent="0.3">
      <c r="A349" t="str">
        <f>"01"</f>
        <v>01</v>
      </c>
      <c r="B349" t="str">
        <f>"004002"</f>
        <v>004002</v>
      </c>
      <c r="C349" t="s">
        <v>111</v>
      </c>
      <c r="D349">
        <v>74640</v>
      </c>
      <c r="E349" s="2">
        <v>45</v>
      </c>
      <c r="F349" s="1">
        <v>43108</v>
      </c>
      <c r="G349" t="str">
        <f>"201801027613"</f>
        <v>201801027613</v>
      </c>
      <c r="H349" t="str">
        <f>"FERAL HOGS"</f>
        <v>FERAL HOGS</v>
      </c>
      <c r="I349" s="2">
        <v>45</v>
      </c>
      <c r="J349" t="str">
        <f>"FERAL HOGS"</f>
        <v>FERAL HOGS</v>
      </c>
    </row>
    <row r="350" spans="1:10" x14ac:dyDescent="0.3">
      <c r="A350" t="str">
        <f>"01"</f>
        <v>01</v>
      </c>
      <c r="B350" t="str">
        <f>"003579"</f>
        <v>003579</v>
      </c>
      <c r="C350" t="s">
        <v>112</v>
      </c>
      <c r="D350">
        <v>74641</v>
      </c>
      <c r="E350" s="2">
        <v>105</v>
      </c>
      <c r="F350" s="1">
        <v>43108</v>
      </c>
      <c r="G350" t="str">
        <f>"201801027614"</f>
        <v>201801027614</v>
      </c>
      <c r="H350" t="str">
        <f>"FERAL HOGS"</f>
        <v>FERAL HOGS</v>
      </c>
      <c r="I350" s="2">
        <v>105</v>
      </c>
      <c r="J350" t="str">
        <f>"FERAL HOGS"</f>
        <v>FERAL HOGS</v>
      </c>
    </row>
    <row r="351" spans="1:10" x14ac:dyDescent="0.3">
      <c r="A351" t="str">
        <f>"01"</f>
        <v>01</v>
      </c>
      <c r="B351" t="str">
        <f>"DELL"</f>
        <v>DELL</v>
      </c>
      <c r="C351" t="s">
        <v>113</v>
      </c>
      <c r="D351">
        <v>74642</v>
      </c>
      <c r="E351" s="2">
        <v>2481.17</v>
      </c>
      <c r="F351" s="1">
        <v>43108</v>
      </c>
      <c r="G351" t="str">
        <f>"10210794932"</f>
        <v>10210794932</v>
      </c>
      <c r="H351" t="str">
        <f>"Ticket# 6952 2 monitors"</f>
        <v>Ticket# 6952 2 monitors</v>
      </c>
      <c r="I351" s="2">
        <v>545.98</v>
      </c>
      <c r="J351" t="str">
        <f>"Monitor – U2417H"</f>
        <v>Monitor – U2417H</v>
      </c>
    </row>
    <row r="352" spans="1:10" x14ac:dyDescent="0.3">
      <c r="A352" t="str">
        <f>""</f>
        <v/>
      </c>
      <c r="B352" t="str">
        <f>""</f>
        <v/>
      </c>
      <c r="G352" t="str">
        <f>""</f>
        <v/>
      </c>
      <c r="H352" t="str">
        <f>""</f>
        <v/>
      </c>
      <c r="J352" t="str">
        <f>"Discount"</f>
        <v>Discount</v>
      </c>
    </row>
    <row r="353" spans="1:10" x14ac:dyDescent="0.3">
      <c r="A353" t="str">
        <f>""</f>
        <v/>
      </c>
      <c r="B353" t="str">
        <f>""</f>
        <v/>
      </c>
      <c r="G353" t="str">
        <f>"10213578927"</f>
        <v>10213578927</v>
      </c>
      <c r="H353" t="str">
        <f>"Comp. for IT Engineer"</f>
        <v>Comp. for IT Engineer</v>
      </c>
      <c r="I353" s="2">
        <v>1935.19</v>
      </c>
      <c r="J353" t="str">
        <f>"XPS Tower"</f>
        <v>XPS Tower</v>
      </c>
    </row>
    <row r="354" spans="1:10" x14ac:dyDescent="0.3">
      <c r="A354" t="str">
        <f>"01"</f>
        <v>01</v>
      </c>
      <c r="B354" t="str">
        <f>"DELL"</f>
        <v>DELL</v>
      </c>
      <c r="C354" t="s">
        <v>113</v>
      </c>
      <c r="D354">
        <v>74869</v>
      </c>
      <c r="E354" s="2">
        <v>4050.06</v>
      </c>
      <c r="F354" s="1">
        <v>43122</v>
      </c>
      <c r="G354" t="str">
        <f>"10215282334"</f>
        <v>10215282334</v>
      </c>
      <c r="H354" t="str">
        <f>"Quote #1016469992742"</f>
        <v>Quote #1016469992742</v>
      </c>
      <c r="I354" s="2">
        <v>4050.06</v>
      </c>
      <c r="J354" t="str">
        <f>"Latitude 14 (5414)"</f>
        <v>Latitude 14 (5414)</v>
      </c>
    </row>
    <row r="355" spans="1:10" x14ac:dyDescent="0.3">
      <c r="A355" t="str">
        <f>""</f>
        <v/>
      </c>
      <c r="B355" t="str">
        <f>""</f>
        <v/>
      </c>
      <c r="G355" t="str">
        <f>""</f>
        <v/>
      </c>
      <c r="H355" t="str">
        <f>""</f>
        <v/>
      </c>
      <c r="J355" t="str">
        <f>"Discount"</f>
        <v>Discount</v>
      </c>
    </row>
    <row r="356" spans="1:10" x14ac:dyDescent="0.3">
      <c r="A356" t="str">
        <f t="shared" ref="A356:A362" si="7">"01"</f>
        <v>01</v>
      </c>
      <c r="B356" t="str">
        <f>"US"</f>
        <v>US</v>
      </c>
      <c r="C356" t="s">
        <v>114</v>
      </c>
      <c r="D356">
        <v>74870</v>
      </c>
      <c r="E356" s="2">
        <v>883</v>
      </c>
      <c r="F356" s="1">
        <v>43122</v>
      </c>
      <c r="G356" t="str">
        <f>"201801188186"</f>
        <v>201801188186</v>
      </c>
      <c r="H356" t="str">
        <f>"SANE EXAM-CASE#18-S-000060"</f>
        <v>SANE EXAM-CASE#18-S-000060</v>
      </c>
      <c r="I356" s="2">
        <v>883</v>
      </c>
      <c r="J356" t="str">
        <f>"SANE EXAM-CASE#18-S-000060"</f>
        <v>SANE EXAM-CASE#18-S-000060</v>
      </c>
    </row>
    <row r="357" spans="1:10" x14ac:dyDescent="0.3">
      <c r="A357" t="str">
        <f t="shared" si="7"/>
        <v>01</v>
      </c>
      <c r="B357" t="str">
        <f>"004270"</f>
        <v>004270</v>
      </c>
      <c r="C357" t="s">
        <v>115</v>
      </c>
      <c r="D357">
        <v>74871</v>
      </c>
      <c r="E357" s="2">
        <v>55631.33</v>
      </c>
      <c r="F357" s="1">
        <v>43122</v>
      </c>
      <c r="G357" t="str">
        <f>"79323321"</f>
        <v>79323321</v>
      </c>
      <c r="H357" t="str">
        <f>"CONT#810-9001223-001/RENTAL"</f>
        <v>CONT#810-9001223-001/RENTAL</v>
      </c>
      <c r="I357" s="2">
        <v>55631.33</v>
      </c>
      <c r="J357" t="str">
        <f>"CONT#810-9001223-001/RENTAL"</f>
        <v>CONT#810-9001223-001/RENTAL</v>
      </c>
    </row>
    <row r="358" spans="1:10" x14ac:dyDescent="0.3">
      <c r="A358" t="str">
        <f t="shared" si="7"/>
        <v>01</v>
      </c>
      <c r="B358" t="str">
        <f>"004805"</f>
        <v>004805</v>
      </c>
      <c r="C358" t="s">
        <v>116</v>
      </c>
      <c r="D358">
        <v>74872</v>
      </c>
      <c r="E358" s="2">
        <v>5</v>
      </c>
      <c r="F358" s="1">
        <v>43122</v>
      </c>
      <c r="G358" t="str">
        <f>"201801108089"</f>
        <v>201801108089</v>
      </c>
      <c r="H358" t="str">
        <f>"FERAL HOGS"</f>
        <v>FERAL HOGS</v>
      </c>
      <c r="I358" s="2">
        <v>5</v>
      </c>
      <c r="J358" t="str">
        <f>"FERAL HOGS"</f>
        <v>FERAL HOGS</v>
      </c>
    </row>
    <row r="359" spans="1:10" x14ac:dyDescent="0.3">
      <c r="A359" t="str">
        <f t="shared" si="7"/>
        <v>01</v>
      </c>
      <c r="B359" t="str">
        <f>"DENTRU"</f>
        <v>DENTRU</v>
      </c>
      <c r="C359" t="s">
        <v>117</v>
      </c>
      <c r="D359">
        <v>999999</v>
      </c>
      <c r="E359" s="2">
        <v>1900</v>
      </c>
      <c r="F359" s="1">
        <v>43109</v>
      </c>
      <c r="G359" t="str">
        <f>"BATX015061"</f>
        <v>BATX015061</v>
      </c>
      <c r="H359" t="str">
        <f>"INV BATX015061"</f>
        <v>INV BATX015061</v>
      </c>
      <c r="I359" s="2">
        <v>1900</v>
      </c>
      <c r="J359" t="str">
        <f>"INV BATX015061"</f>
        <v>INV BATX015061</v>
      </c>
    </row>
    <row r="360" spans="1:10" x14ac:dyDescent="0.3">
      <c r="A360" t="str">
        <f t="shared" si="7"/>
        <v>01</v>
      </c>
      <c r="B360" t="str">
        <f>"DENTRU"</f>
        <v>DENTRU</v>
      </c>
      <c r="C360" t="s">
        <v>117</v>
      </c>
      <c r="D360">
        <v>999999</v>
      </c>
      <c r="E360" s="2">
        <v>1165</v>
      </c>
      <c r="F360" s="1">
        <v>43123</v>
      </c>
      <c r="G360" t="str">
        <f>"BATX014994"</f>
        <v>BATX014994</v>
      </c>
      <c r="H360" t="str">
        <f>"INV BATX014994"</f>
        <v>INV BATX014994</v>
      </c>
      <c r="I360" s="2">
        <v>1165</v>
      </c>
      <c r="J360" t="str">
        <f>"INV BATX014994"</f>
        <v>INV BATX014994</v>
      </c>
    </row>
    <row r="361" spans="1:10" x14ac:dyDescent="0.3">
      <c r="A361" t="str">
        <f t="shared" si="7"/>
        <v>01</v>
      </c>
      <c r="B361" t="str">
        <f>"004311"</f>
        <v>004311</v>
      </c>
      <c r="C361" t="s">
        <v>118</v>
      </c>
      <c r="D361">
        <v>74873</v>
      </c>
      <c r="E361" s="2">
        <v>70</v>
      </c>
      <c r="F361" s="1">
        <v>43122</v>
      </c>
      <c r="G361" t="str">
        <f>"201801108085"</f>
        <v>201801108085</v>
      </c>
      <c r="H361" t="str">
        <f>"FERAL HOGS"</f>
        <v>FERAL HOGS</v>
      </c>
      <c r="I361" s="2">
        <v>70</v>
      </c>
      <c r="J361" t="str">
        <f>"FERAL HOGS"</f>
        <v>FERAL HOGS</v>
      </c>
    </row>
    <row r="362" spans="1:10" x14ac:dyDescent="0.3">
      <c r="A362" t="str">
        <f t="shared" si="7"/>
        <v>01</v>
      </c>
      <c r="B362" t="str">
        <f>"005381"</f>
        <v>005381</v>
      </c>
      <c r="C362" t="s">
        <v>119</v>
      </c>
      <c r="D362">
        <v>74874</v>
      </c>
      <c r="E362" s="2">
        <v>320</v>
      </c>
      <c r="F362" s="1">
        <v>43122</v>
      </c>
      <c r="G362" t="str">
        <f>"161000005/6/7/8"</f>
        <v>161000005/6/7/8</v>
      </c>
      <c r="H362" t="str">
        <f>"INV 161000005-1"</f>
        <v>INV 161000005-1</v>
      </c>
      <c r="I362" s="2">
        <v>320</v>
      </c>
      <c r="J362" t="str">
        <f>"INV 161000005-1"</f>
        <v>INV 161000005-1</v>
      </c>
    </row>
    <row r="363" spans="1:10" x14ac:dyDescent="0.3">
      <c r="A363" t="str">
        <f>""</f>
        <v/>
      </c>
      <c r="B363" t="str">
        <f>""</f>
        <v/>
      </c>
      <c r="G363" t="str">
        <f>""</f>
        <v/>
      </c>
      <c r="H363" t="str">
        <f>""</f>
        <v/>
      </c>
      <c r="J363" t="str">
        <f>"INV 161000006-1"</f>
        <v>INV 161000006-1</v>
      </c>
    </row>
    <row r="364" spans="1:10" x14ac:dyDescent="0.3">
      <c r="A364" t="str">
        <f>""</f>
        <v/>
      </c>
      <c r="B364" t="str">
        <f>""</f>
        <v/>
      </c>
      <c r="G364" t="str">
        <f>""</f>
        <v/>
      </c>
      <c r="H364" t="str">
        <f>""</f>
        <v/>
      </c>
      <c r="J364" t="str">
        <f>"INV 161000007-1"</f>
        <v>INV 161000007-1</v>
      </c>
    </row>
    <row r="365" spans="1:10" x14ac:dyDescent="0.3">
      <c r="A365" t="str">
        <f>""</f>
        <v/>
      </c>
      <c r="B365" t="str">
        <f>""</f>
        <v/>
      </c>
      <c r="G365" t="str">
        <f>""</f>
        <v/>
      </c>
      <c r="H365" t="str">
        <f>""</f>
        <v/>
      </c>
      <c r="J365" t="str">
        <f>"INV 161000008-1"</f>
        <v>INV 161000008-1</v>
      </c>
    </row>
    <row r="366" spans="1:10" x14ac:dyDescent="0.3">
      <c r="A366" t="str">
        <f>"01"</f>
        <v>01</v>
      </c>
      <c r="B366" t="str">
        <f>"T5686"</f>
        <v>T5686</v>
      </c>
      <c r="C366" t="s">
        <v>120</v>
      </c>
      <c r="D366">
        <v>74643</v>
      </c>
      <c r="E366" s="2">
        <v>37.5</v>
      </c>
      <c r="F366" s="1">
        <v>43108</v>
      </c>
      <c r="G366" t="str">
        <f>"24076"</f>
        <v>24076</v>
      </c>
      <c r="H366" t="str">
        <f>"DUPLICATE KEYS/GEN SVCS"</f>
        <v>DUPLICATE KEYS/GEN SVCS</v>
      </c>
      <c r="I366" s="2">
        <v>37.5</v>
      </c>
      <c r="J366" t="str">
        <f>"DUPLICATE KEYS/GEN SVCS"</f>
        <v>DUPLICATE KEYS/GEN SVCS</v>
      </c>
    </row>
    <row r="367" spans="1:10" x14ac:dyDescent="0.3">
      <c r="A367" t="str">
        <f>"01"</f>
        <v>01</v>
      </c>
      <c r="B367" t="str">
        <f>"T5686"</f>
        <v>T5686</v>
      </c>
      <c r="C367" t="s">
        <v>120</v>
      </c>
      <c r="D367">
        <v>74875</v>
      </c>
      <c r="E367" s="2">
        <v>1614</v>
      </c>
      <c r="F367" s="1">
        <v>43122</v>
      </c>
      <c r="G367" t="str">
        <f>"23981"</f>
        <v>23981</v>
      </c>
      <c r="H367" t="str">
        <f>"DUPLICATE KEYS/GEN SVCS"</f>
        <v>DUPLICATE KEYS/GEN SVCS</v>
      </c>
      <c r="I367" s="2">
        <v>60</v>
      </c>
      <c r="J367" t="str">
        <f>"DUPLICATE KEYS/GEN SVCS"</f>
        <v>DUPLICATE KEYS/GEN SVCS</v>
      </c>
    </row>
    <row r="368" spans="1:10" x14ac:dyDescent="0.3">
      <c r="A368" t="str">
        <f>""</f>
        <v/>
      </c>
      <c r="B368" t="str">
        <f>""</f>
        <v/>
      </c>
      <c r="G368" t="str">
        <f>"24019"</f>
        <v>24019</v>
      </c>
      <c r="H368" t="str">
        <f>"LOCK SVCS"</f>
        <v>LOCK SVCS</v>
      </c>
      <c r="I368" s="2">
        <v>1395</v>
      </c>
      <c r="J368" t="str">
        <f>"LOCK SVCS"</f>
        <v>LOCK SVCS</v>
      </c>
    </row>
    <row r="369" spans="1:10" x14ac:dyDescent="0.3">
      <c r="A369" t="str">
        <f>""</f>
        <v/>
      </c>
      <c r="B369" t="str">
        <f>""</f>
        <v/>
      </c>
      <c r="G369" t="str">
        <f>"24105"</f>
        <v>24105</v>
      </c>
      <c r="H369" t="str">
        <f>"DUPLICATE KEYS"</f>
        <v>DUPLICATE KEYS</v>
      </c>
      <c r="I369" s="2">
        <v>10</v>
      </c>
      <c r="J369" t="str">
        <f>"DUPLICATE KEYS"</f>
        <v>DUPLICATE KEYS</v>
      </c>
    </row>
    <row r="370" spans="1:10" x14ac:dyDescent="0.3">
      <c r="A370" t="str">
        <f>""</f>
        <v/>
      </c>
      <c r="B370" t="str">
        <f>""</f>
        <v/>
      </c>
      <c r="G370" t="str">
        <f>"24114"</f>
        <v>24114</v>
      </c>
      <c r="H370" t="str">
        <f>"SERVICE CALL/GEN SVCS"</f>
        <v>SERVICE CALL/GEN SVCS</v>
      </c>
      <c r="I370" s="2">
        <v>55</v>
      </c>
      <c r="J370" t="str">
        <f>"SERVICE CALL/GEN SVCS"</f>
        <v>SERVICE CALL/GEN SVCS</v>
      </c>
    </row>
    <row r="371" spans="1:10" x14ac:dyDescent="0.3">
      <c r="A371" t="str">
        <f>""</f>
        <v/>
      </c>
      <c r="B371" t="str">
        <f>""</f>
        <v/>
      </c>
      <c r="G371" t="str">
        <f>"24133"</f>
        <v>24133</v>
      </c>
      <c r="H371" t="str">
        <f>"SERVICE CALL/REKEY LOCK"</f>
        <v>SERVICE CALL/REKEY LOCK</v>
      </c>
      <c r="I371" s="2">
        <v>94</v>
      </c>
      <c r="J371" t="str">
        <f>"SERVICE CALL/REKEY LOCK"</f>
        <v>SERVICE CALL/REKEY LOCK</v>
      </c>
    </row>
    <row r="372" spans="1:10" x14ac:dyDescent="0.3">
      <c r="A372" t="str">
        <f>"01"</f>
        <v>01</v>
      </c>
      <c r="B372" t="str">
        <f>"004460"</f>
        <v>004460</v>
      </c>
      <c r="C372" t="s">
        <v>121</v>
      </c>
      <c r="D372">
        <v>74876</v>
      </c>
      <c r="E372" s="2">
        <v>500</v>
      </c>
      <c r="F372" s="1">
        <v>43122</v>
      </c>
      <c r="G372" t="str">
        <f>"201801108086"</f>
        <v>201801108086</v>
      </c>
      <c r="H372" t="str">
        <f>"FERAL HOGS"</f>
        <v>FERAL HOGS</v>
      </c>
      <c r="I372" s="2">
        <v>500</v>
      </c>
      <c r="J372" t="str">
        <f>"FERAL HOGS"</f>
        <v>FERAL HOGS</v>
      </c>
    </row>
    <row r="373" spans="1:10" x14ac:dyDescent="0.3">
      <c r="A373" t="str">
        <f>"01"</f>
        <v>01</v>
      </c>
      <c r="B373" t="str">
        <f>"004924"</f>
        <v>004924</v>
      </c>
      <c r="C373" t="s">
        <v>122</v>
      </c>
      <c r="D373">
        <v>74591</v>
      </c>
      <c r="E373" s="2">
        <v>749.4</v>
      </c>
      <c r="F373" s="1">
        <v>43105</v>
      </c>
      <c r="G373" t="str">
        <f>"201801057760"</f>
        <v>201801057760</v>
      </c>
      <c r="H373" t="str">
        <f>"ACCT#405900029225/01012018"</f>
        <v>ACCT#405900029225/01012018</v>
      </c>
      <c r="I373" s="2">
        <v>187.35</v>
      </c>
      <c r="J373" t="str">
        <f>"ACCT#405900029225/01012018"</f>
        <v>ACCT#405900029225/01012018</v>
      </c>
    </row>
    <row r="374" spans="1:10" x14ac:dyDescent="0.3">
      <c r="A374" t="str">
        <f>""</f>
        <v/>
      </c>
      <c r="B374" t="str">
        <f>""</f>
        <v/>
      </c>
      <c r="G374" t="str">
        <f>"201801057761"</f>
        <v>201801057761</v>
      </c>
      <c r="H374" t="str">
        <f>"ACCT#405900029213/01012018"</f>
        <v>ACCT#405900029213/01012018</v>
      </c>
      <c r="I374" s="2">
        <v>374.7</v>
      </c>
      <c r="J374" t="str">
        <f>"ACCT#405900029213/01012018"</f>
        <v>ACCT#405900029213/01012018</v>
      </c>
    </row>
    <row r="375" spans="1:10" x14ac:dyDescent="0.3">
      <c r="A375" t="str">
        <f>""</f>
        <v/>
      </c>
      <c r="B375" t="str">
        <f>""</f>
        <v/>
      </c>
      <c r="G375" t="str">
        <f>"201801057762"</f>
        <v>201801057762</v>
      </c>
      <c r="H375" t="str">
        <f>"ACCT#405900028789/01012018"</f>
        <v>ACCT#405900028789/01012018</v>
      </c>
      <c r="I375" s="2">
        <v>187.35</v>
      </c>
      <c r="J375" t="str">
        <f>"ACCT#405900028789/01012018"</f>
        <v>ACCT#405900028789/01012018</v>
      </c>
    </row>
    <row r="376" spans="1:10" x14ac:dyDescent="0.3">
      <c r="A376" t="str">
        <f>"01"</f>
        <v>01</v>
      </c>
      <c r="B376" t="str">
        <f>"004924"</f>
        <v>004924</v>
      </c>
      <c r="C376" t="s">
        <v>122</v>
      </c>
      <c r="D376">
        <v>74977</v>
      </c>
      <c r="E376" s="2">
        <v>749.4</v>
      </c>
      <c r="F376" s="1">
        <v>43123</v>
      </c>
      <c r="G376" t="str">
        <f>"201801238209"</f>
        <v>201801238209</v>
      </c>
      <c r="H376" t="str">
        <f>"ACCT#405900029213/02012018"</f>
        <v>ACCT#405900029213/02012018</v>
      </c>
      <c r="I376" s="2">
        <v>374.7</v>
      </c>
      <c r="J376" t="str">
        <f>"ACCT#405900029213/02012018"</f>
        <v>ACCT#405900029213/02012018</v>
      </c>
    </row>
    <row r="377" spans="1:10" x14ac:dyDescent="0.3">
      <c r="A377" t="str">
        <f>""</f>
        <v/>
      </c>
      <c r="B377" t="str">
        <f>""</f>
        <v/>
      </c>
      <c r="G377" t="str">
        <f>"201801238211"</f>
        <v>201801238211</v>
      </c>
      <c r="H377" t="str">
        <f>"ACCT#405900029225/02012018"</f>
        <v>ACCT#405900029225/02012018</v>
      </c>
      <c r="I377" s="2">
        <v>187.35</v>
      </c>
      <c r="J377" t="str">
        <f>"ACCT#405900029225/02012018"</f>
        <v>ACCT#405900029225/02012018</v>
      </c>
    </row>
    <row r="378" spans="1:10" x14ac:dyDescent="0.3">
      <c r="A378" t="str">
        <f>""</f>
        <v/>
      </c>
      <c r="B378" t="str">
        <f>""</f>
        <v/>
      </c>
      <c r="G378" t="str">
        <f>"201801238212"</f>
        <v>201801238212</v>
      </c>
      <c r="H378" t="str">
        <f>"ACCT#405900028789/02012018"</f>
        <v>ACCT#405900028789/02012018</v>
      </c>
      <c r="I378" s="2">
        <v>187.35</v>
      </c>
      <c r="J378" t="str">
        <f>"ACCT#405900028789/02012018"</f>
        <v>ACCT#405900028789/02012018</v>
      </c>
    </row>
    <row r="379" spans="1:10" x14ac:dyDescent="0.3">
      <c r="A379" t="str">
        <f>"01"</f>
        <v>01</v>
      </c>
      <c r="B379" t="str">
        <f>"T9323"</f>
        <v>T9323</v>
      </c>
      <c r="C379" t="s">
        <v>123</v>
      </c>
      <c r="D379">
        <v>999999</v>
      </c>
      <c r="E379" s="2">
        <v>1425</v>
      </c>
      <c r="F379" s="1">
        <v>43109</v>
      </c>
      <c r="G379" t="str">
        <f>"201801027642"</f>
        <v>201801027642</v>
      </c>
      <c r="H379" t="str">
        <f>"1JP2217C"</f>
        <v>1JP2217C</v>
      </c>
      <c r="I379" s="2">
        <v>400</v>
      </c>
      <c r="J379" t="str">
        <f>"1JP2217C"</f>
        <v>1JP2217C</v>
      </c>
    </row>
    <row r="380" spans="1:10" x14ac:dyDescent="0.3">
      <c r="A380" t="str">
        <f>""</f>
        <v/>
      </c>
      <c r="B380" t="str">
        <f>""</f>
        <v/>
      </c>
      <c r="G380" t="str">
        <f>"201801037708"</f>
        <v>201801037708</v>
      </c>
      <c r="H380" t="str">
        <f>"55654  55655  AC-2017-1129A"</f>
        <v>55654  55655  AC-2017-1129A</v>
      </c>
      <c r="I380" s="2">
        <v>475</v>
      </c>
      <c r="J380" t="str">
        <f>"55654  55655  AC-2017-1129A"</f>
        <v>55654  55655  AC-2017-1129A</v>
      </c>
    </row>
    <row r="381" spans="1:10" x14ac:dyDescent="0.3">
      <c r="A381" t="str">
        <f>""</f>
        <v/>
      </c>
      <c r="B381" t="str">
        <f>""</f>
        <v/>
      </c>
      <c r="G381" t="str">
        <f>"201801037709"</f>
        <v>201801037709</v>
      </c>
      <c r="H381" t="str">
        <f>"17-18764"</f>
        <v>17-18764</v>
      </c>
      <c r="I381" s="2">
        <v>100</v>
      </c>
      <c r="J381" t="str">
        <f>"17-18764"</f>
        <v>17-18764</v>
      </c>
    </row>
    <row r="382" spans="1:10" x14ac:dyDescent="0.3">
      <c r="A382" t="str">
        <f>""</f>
        <v/>
      </c>
      <c r="B382" t="str">
        <f>""</f>
        <v/>
      </c>
      <c r="G382" t="str">
        <f>"201801037710"</f>
        <v>201801037710</v>
      </c>
      <c r="H382" t="str">
        <f>"20170540"</f>
        <v>20170540</v>
      </c>
      <c r="I382" s="2">
        <v>100</v>
      </c>
      <c r="J382" t="str">
        <f>"20170540"</f>
        <v>20170540</v>
      </c>
    </row>
    <row r="383" spans="1:10" x14ac:dyDescent="0.3">
      <c r="A383" t="str">
        <f>""</f>
        <v/>
      </c>
      <c r="B383" t="str">
        <f>""</f>
        <v/>
      </c>
      <c r="G383" t="str">
        <f>"201801037711"</f>
        <v>201801037711</v>
      </c>
      <c r="H383" t="str">
        <f>"55586"</f>
        <v>55586</v>
      </c>
      <c r="I383" s="2">
        <v>250</v>
      </c>
      <c r="J383" t="str">
        <f>"55586"</f>
        <v>55586</v>
      </c>
    </row>
    <row r="384" spans="1:10" x14ac:dyDescent="0.3">
      <c r="A384" t="str">
        <f>""</f>
        <v/>
      </c>
      <c r="B384" t="str">
        <f>""</f>
        <v/>
      </c>
      <c r="G384" t="str">
        <f>"201801037712"</f>
        <v>201801037712</v>
      </c>
      <c r="H384" t="str">
        <f>"1JP121017AI/17-18784"</f>
        <v>1JP121017AI/17-18784</v>
      </c>
      <c r="I384" s="2">
        <v>100</v>
      </c>
      <c r="J384" t="str">
        <f>"1JP121017AI/17-18784"</f>
        <v>1JP121017AI/17-18784</v>
      </c>
    </row>
    <row r="385" spans="1:10" x14ac:dyDescent="0.3">
      <c r="A385" t="str">
        <f>"01"</f>
        <v>01</v>
      </c>
      <c r="B385" t="str">
        <f>"T9323"</f>
        <v>T9323</v>
      </c>
      <c r="C385" t="s">
        <v>123</v>
      </c>
      <c r="D385">
        <v>999999</v>
      </c>
      <c r="E385" s="2">
        <v>800</v>
      </c>
      <c r="F385" s="1">
        <v>43123</v>
      </c>
      <c r="G385" t="str">
        <f>"201801118147"</f>
        <v>201801118147</v>
      </c>
      <c r="H385" t="str">
        <f>"311062018F"</f>
        <v>311062018F</v>
      </c>
      <c r="I385" s="2">
        <v>400</v>
      </c>
      <c r="J385" t="str">
        <f>"311062018F"</f>
        <v>311062018F</v>
      </c>
    </row>
    <row r="386" spans="1:10" x14ac:dyDescent="0.3">
      <c r="A386" t="str">
        <f>""</f>
        <v/>
      </c>
      <c r="B386" t="str">
        <f>""</f>
        <v/>
      </c>
      <c r="G386" t="str">
        <f>"201801118148"</f>
        <v>201801118148</v>
      </c>
      <c r="H386" t="str">
        <f>"16375"</f>
        <v>16375</v>
      </c>
      <c r="I386" s="2">
        <v>400</v>
      </c>
      <c r="J386" t="str">
        <f>"16375"</f>
        <v>16375</v>
      </c>
    </row>
    <row r="387" spans="1:10" x14ac:dyDescent="0.3">
      <c r="A387" t="str">
        <f>"01"</f>
        <v>01</v>
      </c>
      <c r="B387" t="str">
        <f>"ECOLAB"</f>
        <v>ECOLAB</v>
      </c>
      <c r="C387" t="s">
        <v>124</v>
      </c>
      <c r="D387">
        <v>999999</v>
      </c>
      <c r="E387" s="2">
        <v>702.16</v>
      </c>
      <c r="F387" s="1">
        <v>43109</v>
      </c>
      <c r="G387" t="str">
        <f>"7985072"</f>
        <v>7985072</v>
      </c>
      <c r="H387" t="str">
        <f>"INV 7985072"</f>
        <v>INV 7985072</v>
      </c>
      <c r="I387" s="2">
        <v>702.16</v>
      </c>
      <c r="J387" t="str">
        <f>"INV 7985072"</f>
        <v>INV 7985072</v>
      </c>
    </row>
    <row r="388" spans="1:10" x14ac:dyDescent="0.3">
      <c r="A388" t="str">
        <f>"01"</f>
        <v>01</v>
      </c>
      <c r="B388" t="str">
        <f>"003357"</f>
        <v>003357</v>
      </c>
      <c r="C388" t="s">
        <v>125</v>
      </c>
      <c r="D388">
        <v>74877</v>
      </c>
      <c r="E388" s="2">
        <v>65</v>
      </c>
      <c r="F388" s="1">
        <v>43122</v>
      </c>
      <c r="G388" t="str">
        <f>"12670"</f>
        <v>12670</v>
      </c>
      <c r="H388" t="str">
        <f>"SERVICE  11/14/17"</f>
        <v>SERVICE  11/14/17</v>
      </c>
      <c r="I388" s="2">
        <v>65</v>
      </c>
      <c r="J388" t="str">
        <f>"SERVICE  11/14/17"</f>
        <v>SERVICE  11/14/17</v>
      </c>
    </row>
    <row r="389" spans="1:10" x14ac:dyDescent="0.3">
      <c r="A389" t="str">
        <f>"01"</f>
        <v>01</v>
      </c>
      <c r="B389" t="str">
        <f>"EC"</f>
        <v>EC</v>
      </c>
      <c r="C389" t="s">
        <v>126</v>
      </c>
      <c r="D389">
        <v>999999</v>
      </c>
      <c r="E389" s="2">
        <v>41</v>
      </c>
      <c r="F389" s="1">
        <v>43123</v>
      </c>
      <c r="G389" t="str">
        <f>"121817-1"</f>
        <v>121817-1</v>
      </c>
      <c r="H389" t="str">
        <f>"1 YR SUBSCRIPTION RENEWAL"</f>
        <v>1 YR SUBSCRIPTION RENEWAL</v>
      </c>
      <c r="I389" s="2">
        <v>41</v>
      </c>
      <c r="J389" t="str">
        <f>"1 YR SUBSCRIPTION RENEWAL"</f>
        <v>1 YR SUBSCRIPTION RENEWAL</v>
      </c>
    </row>
    <row r="390" spans="1:10" x14ac:dyDescent="0.3">
      <c r="A390" t="str">
        <f>"01"</f>
        <v>01</v>
      </c>
      <c r="B390" t="str">
        <f>"EU"</f>
        <v>EU</v>
      </c>
      <c r="C390" t="s">
        <v>127</v>
      </c>
      <c r="D390">
        <v>74592</v>
      </c>
      <c r="E390" s="2">
        <v>1275.1400000000001</v>
      </c>
      <c r="F390" s="1">
        <v>43105</v>
      </c>
      <c r="G390" t="str">
        <f>"201801057746"</f>
        <v>201801057746</v>
      </c>
      <c r="H390" t="str">
        <f>"ACCT#007-0008410-002/12312017"</f>
        <v>ACCT#007-0008410-002/12312017</v>
      </c>
      <c r="I390" s="2">
        <v>187.78</v>
      </c>
      <c r="J390" t="str">
        <f>"ACCT#007-0008410-002/12312017"</f>
        <v>ACCT#007-0008410-002/12312017</v>
      </c>
    </row>
    <row r="391" spans="1:10" x14ac:dyDescent="0.3">
      <c r="A391" t="str">
        <f>""</f>
        <v/>
      </c>
      <c r="B391" t="str">
        <f>""</f>
        <v/>
      </c>
      <c r="G391" t="str">
        <f>"201801057747"</f>
        <v>201801057747</v>
      </c>
      <c r="H391" t="str">
        <f>"ACCT#007-0011501-000/12312017"</f>
        <v>ACCT#007-0011501-000/12312017</v>
      </c>
      <c r="I391" s="2">
        <v>111.52</v>
      </c>
      <c r="J391" t="str">
        <f>"ACCT#007-0011501-000/12312017"</f>
        <v>ACCT#007-0011501-000/12312017</v>
      </c>
    </row>
    <row r="392" spans="1:10" x14ac:dyDescent="0.3">
      <c r="A392" t="str">
        <f>""</f>
        <v/>
      </c>
      <c r="B392" t="str">
        <f>""</f>
        <v/>
      </c>
      <c r="G392" t="str">
        <f>"201801057748"</f>
        <v>201801057748</v>
      </c>
      <c r="H392" t="str">
        <f>"ACCT#007-0011510-00/12312017"</f>
        <v>ACCT#007-0011510-00/12312017</v>
      </c>
      <c r="I392" s="2">
        <v>214.53</v>
      </c>
      <c r="J392" t="str">
        <f>"ACCT#007-0011510-00/12312017"</f>
        <v>ACCT#007-0011510-00/12312017</v>
      </c>
    </row>
    <row r="393" spans="1:10" x14ac:dyDescent="0.3">
      <c r="A393" t="str">
        <f>""</f>
        <v/>
      </c>
      <c r="B393" t="str">
        <f>""</f>
        <v/>
      </c>
      <c r="G393" t="str">
        <f>"201801057749"</f>
        <v>201801057749</v>
      </c>
      <c r="H393" t="str">
        <f>"ACCT#007-0011530-000/12312017"</f>
        <v>ACCT#007-0011530-000/12312017</v>
      </c>
      <c r="I393" s="2">
        <v>94.09</v>
      </c>
      <c r="J393" t="str">
        <f>"ACCT#007-0011530-000/12312017"</f>
        <v>ACCT#007-0011530-000/12312017</v>
      </c>
    </row>
    <row r="394" spans="1:10" x14ac:dyDescent="0.3">
      <c r="A394" t="str">
        <f>""</f>
        <v/>
      </c>
      <c r="B394" t="str">
        <f>""</f>
        <v/>
      </c>
      <c r="G394" t="str">
        <f>"201801057750"</f>
        <v>201801057750</v>
      </c>
      <c r="H394" t="str">
        <f>"ACCT#007-0011534-001/12312017"</f>
        <v>ACCT#007-0011534-001/12312017</v>
      </c>
      <c r="I394" s="2">
        <v>145.81</v>
      </c>
      <c r="J394" t="str">
        <f>"ACCT#007-0011534-001/12312017"</f>
        <v>ACCT#007-0011534-001/12312017</v>
      </c>
    </row>
    <row r="395" spans="1:10" x14ac:dyDescent="0.3">
      <c r="A395" t="str">
        <f>""</f>
        <v/>
      </c>
      <c r="B395" t="str">
        <f>""</f>
        <v/>
      </c>
      <c r="G395" t="str">
        <f>"201801057751"</f>
        <v>201801057751</v>
      </c>
      <c r="H395" t="str">
        <f>"ACCT#007-0011535-000/12312017"</f>
        <v>ACCT#007-0011535-000/12312017</v>
      </c>
      <c r="I395" s="2">
        <v>399.03</v>
      </c>
      <c r="J395" t="str">
        <f>"ACCT#007-0011535-000/12312017"</f>
        <v>ACCT#007-0011535-000/12312017</v>
      </c>
    </row>
    <row r="396" spans="1:10" x14ac:dyDescent="0.3">
      <c r="A396" t="str">
        <f>""</f>
        <v/>
      </c>
      <c r="B396" t="str">
        <f>""</f>
        <v/>
      </c>
      <c r="G396" t="str">
        <f>"201801057752"</f>
        <v>201801057752</v>
      </c>
      <c r="H396" t="str">
        <f>"ACCT#007-0011544-001/12312017"</f>
        <v>ACCT#007-0011544-001/12312017</v>
      </c>
      <c r="I396" s="2">
        <v>106.34</v>
      </c>
      <c r="J396" t="str">
        <f>"ACCT#007-0011544-001/12312017"</f>
        <v>ACCT#007-0011544-001/12312017</v>
      </c>
    </row>
    <row r="397" spans="1:10" x14ac:dyDescent="0.3">
      <c r="A397" t="str">
        <f>""</f>
        <v/>
      </c>
      <c r="B397" t="str">
        <f>""</f>
        <v/>
      </c>
      <c r="G397" t="str">
        <f>"201801057753"</f>
        <v>201801057753</v>
      </c>
      <c r="H397" t="str">
        <f>"ACCT#007-0071128-001/12312017"</f>
        <v>ACCT#007-0071128-001/12312017</v>
      </c>
      <c r="I397" s="2">
        <v>16.04</v>
      </c>
      <c r="J397" t="str">
        <f>"ACCT#007-0071128-001/12312017"</f>
        <v>ACCT#007-0071128-001/12312017</v>
      </c>
    </row>
    <row r="398" spans="1:10" x14ac:dyDescent="0.3">
      <c r="A398" t="str">
        <f>"01"</f>
        <v>01</v>
      </c>
      <c r="B398" t="str">
        <f>"003027"</f>
        <v>003027</v>
      </c>
      <c r="C398" t="s">
        <v>128</v>
      </c>
      <c r="D398">
        <v>74644</v>
      </c>
      <c r="E398" s="2">
        <v>2680.82</v>
      </c>
      <c r="F398" s="1">
        <v>43108</v>
      </c>
      <c r="G398" t="str">
        <f>"201801027674"</f>
        <v>201801027674</v>
      </c>
      <c r="H398" t="str">
        <f>"CUST#0888336"</f>
        <v>CUST#0888336</v>
      </c>
      <c r="I398" s="2">
        <v>2680.82</v>
      </c>
      <c r="J398" t="str">
        <f>"CUST#0888336"</f>
        <v>CUST#0888336</v>
      </c>
    </row>
    <row r="399" spans="1:10" x14ac:dyDescent="0.3">
      <c r="A399" t="str">
        <f>"01"</f>
        <v>01</v>
      </c>
      <c r="B399" t="str">
        <f>"003027"</f>
        <v>003027</v>
      </c>
      <c r="C399" t="s">
        <v>128</v>
      </c>
      <c r="D399">
        <v>74878</v>
      </c>
      <c r="E399" s="2">
        <v>1690.46</v>
      </c>
      <c r="F399" s="1">
        <v>43122</v>
      </c>
      <c r="G399" t="str">
        <f>"145-13287"</f>
        <v>145-13287</v>
      </c>
      <c r="H399" t="str">
        <f>"light replacement stock"</f>
        <v>light replacement stock</v>
      </c>
      <c r="I399" s="2">
        <v>1690.46</v>
      </c>
      <c r="J399" t="str">
        <f>"KTS0CKETT8UT4W"</f>
        <v>KTS0CKETT8UT4W</v>
      </c>
    </row>
    <row r="400" spans="1:10" x14ac:dyDescent="0.3">
      <c r="A400" t="str">
        <f>""</f>
        <v/>
      </c>
      <c r="B400" t="str">
        <f>""</f>
        <v/>
      </c>
      <c r="G400" t="str">
        <f>""</f>
        <v/>
      </c>
      <c r="H400" t="str">
        <f>""</f>
        <v/>
      </c>
      <c r="J400" t="str">
        <f>"LED15T848GC840D"</f>
        <v>LED15T848GC840D</v>
      </c>
    </row>
    <row r="401" spans="1:10" x14ac:dyDescent="0.3">
      <c r="A401" t="str">
        <f>"01"</f>
        <v>01</v>
      </c>
      <c r="B401" t="str">
        <f>"005198"</f>
        <v>005198</v>
      </c>
      <c r="C401" t="s">
        <v>129</v>
      </c>
      <c r="D401">
        <v>74645</v>
      </c>
      <c r="E401" s="2">
        <v>51.84</v>
      </c>
      <c r="F401" s="1">
        <v>43108</v>
      </c>
      <c r="G401" t="str">
        <f>"201801037696"</f>
        <v>201801037696</v>
      </c>
      <c r="H401" t="str">
        <f>"MILEAGE REIMBURSEMENT"</f>
        <v>MILEAGE REIMBURSEMENT</v>
      </c>
      <c r="I401" s="2">
        <v>51.84</v>
      </c>
      <c r="J401" t="str">
        <f>"MILEAGE REIMBURSEMENT"</f>
        <v>MILEAGE REIMBURSEMENT</v>
      </c>
    </row>
    <row r="402" spans="1:10" x14ac:dyDescent="0.3">
      <c r="A402" t="str">
        <f>"01"</f>
        <v>01</v>
      </c>
      <c r="B402" t="str">
        <f>"T526"</f>
        <v>T526</v>
      </c>
      <c r="C402" t="s">
        <v>130</v>
      </c>
      <c r="D402">
        <v>74646</v>
      </c>
      <c r="E402" s="2">
        <v>50.55</v>
      </c>
      <c r="F402" s="1">
        <v>43108</v>
      </c>
      <c r="G402" t="str">
        <f>"6-032-59062"</f>
        <v>6-032-59062</v>
      </c>
      <c r="H402" t="str">
        <f>"ACCT#1230-5243-9/TAX OFFICE"</f>
        <v>ACCT#1230-5243-9/TAX OFFICE</v>
      </c>
      <c r="I402" s="2">
        <v>27.5</v>
      </c>
      <c r="J402" t="str">
        <f>"ACCT#1230-5243-9/TAX OFFICE"</f>
        <v>ACCT#1230-5243-9/TAX OFFICE</v>
      </c>
    </row>
    <row r="403" spans="1:10" x14ac:dyDescent="0.3">
      <c r="A403" t="str">
        <f>""</f>
        <v/>
      </c>
      <c r="B403" t="str">
        <f>""</f>
        <v/>
      </c>
      <c r="G403" t="str">
        <f>"6-033-21885"</f>
        <v>6-033-21885</v>
      </c>
      <c r="H403" t="str">
        <f>"INV 6-033-21885"</f>
        <v>INV 6-033-21885</v>
      </c>
      <c r="I403" s="2">
        <v>23.05</v>
      </c>
      <c r="J403" t="str">
        <f>"INV 6-033-21885"</f>
        <v>INV 6-033-21885</v>
      </c>
    </row>
    <row r="404" spans="1:10" x14ac:dyDescent="0.3">
      <c r="A404" t="str">
        <f>"01"</f>
        <v>01</v>
      </c>
      <c r="B404" t="str">
        <f>"T526"</f>
        <v>T526</v>
      </c>
      <c r="C404" t="s">
        <v>130</v>
      </c>
      <c r="D404">
        <v>74879</v>
      </c>
      <c r="E404" s="2">
        <v>86.83</v>
      </c>
      <c r="F404" s="1">
        <v>43122</v>
      </c>
      <c r="G404" t="str">
        <f>"6-003-36633"</f>
        <v>6-003-36633</v>
      </c>
      <c r="H404" t="str">
        <f>"ACCT#4702-9210-5/AUDITOR"</f>
        <v>ACCT#4702-9210-5/AUDITOR</v>
      </c>
      <c r="I404" s="2">
        <v>86.83</v>
      </c>
      <c r="J404" t="str">
        <f>"ACCT#4702-9210-5/AUDITOR"</f>
        <v>ACCT#4702-9210-5/AUDITOR</v>
      </c>
    </row>
    <row r="405" spans="1:10" x14ac:dyDescent="0.3">
      <c r="A405" t="str">
        <f>"01"</f>
        <v>01</v>
      </c>
      <c r="B405" t="str">
        <f>"004691"</f>
        <v>004691</v>
      </c>
      <c r="C405" t="s">
        <v>131</v>
      </c>
      <c r="D405">
        <v>74647</v>
      </c>
      <c r="E405" s="2">
        <v>1161.31</v>
      </c>
      <c r="F405" s="1">
        <v>43108</v>
      </c>
      <c r="G405" t="str">
        <f>"NP52148926"</f>
        <v>NP52148926</v>
      </c>
      <c r="H405" t="str">
        <f>"Stmt# NP52148926"</f>
        <v>Stmt# NP52148926</v>
      </c>
      <c r="I405" s="2">
        <v>734.42</v>
      </c>
      <c r="J405" t="str">
        <f>"General Services"</f>
        <v>General Services</v>
      </c>
    </row>
    <row r="406" spans="1:10" x14ac:dyDescent="0.3">
      <c r="A406" t="str">
        <f>""</f>
        <v/>
      </c>
      <c r="B406" t="str">
        <f>""</f>
        <v/>
      </c>
      <c r="G406" t="str">
        <f>""</f>
        <v/>
      </c>
      <c r="H406" t="str">
        <f>""</f>
        <v/>
      </c>
      <c r="J406" t="str">
        <f>"Sign Shop"</f>
        <v>Sign Shop</v>
      </c>
    </row>
    <row r="407" spans="1:10" x14ac:dyDescent="0.3">
      <c r="A407" t="str">
        <f>""</f>
        <v/>
      </c>
      <c r="B407" t="str">
        <f>""</f>
        <v/>
      </c>
      <c r="G407" t="str">
        <f>""</f>
        <v/>
      </c>
      <c r="H407" t="str">
        <f>""</f>
        <v/>
      </c>
      <c r="J407" t="str">
        <f>"Habitat Conservation"</f>
        <v>Habitat Conservation</v>
      </c>
    </row>
    <row r="408" spans="1:10" x14ac:dyDescent="0.3">
      <c r="A408" t="str">
        <f>""</f>
        <v/>
      </c>
      <c r="B408" t="str">
        <f>""</f>
        <v/>
      </c>
      <c r="G408" t="str">
        <f>""</f>
        <v/>
      </c>
      <c r="H408" t="str">
        <f>""</f>
        <v/>
      </c>
      <c r="J408" t="str">
        <f>"Pct. 1"</f>
        <v>Pct. 1</v>
      </c>
    </row>
    <row r="409" spans="1:10" x14ac:dyDescent="0.3">
      <c r="A409" t="str">
        <f>""</f>
        <v/>
      </c>
      <c r="B409" t="str">
        <f>""</f>
        <v/>
      </c>
      <c r="G409" t="str">
        <f>"NP52149136"</f>
        <v>NP52149136</v>
      </c>
      <c r="H409" t="str">
        <f>"Stmt# NP5149136"</f>
        <v>Stmt# NP5149136</v>
      </c>
      <c r="I409" s="2">
        <v>426.89</v>
      </c>
      <c r="J409" t="str">
        <f>"Stmt# NP5149136"</f>
        <v>Stmt# NP5149136</v>
      </c>
    </row>
    <row r="410" spans="1:10" x14ac:dyDescent="0.3">
      <c r="A410" t="str">
        <f>"01"</f>
        <v>01</v>
      </c>
      <c r="B410" t="str">
        <f>"004691"</f>
        <v>004691</v>
      </c>
      <c r="C410" t="s">
        <v>131</v>
      </c>
      <c r="D410">
        <v>74880</v>
      </c>
      <c r="E410" s="2">
        <v>21758.560000000001</v>
      </c>
      <c r="F410" s="1">
        <v>43122</v>
      </c>
      <c r="G410" t="str">
        <f>"NP52149106"</f>
        <v>NP52149106</v>
      </c>
      <c r="H410" t="str">
        <f>"INV NP52149106"</f>
        <v>INV NP52149106</v>
      </c>
      <c r="I410" s="2">
        <v>10532.63</v>
      </c>
      <c r="J410" t="str">
        <f>"INV NP52149106"</f>
        <v>INV NP52149106</v>
      </c>
    </row>
    <row r="411" spans="1:10" x14ac:dyDescent="0.3">
      <c r="A411" t="str">
        <f>""</f>
        <v/>
      </c>
      <c r="B411" t="str">
        <f>""</f>
        <v/>
      </c>
      <c r="G411" t="str">
        <f>"NP52302255"</f>
        <v>NP52302255</v>
      </c>
      <c r="H411" t="str">
        <f>"Stmt# NP52302255"</f>
        <v>Stmt# NP52302255</v>
      </c>
      <c r="I411" s="2">
        <v>379.11</v>
      </c>
      <c r="J411" t="str">
        <f>"IT"</f>
        <v>IT</v>
      </c>
    </row>
    <row r="412" spans="1:10" x14ac:dyDescent="0.3">
      <c r="A412" t="str">
        <f>""</f>
        <v/>
      </c>
      <c r="B412" t="str">
        <f>""</f>
        <v/>
      </c>
      <c r="G412" t="str">
        <f>""</f>
        <v/>
      </c>
      <c r="H412" t="str">
        <f>""</f>
        <v/>
      </c>
      <c r="J412" t="str">
        <f>"General Services"</f>
        <v>General Services</v>
      </c>
    </row>
    <row r="413" spans="1:10" x14ac:dyDescent="0.3">
      <c r="A413" t="str">
        <f>""</f>
        <v/>
      </c>
      <c r="B413" t="str">
        <f>""</f>
        <v/>
      </c>
      <c r="G413" t="str">
        <f>""</f>
        <v/>
      </c>
      <c r="H413" t="str">
        <f>""</f>
        <v/>
      </c>
      <c r="J413" t="str">
        <f>"Sign Shop"</f>
        <v>Sign Shop</v>
      </c>
    </row>
    <row r="414" spans="1:10" x14ac:dyDescent="0.3">
      <c r="A414" t="str">
        <f>""</f>
        <v/>
      </c>
      <c r="B414" t="str">
        <f>""</f>
        <v/>
      </c>
      <c r="G414" t="str">
        <f>""</f>
        <v/>
      </c>
      <c r="H414" t="str">
        <f>""</f>
        <v/>
      </c>
      <c r="J414" t="str">
        <f>"Habitat"</f>
        <v>Habitat</v>
      </c>
    </row>
    <row r="415" spans="1:10" x14ac:dyDescent="0.3">
      <c r="A415" t="str">
        <f>""</f>
        <v/>
      </c>
      <c r="B415" t="str">
        <f>""</f>
        <v/>
      </c>
      <c r="G415" t="str">
        <f>""</f>
        <v/>
      </c>
      <c r="H415" t="str">
        <f>""</f>
        <v/>
      </c>
      <c r="J415" t="str">
        <f>"Ag"</f>
        <v>Ag</v>
      </c>
    </row>
    <row r="416" spans="1:10" x14ac:dyDescent="0.3">
      <c r="A416" t="str">
        <f>""</f>
        <v/>
      </c>
      <c r="B416" t="str">
        <f>""</f>
        <v/>
      </c>
      <c r="G416" t="str">
        <f>""</f>
        <v/>
      </c>
      <c r="H416" t="str">
        <f>""</f>
        <v/>
      </c>
      <c r="J416" t="str">
        <f>"Pct 1"</f>
        <v>Pct 1</v>
      </c>
    </row>
    <row r="417" spans="1:10" x14ac:dyDescent="0.3">
      <c r="A417" t="str">
        <f>""</f>
        <v/>
      </c>
      <c r="B417" t="str">
        <f>""</f>
        <v/>
      </c>
      <c r="G417" t="str">
        <f>"NP52302429"</f>
        <v>NP52302429</v>
      </c>
      <c r="H417" t="str">
        <f>"INV NP52302429"</f>
        <v>INV NP52302429</v>
      </c>
      <c r="I417" s="2">
        <v>10382.469999999999</v>
      </c>
      <c r="J417" t="str">
        <f>"INV NP52302429"</f>
        <v>INV NP52302429</v>
      </c>
    </row>
    <row r="418" spans="1:10" x14ac:dyDescent="0.3">
      <c r="A418" t="str">
        <f>""</f>
        <v/>
      </c>
      <c r="B418" t="str">
        <f>""</f>
        <v/>
      </c>
      <c r="G418" t="str">
        <f>"NP52302460"</f>
        <v>NP52302460</v>
      </c>
      <c r="H418" t="str">
        <f>"Stmt# NP52302460"</f>
        <v>Stmt# NP52302460</v>
      </c>
      <c r="I418" s="2">
        <v>464.35</v>
      </c>
      <c r="J418" t="str">
        <f>"payment"</f>
        <v>payment</v>
      </c>
    </row>
    <row r="419" spans="1:10" x14ac:dyDescent="0.3">
      <c r="A419" t="str">
        <f>"01"</f>
        <v>01</v>
      </c>
      <c r="B419" t="str">
        <f>"T5062"</f>
        <v>T5062</v>
      </c>
      <c r="C419" t="s">
        <v>132</v>
      </c>
      <c r="D419">
        <v>74648</v>
      </c>
      <c r="E419" s="2">
        <v>851.21</v>
      </c>
      <c r="F419" s="1">
        <v>43108</v>
      </c>
      <c r="G419" t="str">
        <f>"89527221"</f>
        <v>89527221</v>
      </c>
      <c r="H419" t="str">
        <f>"PART#50764367/PCT#2"</f>
        <v>PART#50764367/PCT#2</v>
      </c>
      <c r="I419" s="2">
        <v>563.4</v>
      </c>
      <c r="J419" t="str">
        <f>"PART#50764367/PCT#2"</f>
        <v>PART#50764367/PCT#2</v>
      </c>
    </row>
    <row r="420" spans="1:10" x14ac:dyDescent="0.3">
      <c r="A420" t="str">
        <f>""</f>
        <v/>
      </c>
      <c r="B420" t="str">
        <f>""</f>
        <v/>
      </c>
      <c r="G420" t="str">
        <f>"89534863"</f>
        <v>89534863</v>
      </c>
      <c r="H420" t="str">
        <f>"PARTS/PCT#3"</f>
        <v>PARTS/PCT#3</v>
      </c>
      <c r="I420" s="2">
        <v>187.61</v>
      </c>
      <c r="J420" t="str">
        <f>"PARTS/PCT#3"</f>
        <v>PARTS/PCT#3</v>
      </c>
    </row>
    <row r="421" spans="1:10" x14ac:dyDescent="0.3">
      <c r="A421" t="str">
        <f>""</f>
        <v/>
      </c>
      <c r="B421" t="str">
        <f>""</f>
        <v/>
      </c>
      <c r="G421" t="str">
        <f>"89615107"</f>
        <v>89615107</v>
      </c>
      <c r="H421" t="str">
        <f>"PART#1854/PCT#2"</f>
        <v>PART#1854/PCT#2</v>
      </c>
      <c r="I421" s="2">
        <v>100.2</v>
      </c>
      <c r="J421" t="str">
        <f>"PART#1854/PCT#2"</f>
        <v>PART#1854/PCT#2</v>
      </c>
    </row>
    <row r="422" spans="1:10" x14ac:dyDescent="0.3">
      <c r="A422" t="str">
        <f>"01"</f>
        <v>01</v>
      </c>
      <c r="B422" t="str">
        <f>"T5062"</f>
        <v>T5062</v>
      </c>
      <c r="C422" t="s">
        <v>132</v>
      </c>
      <c r="D422">
        <v>74881</v>
      </c>
      <c r="E422" s="2">
        <v>36.46</v>
      </c>
      <c r="F422" s="1">
        <v>43122</v>
      </c>
      <c r="G422" t="str">
        <f>"89834257"</f>
        <v>89834257</v>
      </c>
      <c r="H422" t="str">
        <f>"GLADHAND/PCT#3"</f>
        <v>GLADHAND/PCT#3</v>
      </c>
      <c r="I422" s="2">
        <v>36.46</v>
      </c>
      <c r="J422" t="str">
        <f>"GLADHAND/PCT#3"</f>
        <v>GLADHAND/PCT#3</v>
      </c>
    </row>
    <row r="423" spans="1:10" x14ac:dyDescent="0.3">
      <c r="A423" t="str">
        <f>"01"</f>
        <v>01</v>
      </c>
      <c r="B423" t="str">
        <f>"FLS"</f>
        <v>FLS</v>
      </c>
      <c r="C423" t="s">
        <v>133</v>
      </c>
      <c r="D423">
        <v>999999</v>
      </c>
      <c r="E423" s="2">
        <v>750</v>
      </c>
      <c r="F423" s="1">
        <v>43109</v>
      </c>
      <c r="G423" t="str">
        <f>"201801037713"</f>
        <v>201801037713</v>
      </c>
      <c r="H423" t="str">
        <f>"55 634"</f>
        <v>55 634</v>
      </c>
      <c r="I423" s="2">
        <v>250</v>
      </c>
      <c r="J423" t="str">
        <f>"55 634"</f>
        <v>55 634</v>
      </c>
    </row>
    <row r="424" spans="1:10" x14ac:dyDescent="0.3">
      <c r="A424" t="str">
        <f>""</f>
        <v/>
      </c>
      <c r="B424" t="str">
        <f>""</f>
        <v/>
      </c>
      <c r="G424" t="str">
        <f>"201801037714"</f>
        <v>201801037714</v>
      </c>
      <c r="H424" t="str">
        <f>"55 563"</f>
        <v>55 563</v>
      </c>
      <c r="I424" s="2">
        <v>250</v>
      </c>
      <c r="J424" t="str">
        <f>"55 563"</f>
        <v>55 563</v>
      </c>
    </row>
    <row r="425" spans="1:10" x14ac:dyDescent="0.3">
      <c r="A425" t="str">
        <f>""</f>
        <v/>
      </c>
      <c r="B425" t="str">
        <f>""</f>
        <v/>
      </c>
      <c r="G425" t="str">
        <f>"201801037715"</f>
        <v>201801037715</v>
      </c>
      <c r="H425" t="str">
        <f>"55 653"</f>
        <v>55 653</v>
      </c>
      <c r="I425" s="2">
        <v>250</v>
      </c>
      <c r="J425" t="str">
        <f>"55 653"</f>
        <v>55 653</v>
      </c>
    </row>
    <row r="426" spans="1:10" x14ac:dyDescent="0.3">
      <c r="A426" t="str">
        <f>"01"</f>
        <v>01</v>
      </c>
      <c r="B426" t="str">
        <f>"FLS"</f>
        <v>FLS</v>
      </c>
      <c r="C426" t="s">
        <v>133</v>
      </c>
      <c r="D426">
        <v>999999</v>
      </c>
      <c r="E426" s="2">
        <v>987.5</v>
      </c>
      <c r="F426" s="1">
        <v>43123</v>
      </c>
      <c r="G426" t="str">
        <f>"201801118151"</f>
        <v>201801118151</v>
      </c>
      <c r="H426" t="str">
        <f>"423-5249"</f>
        <v>423-5249</v>
      </c>
      <c r="I426" s="2">
        <v>187.5</v>
      </c>
      <c r="J426" t="str">
        <f>"423-5249"</f>
        <v>423-5249</v>
      </c>
    </row>
    <row r="427" spans="1:10" x14ac:dyDescent="0.3">
      <c r="A427" t="str">
        <f>""</f>
        <v/>
      </c>
      <c r="B427" t="str">
        <f>""</f>
        <v/>
      </c>
      <c r="G427" t="str">
        <f>"201801188181"</f>
        <v>201801188181</v>
      </c>
      <c r="H427" t="str">
        <f>"16 255"</f>
        <v>16 255</v>
      </c>
      <c r="I427" s="2">
        <v>400</v>
      </c>
      <c r="J427" t="str">
        <f>"16 255"</f>
        <v>16 255</v>
      </c>
    </row>
    <row r="428" spans="1:10" x14ac:dyDescent="0.3">
      <c r="A428" t="str">
        <f>""</f>
        <v/>
      </c>
      <c r="B428" t="str">
        <f>""</f>
        <v/>
      </c>
      <c r="G428" t="str">
        <f>"201801188182"</f>
        <v>201801188182</v>
      </c>
      <c r="H428" t="str">
        <f>"16 316"</f>
        <v>16 316</v>
      </c>
      <c r="I428" s="2">
        <v>400</v>
      </c>
      <c r="J428" t="str">
        <f>"16 316"</f>
        <v>16 316</v>
      </c>
    </row>
    <row r="429" spans="1:10" x14ac:dyDescent="0.3">
      <c r="A429" t="str">
        <f>"01"</f>
        <v>01</v>
      </c>
      <c r="B429" t="str">
        <f>"PPLAN"</f>
        <v>PPLAN</v>
      </c>
      <c r="C429" t="s">
        <v>134</v>
      </c>
      <c r="D429">
        <v>74649</v>
      </c>
      <c r="E429" s="2">
        <v>1304.8399999999999</v>
      </c>
      <c r="F429" s="1">
        <v>43108</v>
      </c>
      <c r="G429" t="str">
        <f>"201801037700"</f>
        <v>201801037700</v>
      </c>
      <c r="H429" t="str">
        <f>"ACCT#8850283308/P56841/P57001"</f>
        <v>ACCT#8850283308/P56841/P57001</v>
      </c>
      <c r="I429" s="2">
        <v>445.56</v>
      </c>
      <c r="J429" t="str">
        <f>"ACCT#8850283308/P56841/P57001"</f>
        <v>ACCT#8850283308/P56841/P57001</v>
      </c>
    </row>
    <row r="430" spans="1:10" x14ac:dyDescent="0.3">
      <c r="A430" t="str">
        <f>""</f>
        <v/>
      </c>
      <c r="B430" t="str">
        <f>""</f>
        <v/>
      </c>
      <c r="G430" t="str">
        <f>"201801037703"</f>
        <v>201801037703</v>
      </c>
      <c r="H430" t="str">
        <f>"ACCT#8850283308"</f>
        <v>ACCT#8850283308</v>
      </c>
      <c r="I430" s="2">
        <v>859.28</v>
      </c>
      <c r="J430" t="str">
        <f>"ACCT#8850283308"</f>
        <v>ACCT#8850283308</v>
      </c>
    </row>
    <row r="431" spans="1:10" x14ac:dyDescent="0.3">
      <c r="A431" t="str">
        <f>"01"</f>
        <v>01</v>
      </c>
      <c r="B431" t="str">
        <f>"AT&amp;EI"</f>
        <v>AT&amp;EI</v>
      </c>
      <c r="C431" t="s">
        <v>135</v>
      </c>
      <c r="D431">
        <v>74650</v>
      </c>
      <c r="E431" s="2">
        <v>4583.97</v>
      </c>
      <c r="F431" s="1">
        <v>43108</v>
      </c>
      <c r="G431" t="str">
        <f>"201801027676"</f>
        <v>201801027676</v>
      </c>
      <c r="H431" t="str">
        <f>"WORK ORD#AS69375/PCT#2"</f>
        <v>WORK ORD#AS69375/PCT#2</v>
      </c>
      <c r="I431" s="2">
        <v>4083.23</v>
      </c>
      <c r="J431" t="str">
        <f>"WORK ORD#AS69375/PCT#2"</f>
        <v>WORK ORD#AS69375/PCT#2</v>
      </c>
    </row>
    <row r="432" spans="1:10" x14ac:dyDescent="0.3">
      <c r="A432" t="str">
        <f>""</f>
        <v/>
      </c>
      <c r="B432" t="str">
        <f>""</f>
        <v/>
      </c>
      <c r="G432" t="str">
        <f>"AP357083"</f>
        <v>AP357083</v>
      </c>
      <c r="H432" t="str">
        <f>"ACCT#3324/PART#F26836/PCT#3"</f>
        <v>ACCT#3324/PART#F26836/PCT#3</v>
      </c>
      <c r="I432" s="2">
        <v>86.21</v>
      </c>
      <c r="J432" t="str">
        <f>"ACCT#3324/PART#F26836/PCT#3"</f>
        <v>ACCT#3324/PART#F26836/PCT#3</v>
      </c>
    </row>
    <row r="433" spans="1:10" x14ac:dyDescent="0.3">
      <c r="A433" t="str">
        <f>""</f>
        <v/>
      </c>
      <c r="B433" t="str">
        <f>""</f>
        <v/>
      </c>
      <c r="G433" t="str">
        <f>"AP358087"</f>
        <v>AP358087</v>
      </c>
      <c r="H433" t="str">
        <f>"ACCT#3324/PARTS/PCT#3"</f>
        <v>ACCT#3324/PARTS/PCT#3</v>
      </c>
      <c r="I433" s="2">
        <v>212.39</v>
      </c>
      <c r="J433" t="str">
        <f>"ACCT#3324/PARTS/PCT#3"</f>
        <v>ACCT#3324/PARTS/PCT#3</v>
      </c>
    </row>
    <row r="434" spans="1:10" x14ac:dyDescent="0.3">
      <c r="A434" t="str">
        <f>""</f>
        <v/>
      </c>
      <c r="B434" t="str">
        <f>""</f>
        <v/>
      </c>
      <c r="G434" t="str">
        <f>"AP358088"</f>
        <v>AP358088</v>
      </c>
      <c r="H434" t="str">
        <f>"ACCT#3324/PARTS/PCT#3"</f>
        <v>ACCT#3324/PARTS/PCT#3</v>
      </c>
      <c r="I434" s="2">
        <v>9.52</v>
      </c>
      <c r="J434" t="str">
        <f>"ACCT#3324/PARTS/PCT#3"</f>
        <v>ACCT#3324/PARTS/PCT#3</v>
      </c>
    </row>
    <row r="435" spans="1:10" x14ac:dyDescent="0.3">
      <c r="A435" t="str">
        <f>""</f>
        <v/>
      </c>
      <c r="B435" t="str">
        <f>""</f>
        <v/>
      </c>
      <c r="G435" t="str">
        <f>"AP358170"</f>
        <v>AP358170</v>
      </c>
      <c r="H435" t="str">
        <f>"ACCT#3324/PARTS/PCT#3"</f>
        <v>ACCT#3324/PARTS/PCT#3</v>
      </c>
      <c r="I435" s="2">
        <v>192.62</v>
      </c>
      <c r="J435" t="str">
        <f>"ACCT#3324/PARTS/PCT#3"</f>
        <v>ACCT#3324/PARTS/PCT#3</v>
      </c>
    </row>
    <row r="436" spans="1:10" x14ac:dyDescent="0.3">
      <c r="A436" t="str">
        <f>"01"</f>
        <v>01</v>
      </c>
      <c r="B436" t="str">
        <f>"AT&amp;EI"</f>
        <v>AT&amp;EI</v>
      </c>
      <c r="C436" t="s">
        <v>135</v>
      </c>
      <c r="D436">
        <v>74882</v>
      </c>
      <c r="E436" s="2">
        <v>111.23</v>
      </c>
      <c r="F436" s="1">
        <v>43122</v>
      </c>
      <c r="G436" t="str">
        <f>"AP359091"</f>
        <v>AP359091</v>
      </c>
      <c r="H436" t="str">
        <f>"ACCT#3324/PCT#3"</f>
        <v>ACCT#3324/PCT#3</v>
      </c>
      <c r="I436" s="2">
        <v>75.78</v>
      </c>
      <c r="J436" t="str">
        <f>"ACCT#3324/PCT#3"</f>
        <v>ACCT#3324/PCT#3</v>
      </c>
    </row>
    <row r="437" spans="1:10" x14ac:dyDescent="0.3">
      <c r="A437" t="str">
        <f>""</f>
        <v/>
      </c>
      <c r="B437" t="str">
        <f>""</f>
        <v/>
      </c>
      <c r="G437" t="str">
        <f>"AP359612"</f>
        <v>AP359612</v>
      </c>
      <c r="H437" t="str">
        <f>"ACCT#3325/PCT#2"</f>
        <v>ACCT#3325/PCT#2</v>
      </c>
      <c r="I437" s="2">
        <v>35.450000000000003</v>
      </c>
      <c r="J437" t="str">
        <f>"ACCT#3325/PCT#2"</f>
        <v>ACCT#3325/PCT#2</v>
      </c>
    </row>
    <row r="438" spans="1:10" x14ac:dyDescent="0.3">
      <c r="A438" t="str">
        <f>"01"</f>
        <v>01</v>
      </c>
      <c r="B438" t="str">
        <f>"005139"</f>
        <v>005139</v>
      </c>
      <c r="C438" t="s">
        <v>136</v>
      </c>
      <c r="D438">
        <v>74651</v>
      </c>
      <c r="E438" s="2">
        <v>5400</v>
      </c>
      <c r="F438" s="1">
        <v>43108</v>
      </c>
      <c r="G438" t="str">
        <f>"29008"</f>
        <v>29008</v>
      </c>
      <c r="H438" t="str">
        <f>"Raws Installation"</f>
        <v>Raws Installation</v>
      </c>
      <c r="I438" s="2">
        <v>5400</v>
      </c>
      <c r="J438" t="str">
        <f>"Part#Q-Codes-Install"</f>
        <v>Part#Q-Codes-Install</v>
      </c>
    </row>
    <row r="439" spans="1:10" x14ac:dyDescent="0.3">
      <c r="A439" t="str">
        <f>"01"</f>
        <v>01</v>
      </c>
      <c r="B439" t="str">
        <f>"G&amp;C"</f>
        <v>G&amp;C</v>
      </c>
      <c r="C439" t="s">
        <v>137</v>
      </c>
      <c r="D439">
        <v>999999</v>
      </c>
      <c r="E439" s="2">
        <v>40.96</v>
      </c>
      <c r="F439" s="1">
        <v>43123</v>
      </c>
      <c r="G439" t="str">
        <f>"104113"</f>
        <v>104113</v>
      </c>
      <c r="H439" t="str">
        <f>"K. STEIN BUSINESS CARDS"</f>
        <v>K. STEIN BUSINESS CARDS</v>
      </c>
      <c r="I439" s="2">
        <v>40.96</v>
      </c>
      <c r="J439" t="str">
        <f>"INV."</f>
        <v>INV.</v>
      </c>
    </row>
    <row r="440" spans="1:10" x14ac:dyDescent="0.3">
      <c r="A440" t="str">
        <f>"01"</f>
        <v>01</v>
      </c>
      <c r="B440" t="str">
        <f>"002605"</f>
        <v>002605</v>
      </c>
      <c r="C440" t="s">
        <v>138</v>
      </c>
      <c r="D440">
        <v>74883</v>
      </c>
      <c r="E440" s="2">
        <v>554.12</v>
      </c>
      <c r="F440" s="1">
        <v>43122</v>
      </c>
      <c r="G440" t="str">
        <f>"201801178172"</f>
        <v>201801178172</v>
      </c>
      <c r="H440" t="str">
        <f>"CUST#2179855/PCT#3"</f>
        <v>CUST#2179855/PCT#3</v>
      </c>
      <c r="I440" s="2">
        <v>554.12</v>
      </c>
      <c r="J440" t="str">
        <f>"CUST#2179855/PCT#3"</f>
        <v>CUST#2179855/PCT#3</v>
      </c>
    </row>
    <row r="441" spans="1:10" x14ac:dyDescent="0.3">
      <c r="A441" t="str">
        <f>"01"</f>
        <v>01</v>
      </c>
      <c r="B441" t="str">
        <f>"T5794"</f>
        <v>T5794</v>
      </c>
      <c r="C441" t="s">
        <v>139</v>
      </c>
      <c r="D441">
        <v>999999</v>
      </c>
      <c r="E441" s="2">
        <v>53.98</v>
      </c>
      <c r="F441" s="1">
        <v>43109</v>
      </c>
      <c r="G441" t="str">
        <f>"N50788"</f>
        <v>N50788</v>
      </c>
      <c r="H441" t="str">
        <f>"CUST#02260/ANIMAL SVCS"</f>
        <v>CUST#02260/ANIMAL SVCS</v>
      </c>
      <c r="I441" s="2">
        <v>53.98</v>
      </c>
      <c r="J441" t="str">
        <f>"CUST#02260/ANIMAL SVCS"</f>
        <v>CUST#02260/ANIMAL SVCS</v>
      </c>
    </row>
    <row r="442" spans="1:10" x14ac:dyDescent="0.3">
      <c r="A442" t="str">
        <f>"01"</f>
        <v>01</v>
      </c>
      <c r="B442" t="str">
        <f>"T5794"</f>
        <v>T5794</v>
      </c>
      <c r="C442" t="s">
        <v>139</v>
      </c>
      <c r="D442">
        <v>999999</v>
      </c>
      <c r="E442" s="2">
        <v>189.95</v>
      </c>
      <c r="F442" s="1">
        <v>43123</v>
      </c>
      <c r="G442" t="str">
        <f>"N50909"</f>
        <v>N50909</v>
      </c>
      <c r="H442" t="str">
        <f>"CUST#02260/ANIMAL SERVICES"</f>
        <v>CUST#02260/ANIMAL SERVICES</v>
      </c>
      <c r="I442" s="2">
        <v>159.94999999999999</v>
      </c>
      <c r="J442" t="str">
        <f>"CUST#02260/ANIMAL SERVICES"</f>
        <v>CUST#02260/ANIMAL SERVICES</v>
      </c>
    </row>
    <row r="443" spans="1:10" x14ac:dyDescent="0.3">
      <c r="A443" t="str">
        <f>""</f>
        <v/>
      </c>
      <c r="B443" t="str">
        <f>""</f>
        <v/>
      </c>
      <c r="G443" t="str">
        <f>"N50910"</f>
        <v>N50910</v>
      </c>
      <c r="H443" t="str">
        <f>"CUST#02141/PCT#2"</f>
        <v>CUST#02141/PCT#2</v>
      </c>
      <c r="I443" s="2">
        <v>30</v>
      </c>
      <c r="J443" t="str">
        <f>"CUST#02141/PCT#2"</f>
        <v>CUST#02141/PCT#2</v>
      </c>
    </row>
    <row r="444" spans="1:10" x14ac:dyDescent="0.3">
      <c r="A444" t="str">
        <f>"01"</f>
        <v>01</v>
      </c>
      <c r="B444" t="str">
        <f>"005117"</f>
        <v>005117</v>
      </c>
      <c r="C444" t="s">
        <v>140</v>
      </c>
      <c r="D444">
        <v>74983</v>
      </c>
      <c r="E444" s="2">
        <v>158.6</v>
      </c>
      <c r="F444" s="1">
        <v>43126</v>
      </c>
      <c r="G444" t="str">
        <f>"0068650 Reissue"</f>
        <v>0068650 Reissue</v>
      </c>
      <c r="H444" t="str">
        <f>"Freight from PO 17-18639 / P3"</f>
        <v>Freight from PO 17-18639 / P3</v>
      </c>
      <c r="I444" s="2">
        <v>158.6</v>
      </c>
      <c r="J444" t="str">
        <f>"Freight from PO 17-18639 / P3"</f>
        <v>Freight from PO 17-18639 / P3</v>
      </c>
    </row>
    <row r="445" spans="1:10" x14ac:dyDescent="0.3">
      <c r="A445" t="str">
        <f>"01"</f>
        <v>01</v>
      </c>
      <c r="B445" t="str">
        <f>"004169"</f>
        <v>004169</v>
      </c>
      <c r="C445" t="s">
        <v>141</v>
      </c>
      <c r="D445">
        <v>74652</v>
      </c>
      <c r="E445" s="2">
        <v>120</v>
      </c>
      <c r="F445" s="1">
        <v>43108</v>
      </c>
      <c r="G445" t="str">
        <f>"201801027659"</f>
        <v>201801027659</v>
      </c>
      <c r="H445" t="str">
        <f>"PER DIEM"</f>
        <v>PER DIEM</v>
      </c>
      <c r="I445" s="2">
        <v>120</v>
      </c>
      <c r="J445" t="str">
        <f>"PER DIEM"</f>
        <v>PER DIEM</v>
      </c>
    </row>
    <row r="446" spans="1:10" x14ac:dyDescent="0.3">
      <c r="A446" t="str">
        <f>"01"</f>
        <v>01</v>
      </c>
      <c r="B446" t="str">
        <f>"004169"</f>
        <v>004169</v>
      </c>
      <c r="C446" t="s">
        <v>141</v>
      </c>
      <c r="D446">
        <v>74884</v>
      </c>
      <c r="E446" s="2">
        <v>54.45</v>
      </c>
      <c r="F446" s="1">
        <v>43122</v>
      </c>
      <c r="G446" t="str">
        <f>"201801188183"</f>
        <v>201801188183</v>
      </c>
      <c r="H446" t="str">
        <f>"REIMBURSEMENT/PARKING"</f>
        <v>REIMBURSEMENT/PARKING</v>
      </c>
      <c r="I446" s="2">
        <v>31.98</v>
      </c>
      <c r="J446" t="str">
        <f>"REIMBURSEMENT/PARKING"</f>
        <v>REIMBURSEMENT/PARKING</v>
      </c>
    </row>
    <row r="447" spans="1:10" x14ac:dyDescent="0.3">
      <c r="A447" t="str">
        <f>""</f>
        <v/>
      </c>
      <c r="B447" t="str">
        <f>""</f>
        <v/>
      </c>
      <c r="G447" t="str">
        <f>"201801188184"</f>
        <v>201801188184</v>
      </c>
      <c r="H447" t="str">
        <f>"REIMBURSE MILEAGE"</f>
        <v>REIMBURSE MILEAGE</v>
      </c>
      <c r="I447" s="2">
        <v>22.47</v>
      </c>
      <c r="J447" t="str">
        <f>"REIMBURSE MILEAGE"</f>
        <v>REIMBURSE MILEAGE</v>
      </c>
    </row>
    <row r="448" spans="1:10" x14ac:dyDescent="0.3">
      <c r="A448" t="str">
        <f>"01"</f>
        <v>01</v>
      </c>
      <c r="B448" t="str">
        <f>"WWGI"</f>
        <v>WWGI</v>
      </c>
      <c r="C448" t="s">
        <v>142</v>
      </c>
      <c r="D448">
        <v>74653</v>
      </c>
      <c r="E448" s="2">
        <v>471.03</v>
      </c>
      <c r="F448" s="1">
        <v>43108</v>
      </c>
      <c r="G448" t="str">
        <f>"INV#814780730"</f>
        <v>INV#814780730</v>
      </c>
      <c r="H448" t="str">
        <f>"Smith-Blair Couplings"</f>
        <v>Smith-Blair Couplings</v>
      </c>
      <c r="I448" s="2">
        <v>314.02</v>
      </c>
      <c r="J448" t="str">
        <f>"Item # 4NWN5"</f>
        <v>Item # 4NWN5</v>
      </c>
    </row>
    <row r="449" spans="1:10" x14ac:dyDescent="0.3">
      <c r="A449" t="str">
        <f>""</f>
        <v/>
      </c>
      <c r="B449" t="str">
        <f>""</f>
        <v/>
      </c>
      <c r="G449" t="str">
        <f>"INV814780730"</f>
        <v>INV814780730</v>
      </c>
      <c r="H449" t="str">
        <f>"Inv 814780730"</f>
        <v>Inv 814780730</v>
      </c>
      <c r="I449" s="2">
        <v>157.01</v>
      </c>
      <c r="J449" t="str">
        <f>"Inv 814780730"</f>
        <v>Inv 814780730</v>
      </c>
    </row>
    <row r="450" spans="1:10" x14ac:dyDescent="0.3">
      <c r="A450" t="str">
        <f>"01"</f>
        <v>01</v>
      </c>
      <c r="B450" t="str">
        <f>"T3667"</f>
        <v>T3667</v>
      </c>
      <c r="C450" t="s">
        <v>143</v>
      </c>
      <c r="D450">
        <v>74654</v>
      </c>
      <c r="E450" s="2">
        <v>420</v>
      </c>
      <c r="F450" s="1">
        <v>43108</v>
      </c>
      <c r="G450" t="str">
        <f>"1428915"</f>
        <v>1428915</v>
      </c>
      <c r="H450" t="str">
        <f>"INV 1428915"</f>
        <v>INV 1428915</v>
      </c>
      <c r="I450" s="2">
        <v>420</v>
      </c>
      <c r="J450" t="str">
        <f>"INV 1428915"</f>
        <v>INV 1428915</v>
      </c>
    </row>
    <row r="451" spans="1:10" x14ac:dyDescent="0.3">
      <c r="A451" t="str">
        <f>"01"</f>
        <v>01</v>
      </c>
      <c r="B451" t="str">
        <f>"T3667"</f>
        <v>T3667</v>
      </c>
      <c r="C451" t="s">
        <v>143</v>
      </c>
      <c r="D451">
        <v>74885</v>
      </c>
      <c r="E451" s="2">
        <v>659.8</v>
      </c>
      <c r="F451" s="1">
        <v>43122</v>
      </c>
      <c r="G451" t="str">
        <f>"1436283"</f>
        <v>1436283</v>
      </c>
      <c r="H451" t="str">
        <f>"CUST#0007014928/GEN SVCS"</f>
        <v>CUST#0007014928/GEN SVCS</v>
      </c>
      <c r="I451" s="2">
        <v>593.96</v>
      </c>
      <c r="J451" t="str">
        <f>"CUST#0007014928/GEN SVCS"</f>
        <v>CUST#0007014928/GEN SVCS</v>
      </c>
    </row>
    <row r="452" spans="1:10" x14ac:dyDescent="0.3">
      <c r="A452" t="str">
        <f>""</f>
        <v/>
      </c>
      <c r="B452" t="str">
        <f>""</f>
        <v/>
      </c>
      <c r="G452" t="str">
        <f>"1436287"</f>
        <v>1436287</v>
      </c>
      <c r="H452" t="str">
        <f>"CUST#0008007267/ANIMAL SHELTER"</f>
        <v>CUST#0008007267/ANIMAL SHELTER</v>
      </c>
      <c r="I452" s="2">
        <v>65.84</v>
      </c>
      <c r="J452" t="str">
        <f>"CUST#0008007267/ANIMAL SHELTER"</f>
        <v>CUST#0008007267/ANIMAL SHELTER</v>
      </c>
    </row>
    <row r="453" spans="1:10" x14ac:dyDescent="0.3">
      <c r="A453" t="str">
        <f>"01"</f>
        <v>01</v>
      </c>
      <c r="B453" t="str">
        <f>"005221"</f>
        <v>005221</v>
      </c>
      <c r="C453" t="s">
        <v>144</v>
      </c>
      <c r="D453">
        <v>74655</v>
      </c>
      <c r="E453" s="2">
        <v>5715.94</v>
      </c>
      <c r="F453" s="1">
        <v>43108</v>
      </c>
      <c r="G453" t="str">
        <f>"22149"</f>
        <v>22149</v>
      </c>
      <c r="H453" t="s">
        <v>145</v>
      </c>
      <c r="I453" s="2">
        <v>4811.9399999999996</v>
      </c>
      <c r="J453" t="s">
        <v>145</v>
      </c>
    </row>
    <row r="454" spans="1:10" x14ac:dyDescent="0.3">
      <c r="A454" t="str">
        <f>""</f>
        <v/>
      </c>
      <c r="B454" t="str">
        <f>""</f>
        <v/>
      </c>
      <c r="G454" t="str">
        <f>"22179"</f>
        <v>22179</v>
      </c>
      <c r="H454" t="str">
        <f>"ACCT#954/TICKET#90555/90578/P2"</f>
        <v>ACCT#954/TICKET#90555/90578/P2</v>
      </c>
      <c r="I454" s="2">
        <v>904</v>
      </c>
      <c r="J454" t="str">
        <f>"ACCT#954/TICKET#90555/90578/P2"</f>
        <v>ACCT#954/TICKET#90555/90578/P2</v>
      </c>
    </row>
    <row r="455" spans="1:10" x14ac:dyDescent="0.3">
      <c r="A455" t="str">
        <f>"01"</f>
        <v>01</v>
      </c>
      <c r="B455" t="str">
        <f>"005221"</f>
        <v>005221</v>
      </c>
      <c r="C455" t="s">
        <v>144</v>
      </c>
      <c r="D455">
        <v>74886</v>
      </c>
      <c r="E455" s="2">
        <v>757.4</v>
      </c>
      <c r="F455" s="1">
        <v>43122</v>
      </c>
      <c r="G455" t="str">
        <f>"22257"</f>
        <v>22257</v>
      </c>
      <c r="H455" t="str">
        <f>"ACCT#937/PCT#3"</f>
        <v>ACCT#937/PCT#3</v>
      </c>
      <c r="I455" s="2">
        <v>757.4</v>
      </c>
      <c r="J455" t="str">
        <f>"ACCT#937/PCT#3"</f>
        <v>ACCT#937/PCT#3</v>
      </c>
    </row>
    <row r="456" spans="1:10" x14ac:dyDescent="0.3">
      <c r="A456" t="str">
        <f>"01"</f>
        <v>01</v>
      </c>
      <c r="B456" t="str">
        <f>"004368"</f>
        <v>004368</v>
      </c>
      <c r="C456" t="s">
        <v>146</v>
      </c>
      <c r="D456">
        <v>74656</v>
      </c>
      <c r="E456" s="2">
        <v>100</v>
      </c>
      <c r="F456" s="1">
        <v>43108</v>
      </c>
      <c r="G456" t="str">
        <f>"201801027615"</f>
        <v>201801027615</v>
      </c>
      <c r="H456" t="str">
        <f>"FERAL HOGS"</f>
        <v>FERAL HOGS</v>
      </c>
      <c r="I456" s="2">
        <v>100</v>
      </c>
      <c r="J456" t="str">
        <f>"FERAL HOGS"</f>
        <v>FERAL HOGS</v>
      </c>
    </row>
    <row r="457" spans="1:10" x14ac:dyDescent="0.3">
      <c r="A457" t="str">
        <f>"01"</f>
        <v>01</v>
      </c>
      <c r="B457" t="str">
        <f>"HPC"</f>
        <v>HPC</v>
      </c>
      <c r="C457" t="s">
        <v>147</v>
      </c>
      <c r="D457">
        <v>999999</v>
      </c>
      <c r="E457" s="2">
        <v>650</v>
      </c>
      <c r="F457" s="1">
        <v>43123</v>
      </c>
      <c r="G457" t="str">
        <f>"JANUARY PEST CONT"</f>
        <v>JANUARY PEST CONT</v>
      </c>
      <c r="H457" t="str">
        <f>"BASCOM L HODGES JR"</f>
        <v>BASCOM L HODGES JR</v>
      </c>
      <c r="I457" s="2">
        <v>650</v>
      </c>
      <c r="J457" t="str">
        <f>""</f>
        <v/>
      </c>
    </row>
    <row r="458" spans="1:10" x14ac:dyDescent="0.3">
      <c r="A458" t="str">
        <f>"01"</f>
        <v>01</v>
      </c>
      <c r="B458" t="str">
        <f>"HM"</f>
        <v>HM</v>
      </c>
      <c r="C458" t="s">
        <v>148</v>
      </c>
      <c r="D458">
        <v>74887</v>
      </c>
      <c r="E458" s="2">
        <v>105034</v>
      </c>
      <c r="F458" s="1">
        <v>43122</v>
      </c>
      <c r="G458" t="str">
        <f>"SIMP20253010/43010"</f>
        <v>SIMP20253010/43010</v>
      </c>
      <c r="H458" t="str">
        <f>"2 motor graders"</f>
        <v>2 motor graders</v>
      </c>
      <c r="I458" s="2">
        <v>105034</v>
      </c>
      <c r="J458" t="str">
        <f>"2017 140M3 grader"</f>
        <v>2017 140M3 grader</v>
      </c>
    </row>
    <row r="459" spans="1:10" x14ac:dyDescent="0.3">
      <c r="A459" t="str">
        <f>""</f>
        <v/>
      </c>
      <c r="B459" t="str">
        <f>""</f>
        <v/>
      </c>
      <c r="G459" t="str">
        <f>""</f>
        <v/>
      </c>
      <c r="H459" t="str">
        <f>""</f>
        <v/>
      </c>
      <c r="J459" t="str">
        <f>"2017 140M3 Grader"</f>
        <v>2017 140M3 Grader</v>
      </c>
    </row>
    <row r="460" spans="1:10" x14ac:dyDescent="0.3">
      <c r="A460" t="str">
        <f>"01"</f>
        <v>01</v>
      </c>
      <c r="B460" t="str">
        <f>"003994"</f>
        <v>003994</v>
      </c>
      <c r="C460" t="s">
        <v>149</v>
      </c>
      <c r="D460">
        <v>74888</v>
      </c>
      <c r="E460" s="2">
        <v>90</v>
      </c>
      <c r="F460" s="1">
        <v>43122</v>
      </c>
      <c r="G460" t="str">
        <f>"201801108093"</f>
        <v>201801108093</v>
      </c>
      <c r="H460" t="str">
        <f>"FERAL HOGS"</f>
        <v>FERAL HOGS</v>
      </c>
      <c r="I460" s="2">
        <v>90</v>
      </c>
      <c r="J460" t="str">
        <f>"FERAL HOGS"</f>
        <v>FERAL HOGS</v>
      </c>
    </row>
    <row r="461" spans="1:10" x14ac:dyDescent="0.3">
      <c r="A461" t="str">
        <f>"01"</f>
        <v>01</v>
      </c>
      <c r="B461" t="str">
        <f>"004823"</f>
        <v>004823</v>
      </c>
      <c r="C461" t="s">
        <v>150</v>
      </c>
      <c r="D461">
        <v>74657</v>
      </c>
      <c r="E461" s="2">
        <v>35</v>
      </c>
      <c r="F461" s="1">
        <v>43108</v>
      </c>
      <c r="G461" t="str">
        <f>"201801027616"</f>
        <v>201801027616</v>
      </c>
      <c r="H461" t="str">
        <f>"FERAL HOGS"</f>
        <v>FERAL HOGS</v>
      </c>
      <c r="I461" s="2">
        <v>35</v>
      </c>
      <c r="J461" t="str">
        <f>"FERAL HOGS"</f>
        <v>FERAL HOGS</v>
      </c>
    </row>
    <row r="462" spans="1:10" x14ac:dyDescent="0.3">
      <c r="A462" t="str">
        <f>"01"</f>
        <v>01</v>
      </c>
      <c r="B462" t="str">
        <f>"003363"</f>
        <v>003363</v>
      </c>
      <c r="C462" t="s">
        <v>151</v>
      </c>
      <c r="D462">
        <v>74658</v>
      </c>
      <c r="E462" s="2">
        <v>10</v>
      </c>
      <c r="F462" s="1">
        <v>43108</v>
      </c>
      <c r="G462" t="str">
        <f>"201801027617"</f>
        <v>201801027617</v>
      </c>
      <c r="H462" t="str">
        <f>"FERAL HOGS"</f>
        <v>FERAL HOGS</v>
      </c>
      <c r="I462" s="2">
        <v>10</v>
      </c>
      <c r="J462" t="str">
        <f>"FERAL HOGS"</f>
        <v>FERAL HOGS</v>
      </c>
    </row>
    <row r="463" spans="1:10" x14ac:dyDescent="0.3">
      <c r="A463" t="str">
        <f>"01"</f>
        <v>01</v>
      </c>
      <c r="B463" t="str">
        <f>"003653"</f>
        <v>003653</v>
      </c>
      <c r="C463" t="s">
        <v>152</v>
      </c>
      <c r="D463">
        <v>74759</v>
      </c>
      <c r="E463" s="2">
        <v>1769.79</v>
      </c>
      <c r="F463" s="1">
        <v>43109</v>
      </c>
      <c r="G463" t="str">
        <f>"S1801020003-00044"</f>
        <v>S1801020003-00044</v>
      </c>
      <c r="H463" t="str">
        <f>"ACCT#100402264 / 01022018"</f>
        <v>ACCT#100402264 / 01022018</v>
      </c>
      <c r="I463" s="2">
        <v>1769.79</v>
      </c>
      <c r="J463" t="str">
        <f>"ACCT#100402264 / 01022018"</f>
        <v>ACCT#100402264 / 01022018</v>
      </c>
    </row>
    <row r="464" spans="1:10" x14ac:dyDescent="0.3">
      <c r="A464" t="str">
        <f>""</f>
        <v/>
      </c>
      <c r="B464" t="str">
        <f>""</f>
        <v/>
      </c>
      <c r="G464" t="str">
        <f>""</f>
        <v/>
      </c>
      <c r="H464" t="str">
        <f>""</f>
        <v/>
      </c>
      <c r="J464" t="str">
        <f>"ACCT#100402264 / 01022018"</f>
        <v>ACCT#100402264 / 01022018</v>
      </c>
    </row>
    <row r="465" spans="1:10" x14ac:dyDescent="0.3">
      <c r="A465" t="str">
        <f>""</f>
        <v/>
      </c>
      <c r="B465" t="str">
        <f>""</f>
        <v/>
      </c>
      <c r="G465" t="str">
        <f>""</f>
        <v/>
      </c>
      <c r="H465" t="str">
        <f>""</f>
        <v/>
      </c>
      <c r="J465" t="str">
        <f>"ACCT#100402264 / 01022018"</f>
        <v>ACCT#100402264 / 01022018</v>
      </c>
    </row>
    <row r="466" spans="1:10" x14ac:dyDescent="0.3">
      <c r="A466" t="str">
        <f>"01"</f>
        <v>01</v>
      </c>
      <c r="B466" t="str">
        <f>"004973"</f>
        <v>004973</v>
      </c>
      <c r="C466" t="s">
        <v>153</v>
      </c>
      <c r="D466">
        <v>74659</v>
      </c>
      <c r="E466" s="2">
        <v>180</v>
      </c>
      <c r="F466" s="1">
        <v>43108</v>
      </c>
      <c r="G466" t="str">
        <f>"201801027618"</f>
        <v>201801027618</v>
      </c>
      <c r="H466" t="str">
        <f>"FERAL HOGS"</f>
        <v>FERAL HOGS</v>
      </c>
      <c r="I466" s="2">
        <v>180</v>
      </c>
      <c r="J466" t="str">
        <f>"FERAL HOGS"</f>
        <v>FERAL HOGS</v>
      </c>
    </row>
    <row r="467" spans="1:10" x14ac:dyDescent="0.3">
      <c r="A467" t="str">
        <f>"01"</f>
        <v>01</v>
      </c>
      <c r="B467" t="str">
        <f>"003545"</f>
        <v>003545</v>
      </c>
      <c r="C467" t="s">
        <v>154</v>
      </c>
      <c r="D467">
        <v>74889</v>
      </c>
      <c r="E467" s="2">
        <v>727</v>
      </c>
      <c r="F467" s="1">
        <v>43122</v>
      </c>
      <c r="G467" t="str">
        <f>"101594"</f>
        <v>101594</v>
      </c>
      <c r="H467" t="str">
        <f>"REPAIR/PCT#3"</f>
        <v>REPAIR/PCT#3</v>
      </c>
      <c r="I467" s="2">
        <v>86</v>
      </c>
      <c r="J467" t="str">
        <f>"REPAIR/PCT#3"</f>
        <v>REPAIR/PCT#3</v>
      </c>
    </row>
    <row r="468" spans="1:10" x14ac:dyDescent="0.3">
      <c r="A468" t="str">
        <f>""</f>
        <v/>
      </c>
      <c r="B468" t="str">
        <f>""</f>
        <v/>
      </c>
      <c r="G468" t="str">
        <f>"170617"</f>
        <v>170617</v>
      </c>
      <c r="H468" t="str">
        <f>"CYL REPAIR/PCT#3"</f>
        <v>CYL REPAIR/PCT#3</v>
      </c>
      <c r="I468" s="2">
        <v>641</v>
      </c>
      <c r="J468" t="str">
        <f>"CYL REPAIR/PCT#3"</f>
        <v>CYL REPAIR/PCT#3</v>
      </c>
    </row>
    <row r="469" spans="1:10" x14ac:dyDescent="0.3">
      <c r="A469" t="str">
        <f>"01"</f>
        <v>01</v>
      </c>
      <c r="B469" t="str">
        <f>"T11576"</f>
        <v>T11576</v>
      </c>
      <c r="C469" t="s">
        <v>155</v>
      </c>
      <c r="D469">
        <v>999999</v>
      </c>
      <c r="E469" s="2">
        <v>2448</v>
      </c>
      <c r="F469" s="1">
        <v>43123</v>
      </c>
      <c r="G469" t="str">
        <f>"65230"</f>
        <v>65230</v>
      </c>
      <c r="H469" t="str">
        <f>"PROF SVCS-FEB 2018"</f>
        <v>PROF SVCS-FEB 2018</v>
      </c>
      <c r="I469" s="2">
        <v>2430</v>
      </c>
      <c r="J469" t="str">
        <f>"PROF SVCS-FEB 2018"</f>
        <v>PROF SVCS-FEB 2018</v>
      </c>
    </row>
    <row r="470" spans="1:10" x14ac:dyDescent="0.3">
      <c r="A470" t="str">
        <f>""</f>
        <v/>
      </c>
      <c r="B470" t="str">
        <f>""</f>
        <v/>
      </c>
      <c r="G470" t="str">
        <f>""</f>
        <v/>
      </c>
      <c r="H470" t="str">
        <f>""</f>
        <v/>
      </c>
      <c r="J470" t="str">
        <f>"PROF SVCS-FEB 2018"</f>
        <v>PROF SVCS-FEB 2018</v>
      </c>
    </row>
    <row r="471" spans="1:10" x14ac:dyDescent="0.3">
      <c r="A471" t="str">
        <f>""</f>
        <v/>
      </c>
      <c r="B471" t="str">
        <f>""</f>
        <v/>
      </c>
      <c r="G471" t="str">
        <f>"65351"</f>
        <v>65351</v>
      </c>
      <c r="H471" t="str">
        <f>"AUG-DEC '17 POWER SEARCH SVCS"</f>
        <v>AUG-DEC '17 POWER SEARCH SVCS</v>
      </c>
      <c r="I471" s="2">
        <v>18</v>
      </c>
      <c r="J471" t="str">
        <f>"AUG-DEC '17 POWER SEARCH SVCS"</f>
        <v>AUG-DEC '17 POWER SEARCH SVCS</v>
      </c>
    </row>
    <row r="472" spans="1:10" x14ac:dyDescent="0.3">
      <c r="A472" t="str">
        <f>"01"</f>
        <v>01</v>
      </c>
      <c r="B472" t="str">
        <f>"005064"</f>
        <v>005064</v>
      </c>
      <c r="C472" t="s">
        <v>156</v>
      </c>
      <c r="D472">
        <v>74660</v>
      </c>
      <c r="E472" s="2">
        <v>638.88</v>
      </c>
      <c r="F472" s="1">
        <v>43108</v>
      </c>
      <c r="G472" t="str">
        <f>"201801027656"</f>
        <v>201801027656</v>
      </c>
      <c r="H472" t="str">
        <f>"TAEA CONFERENCE/LODGING"</f>
        <v>TAEA CONFERENCE/LODGING</v>
      </c>
      <c r="I472" s="2">
        <v>319.44</v>
      </c>
      <c r="J472" t="str">
        <f>"TAEA CONFERENCE/LODGING"</f>
        <v>TAEA CONFERENCE/LODGING</v>
      </c>
    </row>
    <row r="473" spans="1:10" x14ac:dyDescent="0.3">
      <c r="A473" t="str">
        <f>""</f>
        <v/>
      </c>
      <c r="B473" t="str">
        <f>""</f>
        <v/>
      </c>
      <c r="G473" t="str">
        <f>"201801027657"</f>
        <v>201801027657</v>
      </c>
      <c r="H473" t="str">
        <f>"TAEA CONFERENCE/LODGING"</f>
        <v>TAEA CONFERENCE/LODGING</v>
      </c>
      <c r="I473" s="2">
        <v>319.44</v>
      </c>
      <c r="J473" t="str">
        <f>"TAEA CONFERENCE/LODGING"</f>
        <v>TAEA CONFERENCE/LODGING</v>
      </c>
    </row>
    <row r="474" spans="1:10" x14ac:dyDescent="0.3">
      <c r="A474" t="str">
        <f t="shared" ref="A474:A482" si="8">"01"</f>
        <v>01</v>
      </c>
      <c r="B474" t="str">
        <f>"T7585"</f>
        <v>T7585</v>
      </c>
      <c r="C474" t="s">
        <v>157</v>
      </c>
      <c r="D474">
        <v>999999</v>
      </c>
      <c r="E474" s="2">
        <v>180</v>
      </c>
      <c r="F474" s="1">
        <v>43123</v>
      </c>
      <c r="G474" t="str">
        <f>"18006"</f>
        <v>18006</v>
      </c>
      <c r="H474" t="str">
        <f>"RENTAL/PCT#4"</f>
        <v>RENTAL/PCT#4</v>
      </c>
      <c r="I474" s="2">
        <v>180</v>
      </c>
      <c r="J474" t="str">
        <f>"RENTAL/PCT#4"</f>
        <v>RENTAL/PCT#4</v>
      </c>
    </row>
    <row r="475" spans="1:10" x14ac:dyDescent="0.3">
      <c r="A475" t="str">
        <f t="shared" si="8"/>
        <v>01</v>
      </c>
      <c r="B475" t="str">
        <f>"004469"</f>
        <v>004469</v>
      </c>
      <c r="C475" t="s">
        <v>158</v>
      </c>
      <c r="D475">
        <v>74661</v>
      </c>
      <c r="E475" s="2">
        <v>50</v>
      </c>
      <c r="F475" s="1">
        <v>43108</v>
      </c>
      <c r="G475" t="str">
        <f>"201801027619"</f>
        <v>201801027619</v>
      </c>
      <c r="H475" t="str">
        <f>"FERAL HOGS"</f>
        <v>FERAL HOGS</v>
      </c>
      <c r="I475" s="2">
        <v>50</v>
      </c>
      <c r="J475" t="str">
        <f>"FERAL HOGS"</f>
        <v>FERAL HOGS</v>
      </c>
    </row>
    <row r="476" spans="1:10" x14ac:dyDescent="0.3">
      <c r="A476" t="str">
        <f t="shared" si="8"/>
        <v>01</v>
      </c>
      <c r="B476" t="str">
        <f>"T5361"</f>
        <v>T5361</v>
      </c>
      <c r="C476" t="s">
        <v>159</v>
      </c>
      <c r="D476">
        <v>74890</v>
      </c>
      <c r="E476" s="2">
        <v>10</v>
      </c>
      <c r="F476" s="1">
        <v>43122</v>
      </c>
      <c r="G476" t="str">
        <f>"201801108087"</f>
        <v>201801108087</v>
      </c>
      <c r="H476" t="str">
        <f>"FERAL HOGS"</f>
        <v>FERAL HOGS</v>
      </c>
      <c r="I476" s="2">
        <v>10</v>
      </c>
      <c r="J476" t="str">
        <f>"FERAL HOGS"</f>
        <v>FERAL HOGS</v>
      </c>
    </row>
    <row r="477" spans="1:10" x14ac:dyDescent="0.3">
      <c r="A477" t="str">
        <f t="shared" si="8"/>
        <v>01</v>
      </c>
      <c r="B477" t="str">
        <f>"T7860"</f>
        <v>T7860</v>
      </c>
      <c r="C477" t="s">
        <v>160</v>
      </c>
      <c r="D477">
        <v>999999</v>
      </c>
      <c r="E477" s="2">
        <v>100</v>
      </c>
      <c r="F477" s="1">
        <v>43109</v>
      </c>
      <c r="G477" t="str">
        <f>"201801037716"</f>
        <v>201801037716</v>
      </c>
      <c r="H477" t="str">
        <f>"N/A"</f>
        <v>N/A</v>
      </c>
      <c r="I477" s="2">
        <v>100</v>
      </c>
      <c r="J477" t="str">
        <f>"N/A"</f>
        <v>N/A</v>
      </c>
    </row>
    <row r="478" spans="1:10" x14ac:dyDescent="0.3">
      <c r="A478" t="str">
        <f t="shared" si="8"/>
        <v>01</v>
      </c>
      <c r="B478" t="str">
        <f>"T14062"</f>
        <v>T14062</v>
      </c>
      <c r="C478" t="s">
        <v>161</v>
      </c>
      <c r="D478">
        <v>74891</v>
      </c>
      <c r="E478" s="2">
        <v>150</v>
      </c>
      <c r="F478" s="1">
        <v>43122</v>
      </c>
      <c r="G478" t="str">
        <f>"1038/UNIT 1670"</f>
        <v>1038/UNIT 1670</v>
      </c>
      <c r="H478" t="str">
        <f>"INV 1038/UNIT 1670"</f>
        <v>INV 1038/UNIT 1670</v>
      </c>
      <c r="I478" s="2">
        <v>150</v>
      </c>
      <c r="J478" t="str">
        <f>"INV 1038/UNIT 1670"</f>
        <v>INV 1038/UNIT 1670</v>
      </c>
    </row>
    <row r="479" spans="1:10" x14ac:dyDescent="0.3">
      <c r="A479" t="str">
        <f t="shared" si="8"/>
        <v>01</v>
      </c>
      <c r="B479" t="str">
        <f>"003392"</f>
        <v>003392</v>
      </c>
      <c r="C479" t="s">
        <v>162</v>
      </c>
      <c r="D479">
        <v>74662</v>
      </c>
      <c r="E479" s="2">
        <v>35</v>
      </c>
      <c r="F479" s="1">
        <v>43108</v>
      </c>
      <c r="G479" t="str">
        <f>"201801027620"</f>
        <v>201801027620</v>
      </c>
      <c r="H479" t="str">
        <f>"FERAL HOGS"</f>
        <v>FERAL HOGS</v>
      </c>
      <c r="I479" s="2">
        <v>35</v>
      </c>
      <c r="J479" t="str">
        <f>"FERAL HOGS"</f>
        <v>FERAL HOGS</v>
      </c>
    </row>
    <row r="480" spans="1:10" x14ac:dyDescent="0.3">
      <c r="A480" t="str">
        <f t="shared" si="8"/>
        <v>01</v>
      </c>
      <c r="B480" t="str">
        <f>"005365"</f>
        <v>005365</v>
      </c>
      <c r="C480" t="s">
        <v>163</v>
      </c>
      <c r="D480">
        <v>74663</v>
      </c>
      <c r="E480" s="2">
        <v>240</v>
      </c>
      <c r="F480" s="1">
        <v>43108</v>
      </c>
      <c r="G480" t="str">
        <f>"201801027621"</f>
        <v>201801027621</v>
      </c>
      <c r="H480" t="str">
        <f>"FERAL HOGS"</f>
        <v>FERAL HOGS</v>
      </c>
      <c r="I480" s="2">
        <v>240</v>
      </c>
      <c r="J480" t="str">
        <f>"FERAL HOGS"</f>
        <v>FERAL HOGS</v>
      </c>
    </row>
    <row r="481" spans="1:10" x14ac:dyDescent="0.3">
      <c r="A481" t="str">
        <f t="shared" si="8"/>
        <v>01</v>
      </c>
      <c r="B481" t="str">
        <f>"001889"</f>
        <v>001889</v>
      </c>
      <c r="C481" t="s">
        <v>164</v>
      </c>
      <c r="D481">
        <v>999999</v>
      </c>
      <c r="E481" s="2">
        <v>200</v>
      </c>
      <c r="F481" s="1">
        <v>43123</v>
      </c>
      <c r="G481" t="str">
        <f>"341906"</f>
        <v>341906</v>
      </c>
      <c r="H481" t="str">
        <f>"WATTERSON/SMITHVILLE TOWER"</f>
        <v>WATTERSON/SMITHVILLE TOWER</v>
      </c>
      <c r="I481" s="2">
        <v>200</v>
      </c>
      <c r="J481" t="str">
        <f>"WATTERSON/SMITHVILLE TOWER"</f>
        <v>WATTERSON/SMITHVILLE TOWER</v>
      </c>
    </row>
    <row r="482" spans="1:10" x14ac:dyDescent="0.3">
      <c r="A482" t="str">
        <f t="shared" si="8"/>
        <v>01</v>
      </c>
      <c r="B482" t="str">
        <f>"T14548"</f>
        <v>T14548</v>
      </c>
      <c r="C482" t="s">
        <v>165</v>
      </c>
      <c r="D482">
        <v>999999</v>
      </c>
      <c r="E482" s="2">
        <v>1600</v>
      </c>
      <c r="F482" s="1">
        <v>43123</v>
      </c>
      <c r="G482" t="str">
        <f>"201801118149"</f>
        <v>201801118149</v>
      </c>
      <c r="H482" t="str">
        <f>"16052"</f>
        <v>16052</v>
      </c>
      <c r="I482" s="2">
        <v>400</v>
      </c>
      <c r="J482" t="str">
        <f>"16052"</f>
        <v>16052</v>
      </c>
    </row>
    <row r="483" spans="1:10" x14ac:dyDescent="0.3">
      <c r="A483" t="str">
        <f>""</f>
        <v/>
      </c>
      <c r="B483" t="str">
        <f>""</f>
        <v/>
      </c>
      <c r="G483" t="str">
        <f>"201801118150"</f>
        <v>201801118150</v>
      </c>
      <c r="H483" t="str">
        <f>"02-0728-1"</f>
        <v>02-0728-1</v>
      </c>
      <c r="I483" s="2">
        <v>400</v>
      </c>
      <c r="J483" t="str">
        <f>"02-0728-1"</f>
        <v>02-0728-1</v>
      </c>
    </row>
    <row r="484" spans="1:10" x14ac:dyDescent="0.3">
      <c r="A484" t="str">
        <f>""</f>
        <v/>
      </c>
      <c r="B484" t="str">
        <f>""</f>
        <v/>
      </c>
      <c r="G484" t="str">
        <f>"201801188179"</f>
        <v>201801188179</v>
      </c>
      <c r="H484" t="str">
        <f>"15997/16428"</f>
        <v>15997/16428</v>
      </c>
      <c r="I484" s="2">
        <v>800</v>
      </c>
      <c r="J484" t="str">
        <f>"15997/16428"</f>
        <v>15997/16428</v>
      </c>
    </row>
    <row r="485" spans="1:10" x14ac:dyDescent="0.3">
      <c r="A485" t="str">
        <f t="shared" ref="A485:A491" si="9">"01"</f>
        <v>01</v>
      </c>
      <c r="B485" t="str">
        <f>"T14224"</f>
        <v>T14224</v>
      </c>
      <c r="C485" t="s">
        <v>166</v>
      </c>
      <c r="D485">
        <v>999999</v>
      </c>
      <c r="E485" s="2">
        <v>170</v>
      </c>
      <c r="F485" s="1">
        <v>43123</v>
      </c>
      <c r="G485" t="str">
        <f>"10118"</f>
        <v>10118</v>
      </c>
      <c r="H485" t="str">
        <f>"Invoice 10118"</f>
        <v>Invoice 10118</v>
      </c>
      <c r="I485" s="2">
        <v>170</v>
      </c>
      <c r="J485" t="str">
        <f>"Invoice 10118"</f>
        <v>Invoice 10118</v>
      </c>
    </row>
    <row r="486" spans="1:10" x14ac:dyDescent="0.3">
      <c r="A486" t="str">
        <f t="shared" si="9"/>
        <v>01</v>
      </c>
      <c r="B486" t="str">
        <f>"005378"</f>
        <v>005378</v>
      </c>
      <c r="C486" t="s">
        <v>167</v>
      </c>
      <c r="D486">
        <v>74892</v>
      </c>
      <c r="E486" s="2">
        <v>178.49</v>
      </c>
      <c r="F486" s="1">
        <v>43122</v>
      </c>
      <c r="G486" t="str">
        <f>"966907"</f>
        <v>966907</v>
      </c>
      <c r="H486" t="str">
        <f>"REIMBURSE BOOTS"</f>
        <v>REIMBURSE BOOTS</v>
      </c>
      <c r="I486" s="2">
        <v>178.49</v>
      </c>
    </row>
    <row r="487" spans="1:10" x14ac:dyDescent="0.3">
      <c r="A487" t="str">
        <f t="shared" si="9"/>
        <v>01</v>
      </c>
      <c r="B487" t="str">
        <f>"005378"</f>
        <v>005378</v>
      </c>
      <c r="C487" t="s">
        <v>167</v>
      </c>
      <c r="D487">
        <v>74892</v>
      </c>
      <c r="E487" s="2">
        <v>178.49</v>
      </c>
      <c r="F487" s="1">
        <v>43122</v>
      </c>
      <c r="G487" t="str">
        <f>"CHECK"</f>
        <v>CHECK</v>
      </c>
      <c r="H487" t="str">
        <f>""</f>
        <v/>
      </c>
      <c r="I487" s="2">
        <v>178.49</v>
      </c>
    </row>
    <row r="488" spans="1:10" x14ac:dyDescent="0.3">
      <c r="A488" t="str">
        <f t="shared" si="9"/>
        <v>01</v>
      </c>
      <c r="B488" t="str">
        <f>"KMPC"</f>
        <v>KMPC</v>
      </c>
      <c r="C488" t="s">
        <v>168</v>
      </c>
      <c r="D488">
        <v>74893</v>
      </c>
      <c r="E488" s="2">
        <v>165.05</v>
      </c>
      <c r="F488" s="1">
        <v>43122</v>
      </c>
      <c r="G488" t="str">
        <f>"15200000134639/675"</f>
        <v>15200000134639/675</v>
      </c>
      <c r="H488" t="str">
        <f>"PAINT/HR OFFICES"</f>
        <v>PAINT/HR OFFICES</v>
      </c>
      <c r="I488" s="2">
        <v>165.05</v>
      </c>
      <c r="J488" t="str">
        <f>"PAINT/HR OFFICES"</f>
        <v>PAINT/HR OFFICES</v>
      </c>
    </row>
    <row r="489" spans="1:10" x14ac:dyDescent="0.3">
      <c r="A489" t="str">
        <f t="shared" si="9"/>
        <v>01</v>
      </c>
      <c r="B489" t="str">
        <f>"KBTRI"</f>
        <v>KBTRI</v>
      </c>
      <c r="C489" t="s">
        <v>169</v>
      </c>
      <c r="D489">
        <v>74664</v>
      </c>
      <c r="E489" s="2">
        <v>2617</v>
      </c>
      <c r="F489" s="1">
        <v>43108</v>
      </c>
      <c r="G489" t="str">
        <f>"23"</f>
        <v>23</v>
      </c>
      <c r="H489" t="str">
        <f>"TOWER RENT"</f>
        <v>TOWER RENT</v>
      </c>
      <c r="I489" s="2">
        <v>2617</v>
      </c>
      <c r="J489" t="str">
        <f>"TOWER RENT"</f>
        <v>TOWER RENT</v>
      </c>
    </row>
    <row r="490" spans="1:10" x14ac:dyDescent="0.3">
      <c r="A490" t="str">
        <f t="shared" si="9"/>
        <v>01</v>
      </c>
      <c r="B490" t="str">
        <f>"003916"</f>
        <v>003916</v>
      </c>
      <c r="C490" t="s">
        <v>170</v>
      </c>
      <c r="D490">
        <v>74894</v>
      </c>
      <c r="E490" s="2">
        <v>99</v>
      </c>
      <c r="F490" s="1">
        <v>43122</v>
      </c>
      <c r="G490" t="str">
        <f>"263255"</f>
        <v>263255</v>
      </c>
      <c r="H490" t="str">
        <f>"ORD#MON-9884/QTRLY SVC 2018"</f>
        <v>ORD#MON-9884/QTRLY SVC 2018</v>
      </c>
      <c r="I490" s="2">
        <v>99</v>
      </c>
      <c r="J490" t="str">
        <f>"ORD#MON-9884/QTRLY SVC 2018"</f>
        <v>ORD#MON-9884/QTRLY SVC 2018</v>
      </c>
    </row>
    <row r="491" spans="1:10" x14ac:dyDescent="0.3">
      <c r="A491" t="str">
        <f t="shared" si="9"/>
        <v>01</v>
      </c>
      <c r="B491" t="str">
        <f>"001722"</f>
        <v>001722</v>
      </c>
      <c r="C491" t="s">
        <v>171</v>
      </c>
      <c r="D491">
        <v>74665</v>
      </c>
      <c r="E491" s="2">
        <v>2430.19</v>
      </c>
      <c r="F491" s="1">
        <v>43108</v>
      </c>
      <c r="G491" t="str">
        <f>"12202805/12271240"</f>
        <v>12202805/12271240</v>
      </c>
      <c r="H491" t="str">
        <f>"INV 12202805"</f>
        <v>INV 12202805</v>
      </c>
      <c r="I491" s="2">
        <v>2430.19</v>
      </c>
      <c r="J491" t="str">
        <f>"INV 12202805"</f>
        <v>INV 12202805</v>
      </c>
    </row>
    <row r="492" spans="1:10" x14ac:dyDescent="0.3">
      <c r="A492" t="str">
        <f>""</f>
        <v/>
      </c>
      <c r="B492" t="str">
        <f>""</f>
        <v/>
      </c>
      <c r="G492" t="str">
        <f>""</f>
        <v/>
      </c>
      <c r="H492" t="str">
        <f>""</f>
        <v/>
      </c>
      <c r="J492" t="str">
        <f>"INV 12271240"</f>
        <v>INV 12271240</v>
      </c>
    </row>
    <row r="493" spans="1:10" x14ac:dyDescent="0.3">
      <c r="A493" t="str">
        <f>"01"</f>
        <v>01</v>
      </c>
      <c r="B493" t="str">
        <f>"001722"</f>
        <v>001722</v>
      </c>
      <c r="C493" t="s">
        <v>171</v>
      </c>
      <c r="D493">
        <v>74895</v>
      </c>
      <c r="E493" s="2">
        <v>1985.28</v>
      </c>
      <c r="F493" s="1">
        <v>43122</v>
      </c>
      <c r="G493" t="str">
        <f>"01031656/01108834"</f>
        <v>01031656/01108834</v>
      </c>
      <c r="H493" t="str">
        <f>"INV 01031656"</f>
        <v>INV 01031656</v>
      </c>
      <c r="I493" s="2">
        <v>1985.28</v>
      </c>
      <c r="J493" t="str">
        <f>"INV 01031656"</f>
        <v>INV 01031656</v>
      </c>
    </row>
    <row r="494" spans="1:10" x14ac:dyDescent="0.3">
      <c r="A494" t="str">
        <f>""</f>
        <v/>
      </c>
      <c r="B494" t="str">
        <f>""</f>
        <v/>
      </c>
      <c r="G494" t="str">
        <f>""</f>
        <v/>
      </c>
      <c r="H494" t="str">
        <f>""</f>
        <v/>
      </c>
      <c r="J494" t="str">
        <f>"INV 01108834"</f>
        <v>INV 01108834</v>
      </c>
    </row>
    <row r="495" spans="1:10" x14ac:dyDescent="0.3">
      <c r="A495" t="str">
        <f>"01"</f>
        <v>01</v>
      </c>
      <c r="B495" t="str">
        <f>"003992"</f>
        <v>003992</v>
      </c>
      <c r="C495" t="s">
        <v>172</v>
      </c>
      <c r="D495">
        <v>74666</v>
      </c>
      <c r="E495" s="2">
        <v>255</v>
      </c>
      <c r="F495" s="1">
        <v>43108</v>
      </c>
      <c r="G495" t="str">
        <f>"201801027622"</f>
        <v>201801027622</v>
      </c>
      <c r="H495" t="str">
        <f>"FERAL HOGS"</f>
        <v>FERAL HOGS</v>
      </c>
      <c r="I495" s="2">
        <v>255</v>
      </c>
      <c r="J495" t="str">
        <f>"FERAL HOGS"</f>
        <v>FERAL HOGS</v>
      </c>
    </row>
    <row r="496" spans="1:10" x14ac:dyDescent="0.3">
      <c r="A496" t="str">
        <f>"01"</f>
        <v>01</v>
      </c>
      <c r="B496" t="str">
        <f>"002420"</f>
        <v>002420</v>
      </c>
      <c r="C496" t="s">
        <v>173</v>
      </c>
      <c r="D496">
        <v>999999</v>
      </c>
      <c r="E496" s="2">
        <v>1342.5</v>
      </c>
      <c r="F496" s="1">
        <v>43109</v>
      </c>
      <c r="G496" t="str">
        <f>"201801037717"</f>
        <v>201801037717</v>
      </c>
      <c r="H496" t="str">
        <f>"14-16754"</f>
        <v>14-16754</v>
      </c>
      <c r="I496" s="2">
        <v>105</v>
      </c>
      <c r="J496" t="str">
        <f>"14-16754"</f>
        <v>14-16754</v>
      </c>
    </row>
    <row r="497" spans="1:10" x14ac:dyDescent="0.3">
      <c r="A497" t="str">
        <f>""</f>
        <v/>
      </c>
      <c r="B497" t="str">
        <f>""</f>
        <v/>
      </c>
      <c r="G497" t="str">
        <f>"201801037718"</f>
        <v>201801037718</v>
      </c>
      <c r="H497" t="str">
        <f>"16-17760"</f>
        <v>16-17760</v>
      </c>
      <c r="I497" s="2">
        <v>137.5</v>
      </c>
      <c r="J497" t="str">
        <f>"16-17760"</f>
        <v>16-17760</v>
      </c>
    </row>
    <row r="498" spans="1:10" x14ac:dyDescent="0.3">
      <c r="A498" t="str">
        <f>""</f>
        <v/>
      </c>
      <c r="B498" t="str">
        <f>""</f>
        <v/>
      </c>
      <c r="G498" t="str">
        <f>"201801037719"</f>
        <v>201801037719</v>
      </c>
      <c r="H498" t="str">
        <f>"17-18493"</f>
        <v>17-18493</v>
      </c>
      <c r="I498" s="2">
        <v>135</v>
      </c>
      <c r="J498" t="str">
        <f>"17-18493"</f>
        <v>17-18493</v>
      </c>
    </row>
    <row r="499" spans="1:10" x14ac:dyDescent="0.3">
      <c r="A499" t="str">
        <f>""</f>
        <v/>
      </c>
      <c r="B499" t="str">
        <f>""</f>
        <v/>
      </c>
      <c r="G499" t="str">
        <f>"201801037720"</f>
        <v>201801037720</v>
      </c>
      <c r="H499" t="str">
        <f>"17-18525"</f>
        <v>17-18525</v>
      </c>
      <c r="I499" s="2">
        <v>97.5</v>
      </c>
      <c r="J499" t="str">
        <f>"17-18525"</f>
        <v>17-18525</v>
      </c>
    </row>
    <row r="500" spans="1:10" x14ac:dyDescent="0.3">
      <c r="A500" t="str">
        <f>""</f>
        <v/>
      </c>
      <c r="B500" t="str">
        <f>""</f>
        <v/>
      </c>
      <c r="G500" t="str">
        <f>"201801037721"</f>
        <v>201801037721</v>
      </c>
      <c r="H500" t="str">
        <f>"17-18250"</f>
        <v>17-18250</v>
      </c>
      <c r="I500" s="2">
        <v>220</v>
      </c>
      <c r="J500" t="str">
        <f>"17-18250"</f>
        <v>17-18250</v>
      </c>
    </row>
    <row r="501" spans="1:10" x14ac:dyDescent="0.3">
      <c r="A501" t="str">
        <f>""</f>
        <v/>
      </c>
      <c r="B501" t="str">
        <f>""</f>
        <v/>
      </c>
      <c r="G501" t="str">
        <f>"201801037722"</f>
        <v>201801037722</v>
      </c>
      <c r="H501" t="str">
        <f>"16-17944"</f>
        <v>16-17944</v>
      </c>
      <c r="I501" s="2">
        <v>112.5</v>
      </c>
      <c r="J501" t="str">
        <f>"16-17944"</f>
        <v>16-17944</v>
      </c>
    </row>
    <row r="502" spans="1:10" x14ac:dyDescent="0.3">
      <c r="A502" t="str">
        <f>""</f>
        <v/>
      </c>
      <c r="B502" t="str">
        <f>""</f>
        <v/>
      </c>
      <c r="G502" t="str">
        <f>"201801037723"</f>
        <v>201801037723</v>
      </c>
      <c r="H502" t="str">
        <f>"17-18615"</f>
        <v>17-18615</v>
      </c>
      <c r="I502" s="2">
        <v>75</v>
      </c>
      <c r="J502" t="str">
        <f>"17-18615"</f>
        <v>17-18615</v>
      </c>
    </row>
    <row r="503" spans="1:10" x14ac:dyDescent="0.3">
      <c r="A503" t="str">
        <f>""</f>
        <v/>
      </c>
      <c r="B503" t="str">
        <f>""</f>
        <v/>
      </c>
      <c r="G503" t="str">
        <f>"201801037724"</f>
        <v>201801037724</v>
      </c>
      <c r="H503" t="str">
        <f>"17-18576"</f>
        <v>17-18576</v>
      </c>
      <c r="I503" s="2">
        <v>22.5</v>
      </c>
      <c r="J503" t="str">
        <f>"17-18576"</f>
        <v>17-18576</v>
      </c>
    </row>
    <row r="504" spans="1:10" x14ac:dyDescent="0.3">
      <c r="A504" t="str">
        <f>""</f>
        <v/>
      </c>
      <c r="B504" t="str">
        <f>""</f>
        <v/>
      </c>
      <c r="G504" t="str">
        <f>"201801037725"</f>
        <v>201801037725</v>
      </c>
      <c r="H504" t="str">
        <f>"17-18765"</f>
        <v>17-18765</v>
      </c>
      <c r="I504" s="2">
        <v>225</v>
      </c>
      <c r="J504" t="str">
        <f>"17-18765"</f>
        <v>17-18765</v>
      </c>
    </row>
    <row r="505" spans="1:10" x14ac:dyDescent="0.3">
      <c r="A505" t="str">
        <f>""</f>
        <v/>
      </c>
      <c r="B505" t="str">
        <f>""</f>
        <v/>
      </c>
      <c r="G505" t="str">
        <f>"201801037726"</f>
        <v>201801037726</v>
      </c>
      <c r="H505" t="str">
        <f>"16-17565"</f>
        <v>16-17565</v>
      </c>
      <c r="I505" s="2">
        <v>212.5</v>
      </c>
      <c r="J505" t="str">
        <f>"16-17565"</f>
        <v>16-17565</v>
      </c>
    </row>
    <row r="506" spans="1:10" x14ac:dyDescent="0.3">
      <c r="A506" t="str">
        <f>"01"</f>
        <v>01</v>
      </c>
      <c r="B506" t="str">
        <f>"002420"</f>
        <v>002420</v>
      </c>
      <c r="C506" t="s">
        <v>173</v>
      </c>
      <c r="D506">
        <v>999999</v>
      </c>
      <c r="E506" s="2">
        <v>865</v>
      </c>
      <c r="F506" s="1">
        <v>43123</v>
      </c>
      <c r="G506" t="str">
        <f>"201801118132"</f>
        <v>201801118132</v>
      </c>
      <c r="H506" t="str">
        <f>"423-2403"</f>
        <v>423-2403</v>
      </c>
      <c r="I506" s="2">
        <v>197.5</v>
      </c>
      <c r="J506" t="str">
        <f>"423-2403"</f>
        <v>423-2403</v>
      </c>
    </row>
    <row r="507" spans="1:10" x14ac:dyDescent="0.3">
      <c r="A507" t="str">
        <f>""</f>
        <v/>
      </c>
      <c r="B507" t="str">
        <f>""</f>
        <v/>
      </c>
      <c r="G507" t="str">
        <f>"201801118133"</f>
        <v>201801118133</v>
      </c>
      <c r="H507" t="str">
        <f>"423-2783"</f>
        <v>423-2783</v>
      </c>
      <c r="I507" s="2">
        <v>137.5</v>
      </c>
      <c r="J507" t="str">
        <f>"423-2783"</f>
        <v>423-2783</v>
      </c>
    </row>
    <row r="508" spans="1:10" x14ac:dyDescent="0.3">
      <c r="A508" t="str">
        <f>""</f>
        <v/>
      </c>
      <c r="B508" t="str">
        <f>""</f>
        <v/>
      </c>
      <c r="G508" t="str">
        <f>"201801118134"</f>
        <v>201801118134</v>
      </c>
      <c r="H508" t="str">
        <f>"423-4575"</f>
        <v>423-4575</v>
      </c>
      <c r="I508" s="2">
        <v>217.5</v>
      </c>
      <c r="J508" t="str">
        <f>"423-4575"</f>
        <v>423-4575</v>
      </c>
    </row>
    <row r="509" spans="1:10" x14ac:dyDescent="0.3">
      <c r="A509" t="str">
        <f>""</f>
        <v/>
      </c>
      <c r="B509" t="str">
        <f>""</f>
        <v/>
      </c>
      <c r="G509" t="str">
        <f>"201801118135"</f>
        <v>201801118135</v>
      </c>
      <c r="H509" t="str">
        <f>"423-1015"</f>
        <v>423-1015</v>
      </c>
      <c r="I509" s="2">
        <v>190</v>
      </c>
      <c r="J509" t="str">
        <f>"423-1015"</f>
        <v>423-1015</v>
      </c>
    </row>
    <row r="510" spans="1:10" x14ac:dyDescent="0.3">
      <c r="A510" t="str">
        <f>""</f>
        <v/>
      </c>
      <c r="B510" t="str">
        <f>""</f>
        <v/>
      </c>
      <c r="G510" t="str">
        <f>"201801118136"</f>
        <v>201801118136</v>
      </c>
      <c r="H510" t="str">
        <f>"423-3430"</f>
        <v>423-3430</v>
      </c>
      <c r="I510" s="2">
        <v>122.5</v>
      </c>
      <c r="J510" t="str">
        <f>"423-3430"</f>
        <v>423-3430</v>
      </c>
    </row>
    <row r="511" spans="1:10" x14ac:dyDescent="0.3">
      <c r="A511" t="str">
        <f>"01"</f>
        <v>01</v>
      </c>
      <c r="B511" t="str">
        <f>"T11826"</f>
        <v>T11826</v>
      </c>
      <c r="C511" t="s">
        <v>174</v>
      </c>
      <c r="D511">
        <v>74896</v>
      </c>
      <c r="E511" s="2">
        <v>24</v>
      </c>
      <c r="F511" s="1">
        <v>43122</v>
      </c>
      <c r="G511" t="str">
        <f>"201801118123"</f>
        <v>201801118123</v>
      </c>
      <c r="H511" t="str">
        <f>"INV#39961/40212/PCT#4"</f>
        <v>INV#39961/40212/PCT#4</v>
      </c>
      <c r="I511" s="2">
        <v>24</v>
      </c>
      <c r="J511" t="str">
        <f>"INV#39961/40212/PCT#4"</f>
        <v>INV#39961/40212/PCT#4</v>
      </c>
    </row>
    <row r="512" spans="1:10" x14ac:dyDescent="0.3">
      <c r="A512" t="str">
        <f>"01"</f>
        <v>01</v>
      </c>
      <c r="B512" t="str">
        <f>"T9279"</f>
        <v>T9279</v>
      </c>
      <c r="C512" t="s">
        <v>175</v>
      </c>
      <c r="D512">
        <v>74593</v>
      </c>
      <c r="E512" s="2">
        <v>100.5</v>
      </c>
      <c r="F512" s="1">
        <v>43105</v>
      </c>
      <c r="G512" t="str">
        <f>"201801057763"</f>
        <v>201801057763</v>
      </c>
      <c r="H512" t="str">
        <f>"ACCT#1-09-00072-02 / 12212017"</f>
        <v>ACCT#1-09-00072-02 / 12212017</v>
      </c>
      <c r="I512" s="2">
        <v>50.25</v>
      </c>
      <c r="J512" t="str">
        <f>"ACCT#1-09-00072-02 / 12212017"</f>
        <v>ACCT#1-09-00072-02 / 12212017</v>
      </c>
    </row>
    <row r="513" spans="1:10" x14ac:dyDescent="0.3">
      <c r="A513" t="str">
        <f>""</f>
        <v/>
      </c>
      <c r="B513" t="str">
        <f>""</f>
        <v/>
      </c>
      <c r="G513" t="str">
        <f>"201801057764"</f>
        <v>201801057764</v>
      </c>
      <c r="H513" t="str">
        <f>"ACCT#3-09-00175-03 / 12212017"</f>
        <v>ACCT#3-09-00175-03 / 12212017</v>
      </c>
      <c r="I513" s="2">
        <v>50.25</v>
      </c>
      <c r="J513" t="str">
        <f>"ACCT#3-09-00175-03 / 12212017"</f>
        <v>ACCT#3-09-00175-03 / 12212017</v>
      </c>
    </row>
    <row r="514" spans="1:10" x14ac:dyDescent="0.3">
      <c r="A514" t="str">
        <f>"01"</f>
        <v>01</v>
      </c>
      <c r="B514" t="str">
        <f>"004804"</f>
        <v>004804</v>
      </c>
      <c r="C514" t="s">
        <v>176</v>
      </c>
      <c r="D514">
        <v>74667</v>
      </c>
      <c r="E514" s="2">
        <v>200</v>
      </c>
      <c r="F514" s="1">
        <v>43108</v>
      </c>
      <c r="G514" t="str">
        <f>"201801027623"</f>
        <v>201801027623</v>
      </c>
      <c r="H514" t="str">
        <f>"FERAL HOGS"</f>
        <v>FERAL HOGS</v>
      </c>
      <c r="I514" s="2">
        <v>200</v>
      </c>
      <c r="J514" t="str">
        <f>"FERAL HOGS"</f>
        <v>FERAL HOGS</v>
      </c>
    </row>
    <row r="515" spans="1:10" x14ac:dyDescent="0.3">
      <c r="A515" t="str">
        <f>"01"</f>
        <v>01</v>
      </c>
      <c r="B515" t="str">
        <f>"003594"</f>
        <v>003594</v>
      </c>
      <c r="C515" t="s">
        <v>177</v>
      </c>
      <c r="D515">
        <v>74897</v>
      </c>
      <c r="E515" s="2">
        <v>578.49</v>
      </c>
      <c r="F515" s="1">
        <v>43122</v>
      </c>
      <c r="G515" t="str">
        <f>"201801108092"</f>
        <v>201801108092</v>
      </c>
      <c r="H515" t="str">
        <f>"FERAL HOGS"</f>
        <v>FERAL HOGS</v>
      </c>
      <c r="I515" s="2">
        <v>400</v>
      </c>
    </row>
    <row r="516" spans="1:10" x14ac:dyDescent="0.3">
      <c r="A516" t="str">
        <f>""</f>
        <v/>
      </c>
      <c r="B516" t="str">
        <f>""</f>
        <v/>
      </c>
      <c r="G516" t="str">
        <f>"966906"</f>
        <v>966906</v>
      </c>
      <c r="H516" t="str">
        <f>"REIMBURSE BOOTS"</f>
        <v>REIMBURSE BOOTS</v>
      </c>
      <c r="I516" s="2">
        <v>178.49</v>
      </c>
    </row>
    <row r="517" spans="1:10" x14ac:dyDescent="0.3">
      <c r="A517" t="str">
        <f>"01"</f>
        <v>01</v>
      </c>
      <c r="B517" t="str">
        <f>"003594"</f>
        <v>003594</v>
      </c>
      <c r="C517" t="s">
        <v>177</v>
      </c>
      <c r="D517">
        <v>74897</v>
      </c>
      <c r="E517" s="2">
        <v>578.49</v>
      </c>
      <c r="F517" s="1">
        <v>43122</v>
      </c>
      <c r="G517" t="str">
        <f>"CHECK"</f>
        <v>CHECK</v>
      </c>
      <c r="H517" t="str">
        <f>""</f>
        <v/>
      </c>
      <c r="I517" s="2">
        <v>578.49</v>
      </c>
    </row>
    <row r="518" spans="1:10" x14ac:dyDescent="0.3">
      <c r="A518" t="str">
        <f>"01"</f>
        <v>01</v>
      </c>
      <c r="B518" t="str">
        <f>"003594"</f>
        <v>003594</v>
      </c>
      <c r="C518" t="s">
        <v>177</v>
      </c>
      <c r="D518">
        <v>74974</v>
      </c>
      <c r="E518" s="2">
        <v>400</v>
      </c>
      <c r="F518" s="1">
        <v>43122</v>
      </c>
      <c r="G518" t="str">
        <f>"201801228191"</f>
        <v>201801228191</v>
      </c>
      <c r="H518" t="str">
        <f>"FERAL HOGS"</f>
        <v>FERAL HOGS</v>
      </c>
      <c r="I518" s="2">
        <v>400</v>
      </c>
      <c r="J518" t="str">
        <f>"FERAL HOGS"</f>
        <v>FERAL HOGS</v>
      </c>
    </row>
    <row r="519" spans="1:10" x14ac:dyDescent="0.3">
      <c r="A519" t="str">
        <f>"01"</f>
        <v>01</v>
      </c>
      <c r="B519" t="str">
        <f>"001530"</f>
        <v>001530</v>
      </c>
      <c r="C519" t="s">
        <v>178</v>
      </c>
      <c r="D519">
        <v>74898</v>
      </c>
      <c r="E519" s="2">
        <v>476.9</v>
      </c>
      <c r="F519" s="1">
        <v>43122</v>
      </c>
      <c r="G519" t="str">
        <f>"1361725-20171231"</f>
        <v>1361725-20171231</v>
      </c>
      <c r="H519" t="str">
        <f>"BILLING ID#1361725/INDIGENT HL"</f>
        <v>BILLING ID#1361725/INDIGENT HL</v>
      </c>
      <c r="I519" s="2">
        <v>95.6</v>
      </c>
      <c r="J519" t="str">
        <f>"BILLING ID#1361725/INDIGENT HL"</f>
        <v>BILLING ID#1361725/INDIGENT HL</v>
      </c>
    </row>
    <row r="520" spans="1:10" x14ac:dyDescent="0.3">
      <c r="A520" t="str">
        <f>""</f>
        <v/>
      </c>
      <c r="B520" t="str">
        <f>""</f>
        <v/>
      </c>
      <c r="G520" t="str">
        <f>"1394645-20171231"</f>
        <v>1394645-20171231</v>
      </c>
      <c r="H520" t="str">
        <f>"BILLING#1394645/CLERK/TREASURE"</f>
        <v>BILLING#1394645/CLERK/TREASURE</v>
      </c>
      <c r="I520" s="2">
        <v>50</v>
      </c>
      <c r="J520" t="str">
        <f>"BILLING#1394645/COUNTY CLERK"</f>
        <v>BILLING#1394645/COUNTY CLERK</v>
      </c>
    </row>
    <row r="521" spans="1:10" x14ac:dyDescent="0.3">
      <c r="A521" t="str">
        <f>""</f>
        <v/>
      </c>
      <c r="B521" t="str">
        <f>""</f>
        <v/>
      </c>
      <c r="G521" t="str">
        <f>""</f>
        <v/>
      </c>
      <c r="H521" t="str">
        <f>""</f>
        <v/>
      </c>
      <c r="J521" t="str">
        <f>"BILLING#1394645/COUNTY CLERK"</f>
        <v>BILLING#1394645/COUNTY CLERK</v>
      </c>
    </row>
    <row r="522" spans="1:10" x14ac:dyDescent="0.3">
      <c r="A522" t="str">
        <f>""</f>
        <v/>
      </c>
      <c r="B522" t="str">
        <f>""</f>
        <v/>
      </c>
      <c r="G522" t="str">
        <f>"1420944-20171231"</f>
        <v>1420944-20171231</v>
      </c>
      <c r="H522" t="str">
        <f>"BILLING ID#1420944/SHERIFF OFF"</f>
        <v>BILLING ID#1420944/SHERIFF OFF</v>
      </c>
      <c r="I522" s="2">
        <v>281.3</v>
      </c>
      <c r="J522" t="str">
        <f>"BILLING ID#1420944/SHERIFF OFF"</f>
        <v>BILLING ID#1420944/SHERIFF OFF</v>
      </c>
    </row>
    <row r="523" spans="1:10" x14ac:dyDescent="0.3">
      <c r="A523" t="str">
        <f>""</f>
        <v/>
      </c>
      <c r="B523" t="str">
        <f>""</f>
        <v/>
      </c>
      <c r="G523" t="str">
        <f>"1489870-20171231"</f>
        <v>1489870-20171231</v>
      </c>
      <c r="H523" t="str">
        <f>"BILLING#1489870/DIST CLERK"</f>
        <v>BILLING#1489870/DIST CLERK</v>
      </c>
      <c r="I523" s="2">
        <v>50</v>
      </c>
      <c r="J523" t="str">
        <f>"BILLING#1489870/DIST CLERK"</f>
        <v>BILLING#1489870/DIST CLERK</v>
      </c>
    </row>
    <row r="524" spans="1:10" x14ac:dyDescent="0.3">
      <c r="A524" t="str">
        <f>"01"</f>
        <v>01</v>
      </c>
      <c r="B524" t="str">
        <f>"001803"</f>
        <v>001803</v>
      </c>
      <c r="C524" t="s">
        <v>179</v>
      </c>
      <c r="D524">
        <v>74668</v>
      </c>
      <c r="E524" s="2">
        <v>1098.75</v>
      </c>
      <c r="F524" s="1">
        <v>43108</v>
      </c>
      <c r="G524" t="str">
        <f>"83836"</f>
        <v>83836</v>
      </c>
      <c r="H524" t="str">
        <f>"Est_208225"</f>
        <v>Est_208225</v>
      </c>
      <c r="I524" s="2">
        <v>1098.75</v>
      </c>
      <c r="J524" t="str">
        <f>"USP058"</f>
        <v>USP058</v>
      </c>
    </row>
    <row r="525" spans="1:10" x14ac:dyDescent="0.3">
      <c r="A525" t="str">
        <f>""</f>
        <v/>
      </c>
      <c r="B525" t="str">
        <f>""</f>
        <v/>
      </c>
      <c r="G525" t="str">
        <f>""</f>
        <v/>
      </c>
      <c r="H525" t="str">
        <f>""</f>
        <v/>
      </c>
      <c r="J525" t="str">
        <f>"STXP58"</f>
        <v>STXP58</v>
      </c>
    </row>
    <row r="526" spans="1:10" x14ac:dyDescent="0.3">
      <c r="A526" t="str">
        <f>""</f>
        <v/>
      </c>
      <c r="B526" t="str">
        <f>""</f>
        <v/>
      </c>
      <c r="G526" t="str">
        <f>""</f>
        <v/>
      </c>
      <c r="H526" t="str">
        <f>""</f>
        <v/>
      </c>
      <c r="J526" t="str">
        <f>"USP035"</f>
        <v>USP035</v>
      </c>
    </row>
    <row r="527" spans="1:10" x14ac:dyDescent="0.3">
      <c r="A527" t="str">
        <f>""</f>
        <v/>
      </c>
      <c r="B527" t="str">
        <f>""</f>
        <v/>
      </c>
      <c r="G527" t="str">
        <f>""</f>
        <v/>
      </c>
      <c r="H527" t="str">
        <f>""</f>
        <v/>
      </c>
      <c r="J527" t="str">
        <f>"STXP35"</f>
        <v>STXP35</v>
      </c>
    </row>
    <row r="528" spans="1:10" x14ac:dyDescent="0.3">
      <c r="A528" t="str">
        <f>""</f>
        <v/>
      </c>
      <c r="B528" t="str">
        <f>""</f>
        <v/>
      </c>
      <c r="G528" t="str">
        <f>""</f>
        <v/>
      </c>
      <c r="H528" t="str">
        <f>""</f>
        <v/>
      </c>
      <c r="J528" t="str">
        <f>"25% Discount"</f>
        <v>25% Discount</v>
      </c>
    </row>
    <row r="529" spans="1:10" x14ac:dyDescent="0.3">
      <c r="A529" t="str">
        <f>"01"</f>
        <v>01</v>
      </c>
      <c r="B529" t="str">
        <f>"000684"</f>
        <v>000684</v>
      </c>
      <c r="C529" t="s">
        <v>180</v>
      </c>
      <c r="D529">
        <v>74669</v>
      </c>
      <c r="E529" s="2">
        <v>1768.72</v>
      </c>
      <c r="F529" s="1">
        <v>43108</v>
      </c>
      <c r="G529" t="str">
        <f>"1273584"</f>
        <v>1273584</v>
      </c>
      <c r="H529" t="str">
        <f>"ACCT#15717/TIRE SVCS/ENVIR SVC"</f>
        <v>ACCT#15717/TIRE SVCS/ENVIR SVC</v>
      </c>
      <c r="I529" s="2">
        <v>1768.72</v>
      </c>
      <c r="J529" t="str">
        <f>"ACCT#15717/TIRE SVCS/ENVIR SVC"</f>
        <v>ACCT#15717/TIRE SVCS/ENVIR SVC</v>
      </c>
    </row>
    <row r="530" spans="1:10" x14ac:dyDescent="0.3">
      <c r="A530" t="str">
        <f>"01"</f>
        <v>01</v>
      </c>
      <c r="B530" t="str">
        <f>"T11113"</f>
        <v>T11113</v>
      </c>
      <c r="C530" t="s">
        <v>181</v>
      </c>
      <c r="D530">
        <v>74670</v>
      </c>
      <c r="E530" s="2">
        <v>60</v>
      </c>
      <c r="F530" s="1">
        <v>43108</v>
      </c>
      <c r="G530" t="str">
        <f>"201801037697"</f>
        <v>201801037697</v>
      </c>
      <c r="H530" t="str">
        <f>"REGISTRATION/SHERIFF'S OFFICE"</f>
        <v>REGISTRATION/SHERIFF'S OFFICE</v>
      </c>
      <c r="I530" s="2">
        <v>22.5</v>
      </c>
      <c r="J530" t="str">
        <f>"REGISTRATION/SHERIFF'S OFFICE"</f>
        <v>REGISTRATION/SHERIFF'S OFFICE</v>
      </c>
    </row>
    <row r="531" spans="1:10" x14ac:dyDescent="0.3">
      <c r="A531" t="str">
        <f>""</f>
        <v/>
      </c>
      <c r="B531" t="str">
        <f>""</f>
        <v/>
      </c>
      <c r="G531" t="str">
        <f>"201801037705"</f>
        <v>201801037705</v>
      </c>
      <c r="H531" t="str">
        <f>"VEHICLE REGISTRATIONS/PCT#1"</f>
        <v>VEHICLE REGISTRATIONS/PCT#1</v>
      </c>
      <c r="I531" s="2">
        <v>37.5</v>
      </c>
      <c r="J531" t="str">
        <f>"VEHICLE REGISTRATIONS/PCT#1"</f>
        <v>VEHICLE REGISTRATIONS/PCT#1</v>
      </c>
    </row>
    <row r="532" spans="1:10" x14ac:dyDescent="0.3">
      <c r="A532" t="str">
        <f>"01"</f>
        <v>01</v>
      </c>
      <c r="B532" t="str">
        <f>"T11113"</f>
        <v>T11113</v>
      </c>
      <c r="C532" t="s">
        <v>181</v>
      </c>
      <c r="D532">
        <v>999999</v>
      </c>
      <c r="E532" s="2">
        <v>349.25</v>
      </c>
      <c r="F532" s="1">
        <v>43123</v>
      </c>
      <c r="G532" t="str">
        <f>"201801118120"</f>
        <v>201801118120</v>
      </c>
      <c r="H532" t="str">
        <f>"VEHICLE REGISTRATIONS/PCT#2"</f>
        <v>VEHICLE REGISTRATIONS/PCT#2</v>
      </c>
      <c r="I532" s="2">
        <v>67</v>
      </c>
      <c r="J532" t="str">
        <f>"VEHICLE REGISTRATIONS/PCT#2"</f>
        <v>VEHICLE REGISTRATIONS/PCT#2</v>
      </c>
    </row>
    <row r="533" spans="1:10" x14ac:dyDescent="0.3">
      <c r="A533" t="str">
        <f>""</f>
        <v/>
      </c>
      <c r="B533" t="str">
        <f>""</f>
        <v/>
      </c>
      <c r="G533" t="str">
        <f>"201801118140"</f>
        <v>201801118140</v>
      </c>
      <c r="H533" t="str">
        <f>"VEHICLE REGISTRATIONS/PCT#3"</f>
        <v>VEHICLE REGISTRATIONS/PCT#3</v>
      </c>
      <c r="I533" s="2">
        <v>147</v>
      </c>
      <c r="J533" t="str">
        <f>"VEHICLE REGISTRATIONS/PCT#3"</f>
        <v>VEHICLE REGISTRATIONS/PCT#3</v>
      </c>
    </row>
    <row r="534" spans="1:10" x14ac:dyDescent="0.3">
      <c r="A534" t="str">
        <f>""</f>
        <v/>
      </c>
      <c r="B534" t="str">
        <f>""</f>
        <v/>
      </c>
      <c r="G534" t="str">
        <f>"201801118141"</f>
        <v>201801118141</v>
      </c>
      <c r="H534" t="str">
        <f>"VEHICLE REGISTRATIONS/PCT#2"</f>
        <v>VEHICLE REGISTRATIONS/PCT#2</v>
      </c>
      <c r="I534" s="2">
        <v>29.5</v>
      </c>
      <c r="J534" t="str">
        <f>"VEHICLE REGISTRATIONS/PCT#2"</f>
        <v>VEHICLE REGISTRATIONS/PCT#2</v>
      </c>
    </row>
    <row r="535" spans="1:10" x14ac:dyDescent="0.3">
      <c r="A535" t="str">
        <f>""</f>
        <v/>
      </c>
      <c r="B535" t="str">
        <f>""</f>
        <v/>
      </c>
      <c r="G535" t="str">
        <f>"201801118142"</f>
        <v>201801118142</v>
      </c>
      <c r="H535" t="str">
        <f>"VEHICLE REGISTRATIONS/ GEN SVC"</f>
        <v>VEHICLE REGISTRATIONS/ GEN SVC</v>
      </c>
      <c r="I535" s="2">
        <v>15</v>
      </c>
      <c r="J535" t="str">
        <f>"VEHICLE REGISTRATIONS/ GEN SVC"</f>
        <v>VEHICLE REGISTRATIONS/ GEN SVC</v>
      </c>
    </row>
    <row r="536" spans="1:10" x14ac:dyDescent="0.3">
      <c r="A536" t="str">
        <f>""</f>
        <v/>
      </c>
      <c r="B536" t="str">
        <f>""</f>
        <v/>
      </c>
      <c r="G536" t="str">
        <f>"201801118143"</f>
        <v>201801118143</v>
      </c>
      <c r="H536" t="str">
        <f>"VEHICLE REGISTRATION/EXTENSION"</f>
        <v>VEHICLE REGISTRATION/EXTENSION</v>
      </c>
      <c r="I536" s="2">
        <v>16.75</v>
      </c>
      <c r="J536" t="str">
        <f>"VEHICLE REGISTRATION/EXTENSION"</f>
        <v>VEHICLE REGISTRATION/EXTENSION</v>
      </c>
    </row>
    <row r="537" spans="1:10" x14ac:dyDescent="0.3">
      <c r="A537" t="str">
        <f>""</f>
        <v/>
      </c>
      <c r="B537" t="str">
        <f>""</f>
        <v/>
      </c>
      <c r="G537" t="str">
        <f>"201801118152"</f>
        <v>201801118152</v>
      </c>
      <c r="H537" t="str">
        <f>"VEHICLE REGISTRATIONS/GEN SVCS"</f>
        <v>VEHICLE REGISTRATIONS/GEN SVCS</v>
      </c>
      <c r="I537" s="2">
        <v>7.5</v>
      </c>
      <c r="J537" t="str">
        <f>"VEHICLE REGISTRATIONS/GEN SVCS"</f>
        <v>VEHICLE REGISTRATIONS/GEN SVCS</v>
      </c>
    </row>
    <row r="538" spans="1:10" x14ac:dyDescent="0.3">
      <c r="A538" t="str">
        <f>""</f>
        <v/>
      </c>
      <c r="B538" t="str">
        <f>""</f>
        <v/>
      </c>
      <c r="G538" t="str">
        <f>"201801118153"</f>
        <v>201801118153</v>
      </c>
      <c r="H538" t="str">
        <f>"VEHICLE REGISTRATIONS/PCT#2"</f>
        <v>VEHICLE REGISTRATIONS/PCT#2</v>
      </c>
      <c r="I538" s="2">
        <v>44</v>
      </c>
      <c r="J538" t="str">
        <f>"VEHICLE REGISTRATIONS/PCT#2"</f>
        <v>VEHICLE REGISTRATIONS/PCT#2</v>
      </c>
    </row>
    <row r="539" spans="1:10" x14ac:dyDescent="0.3">
      <c r="A539" t="str">
        <f>""</f>
        <v/>
      </c>
      <c r="B539" t="str">
        <f>""</f>
        <v/>
      </c>
      <c r="G539" t="str">
        <f>"201801188188"</f>
        <v>201801188188</v>
      </c>
      <c r="H539" t="str">
        <f>"VEHICLE REGISTRATIONS/SHERIFF"</f>
        <v>VEHICLE REGISTRATIONS/SHERIFF</v>
      </c>
      <c r="I539" s="2">
        <v>22.5</v>
      </c>
      <c r="J539" t="str">
        <f>"VEHICLE REGISTRATIONS"</f>
        <v>VEHICLE REGISTRATIONS</v>
      </c>
    </row>
    <row r="540" spans="1:10" x14ac:dyDescent="0.3">
      <c r="A540" t="str">
        <f t="shared" ref="A540:A545" si="10">"01"</f>
        <v>01</v>
      </c>
      <c r="B540" t="str">
        <f>"005366"</f>
        <v>005366</v>
      </c>
      <c r="C540" t="s">
        <v>182</v>
      </c>
      <c r="D540">
        <v>74671</v>
      </c>
      <c r="E540" s="2">
        <v>10</v>
      </c>
      <c r="F540" s="1">
        <v>43108</v>
      </c>
      <c r="G540" t="str">
        <f>"201801027624"</f>
        <v>201801027624</v>
      </c>
      <c r="H540" t="str">
        <f>"FERAL HOGS"</f>
        <v>FERAL HOGS</v>
      </c>
      <c r="I540" s="2">
        <v>10</v>
      </c>
      <c r="J540" t="str">
        <f>"FERAL HOGS"</f>
        <v>FERAL HOGS</v>
      </c>
    </row>
    <row r="541" spans="1:10" x14ac:dyDescent="0.3">
      <c r="A541" t="str">
        <f t="shared" si="10"/>
        <v>01</v>
      </c>
      <c r="B541" t="str">
        <f>"005388"</f>
        <v>005388</v>
      </c>
      <c r="C541" t="s">
        <v>183</v>
      </c>
      <c r="D541">
        <v>74899</v>
      </c>
      <c r="E541" s="2">
        <v>25</v>
      </c>
      <c r="F541" s="1">
        <v>43122</v>
      </c>
      <c r="G541" t="str">
        <f>"201801128162"</f>
        <v>201801128162</v>
      </c>
      <c r="H541" t="str">
        <f>"REFUND FOR DRIVEWAY PERMIT"</f>
        <v>REFUND FOR DRIVEWAY PERMIT</v>
      </c>
      <c r="I541" s="2">
        <v>25</v>
      </c>
      <c r="J541" t="str">
        <f>"REFUND FOR DRIVEWAY PERMIT"</f>
        <v>REFUND FOR DRIVEWAY PERMIT</v>
      </c>
    </row>
    <row r="542" spans="1:10" x14ac:dyDescent="0.3">
      <c r="A542" t="str">
        <f t="shared" si="10"/>
        <v>01</v>
      </c>
      <c r="B542" t="str">
        <f>"004557"</f>
        <v>004557</v>
      </c>
      <c r="C542" t="s">
        <v>184</v>
      </c>
      <c r="D542">
        <v>999999</v>
      </c>
      <c r="E542" s="2">
        <v>1200.04</v>
      </c>
      <c r="F542" s="1">
        <v>43109</v>
      </c>
      <c r="G542" t="str">
        <f>"LS-BCSO-6554"</f>
        <v>LS-BCSO-6554</v>
      </c>
      <c r="H542" t="str">
        <f>"INV LS-BCSO-6554"</f>
        <v>INV LS-BCSO-6554</v>
      </c>
      <c r="I542" s="2">
        <v>1200.04</v>
      </c>
      <c r="J542" t="str">
        <f>"INV LS-BCSO-6554"</f>
        <v>INV LS-BCSO-6554</v>
      </c>
    </row>
    <row r="543" spans="1:10" x14ac:dyDescent="0.3">
      <c r="A543" t="str">
        <f t="shared" si="10"/>
        <v>01</v>
      </c>
      <c r="B543" t="str">
        <f>"004109"</f>
        <v>004109</v>
      </c>
      <c r="C543" t="s">
        <v>185</v>
      </c>
      <c r="D543">
        <v>74900</v>
      </c>
      <c r="E543" s="2">
        <v>96.64</v>
      </c>
      <c r="F543" s="1">
        <v>43122</v>
      </c>
      <c r="G543" t="str">
        <f>"4271*104*1"</f>
        <v>4271*104*1</v>
      </c>
      <c r="H543" t="str">
        <f>"JAIL MEDICAL"</f>
        <v>JAIL MEDICAL</v>
      </c>
      <c r="I543" s="2">
        <v>96.64</v>
      </c>
      <c r="J543" t="str">
        <f>"JAIL MEDICAL"</f>
        <v>JAIL MEDICAL</v>
      </c>
    </row>
    <row r="544" spans="1:10" x14ac:dyDescent="0.3">
      <c r="A544" t="str">
        <f t="shared" si="10"/>
        <v>01</v>
      </c>
      <c r="B544" t="str">
        <f>"LIE"</f>
        <v>LIE</v>
      </c>
      <c r="C544" t="s">
        <v>186</v>
      </c>
      <c r="D544">
        <v>74672</v>
      </c>
      <c r="E544" s="2">
        <v>838.07</v>
      </c>
      <c r="F544" s="1">
        <v>43108</v>
      </c>
      <c r="G544" t="str">
        <f>"1030976"</f>
        <v>1030976</v>
      </c>
      <c r="H544" t="str">
        <f>"ACCT#4358/PARTS/PCT#1"</f>
        <v>ACCT#4358/PARTS/PCT#1</v>
      </c>
      <c r="I544" s="2">
        <v>838.07</v>
      </c>
      <c r="J544" t="str">
        <f>"ACCT#4358/PARTS/PCT#1"</f>
        <v>ACCT#4358/PARTS/PCT#1</v>
      </c>
    </row>
    <row r="545" spans="1:10" x14ac:dyDescent="0.3">
      <c r="A545" t="str">
        <f t="shared" si="10"/>
        <v>01</v>
      </c>
      <c r="B545" t="str">
        <f>"LIE"</f>
        <v>LIE</v>
      </c>
      <c r="C545" t="s">
        <v>186</v>
      </c>
      <c r="D545">
        <v>74901</v>
      </c>
      <c r="E545" s="2">
        <v>581.51</v>
      </c>
      <c r="F545" s="1">
        <v>43122</v>
      </c>
      <c r="G545" t="str">
        <f>"1031633"</f>
        <v>1031633</v>
      </c>
      <c r="H545" t="str">
        <f>"ACCT#4358/PCT#1"</f>
        <v>ACCT#4358/PCT#1</v>
      </c>
      <c r="I545" s="2">
        <v>134.82</v>
      </c>
      <c r="J545" t="str">
        <f>"ACCT#4358/PCT#1"</f>
        <v>ACCT#4358/PCT#1</v>
      </c>
    </row>
    <row r="546" spans="1:10" x14ac:dyDescent="0.3">
      <c r="A546" t="str">
        <f>""</f>
        <v/>
      </c>
      <c r="B546" t="str">
        <f>""</f>
        <v/>
      </c>
      <c r="G546" t="str">
        <f>"315801"</f>
        <v>315801</v>
      </c>
      <c r="H546" t="str">
        <f>"CUST#4358/2016 INTL/PCT#1"</f>
        <v>CUST#4358/2016 INTL/PCT#1</v>
      </c>
      <c r="I546" s="2">
        <v>446.69</v>
      </c>
      <c r="J546" t="str">
        <f>"CUST#4358/2016 INTL/PCT#1"</f>
        <v>CUST#4358/2016 INTL/PCT#1</v>
      </c>
    </row>
    <row r="547" spans="1:10" x14ac:dyDescent="0.3">
      <c r="A547" t="str">
        <f>"01"</f>
        <v>01</v>
      </c>
      <c r="B547" t="str">
        <f>"T13085"</f>
        <v>T13085</v>
      </c>
      <c r="C547" t="s">
        <v>187</v>
      </c>
      <c r="D547">
        <v>999999</v>
      </c>
      <c r="E547" s="2">
        <v>314.88</v>
      </c>
      <c r="F547" s="1">
        <v>43123</v>
      </c>
      <c r="G547" t="str">
        <f>"10-000112"</f>
        <v>10-000112</v>
      </c>
      <c r="H547" t="str">
        <f>"INV 10-000112"</f>
        <v>INV 10-000112</v>
      </c>
      <c r="I547" s="2">
        <v>314.88</v>
      </c>
      <c r="J547" t="str">
        <f>"INV 10-000112"</f>
        <v>INV 10-000112</v>
      </c>
    </row>
    <row r="548" spans="1:10" x14ac:dyDescent="0.3">
      <c r="A548" t="str">
        <f>"01"</f>
        <v>01</v>
      </c>
      <c r="B548" t="str">
        <f>"000888"</f>
        <v>000888</v>
      </c>
      <c r="C548" t="s">
        <v>188</v>
      </c>
      <c r="D548">
        <v>74902</v>
      </c>
      <c r="E548" s="2">
        <v>1043.05</v>
      </c>
      <c r="F548" s="1">
        <v>43122</v>
      </c>
      <c r="G548" t="str">
        <f>"ACCT#99006938692"</f>
        <v>ACCT#99006938692</v>
      </c>
      <c r="H548" t="str">
        <f>"Account# 99006938692"</f>
        <v>Account# 99006938692</v>
      </c>
      <c r="I548" s="2">
        <v>1043.05</v>
      </c>
      <c r="J548" t="str">
        <f>"INV# 910816"</f>
        <v>INV# 910816</v>
      </c>
    </row>
    <row r="549" spans="1:10" x14ac:dyDescent="0.3">
      <c r="A549" t="str">
        <f>""</f>
        <v/>
      </c>
      <c r="B549" t="str">
        <f>""</f>
        <v/>
      </c>
      <c r="G549" t="str">
        <f>""</f>
        <v/>
      </c>
      <c r="H549" t="str">
        <f>""</f>
        <v/>
      </c>
      <c r="J549" t="str">
        <f>"INV# 913872"</f>
        <v>INV# 913872</v>
      </c>
    </row>
    <row r="550" spans="1:10" x14ac:dyDescent="0.3">
      <c r="A550" t="str">
        <f>""</f>
        <v/>
      </c>
      <c r="B550" t="str">
        <f>""</f>
        <v/>
      </c>
      <c r="G550" t="str">
        <f>""</f>
        <v/>
      </c>
      <c r="H550" t="str">
        <f>""</f>
        <v/>
      </c>
      <c r="J550" t="str">
        <f>"INV# 912229"</f>
        <v>INV# 912229</v>
      </c>
    </row>
    <row r="551" spans="1:10" x14ac:dyDescent="0.3">
      <c r="A551" t="str">
        <f>""</f>
        <v/>
      </c>
      <c r="B551" t="str">
        <f>""</f>
        <v/>
      </c>
      <c r="G551" t="str">
        <f>""</f>
        <v/>
      </c>
      <c r="H551" t="str">
        <f>""</f>
        <v/>
      </c>
      <c r="J551" t="str">
        <f>"INV# 914639"</f>
        <v>INV# 914639</v>
      </c>
    </row>
    <row r="552" spans="1:10" x14ac:dyDescent="0.3">
      <c r="A552" t="str">
        <f>""</f>
        <v/>
      </c>
      <c r="B552" t="str">
        <f>""</f>
        <v/>
      </c>
      <c r="G552" t="str">
        <f>""</f>
        <v/>
      </c>
      <c r="H552" t="str">
        <f>""</f>
        <v/>
      </c>
      <c r="J552" t="str">
        <f>"INV# 917010"</f>
        <v>INV# 917010</v>
      </c>
    </row>
    <row r="553" spans="1:10" x14ac:dyDescent="0.3">
      <c r="A553" t="str">
        <f>""</f>
        <v/>
      </c>
      <c r="B553" t="str">
        <f>""</f>
        <v/>
      </c>
      <c r="G553" t="str">
        <f>""</f>
        <v/>
      </c>
      <c r="H553" t="str">
        <f>""</f>
        <v/>
      </c>
      <c r="J553" t="str">
        <f>"INV# 914308"</f>
        <v>INV# 914308</v>
      </c>
    </row>
    <row r="554" spans="1:10" x14ac:dyDescent="0.3">
      <c r="A554" t="str">
        <f>""</f>
        <v/>
      </c>
      <c r="B554" t="str">
        <f>""</f>
        <v/>
      </c>
      <c r="G554" t="str">
        <f>""</f>
        <v/>
      </c>
      <c r="H554" t="str">
        <f>""</f>
        <v/>
      </c>
      <c r="J554" t="str">
        <f>"INV# 914041"</f>
        <v>INV# 914041</v>
      </c>
    </row>
    <row r="555" spans="1:10" x14ac:dyDescent="0.3">
      <c r="A555" t="str">
        <f>""</f>
        <v/>
      </c>
      <c r="B555" t="str">
        <f>""</f>
        <v/>
      </c>
      <c r="G555" t="str">
        <f>""</f>
        <v/>
      </c>
      <c r="H555" t="str">
        <f>""</f>
        <v/>
      </c>
      <c r="J555" t="str">
        <f>"INV# 909252"</f>
        <v>INV# 909252</v>
      </c>
    </row>
    <row r="556" spans="1:10" x14ac:dyDescent="0.3">
      <c r="A556" t="str">
        <f>""</f>
        <v/>
      </c>
      <c r="B556" t="str">
        <f>""</f>
        <v/>
      </c>
      <c r="G556" t="str">
        <f>""</f>
        <v/>
      </c>
      <c r="H556" t="str">
        <f>""</f>
        <v/>
      </c>
      <c r="J556" t="str">
        <f>"INV# 917435"</f>
        <v>INV# 917435</v>
      </c>
    </row>
    <row r="557" spans="1:10" x14ac:dyDescent="0.3">
      <c r="A557" t="str">
        <f>""</f>
        <v/>
      </c>
      <c r="B557" t="str">
        <f>""</f>
        <v/>
      </c>
      <c r="G557" t="str">
        <f>""</f>
        <v/>
      </c>
      <c r="H557" t="str">
        <f>""</f>
        <v/>
      </c>
      <c r="J557" t="str">
        <f>"INV# 913671"</f>
        <v>INV# 913671</v>
      </c>
    </row>
    <row r="558" spans="1:10" x14ac:dyDescent="0.3">
      <c r="A558" t="str">
        <f>""</f>
        <v/>
      </c>
      <c r="B558" t="str">
        <f>""</f>
        <v/>
      </c>
      <c r="G558" t="str">
        <f>""</f>
        <v/>
      </c>
      <c r="H558" t="str">
        <f>""</f>
        <v/>
      </c>
      <c r="J558" t="str">
        <f>"INV# 915926"</f>
        <v>INV# 915926</v>
      </c>
    </row>
    <row r="559" spans="1:10" x14ac:dyDescent="0.3">
      <c r="A559" t="str">
        <f>""</f>
        <v/>
      </c>
      <c r="B559" t="str">
        <f>""</f>
        <v/>
      </c>
      <c r="G559" t="str">
        <f>""</f>
        <v/>
      </c>
      <c r="H559" t="str">
        <f>""</f>
        <v/>
      </c>
      <c r="J559" t="str">
        <f>"INV# 901517"</f>
        <v>INV# 901517</v>
      </c>
    </row>
    <row r="560" spans="1:10" x14ac:dyDescent="0.3">
      <c r="A560" t="str">
        <f>""</f>
        <v/>
      </c>
      <c r="B560" t="str">
        <f>""</f>
        <v/>
      </c>
      <c r="G560" t="str">
        <f>""</f>
        <v/>
      </c>
      <c r="H560" t="str">
        <f>""</f>
        <v/>
      </c>
      <c r="J560" t="str">
        <f>"INV# 901371"</f>
        <v>INV# 901371</v>
      </c>
    </row>
    <row r="561" spans="1:10" x14ac:dyDescent="0.3">
      <c r="A561" t="str">
        <f>""</f>
        <v/>
      </c>
      <c r="B561" t="str">
        <f>""</f>
        <v/>
      </c>
      <c r="G561" t="str">
        <f>""</f>
        <v/>
      </c>
      <c r="H561" t="str">
        <f>""</f>
        <v/>
      </c>
      <c r="J561" t="str">
        <f>"INV# 901744"</f>
        <v>INV# 901744</v>
      </c>
    </row>
    <row r="562" spans="1:10" x14ac:dyDescent="0.3">
      <c r="A562" t="str">
        <f>""</f>
        <v/>
      </c>
      <c r="B562" t="str">
        <f>""</f>
        <v/>
      </c>
      <c r="G562" t="str">
        <f>""</f>
        <v/>
      </c>
      <c r="H562" t="str">
        <f>""</f>
        <v/>
      </c>
      <c r="J562" t="str">
        <f>"Finance Charge"</f>
        <v>Finance Charge</v>
      </c>
    </row>
    <row r="563" spans="1:10" x14ac:dyDescent="0.3">
      <c r="A563" t="str">
        <f>""</f>
        <v/>
      </c>
      <c r="B563" t="str">
        <f>""</f>
        <v/>
      </c>
      <c r="G563" t="str">
        <f>""</f>
        <v/>
      </c>
      <c r="H563" t="str">
        <f>""</f>
        <v/>
      </c>
      <c r="J563" t="str">
        <f>"INV# 912332"</f>
        <v>INV# 912332</v>
      </c>
    </row>
    <row r="564" spans="1:10" x14ac:dyDescent="0.3">
      <c r="A564" t="str">
        <f>""</f>
        <v/>
      </c>
      <c r="B564" t="str">
        <f>""</f>
        <v/>
      </c>
      <c r="G564" t="str">
        <f>""</f>
        <v/>
      </c>
      <c r="H564" t="str">
        <f>""</f>
        <v/>
      </c>
      <c r="J564" t="str">
        <f>"INV# 902439"</f>
        <v>INV# 902439</v>
      </c>
    </row>
    <row r="565" spans="1:10" x14ac:dyDescent="0.3">
      <c r="A565" t="str">
        <f>"01"</f>
        <v>01</v>
      </c>
      <c r="B565" t="str">
        <f>"MARIA"</f>
        <v>MARIA</v>
      </c>
      <c r="C565" t="s">
        <v>189</v>
      </c>
      <c r="D565">
        <v>999999</v>
      </c>
      <c r="E565" s="2">
        <v>366.34</v>
      </c>
      <c r="F565" s="1">
        <v>43109</v>
      </c>
      <c r="G565" t="str">
        <f>"201801027645"</f>
        <v>201801027645</v>
      </c>
      <c r="H565" t="str">
        <f>"CRIMINAL DC 12/20/2017"</f>
        <v>CRIMINAL DC 12/20/2017</v>
      </c>
      <c r="I565" s="2">
        <v>183.17</v>
      </c>
      <c r="J565" t="str">
        <f>"CRIMINAL DC 12/20/2017"</f>
        <v>CRIMINAL DC 12/20/2017</v>
      </c>
    </row>
    <row r="566" spans="1:10" x14ac:dyDescent="0.3">
      <c r="A566" t="str">
        <f>""</f>
        <v/>
      </c>
      <c r="B566" t="str">
        <f>""</f>
        <v/>
      </c>
      <c r="G566" t="str">
        <f>"201801037727"</f>
        <v>201801037727</v>
      </c>
      <c r="H566" t="str">
        <f>"10-14232"</f>
        <v>10-14232</v>
      </c>
      <c r="I566" s="2">
        <v>183.17</v>
      </c>
      <c r="J566" t="str">
        <f>"10-14232"</f>
        <v>10-14232</v>
      </c>
    </row>
    <row r="567" spans="1:10" x14ac:dyDescent="0.3">
      <c r="A567" t="str">
        <f>"01"</f>
        <v>01</v>
      </c>
      <c r="B567" t="str">
        <f>"MARIA"</f>
        <v>MARIA</v>
      </c>
      <c r="C567" t="s">
        <v>189</v>
      </c>
      <c r="D567">
        <v>999999</v>
      </c>
      <c r="E567" s="2">
        <v>544.51</v>
      </c>
      <c r="F567" s="1">
        <v>43123</v>
      </c>
      <c r="G567" t="str">
        <f>"201801118137"</f>
        <v>201801118137</v>
      </c>
      <c r="H567" t="str">
        <f>"423-5249"</f>
        <v>423-5249</v>
      </c>
      <c r="I567" s="2">
        <v>228.17</v>
      </c>
      <c r="J567" t="str">
        <f>"423-5249"</f>
        <v>423-5249</v>
      </c>
    </row>
    <row r="568" spans="1:10" x14ac:dyDescent="0.3">
      <c r="A568" t="str">
        <f>""</f>
        <v/>
      </c>
      <c r="B568" t="str">
        <f>""</f>
        <v/>
      </c>
      <c r="G568" t="str">
        <f>"201801118138"</f>
        <v>201801118138</v>
      </c>
      <c r="H568" t="str">
        <f>"COMMISSIONERS CT"</f>
        <v>COMMISSIONERS CT</v>
      </c>
      <c r="I568" s="2">
        <v>133.16999999999999</v>
      </c>
      <c r="J568" t="str">
        <f>"COMMISSIONERS CT"</f>
        <v>COMMISSIONERS CT</v>
      </c>
    </row>
    <row r="569" spans="1:10" x14ac:dyDescent="0.3">
      <c r="A569" t="str">
        <f>""</f>
        <v/>
      </c>
      <c r="B569" t="str">
        <f>""</f>
        <v/>
      </c>
      <c r="G569" t="str">
        <f>"201801188180"</f>
        <v>201801188180</v>
      </c>
      <c r="H569" t="str">
        <f>"CRIMINAL DC 01/17/18"</f>
        <v>CRIMINAL DC 01/17/18</v>
      </c>
      <c r="I569" s="2">
        <v>183.17</v>
      </c>
      <c r="J569" t="str">
        <f>"CRIMINAL DC 01/17/18"</f>
        <v>CRIMINAL DC 01/17/18</v>
      </c>
    </row>
    <row r="570" spans="1:10" x14ac:dyDescent="0.3">
      <c r="A570" t="str">
        <f>"01"</f>
        <v>01</v>
      </c>
      <c r="B570" t="str">
        <f>"002282"</f>
        <v>002282</v>
      </c>
      <c r="C570" t="s">
        <v>190</v>
      </c>
      <c r="D570">
        <v>74673</v>
      </c>
      <c r="E570" s="2">
        <v>3150</v>
      </c>
      <c r="F570" s="1">
        <v>43108</v>
      </c>
      <c r="G570" t="str">
        <f>"201801027692"</f>
        <v>201801027692</v>
      </c>
      <c r="H570" t="str">
        <f>"VETERINARY SVCS/DEC2017"</f>
        <v>VETERINARY SVCS/DEC2017</v>
      </c>
      <c r="I570" s="2">
        <v>3150</v>
      </c>
      <c r="J570" t="str">
        <f>"VETERINARY SVCS/DEC2017"</f>
        <v>VETERINARY SVCS/DEC2017</v>
      </c>
    </row>
    <row r="571" spans="1:10" x14ac:dyDescent="0.3">
      <c r="A571" t="str">
        <f>"01"</f>
        <v>01</v>
      </c>
      <c r="B571" t="str">
        <f>"002282"</f>
        <v>002282</v>
      </c>
      <c r="C571" t="s">
        <v>190</v>
      </c>
      <c r="D571">
        <v>74903</v>
      </c>
      <c r="E571" s="2">
        <v>3150</v>
      </c>
      <c r="F571" s="1">
        <v>43122</v>
      </c>
      <c r="G571" t="str">
        <f>"201801128163"</f>
        <v>201801128163</v>
      </c>
      <c r="H571" t="str">
        <f>"VETERINARY SERVICES-DEC 2017"</f>
        <v>VETERINARY SERVICES-DEC 2017</v>
      </c>
      <c r="I571" s="2">
        <v>3150</v>
      </c>
      <c r="J571" t="str">
        <f>"VETERINARY SERVICES-DEC 2017"</f>
        <v>VETERINARY SERVICES-DEC 2017</v>
      </c>
    </row>
    <row r="572" spans="1:10" x14ac:dyDescent="0.3">
      <c r="A572" t="str">
        <f>"01"</f>
        <v>01</v>
      </c>
      <c r="B572" t="str">
        <f>"004385"</f>
        <v>004385</v>
      </c>
      <c r="C572" t="s">
        <v>191</v>
      </c>
      <c r="D572">
        <v>74674</v>
      </c>
      <c r="E572" s="2">
        <v>20</v>
      </c>
      <c r="F572" s="1">
        <v>43108</v>
      </c>
      <c r="G572" t="str">
        <f>"201801027625"</f>
        <v>201801027625</v>
      </c>
      <c r="H572" t="str">
        <f>"FERAL HOGS"</f>
        <v>FERAL HOGS</v>
      </c>
      <c r="I572" s="2">
        <v>20</v>
      </c>
      <c r="J572" t="str">
        <f>"FERAL HOGS"</f>
        <v>FERAL HOGS</v>
      </c>
    </row>
    <row r="573" spans="1:10" x14ac:dyDescent="0.3">
      <c r="A573" t="str">
        <f>"01"</f>
        <v>01</v>
      </c>
      <c r="B573" t="str">
        <f>"TRIGA"</f>
        <v>TRIGA</v>
      </c>
      <c r="C573" t="s">
        <v>192</v>
      </c>
      <c r="D573">
        <v>74904</v>
      </c>
      <c r="E573" s="2">
        <v>201.08</v>
      </c>
      <c r="F573" s="1">
        <v>43122</v>
      </c>
      <c r="G573" t="str">
        <f>"16762093"</f>
        <v>16762093</v>
      </c>
      <c r="H573" t="str">
        <f>"ACCT#45057/PCT#4"</f>
        <v>ACCT#45057/PCT#4</v>
      </c>
      <c r="I573" s="2">
        <v>39.729999999999997</v>
      </c>
      <c r="J573" t="str">
        <f>"ACCT#45057/PCT#4"</f>
        <v>ACCT#45057/PCT#4</v>
      </c>
    </row>
    <row r="574" spans="1:10" x14ac:dyDescent="0.3">
      <c r="A574" t="str">
        <f>""</f>
        <v/>
      </c>
      <c r="B574" t="str">
        <f>""</f>
        <v/>
      </c>
      <c r="G574" t="str">
        <f>"16762160"</f>
        <v>16762160</v>
      </c>
      <c r="H574" t="str">
        <f>"INV 16762160"</f>
        <v>INV 16762160</v>
      </c>
      <c r="I574" s="2">
        <v>49.12</v>
      </c>
      <c r="J574" t="str">
        <f>"INV 16762160"</f>
        <v>INV 16762160</v>
      </c>
    </row>
    <row r="575" spans="1:10" x14ac:dyDescent="0.3">
      <c r="A575" t="str">
        <f>""</f>
        <v/>
      </c>
      <c r="B575" t="str">
        <f>""</f>
        <v/>
      </c>
      <c r="G575" t="str">
        <f>"201801118116"</f>
        <v>201801118116</v>
      </c>
      <c r="H575" t="str">
        <f>"CUST#41472/PCT#1"</f>
        <v>CUST#41472/PCT#1</v>
      </c>
      <c r="I575" s="2">
        <v>22.23</v>
      </c>
      <c r="J575" t="str">
        <f>"CUST#41472/PCT#1"</f>
        <v>CUST#41472/PCT#1</v>
      </c>
    </row>
    <row r="576" spans="1:10" x14ac:dyDescent="0.3">
      <c r="A576" t="str">
        <f>""</f>
        <v/>
      </c>
      <c r="B576" t="str">
        <f>""</f>
        <v/>
      </c>
      <c r="G576" t="str">
        <f>"201801118117"</f>
        <v>201801118117</v>
      </c>
      <c r="H576" t="str">
        <f>"CUST#S9547/PCT#1"</f>
        <v>CUST#S9547/PCT#1</v>
      </c>
      <c r="I576" s="2">
        <v>90</v>
      </c>
      <c r="J576" t="str">
        <f>"CUST#S9547/PCT#1"</f>
        <v>CUST#S9547/PCT#1</v>
      </c>
    </row>
    <row r="577" spans="1:10" x14ac:dyDescent="0.3">
      <c r="A577" t="str">
        <f>"01"</f>
        <v>01</v>
      </c>
      <c r="B577" t="str">
        <f>"002647"</f>
        <v>002647</v>
      </c>
      <c r="C577" t="s">
        <v>193</v>
      </c>
      <c r="D577">
        <v>74675</v>
      </c>
      <c r="E577" s="2">
        <v>307.8</v>
      </c>
      <c r="F577" s="1">
        <v>43108</v>
      </c>
      <c r="G577" t="str">
        <f>"B32987"</f>
        <v>B32987</v>
      </c>
      <c r="H577" t="str">
        <f>"RENTAL/PCT#1"</f>
        <v>RENTAL/PCT#1</v>
      </c>
      <c r="I577" s="2">
        <v>307.8</v>
      </c>
      <c r="J577" t="str">
        <f>"RENTAL/PCT#1"</f>
        <v>RENTAL/PCT#1</v>
      </c>
    </row>
    <row r="578" spans="1:10" x14ac:dyDescent="0.3">
      <c r="A578" t="str">
        <f>"01"</f>
        <v>01</v>
      </c>
      <c r="B578" t="str">
        <f>"005367"</f>
        <v>005367</v>
      </c>
      <c r="C578" t="s">
        <v>194</v>
      </c>
      <c r="D578">
        <v>74676</v>
      </c>
      <c r="E578" s="2">
        <v>10</v>
      </c>
      <c r="F578" s="1">
        <v>43108</v>
      </c>
      <c r="G578" t="str">
        <f>"201801027626"</f>
        <v>201801027626</v>
      </c>
      <c r="H578" t="str">
        <f>"FERAL HOGS"</f>
        <v>FERAL HOGS</v>
      </c>
      <c r="I578" s="2">
        <v>10</v>
      </c>
      <c r="J578" t="str">
        <f>"FERAL HOGS"</f>
        <v>FERAL HOGS</v>
      </c>
    </row>
    <row r="579" spans="1:10" x14ac:dyDescent="0.3">
      <c r="A579" t="str">
        <f>"01"</f>
        <v>01</v>
      </c>
      <c r="B579" t="str">
        <f>"T14501"</f>
        <v>T14501</v>
      </c>
      <c r="C579" t="s">
        <v>195</v>
      </c>
      <c r="D579">
        <v>74677</v>
      </c>
      <c r="E579" s="2">
        <v>1680</v>
      </c>
      <c r="F579" s="1">
        <v>43108</v>
      </c>
      <c r="G579" t="str">
        <f>"201801027641"</f>
        <v>201801027641</v>
      </c>
      <c r="H579" t="str">
        <f>"CAUSE#16-123"</f>
        <v>CAUSE#16-123</v>
      </c>
      <c r="I579" s="2">
        <v>1680</v>
      </c>
      <c r="J579" t="str">
        <f>"CAUSE#16-123"</f>
        <v>CAUSE#16-123</v>
      </c>
    </row>
    <row r="580" spans="1:10" x14ac:dyDescent="0.3">
      <c r="A580" t="str">
        <f>"01"</f>
        <v>01</v>
      </c>
      <c r="B580" t="str">
        <f>"MC COY"</f>
        <v>MC COY</v>
      </c>
      <c r="C580" t="s">
        <v>196</v>
      </c>
      <c r="D580">
        <v>999999</v>
      </c>
      <c r="E580" s="2">
        <v>205.97</v>
      </c>
      <c r="F580" s="1">
        <v>43123</v>
      </c>
      <c r="G580" t="str">
        <f>"648980"</f>
        <v>648980</v>
      </c>
      <c r="H580" t="str">
        <f>"ACCT#0900-98011130-001/MASONRY"</f>
        <v>ACCT#0900-98011130-001/MASONRY</v>
      </c>
      <c r="I580" s="2">
        <v>145.97</v>
      </c>
      <c r="J580" t="str">
        <f>"ACCT#0900-98011130-001/MASONRY"</f>
        <v>ACCT#0900-98011130-001/MASONRY</v>
      </c>
    </row>
    <row r="581" spans="1:10" x14ac:dyDescent="0.3">
      <c r="A581" t="str">
        <f>""</f>
        <v/>
      </c>
      <c r="B581" t="str">
        <f>""</f>
        <v/>
      </c>
      <c r="G581" t="str">
        <f>"648985"</f>
        <v>648985</v>
      </c>
      <c r="H581" t="str">
        <f>"ACCT#0900-98011130-001 PALLET"</f>
        <v>ACCT#0900-98011130-001 PALLET</v>
      </c>
      <c r="I581" s="2">
        <v>60</v>
      </c>
      <c r="J581" t="str">
        <f>"ACCT#0900-98011130-001 PALLET"</f>
        <v>ACCT#0900-98011130-001 PALLET</v>
      </c>
    </row>
    <row r="582" spans="1:10" x14ac:dyDescent="0.3">
      <c r="A582" t="str">
        <f>"01"</f>
        <v>01</v>
      </c>
      <c r="B582" t="str">
        <f>"MC CRE"</f>
        <v>MC CRE</v>
      </c>
      <c r="C582" t="s">
        <v>197</v>
      </c>
      <c r="D582">
        <v>74905</v>
      </c>
      <c r="E582" s="2">
        <v>11042.52</v>
      </c>
      <c r="F582" s="1">
        <v>43122</v>
      </c>
      <c r="G582" t="str">
        <f>"12577"</f>
        <v>12577</v>
      </c>
      <c r="H582" t="str">
        <f>"ABST FEE 11/14/17"</f>
        <v>ABST FEE 11/14/17</v>
      </c>
      <c r="I582" s="2">
        <v>175</v>
      </c>
      <c r="J582" t="str">
        <f>"ABST FEE 11/14/17"</f>
        <v>ABST FEE 11/14/17</v>
      </c>
    </row>
    <row r="583" spans="1:10" x14ac:dyDescent="0.3">
      <c r="A583" t="str">
        <f>""</f>
        <v/>
      </c>
      <c r="B583" t="str">
        <f>""</f>
        <v/>
      </c>
      <c r="G583" t="str">
        <f>"12638"</f>
        <v>12638</v>
      </c>
      <c r="H583" t="str">
        <f>"ABST FEE 11/20/17"</f>
        <v>ABST FEE 11/20/17</v>
      </c>
      <c r="I583" s="2">
        <v>225</v>
      </c>
      <c r="J583" t="str">
        <f>"ABST FEE 11/20/17"</f>
        <v>ABST FEE 11/20/17</v>
      </c>
    </row>
    <row r="584" spans="1:10" x14ac:dyDescent="0.3">
      <c r="A584" t="str">
        <f>""</f>
        <v/>
      </c>
      <c r="B584" t="str">
        <f>""</f>
        <v/>
      </c>
      <c r="G584" t="str">
        <f>"12670"</f>
        <v>12670</v>
      </c>
      <c r="H584" t="str">
        <f>"ABST FEE 11/14/17"</f>
        <v>ABST FEE 11/14/17</v>
      </c>
      <c r="I584" s="2">
        <v>225</v>
      </c>
      <c r="J584" t="str">
        <f>"ABST FEE 11/14/17"</f>
        <v>ABST FEE 11/14/17</v>
      </c>
    </row>
    <row r="585" spans="1:10" x14ac:dyDescent="0.3">
      <c r="A585" t="str">
        <f>""</f>
        <v/>
      </c>
      <c r="B585" t="str">
        <f>""</f>
        <v/>
      </c>
      <c r="G585" t="str">
        <f>"201801098084"</f>
        <v>201801098084</v>
      </c>
      <c r="H585" t="str">
        <f>"COLLECTION OF DELIQUENT TAXES"</f>
        <v>COLLECTION OF DELIQUENT TAXES</v>
      </c>
      <c r="I585" s="2">
        <v>10417.52</v>
      </c>
      <c r="J585" t="str">
        <f>"COLLECTION OF DELIQUENT TAXES"</f>
        <v>COLLECTION OF DELIQUENT TAXES</v>
      </c>
    </row>
    <row r="586" spans="1:10" x14ac:dyDescent="0.3">
      <c r="A586" t="str">
        <f>"01"</f>
        <v>01</v>
      </c>
      <c r="B586" t="str">
        <f>"002344"</f>
        <v>002344</v>
      </c>
      <c r="C586" t="s">
        <v>198</v>
      </c>
      <c r="D586">
        <v>74906</v>
      </c>
      <c r="E586" s="2">
        <v>300</v>
      </c>
      <c r="F586" s="1">
        <v>43122</v>
      </c>
      <c r="G586" t="str">
        <f>"11526"</f>
        <v>11526</v>
      </c>
      <c r="H586" t="str">
        <f>"Mentalix Juvenile Probati"</f>
        <v>Mentalix Juvenile Probati</v>
      </c>
      <c r="I586" s="2">
        <v>300</v>
      </c>
      <c r="J586" t="str">
        <f>"Pro. ID: M-FSMUGSHOT"</f>
        <v>Pro. ID: M-FSMUGSHOT</v>
      </c>
    </row>
    <row r="587" spans="1:10" x14ac:dyDescent="0.3">
      <c r="A587" t="str">
        <f>"01"</f>
        <v>01</v>
      </c>
      <c r="B587" t="str">
        <f>"004505"</f>
        <v>004505</v>
      </c>
      <c r="C587" t="s">
        <v>199</v>
      </c>
      <c r="D587">
        <v>74985</v>
      </c>
      <c r="E587" s="2">
        <v>206.75</v>
      </c>
      <c r="F587" s="1">
        <v>43130</v>
      </c>
      <c r="G587" t="str">
        <f>"201801308328"</f>
        <v>201801308328</v>
      </c>
      <c r="H587" t="str">
        <f>"REIMBURSEMENT - WORK BOOTS"</f>
        <v>REIMBURSEMENT - WORK BOOTS</v>
      </c>
      <c r="I587" s="2">
        <v>206.75</v>
      </c>
      <c r="J587" t="str">
        <f>"REIMBURSEMENT - WORK BOOTS"</f>
        <v>REIMBURSEMENT - WORK BOOTS</v>
      </c>
    </row>
    <row r="588" spans="1:10" x14ac:dyDescent="0.3">
      <c r="A588" t="str">
        <f>"01"</f>
        <v>01</v>
      </c>
      <c r="B588" t="str">
        <f>"002312"</f>
        <v>002312</v>
      </c>
      <c r="C588" t="s">
        <v>200</v>
      </c>
      <c r="D588">
        <v>74678</v>
      </c>
      <c r="E588" s="2">
        <v>33018.660000000003</v>
      </c>
      <c r="F588" s="1">
        <v>43108</v>
      </c>
      <c r="G588" t="str">
        <f>"15974"</f>
        <v>15974</v>
      </c>
      <c r="H588" t="str">
        <f>"FREIGHT SALES/PCT#2"</f>
        <v>FREIGHT SALES/PCT#2</v>
      </c>
      <c r="I588" s="2">
        <v>9697.65</v>
      </c>
      <c r="J588" t="str">
        <f t="shared" ref="J588:J594" si="11">"FREIGHT SALES/PCT#2"</f>
        <v>FREIGHT SALES/PCT#2</v>
      </c>
    </row>
    <row r="589" spans="1:10" x14ac:dyDescent="0.3">
      <c r="A589" t="str">
        <f>""</f>
        <v/>
      </c>
      <c r="B589" t="str">
        <f>""</f>
        <v/>
      </c>
      <c r="G589" t="str">
        <f>"15993"</f>
        <v>15993</v>
      </c>
      <c r="H589" t="str">
        <f>"FREIGHT SALES/PCT#2"</f>
        <v>FREIGHT SALES/PCT#2</v>
      </c>
      <c r="I589" s="2">
        <v>9162.7999999999993</v>
      </c>
      <c r="J589" t="str">
        <f t="shared" si="11"/>
        <v>FREIGHT SALES/PCT#2</v>
      </c>
    </row>
    <row r="590" spans="1:10" x14ac:dyDescent="0.3">
      <c r="A590" t="str">
        <f>""</f>
        <v/>
      </c>
      <c r="B590" t="str">
        <f>""</f>
        <v/>
      </c>
      <c r="G590" t="str">
        <f>"15994"</f>
        <v>15994</v>
      </c>
      <c r="H590" t="str">
        <f>"FREIGHT SALES/PCT#2"</f>
        <v>FREIGHT SALES/PCT#2</v>
      </c>
      <c r="I590" s="2">
        <v>5136.88</v>
      </c>
      <c r="J590" t="str">
        <f t="shared" si="11"/>
        <v>FREIGHT SALES/PCT#2</v>
      </c>
    </row>
    <row r="591" spans="1:10" x14ac:dyDescent="0.3">
      <c r="A591" t="str">
        <f>""</f>
        <v/>
      </c>
      <c r="B591" t="str">
        <f>""</f>
        <v/>
      </c>
      <c r="G591" t="str">
        <f>"15995"</f>
        <v>15995</v>
      </c>
      <c r="H591" t="str">
        <f>"FREIGHT SALES/PCT#2"</f>
        <v>FREIGHT SALES/PCT#2</v>
      </c>
      <c r="I591" s="2">
        <v>4235.12</v>
      </c>
      <c r="J591" t="str">
        <f t="shared" si="11"/>
        <v>FREIGHT SALES/PCT#2</v>
      </c>
    </row>
    <row r="592" spans="1:10" x14ac:dyDescent="0.3">
      <c r="A592" t="str">
        <f>""</f>
        <v/>
      </c>
      <c r="B592" t="str">
        <f>""</f>
        <v/>
      </c>
      <c r="G592" t="str">
        <f>"16032"</f>
        <v>16032</v>
      </c>
      <c r="H592" t="str">
        <f>"FREIGHT SALES/PCT#2"</f>
        <v>FREIGHT SALES/PCT#2</v>
      </c>
      <c r="I592" s="2">
        <v>4786.21</v>
      </c>
      <c r="J592" t="str">
        <f t="shared" si="11"/>
        <v>FREIGHT SALES/PCT#2</v>
      </c>
    </row>
    <row r="593" spans="1:10" x14ac:dyDescent="0.3">
      <c r="A593" t="str">
        <f>""</f>
        <v/>
      </c>
      <c r="B593" t="str">
        <f>""</f>
        <v/>
      </c>
      <c r="G593" t="str">
        <f>""</f>
        <v/>
      </c>
      <c r="H593" t="str">
        <f>""</f>
        <v/>
      </c>
      <c r="J593" t="str">
        <f t="shared" si="11"/>
        <v>FREIGHT SALES/PCT#2</v>
      </c>
    </row>
    <row r="594" spans="1:10" x14ac:dyDescent="0.3">
      <c r="A594" t="str">
        <f>"01"</f>
        <v>01</v>
      </c>
      <c r="B594" t="str">
        <f>"002312"</f>
        <v>002312</v>
      </c>
      <c r="C594" t="s">
        <v>200</v>
      </c>
      <c r="D594">
        <v>74907</v>
      </c>
      <c r="E594" s="2">
        <v>9873.94</v>
      </c>
      <c r="F594" s="1">
        <v>43122</v>
      </c>
      <c r="G594" t="str">
        <f>"16093"</f>
        <v>16093</v>
      </c>
      <c r="H594" t="str">
        <f>"FREIGHT SALES/PCT#2"</f>
        <v>FREIGHT SALES/PCT#2</v>
      </c>
      <c r="I594" s="2">
        <v>9873.94</v>
      </c>
      <c r="J594" t="str">
        <f t="shared" si="11"/>
        <v>FREIGHT SALES/PCT#2</v>
      </c>
    </row>
    <row r="595" spans="1:10" x14ac:dyDescent="0.3">
      <c r="A595" t="str">
        <f>"01"</f>
        <v>01</v>
      </c>
      <c r="B595" t="str">
        <f>"MU&amp;E"</f>
        <v>MU&amp;E</v>
      </c>
      <c r="C595" t="s">
        <v>201</v>
      </c>
      <c r="D595">
        <v>999999</v>
      </c>
      <c r="E595" s="2">
        <v>221</v>
      </c>
      <c r="F595" s="1">
        <v>43109</v>
      </c>
      <c r="G595" t="str">
        <f>"92747"</f>
        <v>92747</v>
      </c>
      <c r="H595" t="str">
        <f>"INV 92747"</f>
        <v>INV 92747</v>
      </c>
      <c r="I595" s="2">
        <v>221</v>
      </c>
      <c r="J595" t="str">
        <f>"INV 92747"</f>
        <v>INV 92747</v>
      </c>
    </row>
    <row r="596" spans="1:10" x14ac:dyDescent="0.3">
      <c r="A596" t="str">
        <f>"01"</f>
        <v>01</v>
      </c>
      <c r="B596" t="str">
        <f>"MU&amp;E"</f>
        <v>MU&amp;E</v>
      </c>
      <c r="C596" t="s">
        <v>201</v>
      </c>
      <c r="D596">
        <v>999999</v>
      </c>
      <c r="E596" s="2">
        <v>6073.54</v>
      </c>
      <c r="F596" s="1">
        <v>43123</v>
      </c>
      <c r="G596" t="str">
        <f>"92744"</f>
        <v>92744</v>
      </c>
      <c r="H596" t="str">
        <f>"INV 92744"</f>
        <v>INV 92744</v>
      </c>
      <c r="I596" s="2">
        <v>25</v>
      </c>
      <c r="J596" t="str">
        <f>"INV 92744"</f>
        <v>INV 92744</v>
      </c>
    </row>
    <row r="597" spans="1:10" x14ac:dyDescent="0.3">
      <c r="A597" t="str">
        <f>""</f>
        <v/>
      </c>
      <c r="B597" t="str">
        <f>""</f>
        <v/>
      </c>
      <c r="G597" t="str">
        <f>"95552/97067"</f>
        <v>95552/97067</v>
      </c>
      <c r="H597" t="str">
        <f>"INV 95552 / 97067"</f>
        <v>INV 95552 / 97067</v>
      </c>
      <c r="I597" s="2">
        <v>5018</v>
      </c>
      <c r="J597" t="str">
        <f>"INV 95552"</f>
        <v>INV 95552</v>
      </c>
    </row>
    <row r="598" spans="1:10" x14ac:dyDescent="0.3">
      <c r="A598" t="str">
        <f>""</f>
        <v/>
      </c>
      <c r="B598" t="str">
        <f>""</f>
        <v/>
      </c>
      <c r="G598" t="str">
        <f>""</f>
        <v/>
      </c>
      <c r="H598" t="str">
        <f>""</f>
        <v/>
      </c>
      <c r="J598" t="str">
        <f>"INV 97067"</f>
        <v>INV 97067</v>
      </c>
    </row>
    <row r="599" spans="1:10" x14ac:dyDescent="0.3">
      <c r="A599" t="str">
        <f>""</f>
        <v/>
      </c>
      <c r="B599" t="str">
        <f>""</f>
        <v/>
      </c>
      <c r="G599" t="str">
        <f>"95713"</f>
        <v>95713</v>
      </c>
      <c r="H599" t="str">
        <f>"INV 95713"</f>
        <v>INV 95713</v>
      </c>
      <c r="I599" s="2">
        <v>191.5</v>
      </c>
      <c r="J599" t="str">
        <f>"INV 95713"</f>
        <v>INV 95713</v>
      </c>
    </row>
    <row r="600" spans="1:10" x14ac:dyDescent="0.3">
      <c r="A600" t="str">
        <f>""</f>
        <v/>
      </c>
      <c r="B600" t="str">
        <f>""</f>
        <v/>
      </c>
      <c r="G600" t="str">
        <f>"96410"</f>
        <v>96410</v>
      </c>
      <c r="H600" t="str">
        <f>"INV 96410"</f>
        <v>INV 96410</v>
      </c>
      <c r="I600" s="2">
        <v>191.04</v>
      </c>
      <c r="J600" t="str">
        <f>"INV 96410"</f>
        <v>INV 96410</v>
      </c>
    </row>
    <row r="601" spans="1:10" x14ac:dyDescent="0.3">
      <c r="A601" t="str">
        <f>""</f>
        <v/>
      </c>
      <c r="B601" t="str">
        <f>""</f>
        <v/>
      </c>
      <c r="G601" t="str">
        <f>"97272"</f>
        <v>97272</v>
      </c>
      <c r="H601" t="str">
        <f>"INV 97272"</f>
        <v>INV 97272</v>
      </c>
      <c r="I601" s="2">
        <v>74.5</v>
      </c>
      <c r="J601" t="str">
        <f>"INV 97272"</f>
        <v>INV 97272</v>
      </c>
    </row>
    <row r="602" spans="1:10" x14ac:dyDescent="0.3">
      <c r="A602" t="str">
        <f>""</f>
        <v/>
      </c>
      <c r="B602" t="str">
        <f>""</f>
        <v/>
      </c>
      <c r="G602" t="str">
        <f>"97273"</f>
        <v>97273</v>
      </c>
      <c r="H602" t="str">
        <f>"INV 97273"</f>
        <v>INV 97273</v>
      </c>
      <c r="I602" s="2">
        <v>30</v>
      </c>
      <c r="J602" t="str">
        <f>"INV 97273"</f>
        <v>INV 97273</v>
      </c>
    </row>
    <row r="603" spans="1:10" x14ac:dyDescent="0.3">
      <c r="A603" t="str">
        <f>""</f>
        <v/>
      </c>
      <c r="B603" t="str">
        <f>""</f>
        <v/>
      </c>
      <c r="G603" t="str">
        <f>"97276"</f>
        <v>97276</v>
      </c>
      <c r="H603" t="str">
        <f>"INV 97276"</f>
        <v>INV 97276</v>
      </c>
      <c r="I603" s="2">
        <v>149</v>
      </c>
      <c r="J603" t="str">
        <f>"INV 97276"</f>
        <v>INV 97276</v>
      </c>
    </row>
    <row r="604" spans="1:10" x14ac:dyDescent="0.3">
      <c r="A604" t="str">
        <f>""</f>
        <v/>
      </c>
      <c r="B604" t="str">
        <f>""</f>
        <v/>
      </c>
      <c r="G604" t="str">
        <f>"97277"</f>
        <v>97277</v>
      </c>
      <c r="H604" t="str">
        <f>"INV 97277"</f>
        <v>INV 97277</v>
      </c>
      <c r="I604" s="2">
        <v>25</v>
      </c>
      <c r="J604" t="str">
        <f>"INV 97277"</f>
        <v>INV 97277</v>
      </c>
    </row>
    <row r="605" spans="1:10" x14ac:dyDescent="0.3">
      <c r="A605" t="str">
        <f>""</f>
        <v/>
      </c>
      <c r="B605" t="str">
        <f>""</f>
        <v/>
      </c>
      <c r="G605" t="str">
        <f>"97278"</f>
        <v>97278</v>
      </c>
      <c r="H605" t="str">
        <f>"INV 97278"</f>
        <v>INV 97278</v>
      </c>
      <c r="I605" s="2">
        <v>139</v>
      </c>
      <c r="J605" t="str">
        <f>"INV 97278"</f>
        <v>INV 97278</v>
      </c>
    </row>
    <row r="606" spans="1:10" x14ac:dyDescent="0.3">
      <c r="A606" t="str">
        <f>""</f>
        <v/>
      </c>
      <c r="B606" t="str">
        <f>""</f>
        <v/>
      </c>
      <c r="G606" t="str">
        <f>"97284"</f>
        <v>97284</v>
      </c>
      <c r="H606" t="str">
        <f>"INV 97284"</f>
        <v>INV 97284</v>
      </c>
      <c r="I606" s="2">
        <v>37.5</v>
      </c>
      <c r="J606" t="str">
        <f>"INV 97284"</f>
        <v>INV 97284</v>
      </c>
    </row>
    <row r="607" spans="1:10" x14ac:dyDescent="0.3">
      <c r="A607" t="str">
        <f>""</f>
        <v/>
      </c>
      <c r="B607" t="str">
        <f>""</f>
        <v/>
      </c>
      <c r="G607" t="str">
        <f>"97285"</f>
        <v>97285</v>
      </c>
      <c r="H607" t="str">
        <f>"INV 97285"</f>
        <v>INV 97285</v>
      </c>
      <c r="I607" s="2">
        <v>193</v>
      </c>
      <c r="J607" t="str">
        <f>"INV 97285"</f>
        <v>INV 97285</v>
      </c>
    </row>
    <row r="608" spans="1:10" x14ac:dyDescent="0.3">
      <c r="A608" t="str">
        <f t="shared" ref="A608:A639" si="12">"01"</f>
        <v>01</v>
      </c>
      <c r="B608" t="str">
        <f t="shared" ref="B608:B639" si="13">"1"</f>
        <v>1</v>
      </c>
      <c r="C608" t="s">
        <v>202</v>
      </c>
      <c r="D608">
        <v>74761</v>
      </c>
      <c r="E608" s="2">
        <v>20</v>
      </c>
      <c r="F608" s="1">
        <v>43109</v>
      </c>
      <c r="G608" t="str">
        <f>"201801098013"</f>
        <v>201801098013</v>
      </c>
      <c r="H608" t="str">
        <f>"Miscell"</f>
        <v>Miscell</v>
      </c>
      <c r="I608" s="2">
        <v>20</v>
      </c>
      <c r="J608" t="str">
        <f>"AUGUST ALEX FUCHS II"</f>
        <v>AUGUST ALEX FUCHS II</v>
      </c>
    </row>
    <row r="609" spans="1:10" x14ac:dyDescent="0.3">
      <c r="A609" t="str">
        <f t="shared" si="12"/>
        <v>01</v>
      </c>
      <c r="B609" t="str">
        <f t="shared" si="13"/>
        <v>1</v>
      </c>
      <c r="C609" t="s">
        <v>203</v>
      </c>
      <c r="D609">
        <v>74762</v>
      </c>
      <c r="E609" s="2">
        <v>20</v>
      </c>
      <c r="F609" s="1">
        <v>43109</v>
      </c>
      <c r="G609" t="str">
        <f>"201801098014"</f>
        <v>201801098014</v>
      </c>
      <c r="H609" t="str">
        <f>"Misc"</f>
        <v>Misc</v>
      </c>
      <c r="I609" s="2">
        <v>20</v>
      </c>
      <c r="J609" t="str">
        <f>"ANDREA LORRAINE OVERALL"</f>
        <v>ANDREA LORRAINE OVERALL</v>
      </c>
    </row>
    <row r="610" spans="1:10" x14ac:dyDescent="0.3">
      <c r="A610" t="str">
        <f t="shared" si="12"/>
        <v>01</v>
      </c>
      <c r="B610" t="str">
        <f t="shared" si="13"/>
        <v>1</v>
      </c>
      <c r="C610" t="s">
        <v>204</v>
      </c>
      <c r="D610">
        <v>74763</v>
      </c>
      <c r="E610" s="2">
        <v>20</v>
      </c>
      <c r="F610" s="1">
        <v>43109</v>
      </c>
      <c r="G610" t="str">
        <f>"201801098015"</f>
        <v>201801098015</v>
      </c>
      <c r="H610" t="str">
        <f>"Mis"</f>
        <v>Mis</v>
      </c>
      <c r="I610" s="2">
        <v>20</v>
      </c>
      <c r="J610" t="str">
        <f>"KAYLA BREANNA MONTGOMERY"</f>
        <v>KAYLA BREANNA MONTGOMERY</v>
      </c>
    </row>
    <row r="611" spans="1:10" x14ac:dyDescent="0.3">
      <c r="A611" t="str">
        <f t="shared" si="12"/>
        <v>01</v>
      </c>
      <c r="B611" t="str">
        <f t="shared" si="13"/>
        <v>1</v>
      </c>
      <c r="C611" t="s">
        <v>205</v>
      </c>
      <c r="D611">
        <v>74764</v>
      </c>
      <c r="E611" s="2">
        <v>20</v>
      </c>
      <c r="F611" s="1">
        <v>43109</v>
      </c>
      <c r="G611" t="str">
        <f>"201801098016"</f>
        <v>201801098016</v>
      </c>
      <c r="H611" t="str">
        <f>"Miscellan"</f>
        <v>Miscellan</v>
      </c>
      <c r="I611" s="2">
        <v>20</v>
      </c>
      <c r="J611" t="str">
        <f>"PAMELA SUE HOLDREN"</f>
        <v>PAMELA SUE HOLDREN</v>
      </c>
    </row>
    <row r="612" spans="1:10" x14ac:dyDescent="0.3">
      <c r="A612" t="str">
        <f t="shared" si="12"/>
        <v>01</v>
      </c>
      <c r="B612" t="str">
        <f t="shared" si="13"/>
        <v>1</v>
      </c>
      <c r="C612" t="s">
        <v>206</v>
      </c>
      <c r="D612">
        <v>74765</v>
      </c>
      <c r="E612" s="2">
        <v>20</v>
      </c>
      <c r="F612" s="1">
        <v>43109</v>
      </c>
      <c r="G612" t="str">
        <f>"201801098017"</f>
        <v>201801098017</v>
      </c>
      <c r="H612" t="str">
        <f>"Miscella"</f>
        <v>Miscella</v>
      </c>
      <c r="I612" s="2">
        <v>20</v>
      </c>
      <c r="J612" t="str">
        <f>"ANGELA LASHUN SNEED"</f>
        <v>ANGELA LASHUN SNEED</v>
      </c>
    </row>
    <row r="613" spans="1:10" x14ac:dyDescent="0.3">
      <c r="A613" t="str">
        <f t="shared" si="12"/>
        <v>01</v>
      </c>
      <c r="B613" t="str">
        <f t="shared" si="13"/>
        <v>1</v>
      </c>
      <c r="C613" t="s">
        <v>207</v>
      </c>
      <c r="D613">
        <v>74766</v>
      </c>
      <c r="E613" s="2">
        <v>20</v>
      </c>
      <c r="F613" s="1">
        <v>43109</v>
      </c>
      <c r="G613" t="str">
        <f>"201801098018"</f>
        <v>201801098018</v>
      </c>
      <c r="H613" t="str">
        <f>"Misc"</f>
        <v>Misc</v>
      </c>
      <c r="I613" s="2">
        <v>20</v>
      </c>
      <c r="J613" t="str">
        <f>"VICTORIA JEANNE EDWARDS"</f>
        <v>VICTORIA JEANNE EDWARDS</v>
      </c>
    </row>
    <row r="614" spans="1:10" x14ac:dyDescent="0.3">
      <c r="A614" t="str">
        <f t="shared" si="12"/>
        <v>01</v>
      </c>
      <c r="B614" t="str">
        <f t="shared" si="13"/>
        <v>1</v>
      </c>
      <c r="C614" t="s">
        <v>208</v>
      </c>
      <c r="D614">
        <v>74767</v>
      </c>
      <c r="E614" s="2">
        <v>20</v>
      </c>
      <c r="F614" s="1">
        <v>43109</v>
      </c>
      <c r="G614" t="str">
        <f>"201801098019"</f>
        <v>201801098019</v>
      </c>
      <c r="H614" t="str">
        <f>"Miscellane"</f>
        <v>Miscellane</v>
      </c>
      <c r="I614" s="2">
        <v>20</v>
      </c>
      <c r="J614" t="str">
        <f>"VICKI JO MCMILLAN"</f>
        <v>VICKI JO MCMILLAN</v>
      </c>
    </row>
    <row r="615" spans="1:10" x14ac:dyDescent="0.3">
      <c r="A615" t="str">
        <f t="shared" si="12"/>
        <v>01</v>
      </c>
      <c r="B615" t="str">
        <f t="shared" si="13"/>
        <v>1</v>
      </c>
      <c r="C615" t="s">
        <v>209</v>
      </c>
      <c r="D615">
        <v>74768</v>
      </c>
      <c r="E615" s="2">
        <v>20</v>
      </c>
      <c r="F615" s="1">
        <v>43109</v>
      </c>
      <c r="G615" t="str">
        <f>"201801098020"</f>
        <v>201801098020</v>
      </c>
      <c r="H615" t="str">
        <f>"Misc"</f>
        <v>Misc</v>
      </c>
      <c r="I615" s="2">
        <v>20</v>
      </c>
      <c r="J615" t="str">
        <f>"BARBARA MCKENNA HAWKINS"</f>
        <v>BARBARA MCKENNA HAWKINS</v>
      </c>
    </row>
    <row r="616" spans="1:10" x14ac:dyDescent="0.3">
      <c r="A616" t="str">
        <f t="shared" si="12"/>
        <v>01</v>
      </c>
      <c r="B616" t="str">
        <f t="shared" si="13"/>
        <v>1</v>
      </c>
      <c r="C616" t="s">
        <v>210</v>
      </c>
      <c r="D616">
        <v>74769</v>
      </c>
      <c r="E616" s="2">
        <v>20</v>
      </c>
      <c r="F616" s="1">
        <v>43109</v>
      </c>
      <c r="G616" t="str">
        <f>"201801098021"</f>
        <v>201801098021</v>
      </c>
      <c r="H616" t="str">
        <f>""</f>
        <v/>
      </c>
      <c r="I616" s="2">
        <v>20</v>
      </c>
      <c r="J616" t="str">
        <f>"HOLLY JO BROADWAY CHRISTIAN"</f>
        <v>HOLLY JO BROADWAY CHRISTIAN</v>
      </c>
    </row>
    <row r="617" spans="1:10" x14ac:dyDescent="0.3">
      <c r="A617" t="str">
        <f t="shared" si="12"/>
        <v>01</v>
      </c>
      <c r="B617" t="str">
        <f t="shared" si="13"/>
        <v>1</v>
      </c>
      <c r="C617" t="s">
        <v>211</v>
      </c>
      <c r="D617">
        <v>74770</v>
      </c>
      <c r="E617" s="2">
        <v>20</v>
      </c>
      <c r="F617" s="1">
        <v>43109</v>
      </c>
      <c r="G617" t="str">
        <f>"201801098022"</f>
        <v>201801098022</v>
      </c>
      <c r="H617" t="str">
        <f>"Miscel"</f>
        <v>Miscel</v>
      </c>
      <c r="I617" s="2">
        <v>20</v>
      </c>
      <c r="J617" t="str">
        <f>"JULIE MARIE HECKEROTH"</f>
        <v>JULIE MARIE HECKEROTH</v>
      </c>
    </row>
    <row r="618" spans="1:10" x14ac:dyDescent="0.3">
      <c r="A618" t="str">
        <f t="shared" si="12"/>
        <v>01</v>
      </c>
      <c r="B618" t="str">
        <f t="shared" si="13"/>
        <v>1</v>
      </c>
      <c r="C618" t="s">
        <v>212</v>
      </c>
      <c r="D618">
        <v>74771</v>
      </c>
      <c r="E618" s="2">
        <v>20</v>
      </c>
      <c r="F618" s="1">
        <v>43109</v>
      </c>
      <c r="G618" t="str">
        <f>"201801098023"</f>
        <v>201801098023</v>
      </c>
      <c r="H618" t="str">
        <f>"Misc"</f>
        <v>Misc</v>
      </c>
      <c r="I618" s="2">
        <v>20</v>
      </c>
      <c r="J618" t="str">
        <f>"VINCENT MICHAEL BARTSCH"</f>
        <v>VINCENT MICHAEL BARTSCH</v>
      </c>
    </row>
    <row r="619" spans="1:10" x14ac:dyDescent="0.3">
      <c r="A619" t="str">
        <f t="shared" si="12"/>
        <v>01</v>
      </c>
      <c r="B619" t="str">
        <f t="shared" si="13"/>
        <v>1</v>
      </c>
      <c r="C619" t="s">
        <v>213</v>
      </c>
      <c r="D619">
        <v>74772</v>
      </c>
      <c r="E619" s="2">
        <v>20</v>
      </c>
      <c r="F619" s="1">
        <v>43109</v>
      </c>
      <c r="G619" t="str">
        <f>"201801098024"</f>
        <v>201801098024</v>
      </c>
      <c r="H619" t="str">
        <f>"Miscellaneous"</f>
        <v>Miscellaneous</v>
      </c>
      <c r="I619" s="2">
        <v>20</v>
      </c>
      <c r="J619" t="str">
        <f>"GRISELDA NUNEZ"</f>
        <v>GRISELDA NUNEZ</v>
      </c>
    </row>
    <row r="620" spans="1:10" x14ac:dyDescent="0.3">
      <c r="A620" t="str">
        <f t="shared" si="12"/>
        <v>01</v>
      </c>
      <c r="B620" t="str">
        <f t="shared" si="13"/>
        <v>1</v>
      </c>
      <c r="C620" t="s">
        <v>214</v>
      </c>
      <c r="D620">
        <v>74773</v>
      </c>
      <c r="E620" s="2">
        <v>20</v>
      </c>
      <c r="F620" s="1">
        <v>43109</v>
      </c>
      <c r="G620" t="str">
        <f>"201801098025"</f>
        <v>201801098025</v>
      </c>
      <c r="H620" t="str">
        <f>"Miscell"</f>
        <v>Miscell</v>
      </c>
      <c r="I620" s="2">
        <v>20</v>
      </c>
      <c r="J620" t="str">
        <f>"JOHNNY RAY PICKERING"</f>
        <v>JOHNNY RAY PICKERING</v>
      </c>
    </row>
    <row r="621" spans="1:10" x14ac:dyDescent="0.3">
      <c r="A621" t="str">
        <f t="shared" si="12"/>
        <v>01</v>
      </c>
      <c r="B621" t="str">
        <f t="shared" si="13"/>
        <v>1</v>
      </c>
      <c r="C621" t="s">
        <v>215</v>
      </c>
      <c r="D621">
        <v>74774</v>
      </c>
      <c r="E621" s="2">
        <v>20</v>
      </c>
      <c r="F621" s="1">
        <v>43109</v>
      </c>
      <c r="G621" t="str">
        <f>"201801098026"</f>
        <v>201801098026</v>
      </c>
      <c r="H621" t="str">
        <f>"Misc"</f>
        <v>Misc</v>
      </c>
      <c r="I621" s="2">
        <v>20</v>
      </c>
      <c r="J621" t="str">
        <f>"CHRISTOPHER PAUL CHILDS"</f>
        <v>CHRISTOPHER PAUL CHILDS</v>
      </c>
    </row>
    <row r="622" spans="1:10" x14ac:dyDescent="0.3">
      <c r="A622" t="str">
        <f t="shared" si="12"/>
        <v>01</v>
      </c>
      <c r="B622" t="str">
        <f t="shared" si="13"/>
        <v>1</v>
      </c>
      <c r="C622" t="s">
        <v>216</v>
      </c>
      <c r="D622">
        <v>74775</v>
      </c>
      <c r="E622" s="2">
        <v>20</v>
      </c>
      <c r="F622" s="1">
        <v>43109</v>
      </c>
      <c r="G622" t="str">
        <f>"201801098027"</f>
        <v>201801098027</v>
      </c>
      <c r="H622" t="str">
        <f>"Miscellan"</f>
        <v>Miscellan</v>
      </c>
      <c r="I622" s="2">
        <v>20</v>
      </c>
      <c r="J622" t="str">
        <f>"MARTHA MARIE WATTS"</f>
        <v>MARTHA MARIE WATTS</v>
      </c>
    </row>
    <row r="623" spans="1:10" x14ac:dyDescent="0.3">
      <c r="A623" t="str">
        <f t="shared" si="12"/>
        <v>01</v>
      </c>
      <c r="B623" t="str">
        <f t="shared" si="13"/>
        <v>1</v>
      </c>
      <c r="C623" t="s">
        <v>217</v>
      </c>
      <c r="D623">
        <v>74776</v>
      </c>
      <c r="E623" s="2">
        <v>20</v>
      </c>
      <c r="F623" s="1">
        <v>43109</v>
      </c>
      <c r="G623" t="str">
        <f>"201801098028"</f>
        <v>201801098028</v>
      </c>
      <c r="H623" t="str">
        <f>"Miscellaneo"</f>
        <v>Miscellaneo</v>
      </c>
      <c r="I623" s="2">
        <v>20</v>
      </c>
      <c r="J623" t="str">
        <f>"SUSAN FAYE RHAME"</f>
        <v>SUSAN FAYE RHAME</v>
      </c>
    </row>
    <row r="624" spans="1:10" x14ac:dyDescent="0.3">
      <c r="A624" t="str">
        <f t="shared" si="12"/>
        <v>01</v>
      </c>
      <c r="B624" t="str">
        <f t="shared" si="13"/>
        <v>1</v>
      </c>
      <c r="C624" t="s">
        <v>218</v>
      </c>
      <c r="D624">
        <v>74777</v>
      </c>
      <c r="E624" s="2">
        <v>20</v>
      </c>
      <c r="F624" s="1">
        <v>43109</v>
      </c>
      <c r="G624" t="str">
        <f>"201801098029"</f>
        <v>201801098029</v>
      </c>
      <c r="H624" t="str">
        <f>"Miscell"</f>
        <v>Miscell</v>
      </c>
      <c r="I624" s="2">
        <v>20</v>
      </c>
      <c r="J624" t="str">
        <f>"DANE MICHAEL LOUVIER"</f>
        <v>DANE MICHAEL LOUVIER</v>
      </c>
    </row>
    <row r="625" spans="1:10" x14ac:dyDescent="0.3">
      <c r="A625" t="str">
        <f t="shared" si="12"/>
        <v>01</v>
      </c>
      <c r="B625" t="str">
        <f t="shared" si="13"/>
        <v>1</v>
      </c>
      <c r="C625" t="s">
        <v>219</v>
      </c>
      <c r="D625">
        <v>74778</v>
      </c>
      <c r="E625" s="2">
        <v>20</v>
      </c>
      <c r="F625" s="1">
        <v>43109</v>
      </c>
      <c r="G625" t="str">
        <f>"201801098030"</f>
        <v>201801098030</v>
      </c>
      <c r="H625" t="str">
        <f>"Miscell"</f>
        <v>Miscell</v>
      </c>
      <c r="I625" s="2">
        <v>20</v>
      </c>
      <c r="J625" t="str">
        <f>"BRIANNA CHIANN DAVIS"</f>
        <v>BRIANNA CHIANN DAVIS</v>
      </c>
    </row>
    <row r="626" spans="1:10" x14ac:dyDescent="0.3">
      <c r="A626" t="str">
        <f t="shared" si="12"/>
        <v>01</v>
      </c>
      <c r="B626" t="str">
        <f t="shared" si="13"/>
        <v>1</v>
      </c>
      <c r="C626" t="s">
        <v>220</v>
      </c>
      <c r="D626">
        <v>74779</v>
      </c>
      <c r="E626" s="2">
        <v>20</v>
      </c>
      <c r="F626" s="1">
        <v>43109</v>
      </c>
      <c r="G626" t="str">
        <f>"201801098031"</f>
        <v>201801098031</v>
      </c>
      <c r="H626" t="str">
        <f>"Miscella"</f>
        <v>Miscella</v>
      </c>
      <c r="I626" s="2">
        <v>20</v>
      </c>
      <c r="J626" t="str">
        <f>"KAREN JEAN CARNAHAN"</f>
        <v>KAREN JEAN CARNAHAN</v>
      </c>
    </row>
    <row r="627" spans="1:10" x14ac:dyDescent="0.3">
      <c r="A627" t="str">
        <f t="shared" si="12"/>
        <v>01</v>
      </c>
      <c r="B627" t="str">
        <f t="shared" si="13"/>
        <v>1</v>
      </c>
      <c r="C627" t="s">
        <v>221</v>
      </c>
      <c r="D627">
        <v>74780</v>
      </c>
      <c r="E627" s="2">
        <v>20</v>
      </c>
      <c r="F627" s="1">
        <v>43109</v>
      </c>
      <c r="G627" t="str">
        <f>"201801098032"</f>
        <v>201801098032</v>
      </c>
      <c r="H627" t="str">
        <f>"Miscellan"</f>
        <v>Miscellan</v>
      </c>
      <c r="I627" s="2">
        <v>20</v>
      </c>
      <c r="J627" t="str">
        <f>"STEPHEN LEE CROLEY"</f>
        <v>STEPHEN LEE CROLEY</v>
      </c>
    </row>
    <row r="628" spans="1:10" x14ac:dyDescent="0.3">
      <c r="A628" t="str">
        <f t="shared" si="12"/>
        <v>01</v>
      </c>
      <c r="B628" t="str">
        <f t="shared" si="13"/>
        <v>1</v>
      </c>
      <c r="C628" t="s">
        <v>222</v>
      </c>
      <c r="D628">
        <v>74781</v>
      </c>
      <c r="E628" s="2">
        <v>20</v>
      </c>
      <c r="F628" s="1">
        <v>43109</v>
      </c>
      <c r="G628" t="str">
        <f>"201801098033"</f>
        <v>201801098033</v>
      </c>
      <c r="H628" t="str">
        <f>"Miscell"</f>
        <v>Miscell</v>
      </c>
      <c r="I628" s="2">
        <v>20</v>
      </c>
      <c r="J628" t="str">
        <f>"MARK THOMAS FJELSTED"</f>
        <v>MARK THOMAS FJELSTED</v>
      </c>
    </row>
    <row r="629" spans="1:10" x14ac:dyDescent="0.3">
      <c r="A629" t="str">
        <f t="shared" si="12"/>
        <v>01</v>
      </c>
      <c r="B629" t="str">
        <f t="shared" si="13"/>
        <v>1</v>
      </c>
      <c r="C629" t="s">
        <v>223</v>
      </c>
      <c r="D629">
        <v>74782</v>
      </c>
      <c r="E629" s="2">
        <v>20</v>
      </c>
      <c r="F629" s="1">
        <v>43109</v>
      </c>
      <c r="G629" t="str">
        <f>"201801098034"</f>
        <v>201801098034</v>
      </c>
      <c r="H629" t="str">
        <f>"Miscella"</f>
        <v>Miscella</v>
      </c>
      <c r="I629" s="2">
        <v>20</v>
      </c>
      <c r="J629" t="str">
        <f>"MARY NOELLE CLOWERS"</f>
        <v>MARY NOELLE CLOWERS</v>
      </c>
    </row>
    <row r="630" spans="1:10" x14ac:dyDescent="0.3">
      <c r="A630" t="str">
        <f t="shared" si="12"/>
        <v>01</v>
      </c>
      <c r="B630" t="str">
        <f t="shared" si="13"/>
        <v>1</v>
      </c>
      <c r="C630" t="s">
        <v>224</v>
      </c>
      <c r="D630">
        <v>74783</v>
      </c>
      <c r="E630" s="2">
        <v>20</v>
      </c>
      <c r="F630" s="1">
        <v>43109</v>
      </c>
      <c r="G630" t="str">
        <f>"201801098035"</f>
        <v>201801098035</v>
      </c>
      <c r="H630" t="str">
        <f>"Misce"</f>
        <v>Misce</v>
      </c>
      <c r="I630" s="2">
        <v>20</v>
      </c>
      <c r="J630" t="str">
        <f>"JOHN CLIFFORD THOMPSON"</f>
        <v>JOHN CLIFFORD THOMPSON</v>
      </c>
    </row>
    <row r="631" spans="1:10" x14ac:dyDescent="0.3">
      <c r="A631" t="str">
        <f t="shared" si="12"/>
        <v>01</v>
      </c>
      <c r="B631" t="str">
        <f t="shared" si="13"/>
        <v>1</v>
      </c>
      <c r="C631" t="s">
        <v>225</v>
      </c>
      <c r="D631">
        <v>74784</v>
      </c>
      <c r="E631" s="2">
        <v>20</v>
      </c>
      <c r="F631" s="1">
        <v>43109</v>
      </c>
      <c r="G631" t="str">
        <f>"201801098036"</f>
        <v>201801098036</v>
      </c>
      <c r="H631" t="str">
        <f>"M"</f>
        <v>M</v>
      </c>
      <c r="I631" s="2">
        <v>20</v>
      </c>
      <c r="J631" t="str">
        <f>"KAITLIN RACHEL MAREE KIRBY"</f>
        <v>KAITLIN RACHEL MAREE KIRBY</v>
      </c>
    </row>
    <row r="632" spans="1:10" x14ac:dyDescent="0.3">
      <c r="A632" t="str">
        <f t="shared" si="12"/>
        <v>01</v>
      </c>
      <c r="B632" t="str">
        <f t="shared" si="13"/>
        <v>1</v>
      </c>
      <c r="C632" t="s">
        <v>226</v>
      </c>
      <c r="D632">
        <v>74785</v>
      </c>
      <c r="E632" s="2">
        <v>20</v>
      </c>
      <c r="F632" s="1">
        <v>43109</v>
      </c>
      <c r="G632" t="str">
        <f>"201801098037"</f>
        <v>201801098037</v>
      </c>
      <c r="H632" t="str">
        <f>"Miscel"</f>
        <v>Miscel</v>
      </c>
      <c r="I632" s="2">
        <v>20</v>
      </c>
      <c r="J632" t="str">
        <f>"JUSTIN HENRY ANDERSON"</f>
        <v>JUSTIN HENRY ANDERSON</v>
      </c>
    </row>
    <row r="633" spans="1:10" x14ac:dyDescent="0.3">
      <c r="A633" t="str">
        <f t="shared" si="12"/>
        <v>01</v>
      </c>
      <c r="B633" t="str">
        <f t="shared" si="13"/>
        <v>1</v>
      </c>
      <c r="C633" t="s">
        <v>227</v>
      </c>
      <c r="D633">
        <v>74786</v>
      </c>
      <c r="E633" s="2">
        <v>20</v>
      </c>
      <c r="F633" s="1">
        <v>43109</v>
      </c>
      <c r="G633" t="str">
        <f>"201801098038"</f>
        <v>201801098038</v>
      </c>
      <c r="H633" t="str">
        <f>"Miscel"</f>
        <v>Miscel</v>
      </c>
      <c r="I633" s="2">
        <v>20</v>
      </c>
      <c r="J633" t="str">
        <f>"PATRICIA BUECHE YATES"</f>
        <v>PATRICIA BUECHE YATES</v>
      </c>
    </row>
    <row r="634" spans="1:10" x14ac:dyDescent="0.3">
      <c r="A634" t="str">
        <f t="shared" si="12"/>
        <v>01</v>
      </c>
      <c r="B634" t="str">
        <f t="shared" si="13"/>
        <v>1</v>
      </c>
      <c r="C634" t="s">
        <v>228</v>
      </c>
      <c r="D634">
        <v>74787</v>
      </c>
      <c r="E634" s="2">
        <v>20</v>
      </c>
      <c r="F634" s="1">
        <v>43109</v>
      </c>
      <c r="G634" t="str">
        <f>"201801098039"</f>
        <v>201801098039</v>
      </c>
      <c r="H634" t="str">
        <f>"Miscellaneo"</f>
        <v>Miscellaneo</v>
      </c>
      <c r="I634" s="2">
        <v>20</v>
      </c>
      <c r="J634" t="str">
        <f>"JEANIE ANN RILEY"</f>
        <v>JEANIE ANN RILEY</v>
      </c>
    </row>
    <row r="635" spans="1:10" x14ac:dyDescent="0.3">
      <c r="A635" t="str">
        <f t="shared" si="12"/>
        <v>01</v>
      </c>
      <c r="B635" t="str">
        <f t="shared" si="13"/>
        <v>1</v>
      </c>
      <c r="C635" t="s">
        <v>229</v>
      </c>
      <c r="D635">
        <v>74788</v>
      </c>
      <c r="E635" s="2">
        <v>20</v>
      </c>
      <c r="F635" s="1">
        <v>43109</v>
      </c>
      <c r="G635" t="str">
        <f>"201801098040"</f>
        <v>201801098040</v>
      </c>
      <c r="H635" t="str">
        <f>"Miscellaneou"</f>
        <v>Miscellaneou</v>
      </c>
      <c r="I635" s="2">
        <v>20</v>
      </c>
      <c r="J635" t="str">
        <f>"ALMA ROSA BROWN"</f>
        <v>ALMA ROSA BROWN</v>
      </c>
    </row>
    <row r="636" spans="1:10" x14ac:dyDescent="0.3">
      <c r="A636" t="str">
        <f t="shared" si="12"/>
        <v>01</v>
      </c>
      <c r="B636" t="str">
        <f t="shared" si="13"/>
        <v>1</v>
      </c>
      <c r="C636" t="s">
        <v>230</v>
      </c>
      <c r="D636">
        <v>74789</v>
      </c>
      <c r="E636" s="2">
        <v>20</v>
      </c>
      <c r="F636" s="1">
        <v>43109</v>
      </c>
      <c r="G636" t="str">
        <f>"201801098041"</f>
        <v>201801098041</v>
      </c>
      <c r="H636" t="str">
        <f>"Misc"</f>
        <v>Misc</v>
      </c>
      <c r="I636" s="2">
        <v>20</v>
      </c>
      <c r="J636" t="str">
        <f>"EDUARDO AGUERO MARTINEZ"</f>
        <v>EDUARDO AGUERO MARTINEZ</v>
      </c>
    </row>
    <row r="637" spans="1:10" x14ac:dyDescent="0.3">
      <c r="A637" t="str">
        <f t="shared" si="12"/>
        <v>01</v>
      </c>
      <c r="B637" t="str">
        <f t="shared" si="13"/>
        <v>1</v>
      </c>
      <c r="C637" t="s">
        <v>231</v>
      </c>
      <c r="D637">
        <v>74790</v>
      </c>
      <c r="E637" s="2">
        <v>20</v>
      </c>
      <c r="F637" s="1">
        <v>43109</v>
      </c>
      <c r="G637" t="str">
        <f>"201801098042"</f>
        <v>201801098042</v>
      </c>
      <c r="H637" t="str">
        <f>"Mis"</f>
        <v>Mis</v>
      </c>
      <c r="I637" s="2">
        <v>20</v>
      </c>
      <c r="J637" t="str">
        <f>"ROSS TANNER-LATIMER SLAY"</f>
        <v>ROSS TANNER-LATIMER SLAY</v>
      </c>
    </row>
    <row r="638" spans="1:10" x14ac:dyDescent="0.3">
      <c r="A638" t="str">
        <f t="shared" si="12"/>
        <v>01</v>
      </c>
      <c r="B638" t="str">
        <f t="shared" si="13"/>
        <v>1</v>
      </c>
      <c r="C638" t="s">
        <v>232</v>
      </c>
      <c r="D638">
        <v>74791</v>
      </c>
      <c r="E638" s="2">
        <v>20</v>
      </c>
      <c r="F638" s="1">
        <v>43109</v>
      </c>
      <c r="G638" t="str">
        <f>"201801098043"</f>
        <v>201801098043</v>
      </c>
      <c r="H638" t="str">
        <f>"Miscellan"</f>
        <v>Miscellan</v>
      </c>
      <c r="I638" s="2">
        <v>20</v>
      </c>
      <c r="J638" t="str">
        <f>"JANA HOFFMAN MOORE"</f>
        <v>JANA HOFFMAN MOORE</v>
      </c>
    </row>
    <row r="639" spans="1:10" x14ac:dyDescent="0.3">
      <c r="A639" t="str">
        <f t="shared" si="12"/>
        <v>01</v>
      </c>
      <c r="B639" t="str">
        <f t="shared" si="13"/>
        <v>1</v>
      </c>
      <c r="C639" t="s">
        <v>233</v>
      </c>
      <c r="D639">
        <v>74792</v>
      </c>
      <c r="E639" s="2">
        <v>20</v>
      </c>
      <c r="F639" s="1">
        <v>43109</v>
      </c>
      <c r="G639" t="str">
        <f>"201801098044"</f>
        <v>201801098044</v>
      </c>
      <c r="H639" t="str">
        <f>"Miscella"</f>
        <v>Miscella</v>
      </c>
      <c r="I639" s="2">
        <v>20</v>
      </c>
      <c r="J639" t="str">
        <f>"ELIJAH SCOTT FOWLER"</f>
        <v>ELIJAH SCOTT FOWLER</v>
      </c>
    </row>
    <row r="640" spans="1:10" x14ac:dyDescent="0.3">
      <c r="A640" t="str">
        <f t="shared" ref="A640:A666" si="14">"01"</f>
        <v>01</v>
      </c>
      <c r="B640" t="str">
        <f t="shared" ref="B640:B665" si="15">"1"</f>
        <v>1</v>
      </c>
      <c r="C640" t="s">
        <v>234</v>
      </c>
      <c r="D640">
        <v>74793</v>
      </c>
      <c r="E640" s="2">
        <v>20</v>
      </c>
      <c r="F640" s="1">
        <v>43109</v>
      </c>
      <c r="G640" t="str">
        <f>"201801098045"</f>
        <v>201801098045</v>
      </c>
      <c r="H640" t="str">
        <f>"Miscellaneous"</f>
        <v>Miscellaneous</v>
      </c>
      <c r="I640" s="2">
        <v>20</v>
      </c>
      <c r="J640" t="str">
        <f>"SCOTT A SHIKE"</f>
        <v>SCOTT A SHIKE</v>
      </c>
    </row>
    <row r="641" spans="1:10" x14ac:dyDescent="0.3">
      <c r="A641" t="str">
        <f t="shared" si="14"/>
        <v>01</v>
      </c>
      <c r="B641" t="str">
        <f t="shared" si="15"/>
        <v>1</v>
      </c>
      <c r="C641" t="s">
        <v>235</v>
      </c>
      <c r="D641">
        <v>74794</v>
      </c>
      <c r="E641" s="2">
        <v>20</v>
      </c>
      <c r="F641" s="1">
        <v>43109</v>
      </c>
      <c r="G641" t="str">
        <f>"201801098046"</f>
        <v>201801098046</v>
      </c>
      <c r="H641" t="str">
        <f>"Miscell"</f>
        <v>Miscell</v>
      </c>
      <c r="I641" s="2">
        <v>20</v>
      </c>
      <c r="J641" t="str">
        <f>"TIMOTHY EUGENE BROWN"</f>
        <v>TIMOTHY EUGENE BROWN</v>
      </c>
    </row>
    <row r="642" spans="1:10" x14ac:dyDescent="0.3">
      <c r="A642" t="str">
        <f t="shared" si="14"/>
        <v>01</v>
      </c>
      <c r="B642" t="str">
        <f t="shared" si="15"/>
        <v>1</v>
      </c>
      <c r="C642" t="s">
        <v>236</v>
      </c>
      <c r="D642">
        <v>74795</v>
      </c>
      <c r="E642" s="2">
        <v>20</v>
      </c>
      <c r="F642" s="1">
        <v>43109</v>
      </c>
      <c r="G642" t="str">
        <f>"201801098047"</f>
        <v>201801098047</v>
      </c>
      <c r="H642" t="str">
        <f>"Miscellan"</f>
        <v>Miscellan</v>
      </c>
      <c r="I642" s="2">
        <v>20</v>
      </c>
      <c r="J642" t="str">
        <f>"BRUCE ROBERT ALLYN"</f>
        <v>BRUCE ROBERT ALLYN</v>
      </c>
    </row>
    <row r="643" spans="1:10" x14ac:dyDescent="0.3">
      <c r="A643" t="str">
        <f t="shared" si="14"/>
        <v>01</v>
      </c>
      <c r="B643" t="str">
        <f t="shared" si="15"/>
        <v>1</v>
      </c>
      <c r="C643" t="s">
        <v>237</v>
      </c>
      <c r="D643">
        <v>74796</v>
      </c>
      <c r="E643" s="2">
        <v>20</v>
      </c>
      <c r="F643" s="1">
        <v>43109</v>
      </c>
      <c r="G643" t="str">
        <f>"201801098048"</f>
        <v>201801098048</v>
      </c>
      <c r="H643" t="str">
        <f>"Miscella"</f>
        <v>Miscella</v>
      </c>
      <c r="I643" s="2">
        <v>20</v>
      </c>
      <c r="J643" t="str">
        <f>"DAVID KYLE BRUMMITT"</f>
        <v>DAVID KYLE BRUMMITT</v>
      </c>
    </row>
    <row r="644" spans="1:10" x14ac:dyDescent="0.3">
      <c r="A644" t="str">
        <f t="shared" si="14"/>
        <v>01</v>
      </c>
      <c r="B644" t="str">
        <f t="shared" si="15"/>
        <v>1</v>
      </c>
      <c r="C644" t="s">
        <v>238</v>
      </c>
      <c r="D644">
        <v>74797</v>
      </c>
      <c r="E644" s="2">
        <v>20</v>
      </c>
      <c r="F644" s="1">
        <v>43109</v>
      </c>
      <c r="G644" t="str">
        <f>"201801098049"</f>
        <v>201801098049</v>
      </c>
      <c r="H644" t="str">
        <f>"Miscellan"</f>
        <v>Miscellan</v>
      </c>
      <c r="I644" s="2">
        <v>20</v>
      </c>
      <c r="J644" t="str">
        <f>"LAUREN N SCHECKTER"</f>
        <v>LAUREN N SCHECKTER</v>
      </c>
    </row>
    <row r="645" spans="1:10" x14ac:dyDescent="0.3">
      <c r="A645" t="str">
        <f t="shared" si="14"/>
        <v>01</v>
      </c>
      <c r="B645" t="str">
        <f t="shared" si="15"/>
        <v>1</v>
      </c>
      <c r="C645" t="s">
        <v>239</v>
      </c>
      <c r="D645">
        <v>74798</v>
      </c>
      <c r="E645" s="2">
        <v>20</v>
      </c>
      <c r="F645" s="1">
        <v>43109</v>
      </c>
      <c r="G645" t="str">
        <f>"201801098050"</f>
        <v>201801098050</v>
      </c>
      <c r="H645" t="str">
        <f>"Miscell"</f>
        <v>Miscell</v>
      </c>
      <c r="I645" s="2">
        <v>20</v>
      </c>
      <c r="J645" t="str">
        <f>"JOSE ADRION FIGUEROA"</f>
        <v>JOSE ADRION FIGUEROA</v>
      </c>
    </row>
    <row r="646" spans="1:10" x14ac:dyDescent="0.3">
      <c r="A646" t="str">
        <f t="shared" si="14"/>
        <v>01</v>
      </c>
      <c r="B646" t="str">
        <f t="shared" si="15"/>
        <v>1</v>
      </c>
      <c r="C646" t="s">
        <v>240</v>
      </c>
      <c r="D646">
        <v>74799</v>
      </c>
      <c r="E646" s="2">
        <v>20</v>
      </c>
      <c r="F646" s="1">
        <v>43109</v>
      </c>
      <c r="G646" t="str">
        <f>"201801098051"</f>
        <v>201801098051</v>
      </c>
      <c r="H646" t="str">
        <f>"M"</f>
        <v>M</v>
      </c>
      <c r="I646" s="2">
        <v>20</v>
      </c>
      <c r="J646" t="str">
        <f>"SARAH ELIZABETH-ANN EDSALL"</f>
        <v>SARAH ELIZABETH-ANN EDSALL</v>
      </c>
    </row>
    <row r="647" spans="1:10" x14ac:dyDescent="0.3">
      <c r="A647" t="str">
        <f t="shared" si="14"/>
        <v>01</v>
      </c>
      <c r="B647" t="str">
        <f t="shared" si="15"/>
        <v>1</v>
      </c>
      <c r="C647" t="s">
        <v>241</v>
      </c>
      <c r="D647">
        <v>74800</v>
      </c>
      <c r="E647" s="2">
        <v>20</v>
      </c>
      <c r="F647" s="1">
        <v>43109</v>
      </c>
      <c r="G647" t="str">
        <f>"201801098052"</f>
        <v>201801098052</v>
      </c>
      <c r="H647" t="str">
        <f>"Misce"</f>
        <v>Misce</v>
      </c>
      <c r="I647" s="2">
        <v>20</v>
      </c>
      <c r="J647" t="str">
        <f>"SYLVIA GONZALEZ WATSON"</f>
        <v>SYLVIA GONZALEZ WATSON</v>
      </c>
    </row>
    <row r="648" spans="1:10" x14ac:dyDescent="0.3">
      <c r="A648" t="str">
        <f t="shared" si="14"/>
        <v>01</v>
      </c>
      <c r="B648" t="str">
        <f t="shared" si="15"/>
        <v>1</v>
      </c>
      <c r="C648" t="s">
        <v>242</v>
      </c>
      <c r="D648">
        <v>74801</v>
      </c>
      <c r="E648" s="2">
        <v>20</v>
      </c>
      <c r="F648" s="1">
        <v>43109</v>
      </c>
      <c r="G648" t="str">
        <f>"201801098053"</f>
        <v>201801098053</v>
      </c>
      <c r="H648" t="str">
        <f>"Miscellane"</f>
        <v>Miscellane</v>
      </c>
      <c r="I648" s="2">
        <v>20</v>
      </c>
      <c r="J648" t="str">
        <f>"LARRY GENE HANSEN"</f>
        <v>LARRY GENE HANSEN</v>
      </c>
    </row>
    <row r="649" spans="1:10" x14ac:dyDescent="0.3">
      <c r="A649" t="str">
        <f t="shared" si="14"/>
        <v>01</v>
      </c>
      <c r="B649" t="str">
        <f t="shared" si="15"/>
        <v>1</v>
      </c>
      <c r="C649" t="s">
        <v>243</v>
      </c>
      <c r="D649">
        <v>74802</v>
      </c>
      <c r="E649" s="2">
        <v>20</v>
      </c>
      <c r="F649" s="1">
        <v>43109</v>
      </c>
      <c r="G649" t="str">
        <f>"201801098054"</f>
        <v>201801098054</v>
      </c>
      <c r="H649" t="str">
        <f>"Miscel"</f>
        <v>Miscel</v>
      </c>
      <c r="I649" s="2">
        <v>20</v>
      </c>
      <c r="J649" t="str">
        <f>"ANTHONY MARK BONTEMPO"</f>
        <v>ANTHONY MARK BONTEMPO</v>
      </c>
    </row>
    <row r="650" spans="1:10" x14ac:dyDescent="0.3">
      <c r="A650" t="str">
        <f t="shared" si="14"/>
        <v>01</v>
      </c>
      <c r="B650" t="str">
        <f t="shared" si="15"/>
        <v>1</v>
      </c>
      <c r="C650" t="s">
        <v>244</v>
      </c>
      <c r="D650">
        <v>74803</v>
      </c>
      <c r="E650" s="2">
        <v>20</v>
      </c>
      <c r="F650" s="1">
        <v>43109</v>
      </c>
      <c r="G650" t="str">
        <f>"201801098055"</f>
        <v>201801098055</v>
      </c>
      <c r="H650" t="str">
        <f>"Miscel"</f>
        <v>Miscel</v>
      </c>
      <c r="I650" s="2">
        <v>20</v>
      </c>
      <c r="J650" t="str">
        <f>"LINDA STARNES RICHARD"</f>
        <v>LINDA STARNES RICHARD</v>
      </c>
    </row>
    <row r="651" spans="1:10" x14ac:dyDescent="0.3">
      <c r="A651" t="str">
        <f t="shared" si="14"/>
        <v>01</v>
      </c>
      <c r="B651" t="str">
        <f t="shared" si="15"/>
        <v>1</v>
      </c>
      <c r="C651" t="s">
        <v>245</v>
      </c>
      <c r="D651">
        <v>74804</v>
      </c>
      <c r="E651" s="2">
        <v>20</v>
      </c>
      <c r="F651" s="1">
        <v>43109</v>
      </c>
      <c r="G651" t="str">
        <f>"201801098056"</f>
        <v>201801098056</v>
      </c>
      <c r="H651" t="str">
        <f>"Miscel"</f>
        <v>Miscel</v>
      </c>
      <c r="I651" s="2">
        <v>20</v>
      </c>
      <c r="J651" t="str">
        <f>"JOSHUA NATHAN CAMACHO"</f>
        <v>JOSHUA NATHAN CAMACHO</v>
      </c>
    </row>
    <row r="652" spans="1:10" x14ac:dyDescent="0.3">
      <c r="A652" t="str">
        <f t="shared" si="14"/>
        <v>01</v>
      </c>
      <c r="B652" t="str">
        <f t="shared" si="15"/>
        <v>1</v>
      </c>
      <c r="C652" t="s">
        <v>246</v>
      </c>
      <c r="D652">
        <v>74805</v>
      </c>
      <c r="E652" s="2">
        <v>20</v>
      </c>
      <c r="F652" s="1">
        <v>43109</v>
      </c>
      <c r="G652" t="str">
        <f>"201801098057"</f>
        <v>201801098057</v>
      </c>
      <c r="H652" t="str">
        <f>"Misc"</f>
        <v>Misc</v>
      </c>
      <c r="I652" s="2">
        <v>20</v>
      </c>
      <c r="J652" t="str">
        <f>"NICOLASA AGUILAR BISHOP"</f>
        <v>NICOLASA AGUILAR BISHOP</v>
      </c>
    </row>
    <row r="653" spans="1:10" x14ac:dyDescent="0.3">
      <c r="A653" t="str">
        <f t="shared" si="14"/>
        <v>01</v>
      </c>
      <c r="B653" t="str">
        <f t="shared" si="15"/>
        <v>1</v>
      </c>
      <c r="C653" t="s">
        <v>247</v>
      </c>
      <c r="D653">
        <v>74806</v>
      </c>
      <c r="E653" s="2">
        <v>20</v>
      </c>
      <c r="F653" s="1">
        <v>43109</v>
      </c>
      <c r="G653" t="str">
        <f>"201801098058"</f>
        <v>201801098058</v>
      </c>
      <c r="H653" t="str">
        <f>"Miscel"</f>
        <v>Miscel</v>
      </c>
      <c r="I653" s="2">
        <v>20</v>
      </c>
      <c r="J653" t="str">
        <f>"CALVIN DONELL VINCENT"</f>
        <v>CALVIN DONELL VINCENT</v>
      </c>
    </row>
    <row r="654" spans="1:10" x14ac:dyDescent="0.3">
      <c r="A654" t="str">
        <f t="shared" si="14"/>
        <v>01</v>
      </c>
      <c r="B654" t="str">
        <f t="shared" si="15"/>
        <v>1</v>
      </c>
      <c r="C654" t="s">
        <v>248</v>
      </c>
      <c r="D654">
        <v>74807</v>
      </c>
      <c r="E654" s="2">
        <v>20</v>
      </c>
      <c r="F654" s="1">
        <v>43109</v>
      </c>
      <c r="G654" t="str">
        <f>"201801098059"</f>
        <v>201801098059</v>
      </c>
      <c r="H654" t="str">
        <f>"Miscellan"</f>
        <v>Miscellan</v>
      </c>
      <c r="I654" s="2">
        <v>20</v>
      </c>
      <c r="J654" t="str">
        <f>"KATHRYN EVA ROGERS"</f>
        <v>KATHRYN EVA ROGERS</v>
      </c>
    </row>
    <row r="655" spans="1:10" x14ac:dyDescent="0.3">
      <c r="A655" t="str">
        <f t="shared" si="14"/>
        <v>01</v>
      </c>
      <c r="B655" t="str">
        <f t="shared" si="15"/>
        <v>1</v>
      </c>
      <c r="C655" t="s">
        <v>249</v>
      </c>
      <c r="D655">
        <v>74808</v>
      </c>
      <c r="E655" s="2">
        <v>20</v>
      </c>
      <c r="F655" s="1">
        <v>43109</v>
      </c>
      <c r="G655" t="str">
        <f>"201801098060"</f>
        <v>201801098060</v>
      </c>
      <c r="H655" t="str">
        <f>"Miscel"</f>
        <v>Miscel</v>
      </c>
      <c r="I655" s="2">
        <v>20</v>
      </c>
      <c r="J655" t="str">
        <f>"ANTHONY LEROY DELGADO"</f>
        <v>ANTHONY LEROY DELGADO</v>
      </c>
    </row>
    <row r="656" spans="1:10" x14ac:dyDescent="0.3">
      <c r="A656" t="str">
        <f t="shared" si="14"/>
        <v>01</v>
      </c>
      <c r="B656" t="str">
        <f t="shared" si="15"/>
        <v>1</v>
      </c>
      <c r="C656" t="s">
        <v>250</v>
      </c>
      <c r="D656">
        <v>74809</v>
      </c>
      <c r="E656" s="2">
        <v>20</v>
      </c>
      <c r="F656" s="1">
        <v>43109</v>
      </c>
      <c r="G656" t="str">
        <f>"201801098061"</f>
        <v>201801098061</v>
      </c>
      <c r="H656" t="str">
        <f>"Miscellane"</f>
        <v>Miscellane</v>
      </c>
      <c r="I656" s="2">
        <v>20</v>
      </c>
      <c r="J656" t="str">
        <f>"JESSE JOE HERRERA"</f>
        <v>JESSE JOE HERRERA</v>
      </c>
    </row>
    <row r="657" spans="1:10" x14ac:dyDescent="0.3">
      <c r="A657" t="str">
        <f t="shared" si="14"/>
        <v>01</v>
      </c>
      <c r="B657" t="str">
        <f t="shared" si="15"/>
        <v>1</v>
      </c>
      <c r="C657" t="s">
        <v>251</v>
      </c>
      <c r="D657">
        <v>74810</v>
      </c>
      <c r="E657" s="2">
        <v>20</v>
      </c>
      <c r="F657" s="1">
        <v>43109</v>
      </c>
      <c r="G657" t="str">
        <f>"201801098062"</f>
        <v>201801098062</v>
      </c>
      <c r="H657" t="str">
        <f>"Miscellaneou"</f>
        <v>Miscellaneou</v>
      </c>
      <c r="I657" s="2">
        <v>20</v>
      </c>
      <c r="J657" t="str">
        <f>"URIEL HERNANDEZ"</f>
        <v>URIEL HERNANDEZ</v>
      </c>
    </row>
    <row r="658" spans="1:10" x14ac:dyDescent="0.3">
      <c r="A658" t="str">
        <f t="shared" si="14"/>
        <v>01</v>
      </c>
      <c r="B658" t="str">
        <f t="shared" si="15"/>
        <v>1</v>
      </c>
      <c r="C658" t="s">
        <v>252</v>
      </c>
      <c r="D658">
        <v>74811</v>
      </c>
      <c r="E658" s="2">
        <v>20</v>
      </c>
      <c r="F658" s="1">
        <v>43109</v>
      </c>
      <c r="G658" t="str">
        <f>"201801098063"</f>
        <v>201801098063</v>
      </c>
      <c r="H658" t="str">
        <f>"Miscellane"</f>
        <v>Miscellane</v>
      </c>
      <c r="I658" s="2">
        <v>20</v>
      </c>
      <c r="J658" t="str">
        <f>"LOIS VICKY DAWSON"</f>
        <v>LOIS VICKY DAWSON</v>
      </c>
    </row>
    <row r="659" spans="1:10" x14ac:dyDescent="0.3">
      <c r="A659" t="str">
        <f t="shared" si="14"/>
        <v>01</v>
      </c>
      <c r="B659" t="str">
        <f t="shared" si="15"/>
        <v>1</v>
      </c>
      <c r="C659" t="s">
        <v>253</v>
      </c>
      <c r="D659">
        <v>74812</v>
      </c>
      <c r="E659" s="2">
        <v>20</v>
      </c>
      <c r="F659" s="1">
        <v>43109</v>
      </c>
      <c r="G659" t="str">
        <f>"201801098064"</f>
        <v>201801098064</v>
      </c>
      <c r="H659" t="str">
        <f>"Miscellaneous"</f>
        <v>Miscellaneous</v>
      </c>
      <c r="I659" s="2">
        <v>20</v>
      </c>
      <c r="J659" t="str">
        <f>"MARY ANN GRAY"</f>
        <v>MARY ANN GRAY</v>
      </c>
    </row>
    <row r="660" spans="1:10" x14ac:dyDescent="0.3">
      <c r="A660" t="str">
        <f t="shared" si="14"/>
        <v>01</v>
      </c>
      <c r="B660" t="str">
        <f t="shared" si="15"/>
        <v>1</v>
      </c>
      <c r="C660" t="s">
        <v>254</v>
      </c>
      <c r="D660">
        <v>74813</v>
      </c>
      <c r="E660" s="2">
        <v>20</v>
      </c>
      <c r="F660" s="1">
        <v>43109</v>
      </c>
      <c r="G660" t="str">
        <f>"201801098065"</f>
        <v>201801098065</v>
      </c>
      <c r="H660" t="str">
        <f>"Miscell"</f>
        <v>Miscell</v>
      </c>
      <c r="I660" s="2">
        <v>20</v>
      </c>
      <c r="J660" t="str">
        <f>"TERRY LEE MANTERNACH"</f>
        <v>TERRY LEE MANTERNACH</v>
      </c>
    </row>
    <row r="661" spans="1:10" x14ac:dyDescent="0.3">
      <c r="A661" t="str">
        <f t="shared" si="14"/>
        <v>01</v>
      </c>
      <c r="B661" t="str">
        <f t="shared" si="15"/>
        <v>1</v>
      </c>
      <c r="C661" t="s">
        <v>255</v>
      </c>
      <c r="D661">
        <v>74814</v>
      </c>
      <c r="E661" s="2">
        <v>20</v>
      </c>
      <c r="F661" s="1">
        <v>43109</v>
      </c>
      <c r="G661" t="str">
        <f>"201801098066"</f>
        <v>201801098066</v>
      </c>
      <c r="H661" t="str">
        <f>"Miscellan"</f>
        <v>Miscellan</v>
      </c>
      <c r="I661" s="2">
        <v>20</v>
      </c>
      <c r="J661" t="str">
        <f>"RICHARD DAYWOOD JR"</f>
        <v>RICHARD DAYWOOD JR</v>
      </c>
    </row>
    <row r="662" spans="1:10" x14ac:dyDescent="0.3">
      <c r="A662" t="str">
        <f t="shared" si="14"/>
        <v>01</v>
      </c>
      <c r="B662" t="str">
        <f t="shared" si="15"/>
        <v>1</v>
      </c>
      <c r="C662" t="s">
        <v>256</v>
      </c>
      <c r="D662">
        <v>74815</v>
      </c>
      <c r="E662" s="2">
        <v>20</v>
      </c>
      <c r="F662" s="1">
        <v>43109</v>
      </c>
      <c r="G662" t="str">
        <f>"201801098067"</f>
        <v>201801098067</v>
      </c>
      <c r="H662" t="str">
        <f>"Miscel"</f>
        <v>Miscel</v>
      </c>
      <c r="I662" s="2">
        <v>20</v>
      </c>
      <c r="J662" t="str">
        <f>"PRESLEY JADE HOLLOWAY"</f>
        <v>PRESLEY JADE HOLLOWAY</v>
      </c>
    </row>
    <row r="663" spans="1:10" x14ac:dyDescent="0.3">
      <c r="A663" t="str">
        <f t="shared" si="14"/>
        <v>01</v>
      </c>
      <c r="B663" t="str">
        <f t="shared" si="15"/>
        <v>1</v>
      </c>
      <c r="C663" t="s">
        <v>257</v>
      </c>
      <c r="D663">
        <v>74816</v>
      </c>
      <c r="E663" s="2">
        <v>20</v>
      </c>
      <c r="F663" s="1">
        <v>43109</v>
      </c>
      <c r="G663" t="str">
        <f>"201801098068"</f>
        <v>201801098068</v>
      </c>
      <c r="H663" t="str">
        <f>"Miscellan"</f>
        <v>Miscellan</v>
      </c>
      <c r="I663" s="2">
        <v>20</v>
      </c>
      <c r="J663" t="str">
        <f>"CONNIE EILEEN HOFF"</f>
        <v>CONNIE EILEEN HOFF</v>
      </c>
    </row>
    <row r="664" spans="1:10" x14ac:dyDescent="0.3">
      <c r="A664" t="str">
        <f t="shared" si="14"/>
        <v>01</v>
      </c>
      <c r="B664" t="str">
        <f t="shared" si="15"/>
        <v>1</v>
      </c>
      <c r="C664" t="s">
        <v>258</v>
      </c>
      <c r="D664">
        <v>74817</v>
      </c>
      <c r="E664" s="2">
        <v>20</v>
      </c>
      <c r="F664" s="1">
        <v>43109</v>
      </c>
      <c r="G664" t="str">
        <f>"201801098069"</f>
        <v>201801098069</v>
      </c>
      <c r="H664" t="str">
        <f>"Miscellan"</f>
        <v>Miscellan</v>
      </c>
      <c r="I664" s="2">
        <v>20</v>
      </c>
      <c r="J664" t="str">
        <f>"BETHANY RENEE COOK"</f>
        <v>BETHANY RENEE COOK</v>
      </c>
    </row>
    <row r="665" spans="1:10" x14ac:dyDescent="0.3">
      <c r="A665" t="str">
        <f t="shared" si="14"/>
        <v>01</v>
      </c>
      <c r="B665" t="str">
        <f t="shared" si="15"/>
        <v>1</v>
      </c>
      <c r="C665" t="s">
        <v>259</v>
      </c>
      <c r="D665">
        <v>74818</v>
      </c>
      <c r="E665" s="2">
        <v>20</v>
      </c>
      <c r="F665" s="1">
        <v>43109</v>
      </c>
      <c r="G665" t="str">
        <f>"201801098070"</f>
        <v>201801098070</v>
      </c>
      <c r="H665" t="str">
        <f>"Misc"</f>
        <v>Misc</v>
      </c>
      <c r="I665" s="2">
        <v>20</v>
      </c>
      <c r="J665" t="str">
        <f>"CYNTHIA MELISSA STELTER"</f>
        <v>CYNTHIA MELISSA STELTER</v>
      </c>
    </row>
    <row r="666" spans="1:10" x14ac:dyDescent="0.3">
      <c r="A666" t="str">
        <f t="shared" si="14"/>
        <v>01</v>
      </c>
      <c r="B666" t="str">
        <f>"005326"</f>
        <v>005326</v>
      </c>
      <c r="C666" t="s">
        <v>260</v>
      </c>
      <c r="D666">
        <v>74908</v>
      </c>
      <c r="E666" s="2">
        <v>290</v>
      </c>
      <c r="F666" s="1">
        <v>43122</v>
      </c>
      <c r="G666" t="str">
        <f>"11893/12519"</f>
        <v>11893/12519</v>
      </c>
      <c r="H666" t="str">
        <f>"Inv# 11893 &amp; 12519"</f>
        <v>Inv# 11893 &amp; 12519</v>
      </c>
      <c r="I666" s="2">
        <v>290</v>
      </c>
      <c r="J666" t="str">
        <f>"Inv# 11893"</f>
        <v>Inv# 11893</v>
      </c>
    </row>
    <row r="667" spans="1:10" x14ac:dyDescent="0.3">
      <c r="A667" t="str">
        <f>""</f>
        <v/>
      </c>
      <c r="B667" t="str">
        <f>""</f>
        <v/>
      </c>
      <c r="G667" t="str">
        <f>""</f>
        <v/>
      </c>
      <c r="H667" t="str">
        <f>""</f>
        <v/>
      </c>
      <c r="J667" t="str">
        <f>"Inv# 12519"</f>
        <v>Inv# 12519</v>
      </c>
    </row>
    <row r="668" spans="1:10" x14ac:dyDescent="0.3">
      <c r="A668" t="str">
        <f>"01"</f>
        <v>01</v>
      </c>
      <c r="B668" t="str">
        <f>"MOORE"</f>
        <v>MOORE</v>
      </c>
      <c r="C668" t="s">
        <v>261</v>
      </c>
      <c r="D668">
        <v>74909</v>
      </c>
      <c r="E668" s="2">
        <v>1244.55</v>
      </c>
      <c r="F668" s="1">
        <v>43122</v>
      </c>
      <c r="G668" t="str">
        <f>"99741661/0446"</f>
        <v>99741661/0446</v>
      </c>
      <c r="H668" t="str">
        <f>"INV 99746765"</f>
        <v>INV 99746765</v>
      </c>
      <c r="I668" s="2">
        <v>701.56</v>
      </c>
      <c r="J668" t="str">
        <f>"INV 99746765"</f>
        <v>INV 99746765</v>
      </c>
    </row>
    <row r="669" spans="1:10" x14ac:dyDescent="0.3">
      <c r="A669" t="str">
        <f>""</f>
        <v/>
      </c>
      <c r="B669" t="str">
        <f>""</f>
        <v/>
      </c>
      <c r="G669" t="str">
        <f>""</f>
        <v/>
      </c>
      <c r="H669" t="str">
        <f>""</f>
        <v/>
      </c>
      <c r="J669" t="str">
        <f>"INV 99741661"</f>
        <v>INV 99741661</v>
      </c>
    </row>
    <row r="670" spans="1:10" x14ac:dyDescent="0.3">
      <c r="A670" t="str">
        <f>""</f>
        <v/>
      </c>
      <c r="B670" t="str">
        <f>""</f>
        <v/>
      </c>
      <c r="G670" t="str">
        <f>""</f>
        <v/>
      </c>
      <c r="H670" t="str">
        <f>""</f>
        <v/>
      </c>
      <c r="J670" t="str">
        <f>"INV 99740446"</f>
        <v>INV 99740446</v>
      </c>
    </row>
    <row r="671" spans="1:10" x14ac:dyDescent="0.3">
      <c r="A671" t="str">
        <f>""</f>
        <v/>
      </c>
      <c r="B671" t="str">
        <f>""</f>
        <v/>
      </c>
      <c r="G671" t="str">
        <f>"99746332"</f>
        <v>99746332</v>
      </c>
      <c r="H671" t="str">
        <f>"INV 99746332"</f>
        <v>INV 99746332</v>
      </c>
      <c r="I671" s="2">
        <v>542.99</v>
      </c>
      <c r="J671" t="str">
        <f>"INV 99746332"</f>
        <v>INV 99746332</v>
      </c>
    </row>
    <row r="672" spans="1:10" x14ac:dyDescent="0.3">
      <c r="A672" t="str">
        <f>"01"</f>
        <v>01</v>
      </c>
      <c r="B672" t="str">
        <f>"005355"</f>
        <v>005355</v>
      </c>
      <c r="C672" t="s">
        <v>262</v>
      </c>
      <c r="D672">
        <v>74679</v>
      </c>
      <c r="E672" s="2">
        <v>2160.44</v>
      </c>
      <c r="F672" s="1">
        <v>43108</v>
      </c>
      <c r="G672" t="str">
        <f>"S151735383.001"</f>
        <v>S151735383.001</v>
      </c>
      <c r="H672" t="str">
        <f>"Order# S151735383"</f>
        <v>Order# S151735383</v>
      </c>
      <c r="I672" s="2">
        <v>1886.25</v>
      </c>
      <c r="J672" t="str">
        <f>"Part#3777242"</f>
        <v>Part#3777242</v>
      </c>
    </row>
    <row r="673" spans="1:10" x14ac:dyDescent="0.3">
      <c r="A673" t="str">
        <f>""</f>
        <v/>
      </c>
      <c r="B673" t="str">
        <f>""</f>
        <v/>
      </c>
      <c r="G673" t="str">
        <f>""</f>
        <v/>
      </c>
      <c r="H673" t="str">
        <f>""</f>
        <v/>
      </c>
      <c r="J673" t="str">
        <f>"Shipping"</f>
        <v>Shipping</v>
      </c>
    </row>
    <row r="674" spans="1:10" x14ac:dyDescent="0.3">
      <c r="A674" t="str">
        <f>""</f>
        <v/>
      </c>
      <c r="B674" t="str">
        <f>""</f>
        <v/>
      </c>
      <c r="G674" t="str">
        <f>"S151773205.001"</f>
        <v>S151773205.001</v>
      </c>
      <c r="H674" t="str">
        <f>"INV S151773205.001"</f>
        <v>INV S151773205.001</v>
      </c>
      <c r="I674" s="2">
        <v>274.19</v>
      </c>
      <c r="J674" t="str">
        <f>"INV S151773205.001"</f>
        <v>INV S151773205.001</v>
      </c>
    </row>
    <row r="675" spans="1:10" x14ac:dyDescent="0.3">
      <c r="A675" t="str">
        <f>"01"</f>
        <v>01</v>
      </c>
      <c r="B675" t="str">
        <f>"189"</f>
        <v>189</v>
      </c>
      <c r="C675" t="s">
        <v>263</v>
      </c>
      <c r="D675">
        <v>74910</v>
      </c>
      <c r="E675" s="2">
        <v>20462.349999999999</v>
      </c>
      <c r="F675" s="1">
        <v>43122</v>
      </c>
      <c r="G675" t="str">
        <f>"201801098083"</f>
        <v>201801098083</v>
      </c>
      <c r="H675" t="str">
        <f>"RADIO SVC AGREEMENT"</f>
        <v>RADIO SVC AGREEMENT</v>
      </c>
      <c r="I675" s="2">
        <v>20462.349999999999</v>
      </c>
      <c r="J675" t="str">
        <f>"RADIO SVC AGREEMENT"</f>
        <v>RADIO SVC AGREEMENT</v>
      </c>
    </row>
    <row r="676" spans="1:10" x14ac:dyDescent="0.3">
      <c r="A676" t="str">
        <f>"01"</f>
        <v>01</v>
      </c>
      <c r="B676" t="str">
        <f>"004694"</f>
        <v>004694</v>
      </c>
      <c r="C676" t="s">
        <v>264</v>
      </c>
      <c r="D676">
        <v>74911</v>
      </c>
      <c r="E676" s="2">
        <v>2220.64</v>
      </c>
      <c r="F676" s="1">
        <v>43122</v>
      </c>
      <c r="G676" t="str">
        <f>"66311568"</f>
        <v>66311568</v>
      </c>
      <c r="H676" t="str">
        <f>"Quote# 5747469"</f>
        <v>Quote# 5747469</v>
      </c>
      <c r="I676" s="2">
        <v>2220.64</v>
      </c>
      <c r="J676" t="str">
        <f>"Filter Feeder"</f>
        <v>Filter Feeder</v>
      </c>
    </row>
    <row r="677" spans="1:10" x14ac:dyDescent="0.3">
      <c r="A677" t="str">
        <f>""</f>
        <v/>
      </c>
      <c r="B677" t="str">
        <f>""</f>
        <v/>
      </c>
      <c r="G677" t="str">
        <f>""</f>
        <v/>
      </c>
      <c r="H677" t="str">
        <f>""</f>
        <v/>
      </c>
      <c r="J677" t="str">
        <f>"Filter Bag"</f>
        <v>Filter Bag</v>
      </c>
    </row>
    <row r="678" spans="1:10" x14ac:dyDescent="0.3">
      <c r="A678" t="str">
        <f>""</f>
        <v/>
      </c>
      <c r="B678" t="str">
        <f>""</f>
        <v/>
      </c>
      <c r="G678" t="str">
        <f>""</f>
        <v/>
      </c>
      <c r="H678" t="str">
        <f>""</f>
        <v/>
      </c>
      <c r="J678" t="str">
        <f>"Freight"</f>
        <v>Freight</v>
      </c>
    </row>
    <row r="679" spans="1:10" x14ac:dyDescent="0.3">
      <c r="A679" t="str">
        <f>"01"</f>
        <v>01</v>
      </c>
      <c r="B679" t="str">
        <f>"000562"</f>
        <v>000562</v>
      </c>
      <c r="C679" t="s">
        <v>265</v>
      </c>
      <c r="D679">
        <v>999999</v>
      </c>
      <c r="E679" s="2">
        <v>8034.25</v>
      </c>
      <c r="F679" s="1">
        <v>43109</v>
      </c>
      <c r="G679" t="str">
        <f>"IN0794194"</f>
        <v>IN0794194</v>
      </c>
      <c r="H679" t="str">
        <f>"INV IN0794194"</f>
        <v>INV IN0794194</v>
      </c>
      <c r="I679" s="2">
        <v>5329.45</v>
      </c>
      <c r="J679" t="str">
        <f>"INV IN0794194"</f>
        <v>INV IN0794194</v>
      </c>
    </row>
    <row r="680" spans="1:10" x14ac:dyDescent="0.3">
      <c r="A680" t="str">
        <f>""</f>
        <v/>
      </c>
      <c r="B680" t="str">
        <f>""</f>
        <v/>
      </c>
      <c r="G680" t="str">
        <f>"IN0794383/578"</f>
        <v>IN0794383/578</v>
      </c>
      <c r="H680" t="str">
        <f>"INV IN0794383"</f>
        <v>INV IN0794383</v>
      </c>
      <c r="I680" s="2">
        <v>2704.8</v>
      </c>
      <c r="J680" t="str">
        <f>"INV IN0794383"</f>
        <v>INV IN0794383</v>
      </c>
    </row>
    <row r="681" spans="1:10" x14ac:dyDescent="0.3">
      <c r="A681" t="str">
        <f>""</f>
        <v/>
      </c>
      <c r="B681" t="str">
        <f>""</f>
        <v/>
      </c>
      <c r="G681" t="str">
        <f>""</f>
        <v/>
      </c>
      <c r="H681" t="str">
        <f>""</f>
        <v/>
      </c>
      <c r="J681" t="str">
        <f>"INV IN0794578"</f>
        <v>INV IN0794578</v>
      </c>
    </row>
    <row r="682" spans="1:10" x14ac:dyDescent="0.3">
      <c r="A682" t="str">
        <f>"01"</f>
        <v>01</v>
      </c>
      <c r="B682" t="str">
        <f>"000562"</f>
        <v>000562</v>
      </c>
      <c r="C682" t="s">
        <v>265</v>
      </c>
      <c r="D682">
        <v>999999</v>
      </c>
      <c r="E682" s="2">
        <v>8029.2</v>
      </c>
      <c r="F682" s="1">
        <v>43123</v>
      </c>
      <c r="G682" t="str">
        <f>"0794707"</f>
        <v>0794707</v>
      </c>
      <c r="H682" t="str">
        <f>"INV IN0794707"</f>
        <v>INV IN0794707</v>
      </c>
      <c r="I682" s="2">
        <v>3553.2</v>
      </c>
      <c r="J682" t="str">
        <f>"INV IN0794707"</f>
        <v>INV IN0794707</v>
      </c>
    </row>
    <row r="683" spans="1:10" x14ac:dyDescent="0.3">
      <c r="A683" t="str">
        <f>""</f>
        <v/>
      </c>
      <c r="B683" t="str">
        <f>""</f>
        <v/>
      </c>
      <c r="G683" t="str">
        <f>"IN0794708"</f>
        <v>IN0794708</v>
      </c>
      <c r="H683" t="str">
        <f>"INV IN0794708"</f>
        <v>INV IN0794708</v>
      </c>
      <c r="I683" s="2">
        <v>4476</v>
      </c>
      <c r="J683" t="str">
        <f>"INV IN0794708"</f>
        <v>INV IN0794708</v>
      </c>
    </row>
    <row r="684" spans="1:10" x14ac:dyDescent="0.3">
      <c r="A684" t="str">
        <f>"01"</f>
        <v>01</v>
      </c>
      <c r="B684" t="str">
        <f>"005377"</f>
        <v>005377</v>
      </c>
      <c r="C684" t="s">
        <v>266</v>
      </c>
      <c r="D684">
        <v>74912</v>
      </c>
      <c r="E684" s="2">
        <v>137</v>
      </c>
      <c r="F684" s="1">
        <v>43122</v>
      </c>
      <c r="G684" t="str">
        <f>"300036554"</f>
        <v>300036554</v>
      </c>
      <c r="H684" t="str">
        <f>"PUBLIC SECTOR"</f>
        <v>PUBLIC SECTOR</v>
      </c>
      <c r="I684" s="2">
        <v>137</v>
      </c>
      <c r="J684" t="str">
        <f>"PUBLIC SECTOR"</f>
        <v>PUBLIC SECTOR</v>
      </c>
    </row>
    <row r="685" spans="1:10" x14ac:dyDescent="0.3">
      <c r="A685" t="str">
        <f>"01"</f>
        <v>01</v>
      </c>
      <c r="B685" t="str">
        <f>"T6614"</f>
        <v>T6614</v>
      </c>
      <c r="C685" t="s">
        <v>267</v>
      </c>
      <c r="D685">
        <v>999999</v>
      </c>
      <c r="E685" s="2">
        <v>779.15</v>
      </c>
      <c r="F685" s="1">
        <v>43123</v>
      </c>
      <c r="G685" t="str">
        <f>"0581321913"</f>
        <v>0581321913</v>
      </c>
      <c r="H685" t="str">
        <f>"CUST#1772018/CAPSULE"</f>
        <v>CUST#1772018/CAPSULE</v>
      </c>
      <c r="I685" s="2">
        <v>32.15</v>
      </c>
      <c r="J685" t="str">
        <f>"CUST#1772018/CAPSULE"</f>
        <v>CUST#1772018/CAPSULE</v>
      </c>
    </row>
    <row r="686" spans="1:10" x14ac:dyDescent="0.3">
      <c r="A686" t="str">
        <f>""</f>
        <v/>
      </c>
      <c r="B686" t="str">
        <f>""</f>
        <v/>
      </c>
      <c r="G686" t="str">
        <f>"201801118125"</f>
        <v>201801118125</v>
      </c>
      <c r="H686" t="str">
        <f>"CUST#99088/STORE#0605/PCT#4"</f>
        <v>CUST#99088/STORE#0605/PCT#4</v>
      </c>
      <c r="I686" s="2">
        <v>747</v>
      </c>
      <c r="J686" t="str">
        <f>"CUST#99088/STORE#0605/PCT#4"</f>
        <v>CUST#99088/STORE#0605/PCT#4</v>
      </c>
    </row>
    <row r="687" spans="1:10" x14ac:dyDescent="0.3">
      <c r="A687" t="str">
        <f>"01"</f>
        <v>01</v>
      </c>
      <c r="B687" t="str">
        <f>"001015"</f>
        <v>001015</v>
      </c>
      <c r="C687" t="s">
        <v>268</v>
      </c>
      <c r="D687">
        <v>74680</v>
      </c>
      <c r="E687" s="2">
        <v>1012</v>
      </c>
      <c r="F687" s="1">
        <v>43108</v>
      </c>
      <c r="G687" t="str">
        <f>"MILK INVOICES/SO"</f>
        <v>MILK INVOICES/SO</v>
      </c>
      <c r="H687" t="str">
        <f>"INV 122000607"</f>
        <v>INV 122000607</v>
      </c>
      <c r="I687" s="2">
        <v>1012</v>
      </c>
      <c r="J687" t="str">
        <f>"INV 122000607"</f>
        <v>INV 122000607</v>
      </c>
    </row>
    <row r="688" spans="1:10" x14ac:dyDescent="0.3">
      <c r="A688" t="str">
        <f>""</f>
        <v/>
      </c>
      <c r="B688" t="str">
        <f>""</f>
        <v/>
      </c>
      <c r="G688" t="str">
        <f>""</f>
        <v/>
      </c>
      <c r="H688" t="str">
        <f>""</f>
        <v/>
      </c>
      <c r="J688" t="str">
        <f>"INV 1082832"</f>
        <v>INV 1082832</v>
      </c>
    </row>
    <row r="689" spans="1:10" x14ac:dyDescent="0.3">
      <c r="A689" t="str">
        <f>""</f>
        <v/>
      </c>
      <c r="B689" t="str">
        <f>""</f>
        <v/>
      </c>
      <c r="G689" t="str">
        <f>""</f>
        <v/>
      </c>
      <c r="H689" t="str">
        <f>""</f>
        <v/>
      </c>
      <c r="J689" t="str">
        <f>"INV 1087807"</f>
        <v>INV 1087807</v>
      </c>
    </row>
    <row r="690" spans="1:10" x14ac:dyDescent="0.3">
      <c r="A690" t="str">
        <f>"01"</f>
        <v>01</v>
      </c>
      <c r="B690" t="str">
        <f>"001015"</f>
        <v>001015</v>
      </c>
      <c r="C690" t="s">
        <v>268</v>
      </c>
      <c r="D690">
        <v>74913</v>
      </c>
      <c r="E690" s="2">
        <v>905.85</v>
      </c>
      <c r="F690" s="1">
        <v>43122</v>
      </c>
      <c r="G690" t="str">
        <f>"1093451/0161/6494"</f>
        <v>1093451/0161/6494</v>
      </c>
      <c r="H690" t="str">
        <f>"INV 1090161"</f>
        <v>INV 1090161</v>
      </c>
      <c r="I690" s="2">
        <v>905.85</v>
      </c>
      <c r="J690" t="str">
        <f>"INV 1093451"</f>
        <v>INV 1093451</v>
      </c>
    </row>
    <row r="691" spans="1:10" x14ac:dyDescent="0.3">
      <c r="A691" t="str">
        <f>""</f>
        <v/>
      </c>
      <c r="B691" t="str">
        <f>""</f>
        <v/>
      </c>
      <c r="G691" t="str">
        <f>""</f>
        <v/>
      </c>
      <c r="H691" t="str">
        <f>""</f>
        <v/>
      </c>
      <c r="J691" t="str">
        <f>"INV 1090161"</f>
        <v>INV 1090161</v>
      </c>
    </row>
    <row r="692" spans="1:10" x14ac:dyDescent="0.3">
      <c r="A692" t="str">
        <f>""</f>
        <v/>
      </c>
      <c r="B692" t="str">
        <f>""</f>
        <v/>
      </c>
      <c r="G692" t="str">
        <f>""</f>
        <v/>
      </c>
      <c r="H692" t="str">
        <f>""</f>
        <v/>
      </c>
      <c r="J692" t="str">
        <f>"INV 1096494"</f>
        <v>INV 1096494</v>
      </c>
    </row>
    <row r="693" spans="1:10" x14ac:dyDescent="0.3">
      <c r="A693" t="str">
        <f>""</f>
        <v/>
      </c>
      <c r="B693" t="str">
        <f>""</f>
        <v/>
      </c>
      <c r="G693" t="str">
        <f>""</f>
        <v/>
      </c>
      <c r="H693" t="str">
        <f>""</f>
        <v/>
      </c>
      <c r="J693" t="str">
        <f>"INV 1101397"</f>
        <v>INV 1101397</v>
      </c>
    </row>
    <row r="694" spans="1:10" x14ac:dyDescent="0.3">
      <c r="A694" t="str">
        <f>"01"</f>
        <v>01</v>
      </c>
      <c r="B694" t="str">
        <f>"T5769"</f>
        <v>T5769</v>
      </c>
      <c r="C694" t="s">
        <v>269</v>
      </c>
      <c r="D694">
        <v>74914</v>
      </c>
      <c r="E694" s="2">
        <v>647.11</v>
      </c>
      <c r="F694" s="1">
        <v>43122</v>
      </c>
      <c r="G694" t="str">
        <f>"8974882"</f>
        <v>8974882</v>
      </c>
      <c r="H694" t="str">
        <f>"Bill# 8974882"</f>
        <v>Bill# 8974882</v>
      </c>
      <c r="I694" s="2">
        <v>647.11</v>
      </c>
      <c r="J694" t="str">
        <f>"Ord# 990435217001"</f>
        <v>Ord# 990435217001</v>
      </c>
    </row>
    <row r="695" spans="1:10" x14ac:dyDescent="0.3">
      <c r="A695" t="str">
        <f>""</f>
        <v/>
      </c>
      <c r="B695" t="str">
        <f>""</f>
        <v/>
      </c>
      <c r="G695" t="str">
        <f>""</f>
        <v/>
      </c>
      <c r="H695" t="str">
        <f>""</f>
        <v/>
      </c>
      <c r="J695" t="str">
        <f>"Ord# 990435513001"</f>
        <v>Ord# 990435513001</v>
      </c>
    </row>
    <row r="696" spans="1:10" x14ac:dyDescent="0.3">
      <c r="A696" t="str">
        <f>""</f>
        <v/>
      </c>
      <c r="B696" t="str">
        <f>""</f>
        <v/>
      </c>
      <c r="G696" t="str">
        <f>""</f>
        <v/>
      </c>
      <c r="H696" t="str">
        <f>""</f>
        <v/>
      </c>
      <c r="J696" t="str">
        <f>"Ord# 990391236001"</f>
        <v>Ord# 990391236001</v>
      </c>
    </row>
    <row r="697" spans="1:10" x14ac:dyDescent="0.3">
      <c r="A697" t="str">
        <f>""</f>
        <v/>
      </c>
      <c r="B697" t="str">
        <f>""</f>
        <v/>
      </c>
      <c r="G697" t="str">
        <f>""</f>
        <v/>
      </c>
      <c r="H697" t="str">
        <f>""</f>
        <v/>
      </c>
      <c r="J697" t="str">
        <f>"Ord# 990391317001"</f>
        <v>Ord# 990391317001</v>
      </c>
    </row>
    <row r="698" spans="1:10" x14ac:dyDescent="0.3">
      <c r="A698" t="str">
        <f>""</f>
        <v/>
      </c>
      <c r="B698" t="str">
        <f>""</f>
        <v/>
      </c>
      <c r="G698" t="str">
        <f>""</f>
        <v/>
      </c>
      <c r="H698" t="str">
        <f>""</f>
        <v/>
      </c>
      <c r="J698" t="str">
        <f>"Ord# 990391318001"</f>
        <v>Ord# 990391318001</v>
      </c>
    </row>
    <row r="699" spans="1:10" x14ac:dyDescent="0.3">
      <c r="A699" t="str">
        <f>""</f>
        <v/>
      </c>
      <c r="B699" t="str">
        <f>""</f>
        <v/>
      </c>
      <c r="G699" t="str">
        <f>""</f>
        <v/>
      </c>
      <c r="H699" t="str">
        <f>""</f>
        <v/>
      </c>
      <c r="J699" t="str">
        <f>"Ord# 990222955001"</f>
        <v>Ord# 990222955001</v>
      </c>
    </row>
    <row r="700" spans="1:10" x14ac:dyDescent="0.3">
      <c r="A700" t="str">
        <f>""</f>
        <v/>
      </c>
      <c r="B700" t="str">
        <f>""</f>
        <v/>
      </c>
      <c r="G700" t="str">
        <f>""</f>
        <v/>
      </c>
      <c r="H700" t="str">
        <f>""</f>
        <v/>
      </c>
      <c r="J700" t="str">
        <f>"Ord# 990223439001"</f>
        <v>Ord# 990223439001</v>
      </c>
    </row>
    <row r="701" spans="1:10" x14ac:dyDescent="0.3">
      <c r="A701" t="str">
        <f>""</f>
        <v/>
      </c>
      <c r="B701" t="str">
        <f>""</f>
        <v/>
      </c>
      <c r="G701" t="str">
        <f>""</f>
        <v/>
      </c>
      <c r="H701" t="str">
        <f>""</f>
        <v/>
      </c>
      <c r="J701" t="str">
        <f>"Ord# 988100389002"</f>
        <v>Ord# 988100389002</v>
      </c>
    </row>
    <row r="702" spans="1:10" x14ac:dyDescent="0.3">
      <c r="A702" t="str">
        <f>""</f>
        <v/>
      </c>
      <c r="B702" t="str">
        <f>""</f>
        <v/>
      </c>
      <c r="G702" t="str">
        <f>""</f>
        <v/>
      </c>
      <c r="H702" t="str">
        <f>""</f>
        <v/>
      </c>
      <c r="J702" t="str">
        <f>"Ord# 994056256001"</f>
        <v>Ord# 994056256001</v>
      </c>
    </row>
    <row r="703" spans="1:10" x14ac:dyDescent="0.3">
      <c r="A703" t="str">
        <f>""</f>
        <v/>
      </c>
      <c r="B703" t="str">
        <f>""</f>
        <v/>
      </c>
      <c r="G703" t="str">
        <f>""</f>
        <v/>
      </c>
      <c r="H703" t="str">
        <f>""</f>
        <v/>
      </c>
      <c r="J703" t="str">
        <f>"Ord# 991415982001"</f>
        <v>Ord# 991415982001</v>
      </c>
    </row>
    <row r="704" spans="1:10" x14ac:dyDescent="0.3">
      <c r="A704" t="str">
        <f>""</f>
        <v/>
      </c>
      <c r="B704" t="str">
        <f>""</f>
        <v/>
      </c>
      <c r="G704" t="str">
        <f>""</f>
        <v/>
      </c>
      <c r="H704" t="str">
        <f>""</f>
        <v/>
      </c>
      <c r="J704" t="str">
        <f>"Ord# 991416518001"</f>
        <v>Ord# 991416518001</v>
      </c>
    </row>
    <row r="705" spans="1:10" x14ac:dyDescent="0.3">
      <c r="A705" t="str">
        <f>""</f>
        <v/>
      </c>
      <c r="B705" t="str">
        <f>""</f>
        <v/>
      </c>
      <c r="G705" t="str">
        <f>""</f>
        <v/>
      </c>
      <c r="H705" t="str">
        <f>""</f>
        <v/>
      </c>
      <c r="J705" t="str">
        <f>"Ord# 993851753001"</f>
        <v>Ord# 993851753001</v>
      </c>
    </row>
    <row r="706" spans="1:10" x14ac:dyDescent="0.3">
      <c r="A706" t="str">
        <f>""</f>
        <v/>
      </c>
      <c r="B706" t="str">
        <f>""</f>
        <v/>
      </c>
      <c r="G706" t="str">
        <f>""</f>
        <v/>
      </c>
      <c r="H706" t="str">
        <f>""</f>
        <v/>
      </c>
      <c r="J706" t="str">
        <f>"Ord# 993854790001"</f>
        <v>Ord# 993854790001</v>
      </c>
    </row>
    <row r="707" spans="1:10" x14ac:dyDescent="0.3">
      <c r="A707" t="str">
        <f>"01"</f>
        <v>01</v>
      </c>
      <c r="B707" t="str">
        <f>"OMNIBA"</f>
        <v>OMNIBA</v>
      </c>
      <c r="C707" t="s">
        <v>270</v>
      </c>
      <c r="D707">
        <v>74978</v>
      </c>
      <c r="E707" s="2">
        <v>2448</v>
      </c>
      <c r="F707" s="1">
        <v>43123</v>
      </c>
      <c r="G707" t="str">
        <f>"417-001011"</f>
        <v>417-001011</v>
      </c>
      <c r="H707" t="str">
        <f>"4TH QTR 2017 - JP1"</f>
        <v>4TH QTR 2017 - JP1</v>
      </c>
      <c r="I707" s="2">
        <v>396</v>
      </c>
      <c r="J707" t="str">
        <f>"4TH QTR 2017 - JP1"</f>
        <v>4TH QTR 2017 - JP1</v>
      </c>
    </row>
    <row r="708" spans="1:10" x14ac:dyDescent="0.3">
      <c r="A708" t="str">
        <f>""</f>
        <v/>
      </c>
      <c r="B708" t="str">
        <f>""</f>
        <v/>
      </c>
      <c r="G708" t="str">
        <f>"417-002011"</f>
        <v>417-002011</v>
      </c>
      <c r="H708" t="str">
        <f>"4TH QTR 2017 - JP2"</f>
        <v>4TH QTR 2017 - JP2</v>
      </c>
      <c r="I708" s="2">
        <v>414</v>
      </c>
      <c r="J708" t="str">
        <f>"4TH QTR 2017 - JP2"</f>
        <v>4TH QTR 2017 - JP2</v>
      </c>
    </row>
    <row r="709" spans="1:10" x14ac:dyDescent="0.3">
      <c r="A709" t="str">
        <f>""</f>
        <v/>
      </c>
      <c r="B709" t="str">
        <f>""</f>
        <v/>
      </c>
      <c r="G709" t="str">
        <f>"417-003011"</f>
        <v>417-003011</v>
      </c>
      <c r="H709" t="str">
        <f>"4TH QTR 2017 - JP3"</f>
        <v>4TH QTR 2017 - JP3</v>
      </c>
      <c r="I709" s="2">
        <v>846</v>
      </c>
      <c r="J709" t="str">
        <f>"4TH QTR 2017 - JP3"</f>
        <v>4TH QTR 2017 - JP3</v>
      </c>
    </row>
    <row r="710" spans="1:10" x14ac:dyDescent="0.3">
      <c r="A710" t="str">
        <f>""</f>
        <v/>
      </c>
      <c r="B710" t="str">
        <f>""</f>
        <v/>
      </c>
      <c r="G710" t="str">
        <f>"417-004011"</f>
        <v>417-004011</v>
      </c>
      <c r="H710" t="str">
        <f>"4TH QTR 2017 - JP4"</f>
        <v>4TH QTR 2017 - JP4</v>
      </c>
      <c r="I710" s="2">
        <v>792</v>
      </c>
      <c r="J710" t="str">
        <f>"4TH QTR 2017 - JP4"</f>
        <v>4TH QTR 2017 - JP4</v>
      </c>
    </row>
    <row r="711" spans="1:10" x14ac:dyDescent="0.3">
      <c r="A711" t="str">
        <f t="shared" ref="A711:A717" si="16">"01"</f>
        <v>01</v>
      </c>
      <c r="B711" t="str">
        <f>"005285"</f>
        <v>005285</v>
      </c>
      <c r="C711" t="s">
        <v>271</v>
      </c>
      <c r="D711">
        <v>74681</v>
      </c>
      <c r="E711" s="2">
        <v>40</v>
      </c>
      <c r="F711" s="1">
        <v>43108</v>
      </c>
      <c r="G711" t="str">
        <f>"201801027627"</f>
        <v>201801027627</v>
      </c>
      <c r="H711" t="str">
        <f>"FERAL HOGS"</f>
        <v>FERAL HOGS</v>
      </c>
      <c r="I711" s="2">
        <v>40</v>
      </c>
      <c r="J711" t="str">
        <f>"FERAL HOGS"</f>
        <v>FERAL HOGS</v>
      </c>
    </row>
    <row r="712" spans="1:10" x14ac:dyDescent="0.3">
      <c r="A712" t="str">
        <f t="shared" si="16"/>
        <v>01</v>
      </c>
      <c r="B712" t="str">
        <f>"OP"</f>
        <v>OP</v>
      </c>
      <c r="C712" t="s">
        <v>272</v>
      </c>
      <c r="D712">
        <v>74915</v>
      </c>
      <c r="E712" s="2">
        <v>155</v>
      </c>
      <c r="F712" s="1">
        <v>43122</v>
      </c>
      <c r="G712" t="str">
        <f>"17029"</f>
        <v>17029</v>
      </c>
      <c r="H712" t="str">
        <f>"PLUMBING SVCS-ANIMAL CONTROL"</f>
        <v>PLUMBING SVCS-ANIMAL CONTROL</v>
      </c>
      <c r="I712" s="2">
        <v>155</v>
      </c>
      <c r="J712" t="str">
        <f>"PLUMBING SVCS-ANIMAL CONTROL"</f>
        <v>PLUMBING SVCS-ANIMAL CONTROL</v>
      </c>
    </row>
    <row r="713" spans="1:10" x14ac:dyDescent="0.3">
      <c r="A713" t="str">
        <f t="shared" si="16"/>
        <v>01</v>
      </c>
      <c r="B713" t="str">
        <f>"PAIGE"</f>
        <v>PAIGE</v>
      </c>
      <c r="C713" t="s">
        <v>273</v>
      </c>
      <c r="D713">
        <v>74682</v>
      </c>
      <c r="E713" s="2">
        <v>246.92</v>
      </c>
      <c r="F713" s="1">
        <v>43108</v>
      </c>
      <c r="G713" t="str">
        <f>"59051"</f>
        <v>59051</v>
      </c>
      <c r="H713" t="str">
        <f>"CHAIN SAW/PCT#2"</f>
        <v>CHAIN SAW/PCT#2</v>
      </c>
      <c r="I713" s="2">
        <v>246.92</v>
      </c>
      <c r="J713" t="str">
        <f>"CHAIN SAW/PCT#2"</f>
        <v>CHAIN SAW/PCT#2</v>
      </c>
    </row>
    <row r="714" spans="1:10" x14ac:dyDescent="0.3">
      <c r="A714" t="str">
        <f t="shared" si="16"/>
        <v>01</v>
      </c>
      <c r="B714" t="str">
        <f>"003566"</f>
        <v>003566</v>
      </c>
      <c r="C714" t="s">
        <v>274</v>
      </c>
      <c r="D714">
        <v>74916</v>
      </c>
      <c r="E714" s="2">
        <v>238.23</v>
      </c>
      <c r="F714" s="1">
        <v>43122</v>
      </c>
      <c r="G714" t="str">
        <f>"201801118127"</f>
        <v>201801118127</v>
      </c>
      <c r="H714" t="str">
        <f>"ACCT#1137/PCT#4"</f>
        <v>ACCT#1137/PCT#4</v>
      </c>
      <c r="I714" s="2">
        <v>238.23</v>
      </c>
      <c r="J714" t="str">
        <f>"ACCT#1137/PCT#4"</f>
        <v>ACCT#1137/PCT#4</v>
      </c>
    </row>
    <row r="715" spans="1:10" x14ac:dyDescent="0.3">
      <c r="A715" t="str">
        <f t="shared" si="16"/>
        <v>01</v>
      </c>
      <c r="B715" t="str">
        <f>"003321"</f>
        <v>003321</v>
      </c>
      <c r="C715" t="s">
        <v>275</v>
      </c>
      <c r="D715">
        <v>74683</v>
      </c>
      <c r="E715" s="2">
        <v>50</v>
      </c>
      <c r="F715" s="1">
        <v>43108</v>
      </c>
      <c r="G715" t="str">
        <f>"201801027628"</f>
        <v>201801027628</v>
      </c>
      <c r="H715" t="str">
        <f>"FERAL HOGS"</f>
        <v>FERAL HOGS</v>
      </c>
      <c r="I715" s="2">
        <v>50</v>
      </c>
      <c r="J715" t="str">
        <f>"FERAL HOGS"</f>
        <v>FERAL HOGS</v>
      </c>
    </row>
    <row r="716" spans="1:10" x14ac:dyDescent="0.3">
      <c r="A716" t="str">
        <f t="shared" si="16"/>
        <v>01</v>
      </c>
      <c r="B716" t="str">
        <f>"001210"</f>
        <v>001210</v>
      </c>
      <c r="C716" t="s">
        <v>276</v>
      </c>
      <c r="D716">
        <v>74917</v>
      </c>
      <c r="E716" s="2">
        <v>165</v>
      </c>
      <c r="F716" s="1">
        <v>43122</v>
      </c>
      <c r="G716" t="str">
        <f>"L0417/UNIT1371"</f>
        <v>L0417/UNIT1371</v>
      </c>
      <c r="H716" t="str">
        <f>"INV L0417/UNIT 1371 OWENS"</f>
        <v>INV L0417/UNIT 1371 OWENS</v>
      </c>
      <c r="I716" s="2">
        <v>165</v>
      </c>
      <c r="J716" t="str">
        <f>"INV L0417/UNIT 1371 OWENS"</f>
        <v>INV L0417/UNIT 1371 OWENS</v>
      </c>
    </row>
    <row r="717" spans="1:10" x14ac:dyDescent="0.3">
      <c r="A717" t="str">
        <f t="shared" si="16"/>
        <v>01</v>
      </c>
      <c r="B717" t="str">
        <f>"WEBSTE"</f>
        <v>WEBSTE</v>
      </c>
      <c r="C717" t="s">
        <v>277</v>
      </c>
      <c r="D717">
        <v>74918</v>
      </c>
      <c r="E717" s="2">
        <v>7239.25</v>
      </c>
      <c r="F717" s="1">
        <v>43122</v>
      </c>
      <c r="G717" t="str">
        <f>"201801178166"</f>
        <v>201801178166</v>
      </c>
      <c r="H717" t="str">
        <f>"ACCT#0200140783/ANIMAL CONTROL"</f>
        <v>ACCT#0200140783/ANIMAL CONTROL</v>
      </c>
      <c r="I717" s="2">
        <v>7239.25</v>
      </c>
      <c r="J717" t="str">
        <f>"ACCT#0200140783/ANIMAL CONTROL"</f>
        <v>ACCT#0200140783/ANIMAL CONTROL</v>
      </c>
    </row>
    <row r="718" spans="1:10" x14ac:dyDescent="0.3">
      <c r="A718" t="str">
        <f>""</f>
        <v/>
      </c>
      <c r="B718" t="str">
        <f>""</f>
        <v/>
      </c>
      <c r="G718" t="str">
        <f>""</f>
        <v/>
      </c>
      <c r="H718" t="str">
        <f>""</f>
        <v/>
      </c>
      <c r="J718" t="str">
        <f>"ACCT#0200140783/ANIMAL CONTROL"</f>
        <v>ACCT#0200140783/ANIMAL CONTROL</v>
      </c>
    </row>
    <row r="719" spans="1:10" x14ac:dyDescent="0.3">
      <c r="A719" t="str">
        <f>"01"</f>
        <v>01</v>
      </c>
      <c r="B719" t="str">
        <f>"001854"</f>
        <v>001854</v>
      </c>
      <c r="C719" t="s">
        <v>278</v>
      </c>
      <c r="D719">
        <v>74684</v>
      </c>
      <c r="E719" s="2">
        <v>247</v>
      </c>
      <c r="F719" s="1">
        <v>43108</v>
      </c>
      <c r="G719" t="str">
        <f>"201801027679"</f>
        <v>201801027679</v>
      </c>
      <c r="H719" t="str">
        <f>"TRASH REMOVAL/PCT#4"</f>
        <v>TRASH REMOVAL/PCT#4</v>
      </c>
      <c r="I719" s="2">
        <v>123.5</v>
      </c>
      <c r="J719" t="str">
        <f>"TRASH REMOVAL/PCT#4"</f>
        <v>TRASH REMOVAL/PCT#4</v>
      </c>
    </row>
    <row r="720" spans="1:10" x14ac:dyDescent="0.3">
      <c r="A720" t="str">
        <f>""</f>
        <v/>
      </c>
      <c r="B720" t="str">
        <f>""</f>
        <v/>
      </c>
      <c r="G720" t="str">
        <f>"201801027680"</f>
        <v>201801027680</v>
      </c>
      <c r="H720" t="str">
        <f>"TRASH REMOVAL/PCT#4"</f>
        <v>TRASH REMOVAL/PCT#4</v>
      </c>
      <c r="I720" s="2">
        <v>123.5</v>
      </c>
      <c r="J720" t="str">
        <f>"TRASH REMOVAL/PCT#4"</f>
        <v>TRASH REMOVAL/PCT#4</v>
      </c>
    </row>
    <row r="721" spans="1:10" x14ac:dyDescent="0.3">
      <c r="A721" t="str">
        <f t="shared" ref="A721:A729" si="17">"01"</f>
        <v>01</v>
      </c>
      <c r="B721" t="str">
        <f>"001854"</f>
        <v>001854</v>
      </c>
      <c r="C721" t="s">
        <v>278</v>
      </c>
      <c r="D721">
        <v>74919</v>
      </c>
      <c r="E721" s="2">
        <v>390</v>
      </c>
      <c r="F721" s="1">
        <v>43122</v>
      </c>
      <c r="G721" t="str">
        <f>"201801178169"</f>
        <v>201801178169</v>
      </c>
      <c r="H721" t="str">
        <f>"TRASH REMOVAL SVCS/1/8TO1/18"</f>
        <v>TRASH REMOVAL SVCS/1/8TO1/18</v>
      </c>
      <c r="I721" s="2">
        <v>390</v>
      </c>
      <c r="J721" t="str">
        <f>"TRASH REMOVAL SVCS/1/8TO1/18"</f>
        <v>TRASH REMOVAL SVCS/1/8TO1/18</v>
      </c>
    </row>
    <row r="722" spans="1:10" x14ac:dyDescent="0.3">
      <c r="A722" t="str">
        <f t="shared" si="17"/>
        <v>01</v>
      </c>
      <c r="B722" t="str">
        <f>"PET"</f>
        <v>PET</v>
      </c>
      <c r="C722" t="s">
        <v>279</v>
      </c>
      <c r="D722">
        <v>74920</v>
      </c>
      <c r="E722" s="2">
        <v>24.25</v>
      </c>
      <c r="F722" s="1">
        <v>43122</v>
      </c>
      <c r="G722" t="str">
        <f>"SIUN11123405"</f>
        <v>SIUN11123405</v>
      </c>
      <c r="H722" t="str">
        <f>"REGISTRATION-ADOPTION"</f>
        <v>REGISTRATION-ADOPTION</v>
      </c>
      <c r="I722" s="2">
        <v>24.25</v>
      </c>
      <c r="J722" t="str">
        <f>"REGISTRATION-ADOPTION"</f>
        <v>REGISTRATION-ADOPTION</v>
      </c>
    </row>
    <row r="723" spans="1:10" x14ac:dyDescent="0.3">
      <c r="A723" t="str">
        <f t="shared" si="17"/>
        <v>01</v>
      </c>
      <c r="B723" t="str">
        <f>"PRD"</f>
        <v>PRD</v>
      </c>
      <c r="C723" t="s">
        <v>280</v>
      </c>
      <c r="D723">
        <v>999999</v>
      </c>
      <c r="E723" s="2">
        <v>250</v>
      </c>
      <c r="F723" s="1">
        <v>43109</v>
      </c>
      <c r="G723" t="str">
        <f>"201801037728"</f>
        <v>201801037728</v>
      </c>
      <c r="H723" t="str">
        <f>"53599"</f>
        <v>53599</v>
      </c>
      <c r="I723" s="2">
        <v>250</v>
      </c>
      <c r="J723" t="str">
        <f>"53599"</f>
        <v>53599</v>
      </c>
    </row>
    <row r="724" spans="1:10" x14ac:dyDescent="0.3">
      <c r="A724" t="str">
        <f t="shared" si="17"/>
        <v>01</v>
      </c>
      <c r="B724" t="str">
        <f>"PCAS"</f>
        <v>PCAS</v>
      </c>
      <c r="C724" t="s">
        <v>281</v>
      </c>
      <c r="D724">
        <v>74685</v>
      </c>
      <c r="E724" s="2">
        <v>14</v>
      </c>
      <c r="F724" s="1">
        <v>43108</v>
      </c>
      <c r="G724" t="str">
        <f>"003126"</f>
        <v>003126</v>
      </c>
      <c r="H724" t="str">
        <f>"STATE INSP/PCT#3"</f>
        <v>STATE INSP/PCT#3</v>
      </c>
      <c r="I724" s="2">
        <v>14</v>
      </c>
      <c r="J724" t="str">
        <f>"STATE INSP/PCT#3"</f>
        <v>STATE INSP/PCT#3</v>
      </c>
    </row>
    <row r="725" spans="1:10" x14ac:dyDescent="0.3">
      <c r="A725" t="str">
        <f t="shared" si="17"/>
        <v>01</v>
      </c>
      <c r="B725" t="str">
        <f>"T9047"</f>
        <v>T9047</v>
      </c>
      <c r="C725" t="s">
        <v>282</v>
      </c>
      <c r="D725">
        <v>74921</v>
      </c>
      <c r="E725" s="2">
        <v>32.25</v>
      </c>
      <c r="F725" s="1">
        <v>43122</v>
      </c>
      <c r="G725" t="str">
        <f>"1006216952"</f>
        <v>1006216952</v>
      </c>
      <c r="H725" t="str">
        <f>"INV 1006216952"</f>
        <v>INV 1006216952</v>
      </c>
      <c r="I725" s="2">
        <v>32.25</v>
      </c>
      <c r="J725" t="str">
        <f>"INV 1006216952"</f>
        <v>INV 1006216952</v>
      </c>
    </row>
    <row r="726" spans="1:10" x14ac:dyDescent="0.3">
      <c r="A726" t="str">
        <f t="shared" si="17"/>
        <v>01</v>
      </c>
      <c r="B726" t="str">
        <f>"PB"</f>
        <v>PB</v>
      </c>
      <c r="C726" t="s">
        <v>283</v>
      </c>
      <c r="D726">
        <v>999999</v>
      </c>
      <c r="E726" s="2">
        <v>1631.01</v>
      </c>
      <c r="F726" s="1">
        <v>43109</v>
      </c>
      <c r="G726" t="str">
        <f>"3305218921"</f>
        <v>3305218921</v>
      </c>
      <c r="H726" t="str">
        <f>"ACCT#0011198047/BASTROP COUNTY"</f>
        <v>ACCT#0011198047/BASTROP COUNTY</v>
      </c>
      <c r="I726" s="2">
        <v>1631.01</v>
      </c>
      <c r="J726" t="str">
        <f>"ACCT#0011198047/BASTROP COUNTY"</f>
        <v>ACCT#0011198047/BASTROP COUNTY</v>
      </c>
    </row>
    <row r="727" spans="1:10" x14ac:dyDescent="0.3">
      <c r="A727" t="str">
        <f t="shared" si="17"/>
        <v>01</v>
      </c>
      <c r="B727" t="str">
        <f>"WOSC"</f>
        <v>WOSC</v>
      </c>
      <c r="C727" t="s">
        <v>284</v>
      </c>
      <c r="D727">
        <v>74922</v>
      </c>
      <c r="E727" s="2">
        <v>127.68</v>
      </c>
      <c r="F727" s="1">
        <v>43122</v>
      </c>
      <c r="G727" t="str">
        <f>"80688267"</f>
        <v>80688267</v>
      </c>
      <c r="H727" t="str">
        <f>"CUST#71364636/PCT#3"</f>
        <v>CUST#71364636/PCT#3</v>
      </c>
      <c r="I727" s="2">
        <v>127.68</v>
      </c>
      <c r="J727" t="str">
        <f>"CUST#71364636/PCT#3"</f>
        <v>CUST#71364636/PCT#3</v>
      </c>
    </row>
    <row r="728" spans="1:10" x14ac:dyDescent="0.3">
      <c r="A728" t="str">
        <f t="shared" si="17"/>
        <v>01</v>
      </c>
      <c r="B728" t="str">
        <f>"T8663"</f>
        <v>T8663</v>
      </c>
      <c r="C728" t="s">
        <v>285</v>
      </c>
      <c r="D728">
        <v>74686</v>
      </c>
      <c r="E728" s="2">
        <v>330</v>
      </c>
      <c r="F728" s="1">
        <v>43108</v>
      </c>
      <c r="G728" t="str">
        <f>"BCEC001112717"</f>
        <v>BCEC001112717</v>
      </c>
      <c r="H728" t="str">
        <f>"TLEDDS RENEWAL"</f>
        <v>TLEDDS RENEWAL</v>
      </c>
      <c r="I728" s="2">
        <v>330</v>
      </c>
      <c r="J728" t="str">
        <f>"TLEDDS RENEWAL"</f>
        <v>TLEDDS RENEWAL</v>
      </c>
    </row>
    <row r="729" spans="1:10" x14ac:dyDescent="0.3">
      <c r="A729" t="str">
        <f t="shared" si="17"/>
        <v>01</v>
      </c>
      <c r="B729" t="str">
        <f>"T3233"</f>
        <v>T3233</v>
      </c>
      <c r="C729" t="s">
        <v>286</v>
      </c>
      <c r="D729">
        <v>74687</v>
      </c>
      <c r="E729" s="2">
        <v>164.65</v>
      </c>
      <c r="F729" s="1">
        <v>43108</v>
      </c>
      <c r="G729" t="str">
        <f>"INVS FOR C6796564"</f>
        <v>INVS FOR C6796564</v>
      </c>
      <c r="H729" t="str">
        <f>"Account# C6796564"</f>
        <v>Account# C6796564</v>
      </c>
      <c r="I729" s="2">
        <v>164.65</v>
      </c>
      <c r="J729" t="str">
        <f>"Invoice# 3413129"</f>
        <v>Invoice# 3413129</v>
      </c>
    </row>
    <row r="730" spans="1:10" x14ac:dyDescent="0.3">
      <c r="A730" t="str">
        <f>""</f>
        <v/>
      </c>
      <c r="B730" t="str">
        <f>""</f>
        <v/>
      </c>
      <c r="G730" t="str">
        <f>""</f>
        <v/>
      </c>
      <c r="H730" t="str">
        <f>""</f>
        <v/>
      </c>
      <c r="J730" t="str">
        <f>"Invoice# 3238418"</f>
        <v>Invoice# 3238418</v>
      </c>
    </row>
    <row r="731" spans="1:10" x14ac:dyDescent="0.3">
      <c r="A731" t="str">
        <f>""</f>
        <v/>
      </c>
      <c r="B731" t="str">
        <f>""</f>
        <v/>
      </c>
      <c r="G731" t="str">
        <f>""</f>
        <v/>
      </c>
      <c r="H731" t="str">
        <f>""</f>
        <v/>
      </c>
      <c r="J731" t="str">
        <f>"Invoice# 3276167"</f>
        <v>Invoice# 3276167</v>
      </c>
    </row>
    <row r="732" spans="1:10" x14ac:dyDescent="0.3">
      <c r="A732" t="str">
        <f>""</f>
        <v/>
      </c>
      <c r="B732" t="str">
        <f>""</f>
        <v/>
      </c>
      <c r="G732" t="str">
        <f>""</f>
        <v/>
      </c>
      <c r="H732" t="str">
        <f>""</f>
        <v/>
      </c>
      <c r="J732" t="str">
        <f>"Invoice# 3283111"</f>
        <v>Invoice# 3283111</v>
      </c>
    </row>
    <row r="733" spans="1:10" x14ac:dyDescent="0.3">
      <c r="A733" t="str">
        <f>""</f>
        <v/>
      </c>
      <c r="B733" t="str">
        <f>""</f>
        <v/>
      </c>
      <c r="G733" t="str">
        <f>""</f>
        <v/>
      </c>
      <c r="H733" t="str">
        <f>""</f>
        <v/>
      </c>
      <c r="J733" t="str">
        <f>"Invoice# 3294481"</f>
        <v>Invoice# 3294481</v>
      </c>
    </row>
    <row r="734" spans="1:10" x14ac:dyDescent="0.3">
      <c r="A734" t="str">
        <f>"01"</f>
        <v>01</v>
      </c>
      <c r="B734" t="str">
        <f>"T3233"</f>
        <v>T3233</v>
      </c>
      <c r="C734" t="s">
        <v>286</v>
      </c>
      <c r="D734">
        <v>74923</v>
      </c>
      <c r="E734" s="2">
        <v>71.900000000000006</v>
      </c>
      <c r="F734" s="1">
        <v>43122</v>
      </c>
      <c r="G734" t="str">
        <f>"19666/19667"</f>
        <v>19666/19667</v>
      </c>
      <c r="H734" t="str">
        <f>"Account# C6796564"</f>
        <v>Account# C6796564</v>
      </c>
      <c r="I734" s="2">
        <v>71.900000000000006</v>
      </c>
      <c r="J734" t="str">
        <f>"INV# 356245"</f>
        <v>INV# 356245</v>
      </c>
    </row>
    <row r="735" spans="1:10" x14ac:dyDescent="0.3">
      <c r="A735" t="str">
        <f>""</f>
        <v/>
      </c>
      <c r="B735" t="str">
        <f>""</f>
        <v/>
      </c>
      <c r="G735" t="str">
        <f>""</f>
        <v/>
      </c>
      <c r="H735" t="str">
        <f>""</f>
        <v/>
      </c>
      <c r="J735" t="str">
        <f>"INV# 3613243"</f>
        <v>INV# 3613243</v>
      </c>
    </row>
    <row r="736" spans="1:10" x14ac:dyDescent="0.3">
      <c r="A736" t="str">
        <f>"01"</f>
        <v>01</v>
      </c>
      <c r="B736" t="str">
        <f>"005341"</f>
        <v>005341</v>
      </c>
      <c r="C736" t="s">
        <v>287</v>
      </c>
      <c r="D736">
        <v>74924</v>
      </c>
      <c r="E736" s="2">
        <v>5044.1000000000004</v>
      </c>
      <c r="F736" s="1">
        <v>43122</v>
      </c>
      <c r="G736" t="str">
        <f>"008224"</f>
        <v>008224</v>
      </c>
      <c r="H736" t="str">
        <f>"2017 RAM ACCESSORIES/PCT#3"</f>
        <v>2017 RAM ACCESSORIES/PCT#3</v>
      </c>
      <c r="I736" s="2">
        <v>5044.1000000000004</v>
      </c>
      <c r="J736" t="str">
        <f>"2017 RAM ACCESSORIES/PCT#3"</f>
        <v>2017 RAM ACCESSORIES/PCT#3</v>
      </c>
    </row>
    <row r="737" spans="1:10" x14ac:dyDescent="0.3">
      <c r="A737" t="str">
        <f>"01"</f>
        <v>01</v>
      </c>
      <c r="B737" t="str">
        <f>"005391"</f>
        <v>005391</v>
      </c>
      <c r="C737" t="s">
        <v>288</v>
      </c>
      <c r="D737">
        <v>74925</v>
      </c>
      <c r="E737" s="2">
        <v>1180</v>
      </c>
      <c r="F737" s="1">
        <v>43122</v>
      </c>
      <c r="G737" t="str">
        <f>"001"</f>
        <v>001</v>
      </c>
      <c r="H737" t="str">
        <f>"PHYSICIAN SVCS/CAUSE#15 914"</f>
        <v>PHYSICIAN SVCS/CAUSE#15 914</v>
      </c>
      <c r="I737" s="2">
        <v>1180</v>
      </c>
      <c r="J737" t="str">
        <f>"PHYSICIAN SVCS/CAUSE#15 914"</f>
        <v>PHYSICIAN SVCS/CAUSE#15 914</v>
      </c>
    </row>
    <row r="738" spans="1:10" x14ac:dyDescent="0.3">
      <c r="A738" t="str">
        <f>"01"</f>
        <v>01</v>
      </c>
      <c r="B738" t="str">
        <f>"002673"</f>
        <v>002673</v>
      </c>
      <c r="C738" t="s">
        <v>289</v>
      </c>
      <c r="D738">
        <v>74688</v>
      </c>
      <c r="E738" s="2">
        <v>2000</v>
      </c>
      <c r="F738" s="1">
        <v>43108</v>
      </c>
      <c r="G738" t="str">
        <f>"4440"</f>
        <v>4440</v>
      </c>
      <c r="H738" t="str">
        <f>"TROUBLESHOOT/ER REPAIR"</f>
        <v>TROUBLESHOOT/ER REPAIR</v>
      </c>
      <c r="I738" s="2">
        <v>2000</v>
      </c>
      <c r="J738" t="str">
        <f>"TROUBLESHOOT/ER REPAIR"</f>
        <v>TROUBLESHOOT/ER REPAIR</v>
      </c>
    </row>
    <row r="739" spans="1:10" x14ac:dyDescent="0.3">
      <c r="A739" t="str">
        <f>"01"</f>
        <v>01</v>
      </c>
      <c r="B739" t="str">
        <f>"000591"</f>
        <v>000591</v>
      </c>
      <c r="C739" t="s">
        <v>290</v>
      </c>
      <c r="D739">
        <v>999999</v>
      </c>
      <c r="E739" s="2">
        <v>128.77000000000001</v>
      </c>
      <c r="F739" s="1">
        <v>43109</v>
      </c>
      <c r="G739" t="str">
        <f>"07L0121569859"</f>
        <v>07L0121569859</v>
      </c>
      <c r="H739" t="str">
        <f>"ACCT#0121569859/JP4"</f>
        <v>ACCT#0121569859/JP4</v>
      </c>
      <c r="I739" s="2">
        <v>22.93</v>
      </c>
      <c r="J739" t="str">
        <f>"ACCT#0121569859/JP4"</f>
        <v>ACCT#0121569859/JP4</v>
      </c>
    </row>
    <row r="740" spans="1:10" x14ac:dyDescent="0.3">
      <c r="A740" t="str">
        <f>""</f>
        <v/>
      </c>
      <c r="B740" t="str">
        <f>""</f>
        <v/>
      </c>
      <c r="G740" t="str">
        <f>"07L0121587851"</f>
        <v>07L0121587851</v>
      </c>
      <c r="H740" t="str">
        <f>"ACCT#0121587851/PCT#4"</f>
        <v>ACCT#0121587851/PCT#4</v>
      </c>
      <c r="I740" s="2">
        <v>105.84</v>
      </c>
      <c r="J740" t="str">
        <f>"ACCT#0121587851/PCT#4"</f>
        <v>ACCT#0121587851/PCT#4</v>
      </c>
    </row>
    <row r="741" spans="1:10" x14ac:dyDescent="0.3">
      <c r="A741" t="str">
        <f>"01"</f>
        <v>01</v>
      </c>
      <c r="B741" t="str">
        <f>"005368"</f>
        <v>005368</v>
      </c>
      <c r="C741" t="s">
        <v>291</v>
      </c>
      <c r="D741">
        <v>74689</v>
      </c>
      <c r="E741" s="2">
        <v>10</v>
      </c>
      <c r="F741" s="1">
        <v>43108</v>
      </c>
      <c r="G741" t="str">
        <f>"201801027629"</f>
        <v>201801027629</v>
      </c>
      <c r="H741" t="str">
        <f>"FERAL HOGS"</f>
        <v>FERAL HOGS</v>
      </c>
      <c r="I741" s="2">
        <v>10</v>
      </c>
      <c r="J741" t="str">
        <f>"FERAL HOGS"</f>
        <v>FERAL HOGS</v>
      </c>
    </row>
    <row r="742" spans="1:10" x14ac:dyDescent="0.3">
      <c r="A742" t="str">
        <f>"01"</f>
        <v>01</v>
      </c>
      <c r="B742" t="str">
        <f>"003737"</f>
        <v>003737</v>
      </c>
      <c r="C742" t="s">
        <v>292</v>
      </c>
      <c r="D742">
        <v>74760</v>
      </c>
      <c r="E742" s="2">
        <v>330.96</v>
      </c>
      <c r="F742" s="1">
        <v>43109</v>
      </c>
      <c r="G742" t="str">
        <f>"0843-001413672"</f>
        <v>0843-001413672</v>
      </c>
      <c r="H742" t="str">
        <f>"ACCT#3-0843-1269216 / 12262017"</f>
        <v>ACCT#3-0843-1269216 / 12262017</v>
      </c>
      <c r="I742" s="2">
        <v>330.96</v>
      </c>
      <c r="J742" t="str">
        <f>"ACCT#3-0843-1269216 / 12262017"</f>
        <v>ACCT#3-0843-1269216 / 12262017</v>
      </c>
    </row>
    <row r="743" spans="1:10" x14ac:dyDescent="0.3">
      <c r="A743" t="str">
        <f>"01"</f>
        <v>01</v>
      </c>
      <c r="B743" t="str">
        <f>"003737"</f>
        <v>003737</v>
      </c>
      <c r="C743" t="s">
        <v>292</v>
      </c>
      <c r="D743">
        <v>74979</v>
      </c>
      <c r="E743" s="2">
        <v>2124.7199999999998</v>
      </c>
      <c r="F743" s="1">
        <v>43123</v>
      </c>
      <c r="G743" t="str">
        <f>"0843-001415147"</f>
        <v>0843-001415147</v>
      </c>
      <c r="H743" t="str">
        <f>"ACCT#3-0843-0017094 / 12312017"</f>
        <v>ACCT#3-0843-0017094 / 12312017</v>
      </c>
      <c r="I743" s="2">
        <v>2124.7199999999998</v>
      </c>
      <c r="J743" t="str">
        <f>"ACCT#3-0843-0017094 / 12312017"</f>
        <v>ACCT#3-0843-0017094 / 12312017</v>
      </c>
    </row>
    <row r="744" spans="1:10" x14ac:dyDescent="0.3">
      <c r="A744" t="str">
        <f>"01"</f>
        <v>01</v>
      </c>
      <c r="B744" t="str">
        <f>"001322"</f>
        <v>001322</v>
      </c>
      <c r="C744" t="s">
        <v>293</v>
      </c>
      <c r="D744">
        <v>999999</v>
      </c>
      <c r="E744" s="2">
        <v>1406.58</v>
      </c>
      <c r="F744" s="1">
        <v>43109</v>
      </c>
      <c r="G744" t="str">
        <f>"1073830150"</f>
        <v>1073830150</v>
      </c>
      <c r="H744" t="str">
        <f>"CUST#1073830150/CARTRIDGE/DA'S"</f>
        <v>CUST#1073830150/CARTRIDGE/DA'S</v>
      </c>
      <c r="I744" s="2">
        <v>120.05</v>
      </c>
      <c r="J744" t="str">
        <f>"CUST#1073830150/CARTRIDGE/DA'S"</f>
        <v>CUST#1073830150/CARTRIDGE/DA'S</v>
      </c>
    </row>
    <row r="745" spans="1:10" x14ac:dyDescent="0.3">
      <c r="A745" t="str">
        <f>""</f>
        <v/>
      </c>
      <c r="B745" t="str">
        <f>""</f>
        <v/>
      </c>
      <c r="G745" t="str">
        <f>"5051692155"</f>
        <v>5051692155</v>
      </c>
      <c r="H745" t="str">
        <f>"CONTRACT#4457471/BASTROP CO"</f>
        <v>CONTRACT#4457471/BASTROP CO</v>
      </c>
      <c r="I745" s="2">
        <v>1132.18</v>
      </c>
      <c r="J745" t="str">
        <f t="shared" ref="J745:J761" si="18">"CONTRACT#4457471/BASTROP CO"</f>
        <v>CONTRACT#4457471/BASTROP CO</v>
      </c>
    </row>
    <row r="746" spans="1:10" x14ac:dyDescent="0.3">
      <c r="A746" t="str">
        <f>""</f>
        <v/>
      </c>
      <c r="B746" t="str">
        <f>""</f>
        <v/>
      </c>
      <c r="G746" t="str">
        <f>""</f>
        <v/>
      </c>
      <c r="H746" t="str">
        <f>""</f>
        <v/>
      </c>
      <c r="J746" t="str">
        <f t="shared" si="18"/>
        <v>CONTRACT#4457471/BASTROP CO</v>
      </c>
    </row>
    <row r="747" spans="1:10" x14ac:dyDescent="0.3">
      <c r="A747" t="str">
        <f>""</f>
        <v/>
      </c>
      <c r="B747" t="str">
        <f>""</f>
        <v/>
      </c>
      <c r="G747" t="str">
        <f>""</f>
        <v/>
      </c>
      <c r="H747" t="str">
        <f>""</f>
        <v/>
      </c>
      <c r="J747" t="str">
        <f t="shared" si="18"/>
        <v>CONTRACT#4457471/BASTROP CO</v>
      </c>
    </row>
    <row r="748" spans="1:10" x14ac:dyDescent="0.3">
      <c r="A748" t="str">
        <f>""</f>
        <v/>
      </c>
      <c r="B748" t="str">
        <f>""</f>
        <v/>
      </c>
      <c r="G748" t="str">
        <f>""</f>
        <v/>
      </c>
      <c r="H748" t="str">
        <f>""</f>
        <v/>
      </c>
      <c r="J748" t="str">
        <f t="shared" si="18"/>
        <v>CONTRACT#4457471/BASTROP CO</v>
      </c>
    </row>
    <row r="749" spans="1:10" x14ac:dyDescent="0.3">
      <c r="A749" t="str">
        <f>""</f>
        <v/>
      </c>
      <c r="B749" t="str">
        <f>""</f>
        <v/>
      </c>
      <c r="G749" t="str">
        <f>""</f>
        <v/>
      </c>
      <c r="H749" t="str">
        <f>""</f>
        <v/>
      </c>
      <c r="J749" t="str">
        <f t="shared" si="18"/>
        <v>CONTRACT#4457471/BASTROP CO</v>
      </c>
    </row>
    <row r="750" spans="1:10" x14ac:dyDescent="0.3">
      <c r="A750" t="str">
        <f>""</f>
        <v/>
      </c>
      <c r="B750" t="str">
        <f>""</f>
        <v/>
      </c>
      <c r="G750" t="str">
        <f>""</f>
        <v/>
      </c>
      <c r="H750" t="str">
        <f>""</f>
        <v/>
      </c>
      <c r="J750" t="str">
        <f t="shared" si="18"/>
        <v>CONTRACT#4457471/BASTROP CO</v>
      </c>
    </row>
    <row r="751" spans="1:10" x14ac:dyDescent="0.3">
      <c r="A751" t="str">
        <f>""</f>
        <v/>
      </c>
      <c r="B751" t="str">
        <f>""</f>
        <v/>
      </c>
      <c r="G751" t="str">
        <f>""</f>
        <v/>
      </c>
      <c r="H751" t="str">
        <f>""</f>
        <v/>
      </c>
      <c r="J751" t="str">
        <f t="shared" si="18"/>
        <v>CONTRACT#4457471/BASTROP CO</v>
      </c>
    </row>
    <row r="752" spans="1:10" x14ac:dyDescent="0.3">
      <c r="A752" t="str">
        <f>""</f>
        <v/>
      </c>
      <c r="B752" t="str">
        <f>""</f>
        <v/>
      </c>
      <c r="G752" t="str">
        <f>""</f>
        <v/>
      </c>
      <c r="H752" t="str">
        <f>""</f>
        <v/>
      </c>
      <c r="J752" t="str">
        <f t="shared" si="18"/>
        <v>CONTRACT#4457471/BASTROP CO</v>
      </c>
    </row>
    <row r="753" spans="1:10" x14ac:dyDescent="0.3">
      <c r="A753" t="str">
        <f>""</f>
        <v/>
      </c>
      <c r="B753" t="str">
        <f>""</f>
        <v/>
      </c>
      <c r="G753" t="str">
        <f>""</f>
        <v/>
      </c>
      <c r="H753" t="str">
        <f>""</f>
        <v/>
      </c>
      <c r="J753" t="str">
        <f t="shared" si="18"/>
        <v>CONTRACT#4457471/BASTROP CO</v>
      </c>
    </row>
    <row r="754" spans="1:10" x14ac:dyDescent="0.3">
      <c r="A754" t="str">
        <f>""</f>
        <v/>
      </c>
      <c r="B754" t="str">
        <f>""</f>
        <v/>
      </c>
      <c r="G754" t="str">
        <f>""</f>
        <v/>
      </c>
      <c r="H754" t="str">
        <f>""</f>
        <v/>
      </c>
      <c r="J754" t="str">
        <f t="shared" si="18"/>
        <v>CONTRACT#4457471/BASTROP CO</v>
      </c>
    </row>
    <row r="755" spans="1:10" x14ac:dyDescent="0.3">
      <c r="A755" t="str">
        <f>""</f>
        <v/>
      </c>
      <c r="B755" t="str">
        <f>""</f>
        <v/>
      </c>
      <c r="G755" t="str">
        <f>""</f>
        <v/>
      </c>
      <c r="H755" t="str">
        <f>""</f>
        <v/>
      </c>
      <c r="J755" t="str">
        <f t="shared" si="18"/>
        <v>CONTRACT#4457471/BASTROP CO</v>
      </c>
    </row>
    <row r="756" spans="1:10" x14ac:dyDescent="0.3">
      <c r="A756" t="str">
        <f>""</f>
        <v/>
      </c>
      <c r="B756" t="str">
        <f>""</f>
        <v/>
      </c>
      <c r="G756" t="str">
        <f>""</f>
        <v/>
      </c>
      <c r="H756" t="str">
        <f>""</f>
        <v/>
      </c>
      <c r="J756" t="str">
        <f t="shared" si="18"/>
        <v>CONTRACT#4457471/BASTROP CO</v>
      </c>
    </row>
    <row r="757" spans="1:10" x14ac:dyDescent="0.3">
      <c r="A757" t="str">
        <f>""</f>
        <v/>
      </c>
      <c r="B757" t="str">
        <f>""</f>
        <v/>
      </c>
      <c r="G757" t="str">
        <f>""</f>
        <v/>
      </c>
      <c r="H757" t="str">
        <f>""</f>
        <v/>
      </c>
      <c r="J757" t="str">
        <f t="shared" si="18"/>
        <v>CONTRACT#4457471/BASTROP CO</v>
      </c>
    </row>
    <row r="758" spans="1:10" x14ac:dyDescent="0.3">
      <c r="A758" t="str">
        <f>""</f>
        <v/>
      </c>
      <c r="B758" t="str">
        <f>""</f>
        <v/>
      </c>
      <c r="G758" t="str">
        <f>""</f>
        <v/>
      </c>
      <c r="H758" t="str">
        <f>""</f>
        <v/>
      </c>
      <c r="J758" t="str">
        <f t="shared" si="18"/>
        <v>CONTRACT#4457471/BASTROP CO</v>
      </c>
    </row>
    <row r="759" spans="1:10" x14ac:dyDescent="0.3">
      <c r="A759" t="str">
        <f>""</f>
        <v/>
      </c>
      <c r="B759" t="str">
        <f>""</f>
        <v/>
      </c>
      <c r="G759" t="str">
        <f>""</f>
        <v/>
      </c>
      <c r="H759" t="str">
        <f>""</f>
        <v/>
      </c>
      <c r="J759" t="str">
        <f t="shared" si="18"/>
        <v>CONTRACT#4457471/BASTROP CO</v>
      </c>
    </row>
    <row r="760" spans="1:10" x14ac:dyDescent="0.3">
      <c r="A760" t="str">
        <f>""</f>
        <v/>
      </c>
      <c r="B760" t="str">
        <f>""</f>
        <v/>
      </c>
      <c r="G760" t="str">
        <f>""</f>
        <v/>
      </c>
      <c r="H760" t="str">
        <f>""</f>
        <v/>
      </c>
      <c r="J760" t="str">
        <f t="shared" si="18"/>
        <v>CONTRACT#4457471/BASTROP CO</v>
      </c>
    </row>
    <row r="761" spans="1:10" x14ac:dyDescent="0.3">
      <c r="A761" t="str">
        <f>""</f>
        <v/>
      </c>
      <c r="B761" t="str">
        <f>""</f>
        <v/>
      </c>
      <c r="G761" t="str">
        <f>""</f>
        <v/>
      </c>
      <c r="H761" t="str">
        <f>""</f>
        <v/>
      </c>
      <c r="J761" t="str">
        <f t="shared" si="18"/>
        <v>CONTRACT#4457471/BASTROP CO</v>
      </c>
    </row>
    <row r="762" spans="1:10" x14ac:dyDescent="0.3">
      <c r="A762" t="str">
        <f>""</f>
        <v/>
      </c>
      <c r="B762" t="str">
        <f>""</f>
        <v/>
      </c>
      <c r="G762" t="str">
        <f>"5051692155A"</f>
        <v>5051692155A</v>
      </c>
      <c r="H762" t="str">
        <f>"CONTRACT#4457471/PCT#2"</f>
        <v>CONTRACT#4457471/PCT#2</v>
      </c>
      <c r="I762" s="2">
        <v>154.35</v>
      </c>
      <c r="J762" t="str">
        <f>"CONTRACT#4457471/PCT#2"</f>
        <v>CONTRACT#4457471/PCT#2</v>
      </c>
    </row>
    <row r="763" spans="1:10" x14ac:dyDescent="0.3">
      <c r="A763" t="str">
        <f>"01"</f>
        <v>01</v>
      </c>
      <c r="B763" t="str">
        <f>"000972"</f>
        <v>000972</v>
      </c>
      <c r="C763" t="s">
        <v>294</v>
      </c>
      <c r="D763">
        <v>74926</v>
      </c>
      <c r="E763" s="2">
        <v>7305.88</v>
      </c>
      <c r="F763" s="1">
        <v>43122</v>
      </c>
      <c r="G763" t="str">
        <f>"31281490"</f>
        <v>31281490</v>
      </c>
      <c r="H763" t="str">
        <f>"CUST#2000172616"</f>
        <v>CUST#2000172616</v>
      </c>
      <c r="I763" s="2">
        <v>7305.88</v>
      </c>
      <c r="J763" t="str">
        <f t="shared" ref="J763:J785" si="19">"CUST#2000172616"</f>
        <v>CUST#2000172616</v>
      </c>
    </row>
    <row r="764" spans="1:10" x14ac:dyDescent="0.3">
      <c r="A764" t="str">
        <f>""</f>
        <v/>
      </c>
      <c r="B764" t="str">
        <f>""</f>
        <v/>
      </c>
      <c r="G764" t="str">
        <f>""</f>
        <v/>
      </c>
      <c r="H764" t="str">
        <f>""</f>
        <v/>
      </c>
      <c r="J764" t="str">
        <f t="shared" si="19"/>
        <v>CUST#2000172616</v>
      </c>
    </row>
    <row r="765" spans="1:10" x14ac:dyDescent="0.3">
      <c r="A765" t="str">
        <f>""</f>
        <v/>
      </c>
      <c r="B765" t="str">
        <f>""</f>
        <v/>
      </c>
      <c r="G765" t="str">
        <f>""</f>
        <v/>
      </c>
      <c r="H765" t="str">
        <f>""</f>
        <v/>
      </c>
      <c r="J765" t="str">
        <f t="shared" si="19"/>
        <v>CUST#2000172616</v>
      </c>
    </row>
    <row r="766" spans="1:10" x14ac:dyDescent="0.3">
      <c r="A766" t="str">
        <f>""</f>
        <v/>
      </c>
      <c r="B766" t="str">
        <f>""</f>
        <v/>
      </c>
      <c r="G766" t="str">
        <f>""</f>
        <v/>
      </c>
      <c r="H766" t="str">
        <f>""</f>
        <v/>
      </c>
      <c r="J766" t="str">
        <f t="shared" si="19"/>
        <v>CUST#2000172616</v>
      </c>
    </row>
    <row r="767" spans="1:10" x14ac:dyDescent="0.3">
      <c r="A767" t="str">
        <f>""</f>
        <v/>
      </c>
      <c r="B767" t="str">
        <f>""</f>
        <v/>
      </c>
      <c r="G767" t="str">
        <f>""</f>
        <v/>
      </c>
      <c r="H767" t="str">
        <f>""</f>
        <v/>
      </c>
      <c r="J767" t="str">
        <f t="shared" si="19"/>
        <v>CUST#2000172616</v>
      </c>
    </row>
    <row r="768" spans="1:10" x14ac:dyDescent="0.3">
      <c r="A768" t="str">
        <f>""</f>
        <v/>
      </c>
      <c r="B768" t="str">
        <f>""</f>
        <v/>
      </c>
      <c r="G768" t="str">
        <f>""</f>
        <v/>
      </c>
      <c r="H768" t="str">
        <f>""</f>
        <v/>
      </c>
      <c r="J768" t="str">
        <f t="shared" si="19"/>
        <v>CUST#2000172616</v>
      </c>
    </row>
    <row r="769" spans="1:10" x14ac:dyDescent="0.3">
      <c r="A769" t="str">
        <f>""</f>
        <v/>
      </c>
      <c r="B769" t="str">
        <f>""</f>
        <v/>
      </c>
      <c r="G769" t="str">
        <f>""</f>
        <v/>
      </c>
      <c r="H769" t="str">
        <f>""</f>
        <v/>
      </c>
      <c r="J769" t="str">
        <f t="shared" si="19"/>
        <v>CUST#2000172616</v>
      </c>
    </row>
    <row r="770" spans="1:10" x14ac:dyDescent="0.3">
      <c r="A770" t="str">
        <f>""</f>
        <v/>
      </c>
      <c r="B770" t="str">
        <f>""</f>
        <v/>
      </c>
      <c r="G770" t="str">
        <f>""</f>
        <v/>
      </c>
      <c r="H770" t="str">
        <f>""</f>
        <v/>
      </c>
      <c r="J770" t="str">
        <f t="shared" si="19"/>
        <v>CUST#2000172616</v>
      </c>
    </row>
    <row r="771" spans="1:10" x14ac:dyDescent="0.3">
      <c r="A771" t="str">
        <f>""</f>
        <v/>
      </c>
      <c r="B771" t="str">
        <f>""</f>
        <v/>
      </c>
      <c r="G771" t="str">
        <f>""</f>
        <v/>
      </c>
      <c r="H771" t="str">
        <f>""</f>
        <v/>
      </c>
      <c r="J771" t="str">
        <f t="shared" si="19"/>
        <v>CUST#2000172616</v>
      </c>
    </row>
    <row r="772" spans="1:10" x14ac:dyDescent="0.3">
      <c r="A772" t="str">
        <f>""</f>
        <v/>
      </c>
      <c r="B772" t="str">
        <f>""</f>
        <v/>
      </c>
      <c r="G772" t="str">
        <f>""</f>
        <v/>
      </c>
      <c r="H772" t="str">
        <f>""</f>
        <v/>
      </c>
      <c r="J772" t="str">
        <f t="shared" si="19"/>
        <v>CUST#2000172616</v>
      </c>
    </row>
    <row r="773" spans="1:10" x14ac:dyDescent="0.3">
      <c r="A773" t="str">
        <f>""</f>
        <v/>
      </c>
      <c r="B773" t="str">
        <f>""</f>
        <v/>
      </c>
      <c r="G773" t="str">
        <f>""</f>
        <v/>
      </c>
      <c r="H773" t="str">
        <f>""</f>
        <v/>
      </c>
      <c r="J773" t="str">
        <f t="shared" si="19"/>
        <v>CUST#2000172616</v>
      </c>
    </row>
    <row r="774" spans="1:10" x14ac:dyDescent="0.3">
      <c r="A774" t="str">
        <f>""</f>
        <v/>
      </c>
      <c r="B774" t="str">
        <f>""</f>
        <v/>
      </c>
      <c r="G774" t="str">
        <f>""</f>
        <v/>
      </c>
      <c r="H774" t="str">
        <f>""</f>
        <v/>
      </c>
      <c r="J774" t="str">
        <f t="shared" si="19"/>
        <v>CUST#2000172616</v>
      </c>
    </row>
    <row r="775" spans="1:10" x14ac:dyDescent="0.3">
      <c r="A775" t="str">
        <f>""</f>
        <v/>
      </c>
      <c r="B775" t="str">
        <f>""</f>
        <v/>
      </c>
      <c r="G775" t="str">
        <f>""</f>
        <v/>
      </c>
      <c r="H775" t="str">
        <f>""</f>
        <v/>
      </c>
      <c r="J775" t="str">
        <f t="shared" si="19"/>
        <v>CUST#2000172616</v>
      </c>
    </row>
    <row r="776" spans="1:10" x14ac:dyDescent="0.3">
      <c r="A776" t="str">
        <f>""</f>
        <v/>
      </c>
      <c r="B776" t="str">
        <f>""</f>
        <v/>
      </c>
      <c r="G776" t="str">
        <f>""</f>
        <v/>
      </c>
      <c r="H776" t="str">
        <f>""</f>
        <v/>
      </c>
      <c r="J776" t="str">
        <f t="shared" si="19"/>
        <v>CUST#2000172616</v>
      </c>
    </row>
    <row r="777" spans="1:10" x14ac:dyDescent="0.3">
      <c r="A777" t="str">
        <f>""</f>
        <v/>
      </c>
      <c r="B777" t="str">
        <f>""</f>
        <v/>
      </c>
      <c r="G777" t="str">
        <f>""</f>
        <v/>
      </c>
      <c r="H777" t="str">
        <f>""</f>
        <v/>
      </c>
      <c r="J777" t="str">
        <f t="shared" si="19"/>
        <v>CUST#2000172616</v>
      </c>
    </row>
    <row r="778" spans="1:10" x14ac:dyDescent="0.3">
      <c r="A778" t="str">
        <f>""</f>
        <v/>
      </c>
      <c r="B778" t="str">
        <f>""</f>
        <v/>
      </c>
      <c r="G778" t="str">
        <f>""</f>
        <v/>
      </c>
      <c r="H778" t="str">
        <f>""</f>
        <v/>
      </c>
      <c r="J778" t="str">
        <f t="shared" si="19"/>
        <v>CUST#2000172616</v>
      </c>
    </row>
    <row r="779" spans="1:10" x14ac:dyDescent="0.3">
      <c r="A779" t="str">
        <f>""</f>
        <v/>
      </c>
      <c r="B779" t="str">
        <f>""</f>
        <v/>
      </c>
      <c r="G779" t="str">
        <f>""</f>
        <v/>
      </c>
      <c r="H779" t="str">
        <f>""</f>
        <v/>
      </c>
      <c r="J779" t="str">
        <f t="shared" si="19"/>
        <v>CUST#2000172616</v>
      </c>
    </row>
    <row r="780" spans="1:10" x14ac:dyDescent="0.3">
      <c r="A780" t="str">
        <f>""</f>
        <v/>
      </c>
      <c r="B780" t="str">
        <f>""</f>
        <v/>
      </c>
      <c r="G780" t="str">
        <f>""</f>
        <v/>
      </c>
      <c r="H780" t="str">
        <f>""</f>
        <v/>
      </c>
      <c r="J780" t="str">
        <f t="shared" si="19"/>
        <v>CUST#2000172616</v>
      </c>
    </row>
    <row r="781" spans="1:10" x14ac:dyDescent="0.3">
      <c r="A781" t="str">
        <f>""</f>
        <v/>
      </c>
      <c r="B781" t="str">
        <f>""</f>
        <v/>
      </c>
      <c r="G781" t="str">
        <f>""</f>
        <v/>
      </c>
      <c r="H781" t="str">
        <f>""</f>
        <v/>
      </c>
      <c r="J781" t="str">
        <f t="shared" si="19"/>
        <v>CUST#2000172616</v>
      </c>
    </row>
    <row r="782" spans="1:10" x14ac:dyDescent="0.3">
      <c r="A782" t="str">
        <f>""</f>
        <v/>
      </c>
      <c r="B782" t="str">
        <f>""</f>
        <v/>
      </c>
      <c r="G782" t="str">
        <f>""</f>
        <v/>
      </c>
      <c r="H782" t="str">
        <f>""</f>
        <v/>
      </c>
      <c r="J782" t="str">
        <f t="shared" si="19"/>
        <v>CUST#2000172616</v>
      </c>
    </row>
    <row r="783" spans="1:10" x14ac:dyDescent="0.3">
      <c r="A783" t="str">
        <f>""</f>
        <v/>
      </c>
      <c r="B783" t="str">
        <f>""</f>
        <v/>
      </c>
      <c r="G783" t="str">
        <f>""</f>
        <v/>
      </c>
      <c r="H783" t="str">
        <f>""</f>
        <v/>
      </c>
      <c r="J783" t="str">
        <f t="shared" si="19"/>
        <v>CUST#2000172616</v>
      </c>
    </row>
    <row r="784" spans="1:10" x14ac:dyDescent="0.3">
      <c r="A784" t="str">
        <f>""</f>
        <v/>
      </c>
      <c r="B784" t="str">
        <f>""</f>
        <v/>
      </c>
      <c r="G784" t="str">
        <f>""</f>
        <v/>
      </c>
      <c r="H784" t="str">
        <f>""</f>
        <v/>
      </c>
      <c r="J784" t="str">
        <f t="shared" si="19"/>
        <v>CUST#2000172616</v>
      </c>
    </row>
    <row r="785" spans="1:10" x14ac:dyDescent="0.3">
      <c r="A785" t="str">
        <f>""</f>
        <v/>
      </c>
      <c r="B785" t="str">
        <f>""</f>
        <v/>
      </c>
      <c r="G785" t="str">
        <f>""</f>
        <v/>
      </c>
      <c r="H785" t="str">
        <f>""</f>
        <v/>
      </c>
      <c r="J785" t="str">
        <f t="shared" si="19"/>
        <v>CUST#2000172616</v>
      </c>
    </row>
    <row r="786" spans="1:10" x14ac:dyDescent="0.3">
      <c r="A786" t="str">
        <f>"01"</f>
        <v>01</v>
      </c>
      <c r="B786" t="str">
        <f>"004417"</f>
        <v>004417</v>
      </c>
      <c r="C786" t="s">
        <v>295</v>
      </c>
      <c r="D786">
        <v>999999</v>
      </c>
      <c r="E786" s="2">
        <v>550</v>
      </c>
      <c r="F786" s="1">
        <v>43123</v>
      </c>
      <c r="G786" t="str">
        <f>"USMSDEC17/DEC XRAY"</f>
        <v>USMSDEC17/DEC XRAY</v>
      </c>
      <c r="H786" t="str">
        <f>"INV USMSDEC17"</f>
        <v>INV USMSDEC17</v>
      </c>
      <c r="I786" s="2">
        <v>550</v>
      </c>
      <c r="J786" t="str">
        <f>"INV USMSDEC17"</f>
        <v>INV USMSDEC17</v>
      </c>
    </row>
    <row r="787" spans="1:10" x14ac:dyDescent="0.3">
      <c r="A787" t="str">
        <f>"01"</f>
        <v>01</v>
      </c>
      <c r="B787" t="str">
        <f>"005165"</f>
        <v>005165</v>
      </c>
      <c r="C787" t="s">
        <v>296</v>
      </c>
      <c r="D787">
        <v>74927</v>
      </c>
      <c r="E787" s="2">
        <v>475</v>
      </c>
      <c r="F787" s="1">
        <v>43122</v>
      </c>
      <c r="G787" t="str">
        <f>"WA#1606-2018"</f>
        <v>WA#1606-2018</v>
      </c>
      <c r="H787" t="str">
        <f>"SUREVEY / P3"</f>
        <v>SUREVEY / P3</v>
      </c>
      <c r="I787" s="2">
        <v>475</v>
      </c>
      <c r="J787" t="str">
        <f>"SUREVEY / P3"</f>
        <v>SUREVEY / P3</v>
      </c>
    </row>
    <row r="788" spans="1:10" x14ac:dyDescent="0.3">
      <c r="A788" t="str">
        <f>"01"</f>
        <v>01</v>
      </c>
      <c r="B788" t="str">
        <f>"003609"</f>
        <v>003609</v>
      </c>
      <c r="C788" t="s">
        <v>297</v>
      </c>
      <c r="D788">
        <v>74690</v>
      </c>
      <c r="E788" s="2">
        <v>15</v>
      </c>
      <c r="F788" s="1">
        <v>43108</v>
      </c>
      <c r="G788" t="str">
        <f>"201801027630"</f>
        <v>201801027630</v>
      </c>
      <c r="H788" t="str">
        <f>"FERAL HOGS"</f>
        <v>FERAL HOGS</v>
      </c>
      <c r="I788" s="2">
        <v>15</v>
      </c>
      <c r="J788" t="str">
        <f>"FERAL HOGS"</f>
        <v>FERAL HOGS</v>
      </c>
    </row>
    <row r="789" spans="1:10" x14ac:dyDescent="0.3">
      <c r="A789" t="str">
        <f>"01"</f>
        <v>01</v>
      </c>
      <c r="B789" t="str">
        <f>"003150"</f>
        <v>003150</v>
      </c>
      <c r="C789" t="s">
        <v>298</v>
      </c>
      <c r="D789">
        <v>74691</v>
      </c>
      <c r="E789" s="2">
        <v>10.4</v>
      </c>
      <c r="F789" s="1">
        <v>43108</v>
      </c>
      <c r="G789" t="str">
        <f>"FUEL REIMBURSEMENT"</f>
        <v>FUEL REIMBURSEMENT</v>
      </c>
      <c r="H789" t="str">
        <f>"ROBERT KING"</f>
        <v>ROBERT KING</v>
      </c>
      <c r="I789" s="2">
        <v>10.4</v>
      </c>
      <c r="J789" t="str">
        <f>""</f>
        <v/>
      </c>
    </row>
    <row r="790" spans="1:10" x14ac:dyDescent="0.3">
      <c r="A790" t="str">
        <f>"01"</f>
        <v>01</v>
      </c>
      <c r="B790" t="str">
        <f>"MADDEN"</f>
        <v>MADDEN</v>
      </c>
      <c r="C790" t="s">
        <v>299</v>
      </c>
      <c r="D790">
        <v>74928</v>
      </c>
      <c r="E790" s="2">
        <v>521.07000000000005</v>
      </c>
      <c r="F790" s="1">
        <v>43122</v>
      </c>
      <c r="G790" t="str">
        <f>"2147234/4219/4227"</f>
        <v>2147234/4219/4227</v>
      </c>
      <c r="H790" t="str">
        <f>"INV 4164219"</f>
        <v>INV 4164219</v>
      </c>
      <c r="I790" s="2">
        <v>327.87</v>
      </c>
      <c r="J790" t="str">
        <f>"INV 4164219"</f>
        <v>INV 4164219</v>
      </c>
    </row>
    <row r="791" spans="1:10" x14ac:dyDescent="0.3">
      <c r="A791" t="str">
        <f>""</f>
        <v/>
      </c>
      <c r="B791" t="str">
        <f>""</f>
        <v/>
      </c>
      <c r="G791" t="str">
        <f>""</f>
        <v/>
      </c>
      <c r="H791" t="str">
        <f>""</f>
        <v/>
      </c>
      <c r="J791" t="str">
        <f>"INV 2147234"</f>
        <v>INV 2147234</v>
      </c>
    </row>
    <row r="792" spans="1:10" x14ac:dyDescent="0.3">
      <c r="A792" t="str">
        <f>""</f>
        <v/>
      </c>
      <c r="B792" t="str">
        <f>""</f>
        <v/>
      </c>
      <c r="G792" t="str">
        <f>""</f>
        <v/>
      </c>
      <c r="H792" t="str">
        <f>""</f>
        <v/>
      </c>
      <c r="J792" t="str">
        <f>"INV 4164227"</f>
        <v>INV 4164227</v>
      </c>
    </row>
    <row r="793" spans="1:10" x14ac:dyDescent="0.3">
      <c r="A793" t="str">
        <f>""</f>
        <v/>
      </c>
      <c r="B793" t="str">
        <f>""</f>
        <v/>
      </c>
      <c r="G793" t="str">
        <f>"4161654/2009/2015"</f>
        <v>4161654/2009/2015</v>
      </c>
      <c r="H793" t="str">
        <f>"INV 4161654"</f>
        <v>INV 4161654</v>
      </c>
      <c r="I793" s="2">
        <v>193.2</v>
      </c>
      <c r="J793" t="str">
        <f>"INV 4161654"</f>
        <v>INV 4161654</v>
      </c>
    </row>
    <row r="794" spans="1:10" x14ac:dyDescent="0.3">
      <c r="A794" t="str">
        <f>""</f>
        <v/>
      </c>
      <c r="B794" t="str">
        <f>""</f>
        <v/>
      </c>
      <c r="G794" t="str">
        <f>""</f>
        <v/>
      </c>
      <c r="H794" t="str">
        <f>""</f>
        <v/>
      </c>
      <c r="J794" t="str">
        <f>"INV 4162009"</f>
        <v>INV 4162009</v>
      </c>
    </row>
    <row r="795" spans="1:10" x14ac:dyDescent="0.3">
      <c r="A795" t="str">
        <f>""</f>
        <v/>
      </c>
      <c r="B795" t="str">
        <f>""</f>
        <v/>
      </c>
      <c r="G795" t="str">
        <f>""</f>
        <v/>
      </c>
      <c r="H795" t="str">
        <f>""</f>
        <v/>
      </c>
      <c r="J795" t="str">
        <f>"INV 4162015"</f>
        <v>INV 4162015</v>
      </c>
    </row>
    <row r="796" spans="1:10" x14ac:dyDescent="0.3">
      <c r="A796" t="str">
        <f>"01"</f>
        <v>01</v>
      </c>
      <c r="B796" t="str">
        <f>"T8555"</f>
        <v>T8555</v>
      </c>
      <c r="C796" t="s">
        <v>300</v>
      </c>
      <c r="D796">
        <v>999999</v>
      </c>
      <c r="E796" s="2">
        <v>49</v>
      </c>
      <c r="F796" s="1">
        <v>43123</v>
      </c>
      <c r="G796" t="str">
        <f>"18621"</f>
        <v>18621</v>
      </c>
      <c r="H796" t="str">
        <f>"INSPECTIONS/PCT#2"</f>
        <v>INSPECTIONS/PCT#2</v>
      </c>
      <c r="I796" s="2">
        <v>35</v>
      </c>
      <c r="J796" t="str">
        <f>"INSPECTIONS/PCT#2"</f>
        <v>INSPECTIONS/PCT#2</v>
      </c>
    </row>
    <row r="797" spans="1:10" x14ac:dyDescent="0.3">
      <c r="A797" t="str">
        <f>""</f>
        <v/>
      </c>
      <c r="B797" t="str">
        <f>""</f>
        <v/>
      </c>
      <c r="G797" t="str">
        <f>"18644"</f>
        <v>18644</v>
      </c>
      <c r="H797" t="str">
        <f>"2007 FRHT/PCT#2"</f>
        <v>2007 FRHT/PCT#2</v>
      </c>
      <c r="I797" s="2">
        <v>14</v>
      </c>
      <c r="J797" t="str">
        <f>"2007 FRHT/PCT#2"</f>
        <v>2007 FRHT/PCT#2</v>
      </c>
    </row>
    <row r="798" spans="1:10" x14ac:dyDescent="0.3">
      <c r="A798" t="str">
        <f t="shared" ref="A798:A805" si="20">"01"</f>
        <v>01</v>
      </c>
      <c r="B798" t="str">
        <f>"004991"</f>
        <v>004991</v>
      </c>
      <c r="C798" t="s">
        <v>301</v>
      </c>
      <c r="D798">
        <v>74692</v>
      </c>
      <c r="E798" s="2">
        <v>240</v>
      </c>
      <c r="F798" s="1">
        <v>43108</v>
      </c>
      <c r="G798" t="str">
        <f>"201801037699"</f>
        <v>201801037699</v>
      </c>
      <c r="H798" t="str">
        <f>"LPHCP RECORDING FEES"</f>
        <v>LPHCP RECORDING FEES</v>
      </c>
      <c r="I798" s="2">
        <v>240</v>
      </c>
      <c r="J798" t="str">
        <f>"LPHCP RECORDING FEES"</f>
        <v>LPHCP RECORDING FEES</v>
      </c>
    </row>
    <row r="799" spans="1:10" x14ac:dyDescent="0.3">
      <c r="A799" t="str">
        <f t="shared" si="20"/>
        <v>01</v>
      </c>
      <c r="B799" t="str">
        <f>"RP-CC"</f>
        <v>RP-CC</v>
      </c>
      <c r="C799" t="s">
        <v>301</v>
      </c>
      <c r="D799">
        <v>74693</v>
      </c>
      <c r="E799" s="2">
        <v>61</v>
      </c>
      <c r="F799" s="1">
        <v>43108</v>
      </c>
      <c r="G799" t="str">
        <f>"201801027663"</f>
        <v>201801027663</v>
      </c>
      <c r="H799" t="str">
        <f>"DEVELOPMENT SVCS RECORDING FEE"</f>
        <v>DEVELOPMENT SVCS RECORDING FEE</v>
      </c>
      <c r="I799" s="2">
        <v>61</v>
      </c>
      <c r="J799" t="str">
        <f>"DEVELOPMENT SVCS RECORDING FEE"</f>
        <v>DEVELOPMENT SVCS RECORDING FEE</v>
      </c>
    </row>
    <row r="800" spans="1:10" x14ac:dyDescent="0.3">
      <c r="A800" t="str">
        <f t="shared" si="20"/>
        <v>01</v>
      </c>
      <c r="B800" t="str">
        <f>"004991"</f>
        <v>004991</v>
      </c>
      <c r="C800" t="s">
        <v>301</v>
      </c>
      <c r="D800">
        <v>74929</v>
      </c>
      <c r="E800" s="2">
        <v>264</v>
      </c>
      <c r="F800" s="1">
        <v>43122</v>
      </c>
      <c r="G800" t="str">
        <f>"201801128160"</f>
        <v>201801128160</v>
      </c>
      <c r="H800" t="str">
        <f>"LPHCP RECORDING FEES"</f>
        <v>LPHCP RECORDING FEES</v>
      </c>
      <c r="I800" s="2">
        <v>264</v>
      </c>
      <c r="J800" t="str">
        <f>"LPHCP RECORDING FEES"</f>
        <v>LPHCP RECORDING FEES</v>
      </c>
    </row>
    <row r="801" spans="1:10" x14ac:dyDescent="0.3">
      <c r="A801" t="str">
        <f t="shared" si="20"/>
        <v>01</v>
      </c>
      <c r="B801" t="str">
        <f>"RP-CC"</f>
        <v>RP-CC</v>
      </c>
      <c r="C801" t="s">
        <v>301</v>
      </c>
      <c r="D801">
        <v>74930</v>
      </c>
      <c r="E801" s="2">
        <v>61</v>
      </c>
      <c r="F801" s="1">
        <v>43122</v>
      </c>
      <c r="G801" t="str">
        <f>"201801178165"</f>
        <v>201801178165</v>
      </c>
      <c r="H801" t="str">
        <f>"DEVELOPMENT SVCS RECORDING FEE"</f>
        <v>DEVELOPMENT SVCS RECORDING FEE</v>
      </c>
      <c r="I801" s="2">
        <v>61</v>
      </c>
      <c r="J801" t="str">
        <f>"DEVELOPMENT SVCS RECORDING FEE"</f>
        <v>DEVELOPMENT SVCS RECORDING FEE</v>
      </c>
    </row>
    <row r="802" spans="1:10" x14ac:dyDescent="0.3">
      <c r="A802" t="str">
        <f t="shared" si="20"/>
        <v>01</v>
      </c>
      <c r="B802" t="str">
        <f>"005159"</f>
        <v>005159</v>
      </c>
      <c r="C802" t="s">
        <v>302</v>
      </c>
      <c r="D802">
        <v>74931</v>
      </c>
      <c r="E802" s="2">
        <v>119382</v>
      </c>
      <c r="F802" s="1">
        <v>43122</v>
      </c>
      <c r="G802" t="str">
        <f>"2018 PETERBUILT"</f>
        <v>2018 PETERBUILT</v>
      </c>
      <c r="H802" t="str">
        <f>"Dump Truck"</f>
        <v>Dump Truck</v>
      </c>
      <c r="I802" s="2">
        <v>119382</v>
      </c>
      <c r="J802" t="str">
        <f>"Dump Truck"</f>
        <v>Dump Truck</v>
      </c>
    </row>
    <row r="803" spans="1:10" x14ac:dyDescent="0.3">
      <c r="A803" t="str">
        <f t="shared" si="20"/>
        <v>01</v>
      </c>
      <c r="B803" t="str">
        <f>"003697"</f>
        <v>003697</v>
      </c>
      <c r="C803" t="s">
        <v>303</v>
      </c>
      <c r="D803">
        <v>74694</v>
      </c>
      <c r="E803" s="2">
        <v>615.47</v>
      </c>
      <c r="F803" s="1">
        <v>43108</v>
      </c>
      <c r="G803" t="str">
        <f>"137447"</f>
        <v>137447</v>
      </c>
      <c r="H803" t="str">
        <f>"CUST#26497/2013 FORD/PCT#3"</f>
        <v>CUST#26497/2013 FORD/PCT#3</v>
      </c>
      <c r="I803" s="2">
        <v>615.47</v>
      </c>
      <c r="J803" t="str">
        <f>"CUST#26497/2013 FORD/PCT#3"</f>
        <v>CUST#26497/2013 FORD/PCT#3</v>
      </c>
    </row>
    <row r="804" spans="1:10" x14ac:dyDescent="0.3">
      <c r="A804" t="str">
        <f t="shared" si="20"/>
        <v>01</v>
      </c>
      <c r="B804" t="str">
        <f>"002195"</f>
        <v>002195</v>
      </c>
      <c r="C804" t="s">
        <v>304</v>
      </c>
      <c r="D804">
        <v>74932</v>
      </c>
      <c r="E804" s="2">
        <v>19.95</v>
      </c>
      <c r="F804" s="1">
        <v>43122</v>
      </c>
      <c r="G804" t="str">
        <f>"201801098071"</f>
        <v>201801098071</v>
      </c>
      <c r="H804" t="str">
        <f>"REIMBURSE POSTAGE"</f>
        <v>REIMBURSE POSTAGE</v>
      </c>
      <c r="I804" s="2">
        <v>19.95</v>
      </c>
      <c r="J804" t="str">
        <f>"REIMBURSE POSTAGE"</f>
        <v>REIMBURSE POSTAGE</v>
      </c>
    </row>
    <row r="805" spans="1:10" x14ac:dyDescent="0.3">
      <c r="A805" t="str">
        <f t="shared" si="20"/>
        <v>01</v>
      </c>
      <c r="B805" t="str">
        <f>"T6180"</f>
        <v>T6180</v>
      </c>
      <c r="C805" t="s">
        <v>305</v>
      </c>
      <c r="D805">
        <v>74695</v>
      </c>
      <c r="E805" s="2">
        <v>2128.9899999999998</v>
      </c>
      <c r="F805" s="1">
        <v>43108</v>
      </c>
      <c r="G805" t="str">
        <f>"201801027591"</f>
        <v>201801027591</v>
      </c>
      <c r="H805" t="str">
        <f>"JAIL MEDICAL"</f>
        <v>JAIL MEDICAL</v>
      </c>
      <c r="I805" s="2">
        <v>6.42</v>
      </c>
      <c r="J805" t="str">
        <f>"JAIL MEDICAL"</f>
        <v>JAIL MEDICAL</v>
      </c>
    </row>
    <row r="806" spans="1:10" x14ac:dyDescent="0.3">
      <c r="A806" t="str">
        <f>""</f>
        <v/>
      </c>
      <c r="B806" t="str">
        <f>""</f>
        <v/>
      </c>
      <c r="G806" t="str">
        <f>"201801027594"</f>
        <v>201801027594</v>
      </c>
      <c r="H806" t="str">
        <f>"JAIL MEDICAL"</f>
        <v>JAIL MEDICAL</v>
      </c>
      <c r="I806" s="2">
        <v>2122.5700000000002</v>
      </c>
      <c r="J806" t="str">
        <f>"JAIL MEDICAL"</f>
        <v>JAIL MEDICAL</v>
      </c>
    </row>
    <row r="807" spans="1:10" x14ac:dyDescent="0.3">
      <c r="A807" t="str">
        <f t="shared" ref="A807:A817" si="21">"01"</f>
        <v>01</v>
      </c>
      <c r="B807" t="str">
        <f>"002285"</f>
        <v>002285</v>
      </c>
      <c r="C807" t="s">
        <v>306</v>
      </c>
      <c r="D807">
        <v>74696</v>
      </c>
      <c r="E807" s="2">
        <v>150.52000000000001</v>
      </c>
      <c r="F807" s="1">
        <v>43108</v>
      </c>
      <c r="G807" t="str">
        <f>"201801027593"</f>
        <v>201801027593</v>
      </c>
      <c r="H807" t="str">
        <f>"JAIL MEDICAL"</f>
        <v>JAIL MEDICAL</v>
      </c>
      <c r="I807" s="2">
        <v>150.52000000000001</v>
      </c>
      <c r="J807" t="str">
        <f>"JAIL MEDICAL"</f>
        <v>JAIL MEDICAL</v>
      </c>
    </row>
    <row r="808" spans="1:10" x14ac:dyDescent="0.3">
      <c r="A808" t="str">
        <f t="shared" si="21"/>
        <v>01</v>
      </c>
      <c r="B808" t="str">
        <f>"003194"</f>
        <v>003194</v>
      </c>
      <c r="C808" t="s">
        <v>307</v>
      </c>
      <c r="D808">
        <v>999999</v>
      </c>
      <c r="E808" s="2">
        <v>3501</v>
      </c>
      <c r="F808" s="1">
        <v>43109</v>
      </c>
      <c r="G808" t="str">
        <f>"PPDINV0009116"</f>
        <v>PPDINV0009116</v>
      </c>
      <c r="H808" t="str">
        <f>"INV PPDINV0009116"</f>
        <v>INV PPDINV0009116</v>
      </c>
      <c r="I808" s="2">
        <v>3501</v>
      </c>
      <c r="J808" t="str">
        <f>"INV PPDINV0009116"</f>
        <v>INV PPDINV0009116</v>
      </c>
    </row>
    <row r="809" spans="1:10" x14ac:dyDescent="0.3">
      <c r="A809" t="str">
        <f t="shared" si="21"/>
        <v>01</v>
      </c>
      <c r="B809" t="str">
        <f>"003872"</f>
        <v>003872</v>
      </c>
      <c r="C809" t="s">
        <v>308</v>
      </c>
      <c r="D809">
        <v>74697</v>
      </c>
      <c r="E809" s="2">
        <v>40</v>
      </c>
      <c r="F809" s="1">
        <v>43108</v>
      </c>
      <c r="G809" t="str">
        <f>"201801027631"</f>
        <v>201801027631</v>
      </c>
      <c r="H809" t="str">
        <f>"FERAL HOGS"</f>
        <v>FERAL HOGS</v>
      </c>
      <c r="I809" s="2">
        <v>40</v>
      </c>
      <c r="J809" t="str">
        <f>"FERAL HOGS"</f>
        <v>FERAL HOGS</v>
      </c>
    </row>
    <row r="810" spans="1:10" x14ac:dyDescent="0.3">
      <c r="A810" t="str">
        <f t="shared" si="21"/>
        <v>01</v>
      </c>
      <c r="B810" t="str">
        <f>"003086"</f>
        <v>003086</v>
      </c>
      <c r="C810" t="s">
        <v>114</v>
      </c>
      <c r="D810">
        <v>74698</v>
      </c>
      <c r="E810" s="2">
        <v>1090.78</v>
      </c>
      <c r="F810" s="1">
        <v>43108</v>
      </c>
      <c r="G810" t="str">
        <f>"201801027595"</f>
        <v>201801027595</v>
      </c>
      <c r="H810" t="str">
        <f>"JAIL MEDICAL"</f>
        <v>JAIL MEDICAL</v>
      </c>
      <c r="I810" s="2">
        <v>1090.78</v>
      </c>
      <c r="J810" t="str">
        <f>"JAIL MEDICAL"</f>
        <v>JAIL MEDICAL</v>
      </c>
    </row>
    <row r="811" spans="1:10" x14ac:dyDescent="0.3">
      <c r="A811" t="str">
        <f t="shared" si="21"/>
        <v>01</v>
      </c>
      <c r="B811" t="str">
        <f>"005081"</f>
        <v>005081</v>
      </c>
      <c r="C811" t="s">
        <v>309</v>
      </c>
      <c r="D811">
        <v>74699</v>
      </c>
      <c r="E811" s="2">
        <v>932.25</v>
      </c>
      <c r="F811" s="1">
        <v>43108</v>
      </c>
      <c r="G811" t="str">
        <f>"201801027691"</f>
        <v>201801027691</v>
      </c>
      <c r="H811" t="str">
        <f>"ACCT#20147/BCAS"</f>
        <v>ACCT#20147/BCAS</v>
      </c>
      <c r="I811" s="2">
        <v>932.25</v>
      </c>
      <c r="J811" t="str">
        <f>"ACCT#20147/BCAS"</f>
        <v>ACCT#20147/BCAS</v>
      </c>
    </row>
    <row r="812" spans="1:10" x14ac:dyDescent="0.3">
      <c r="A812" t="str">
        <f t="shared" si="21"/>
        <v>01</v>
      </c>
      <c r="B812" t="str">
        <f>"004427"</f>
        <v>004427</v>
      </c>
      <c r="C812" t="s">
        <v>310</v>
      </c>
      <c r="D812">
        <v>74700</v>
      </c>
      <c r="E812" s="2">
        <v>60</v>
      </c>
      <c r="F812" s="1">
        <v>43108</v>
      </c>
      <c r="G812" t="str">
        <f>"201801027632"</f>
        <v>201801027632</v>
      </c>
      <c r="H812" t="str">
        <f>"FERAL HOGS"</f>
        <v>FERAL HOGS</v>
      </c>
      <c r="I812" s="2">
        <v>60</v>
      </c>
      <c r="J812" t="str">
        <f>"FERAL HOGS"</f>
        <v>FERAL HOGS</v>
      </c>
    </row>
    <row r="813" spans="1:10" x14ac:dyDescent="0.3">
      <c r="A813" t="str">
        <f t="shared" si="21"/>
        <v>01</v>
      </c>
      <c r="B813" t="str">
        <f>"LINDER"</f>
        <v>LINDER</v>
      </c>
      <c r="C813" t="s">
        <v>311</v>
      </c>
      <c r="D813">
        <v>74701</v>
      </c>
      <c r="E813" s="2">
        <v>3740</v>
      </c>
      <c r="F813" s="1">
        <v>43108</v>
      </c>
      <c r="G813" t="str">
        <f>"17-098"</f>
        <v>17-098</v>
      </c>
      <c r="H813" t="str">
        <f>"COURT REPORTING SVC"</f>
        <v>COURT REPORTING SVC</v>
      </c>
      <c r="I813" s="2">
        <v>3740</v>
      </c>
      <c r="J813" t="str">
        <f>"COURT REPORTING SVC"</f>
        <v>COURT REPORTING SVC</v>
      </c>
    </row>
    <row r="814" spans="1:10" x14ac:dyDescent="0.3">
      <c r="A814" t="str">
        <f t="shared" si="21"/>
        <v>01</v>
      </c>
      <c r="B814" t="str">
        <f>"LINDER"</f>
        <v>LINDER</v>
      </c>
      <c r="C814" t="s">
        <v>311</v>
      </c>
      <c r="D814">
        <v>74933</v>
      </c>
      <c r="E814" s="2">
        <v>375</v>
      </c>
      <c r="F814" s="1">
        <v>43122</v>
      </c>
      <c r="G814" t="str">
        <f>"18-002"</f>
        <v>18-002</v>
      </c>
      <c r="H814" t="str">
        <f>"SUBCONTRACT CT REPORTING FEE"</f>
        <v>SUBCONTRACT CT REPORTING FEE</v>
      </c>
      <c r="I814" s="2">
        <v>375</v>
      </c>
      <c r="J814" t="str">
        <f>"SUBCONTRACT CT REPORTING FEE"</f>
        <v>SUBCONTRACT CT REPORTING FEE</v>
      </c>
    </row>
    <row r="815" spans="1:10" x14ac:dyDescent="0.3">
      <c r="A815" t="str">
        <f t="shared" si="21"/>
        <v>01</v>
      </c>
      <c r="B815" t="str">
        <f>"000291"</f>
        <v>000291</v>
      </c>
      <c r="C815" t="s">
        <v>312</v>
      </c>
      <c r="D815">
        <v>74702</v>
      </c>
      <c r="E815" s="2">
        <v>482.68</v>
      </c>
      <c r="F815" s="1">
        <v>43108</v>
      </c>
      <c r="G815" t="str">
        <f>"7270-7"</f>
        <v>7270-7</v>
      </c>
      <c r="H815" t="str">
        <f>"ACCT#4220-2556-9"</f>
        <v>ACCT#4220-2556-9</v>
      </c>
      <c r="I815" s="2">
        <v>482.68</v>
      </c>
      <c r="J815" t="str">
        <f>"ACCT#4220-2556-9"</f>
        <v>ACCT#4220-2556-9</v>
      </c>
    </row>
    <row r="816" spans="1:10" x14ac:dyDescent="0.3">
      <c r="A816" t="str">
        <f t="shared" si="21"/>
        <v>01</v>
      </c>
      <c r="B816" t="str">
        <f>"000291"</f>
        <v>000291</v>
      </c>
      <c r="C816" t="s">
        <v>312</v>
      </c>
      <c r="D816">
        <v>74934</v>
      </c>
      <c r="E816" s="2">
        <v>384.05</v>
      </c>
      <c r="F816" s="1">
        <v>43122</v>
      </c>
      <c r="G816" t="str">
        <f>"7663-3"</f>
        <v>7663-3</v>
      </c>
      <c r="H816" t="str">
        <f>"ACCT#4220-2556-9"</f>
        <v>ACCT#4220-2556-9</v>
      </c>
      <c r="I816" s="2">
        <v>384.05</v>
      </c>
      <c r="J816" t="str">
        <f>"ACCT#4220-2556-9"</f>
        <v>ACCT#4220-2556-9</v>
      </c>
    </row>
    <row r="817" spans="1:10" x14ac:dyDescent="0.3">
      <c r="A817" t="str">
        <f t="shared" si="21"/>
        <v>01</v>
      </c>
      <c r="B817" t="str">
        <f>"T10195"</f>
        <v>T10195</v>
      </c>
      <c r="C817" t="s">
        <v>313</v>
      </c>
      <c r="D817">
        <v>74703</v>
      </c>
      <c r="E817" s="2">
        <v>7462.31</v>
      </c>
      <c r="F817" s="1">
        <v>43108</v>
      </c>
      <c r="G817" t="str">
        <f>"GB00264993"</f>
        <v>GB00264993</v>
      </c>
      <c r="H817" t="str">
        <f>"SolarWind Web Help Desk"</f>
        <v>SolarWind Web Help Desk</v>
      </c>
      <c r="I817" s="2">
        <v>3085.56</v>
      </c>
      <c r="J817" t="str">
        <f>"Help Desk License"</f>
        <v>Help Desk License</v>
      </c>
    </row>
    <row r="818" spans="1:10" x14ac:dyDescent="0.3">
      <c r="A818" t="str">
        <f>""</f>
        <v/>
      </c>
      <c r="B818" t="str">
        <f>""</f>
        <v/>
      </c>
      <c r="G818" t="str">
        <f>"GB00265365"</f>
        <v>GB00265365</v>
      </c>
      <c r="H818" t="str">
        <f>"Security Cameras for Pct2"</f>
        <v>Security Cameras for Pct2</v>
      </c>
      <c r="I818" s="2">
        <v>4376.75</v>
      </c>
      <c r="J818" t="str">
        <f>"Part #: 0937-004"</f>
        <v>Part #: 0937-004</v>
      </c>
    </row>
    <row r="819" spans="1:10" x14ac:dyDescent="0.3">
      <c r="A819" t="str">
        <f>""</f>
        <v/>
      </c>
      <c r="B819" t="str">
        <f>""</f>
        <v/>
      </c>
      <c r="G819" t="str">
        <f>""</f>
        <v/>
      </c>
      <c r="H819" t="str">
        <f>""</f>
        <v/>
      </c>
      <c r="J819" t="str">
        <f>"Part #: 0955-001"</f>
        <v>Part #: 0955-001</v>
      </c>
    </row>
    <row r="820" spans="1:10" x14ac:dyDescent="0.3">
      <c r="A820" t="str">
        <f>"01"</f>
        <v>01</v>
      </c>
      <c r="B820" t="str">
        <f>"T10195"</f>
        <v>T10195</v>
      </c>
      <c r="C820" t="s">
        <v>313</v>
      </c>
      <c r="D820">
        <v>74935</v>
      </c>
      <c r="E820" s="2">
        <v>6046.76</v>
      </c>
      <c r="F820" s="1">
        <v>43122</v>
      </c>
      <c r="G820" t="str">
        <f>"GB00265016"</f>
        <v>GB00265016</v>
      </c>
      <c r="H820" t="str">
        <f>"SHI Quote-14590973"</f>
        <v>SHI Quote-14590973</v>
      </c>
      <c r="I820" s="2">
        <v>3663</v>
      </c>
      <c r="J820" t="str">
        <f>" Part#: 11NMUPA"</f>
        <v> Part#: 11NMUPA</v>
      </c>
    </row>
    <row r="821" spans="1:10" x14ac:dyDescent="0.3">
      <c r="A821" t="str">
        <f>""</f>
        <v/>
      </c>
      <c r="B821" t="str">
        <f>""</f>
        <v/>
      </c>
      <c r="G821" t="str">
        <f>""</f>
        <v/>
      </c>
      <c r="H821" t="str">
        <f>""</f>
        <v/>
      </c>
      <c r="J821" t="str">
        <f>"Part#: 11NMXP25 "</f>
        <v>Part#: 11NMXP25 </v>
      </c>
    </row>
    <row r="822" spans="1:10" x14ac:dyDescent="0.3">
      <c r="A822" t="str">
        <f>""</f>
        <v/>
      </c>
      <c r="B822" t="str">
        <f>""</f>
        <v/>
      </c>
      <c r="G822" t="str">
        <f>"GB00266060"</f>
        <v>GB00266060</v>
      </c>
      <c r="H822" t="str">
        <f>"Adobe InDesign"</f>
        <v>Adobe InDesign</v>
      </c>
      <c r="I822" s="2">
        <v>1080</v>
      </c>
      <c r="J822" t="str">
        <f>"Part#: 65270560BC01A"</f>
        <v>Part#: 65270560BC01A</v>
      </c>
    </row>
    <row r="823" spans="1:10" x14ac:dyDescent="0.3">
      <c r="A823" t="str">
        <f>""</f>
        <v/>
      </c>
      <c r="B823" t="str">
        <f>""</f>
        <v/>
      </c>
      <c r="G823" t="str">
        <f>""</f>
        <v/>
      </c>
      <c r="H823" t="str">
        <f>""</f>
        <v/>
      </c>
      <c r="J823" t="str">
        <f>"Part#: 65270789BC01A"</f>
        <v>Part#: 65270789BC01A</v>
      </c>
    </row>
    <row r="824" spans="1:10" x14ac:dyDescent="0.3">
      <c r="A824" t="str">
        <f>""</f>
        <v/>
      </c>
      <c r="B824" t="str">
        <f>""</f>
        <v/>
      </c>
      <c r="G824" t="str">
        <f>"GB00266374"</f>
        <v>GB00266374</v>
      </c>
      <c r="H824" t="str">
        <f>"APC Power Cables"</f>
        <v>APC Power Cables</v>
      </c>
      <c r="I824" s="2">
        <v>160.76</v>
      </c>
      <c r="J824" t="str">
        <f>"AP8704S-NA"</f>
        <v>AP8704S-NA</v>
      </c>
    </row>
    <row r="825" spans="1:10" x14ac:dyDescent="0.3">
      <c r="A825" t="str">
        <f>""</f>
        <v/>
      </c>
      <c r="B825" t="str">
        <f>""</f>
        <v/>
      </c>
      <c r="G825" t="str">
        <f>""</f>
        <v/>
      </c>
      <c r="H825" t="str">
        <f>""</f>
        <v/>
      </c>
      <c r="J825" t="str">
        <f>"AP8706S-NA"</f>
        <v>AP8706S-NA</v>
      </c>
    </row>
    <row r="826" spans="1:10" x14ac:dyDescent="0.3">
      <c r="A826" t="str">
        <f>""</f>
        <v/>
      </c>
      <c r="B826" t="str">
        <f>""</f>
        <v/>
      </c>
      <c r="G826" t="str">
        <f>"GB00266895"</f>
        <v>GB00266895</v>
      </c>
      <c r="H826" t="str">
        <f>"NetMotion - Diagnostics"</f>
        <v>NetMotion - Diagnostics</v>
      </c>
      <c r="I826" s="2">
        <v>1143</v>
      </c>
      <c r="J826" t="str">
        <f>"Part#: 04ND "</f>
        <v>Part#: 04ND </v>
      </c>
    </row>
    <row r="827" spans="1:10" x14ac:dyDescent="0.3">
      <c r="A827" t="str">
        <f>""</f>
        <v/>
      </c>
      <c r="B827" t="str">
        <f>""</f>
        <v/>
      </c>
      <c r="G827" t="str">
        <f>""</f>
        <v/>
      </c>
      <c r="H827" t="str">
        <f>""</f>
        <v/>
      </c>
      <c r="J827" t="str">
        <f>"Part#: 04NDXP25 "</f>
        <v>Part#: 04NDXP25 </v>
      </c>
    </row>
    <row r="828" spans="1:10" x14ac:dyDescent="0.3">
      <c r="A828" t="str">
        <f>"01"</f>
        <v>01</v>
      </c>
      <c r="B828" t="str">
        <f>"004840"</f>
        <v>004840</v>
      </c>
      <c r="C828" t="s">
        <v>314</v>
      </c>
      <c r="D828">
        <v>74936</v>
      </c>
      <c r="E828" s="2">
        <v>29.73</v>
      </c>
      <c r="F828" s="1">
        <v>43122</v>
      </c>
      <c r="G828" t="str">
        <f>"201801118121"</f>
        <v>201801118121</v>
      </c>
      <c r="H828" t="str">
        <f>"ACCT#550615/PCT#2"</f>
        <v>ACCT#550615/PCT#2</v>
      </c>
      <c r="I828" s="2">
        <v>29.73</v>
      </c>
      <c r="J828" t="str">
        <f>"ACCT#550615/PCT#2"</f>
        <v>ACCT#550615/PCT#2</v>
      </c>
    </row>
    <row r="829" spans="1:10" x14ac:dyDescent="0.3">
      <c r="A829" t="str">
        <f>"01"</f>
        <v>01</v>
      </c>
      <c r="B829" t="str">
        <f>"005369"</f>
        <v>005369</v>
      </c>
      <c r="C829" t="s">
        <v>315</v>
      </c>
      <c r="D829">
        <v>74704</v>
      </c>
      <c r="E829" s="2">
        <v>500</v>
      </c>
      <c r="F829" s="1">
        <v>43108</v>
      </c>
      <c r="G829" t="str">
        <f>"201801027633"</f>
        <v>201801027633</v>
      </c>
      <c r="H829" t="str">
        <f>"FERAL HOGS"</f>
        <v>FERAL HOGS</v>
      </c>
      <c r="I829" s="2">
        <v>500</v>
      </c>
      <c r="J829" t="str">
        <f>"FERAL HOGS"</f>
        <v>FERAL HOGS</v>
      </c>
    </row>
    <row r="830" spans="1:10" x14ac:dyDescent="0.3">
      <c r="A830" t="str">
        <f>"01"</f>
        <v>01</v>
      </c>
      <c r="B830" t="str">
        <f>"T12591"</f>
        <v>T12591</v>
      </c>
      <c r="C830" t="s">
        <v>316</v>
      </c>
      <c r="D830">
        <v>74705</v>
      </c>
      <c r="E830" s="2">
        <v>349</v>
      </c>
      <c r="F830" s="1">
        <v>43108</v>
      </c>
      <c r="G830" t="str">
        <f>"8025855"</f>
        <v>8025855</v>
      </c>
      <c r="H830" t="str">
        <f>"Invoice# 8025855"</f>
        <v>Invoice# 8025855</v>
      </c>
      <c r="I830" s="2">
        <v>349</v>
      </c>
      <c r="J830" t="str">
        <f>"All Access Pass"</f>
        <v>All Access Pass</v>
      </c>
    </row>
    <row r="831" spans="1:10" x14ac:dyDescent="0.3">
      <c r="A831" t="str">
        <f>"01"</f>
        <v>01</v>
      </c>
      <c r="B831" t="str">
        <f>"SS"</f>
        <v>SS</v>
      </c>
      <c r="C831" t="s">
        <v>317</v>
      </c>
      <c r="D831">
        <v>74937</v>
      </c>
      <c r="E831" s="2">
        <v>657.76</v>
      </c>
      <c r="F831" s="1">
        <v>43122</v>
      </c>
      <c r="G831" t="str">
        <f>"201801118122"</f>
        <v>201801118122</v>
      </c>
      <c r="H831" t="str">
        <f>"STATEMENT#26237/PCT#2"</f>
        <v>STATEMENT#26237/PCT#2</v>
      </c>
      <c r="I831" s="2">
        <v>212.41</v>
      </c>
      <c r="J831" t="str">
        <f>"STATEMENT#26237/PCT#2"</f>
        <v>STATEMENT#26237/PCT#2</v>
      </c>
    </row>
    <row r="832" spans="1:10" x14ac:dyDescent="0.3">
      <c r="A832" t="str">
        <f>""</f>
        <v/>
      </c>
      <c r="B832" t="str">
        <f>""</f>
        <v/>
      </c>
      <c r="G832" t="str">
        <f>"365449"</f>
        <v>365449</v>
      </c>
      <c r="H832" t="str">
        <f>"STATEMENT#26236/PCT#1"</f>
        <v>STATEMENT#26236/PCT#1</v>
      </c>
      <c r="I832" s="2">
        <v>445.35</v>
      </c>
      <c r="J832" t="str">
        <f>"STATEMENT#26236/PCT#1"</f>
        <v>STATEMENT#26236/PCT#1</v>
      </c>
    </row>
    <row r="833" spans="1:10" x14ac:dyDescent="0.3">
      <c r="A833" t="str">
        <f t="shared" ref="A833:A840" si="22">"01"</f>
        <v>01</v>
      </c>
      <c r="B833" t="str">
        <f>"SAP"</f>
        <v>SAP</v>
      </c>
      <c r="C833" t="s">
        <v>318</v>
      </c>
      <c r="D833">
        <v>74938</v>
      </c>
      <c r="E833" s="2">
        <v>888.35</v>
      </c>
      <c r="F833" s="1">
        <v>43122</v>
      </c>
      <c r="G833" t="str">
        <f>"201801118119"</f>
        <v>201801118119</v>
      </c>
      <c r="H833" t="str">
        <f>"ACCT#260/PCT#2"</f>
        <v>ACCT#260/PCT#2</v>
      </c>
      <c r="I833" s="2">
        <v>888.35</v>
      </c>
      <c r="J833" t="str">
        <f>"ACCT#260/PCT#2"</f>
        <v>ACCT#260/PCT#2</v>
      </c>
    </row>
    <row r="834" spans="1:10" x14ac:dyDescent="0.3">
      <c r="A834" t="str">
        <f t="shared" si="22"/>
        <v>01</v>
      </c>
      <c r="B834" t="str">
        <f>"005265"</f>
        <v>005265</v>
      </c>
      <c r="C834" t="s">
        <v>51</v>
      </c>
      <c r="D834">
        <v>74706</v>
      </c>
      <c r="E834" s="2">
        <v>98.8</v>
      </c>
      <c r="F834" s="1">
        <v>43108</v>
      </c>
      <c r="G834" t="str">
        <f>"201801027672"</f>
        <v>201801027672</v>
      </c>
      <c r="H834" t="str">
        <f>"ACCT#15619930"</f>
        <v>ACCT#15619930</v>
      </c>
      <c r="I834" s="2">
        <v>98.8</v>
      </c>
      <c r="J834" t="str">
        <f>"ACCT#15619930"</f>
        <v>ACCT#15619930</v>
      </c>
    </row>
    <row r="835" spans="1:10" x14ac:dyDescent="0.3">
      <c r="A835" t="str">
        <f t="shared" si="22"/>
        <v>01</v>
      </c>
      <c r="B835" t="str">
        <f>"002694"</f>
        <v>002694</v>
      </c>
      <c r="C835" t="s">
        <v>319</v>
      </c>
      <c r="D835">
        <v>74939</v>
      </c>
      <c r="E835" s="2">
        <v>266</v>
      </c>
      <c r="F835" s="1">
        <v>43122</v>
      </c>
      <c r="G835" t="str">
        <f>"IN357242"</f>
        <v>IN357242</v>
      </c>
      <c r="H835" t="str">
        <f>"Solarwinds Dameware Renew"</f>
        <v>Solarwinds Dameware Renew</v>
      </c>
      <c r="I835" s="2">
        <v>266</v>
      </c>
      <c r="J835" t="str">
        <f>"SKU# 18232"</f>
        <v>SKU# 18232</v>
      </c>
    </row>
    <row r="836" spans="1:10" x14ac:dyDescent="0.3">
      <c r="A836" t="str">
        <f t="shared" si="22"/>
        <v>01</v>
      </c>
      <c r="B836" t="str">
        <f>"T9322"</f>
        <v>T9322</v>
      </c>
      <c r="C836" t="s">
        <v>320</v>
      </c>
      <c r="D836">
        <v>74940</v>
      </c>
      <c r="E836" s="2">
        <v>87</v>
      </c>
      <c r="F836" s="1">
        <v>43122</v>
      </c>
      <c r="G836" t="str">
        <f>"80055-1"</f>
        <v>80055-1</v>
      </c>
      <c r="H836" t="str">
        <f>"ORD#80055/COUNTY CLERK"</f>
        <v>ORD#80055/COUNTY CLERK</v>
      </c>
      <c r="I836" s="2">
        <v>87</v>
      </c>
      <c r="J836" t="str">
        <f>"ORD#80055/COUNTY CLERK"</f>
        <v>ORD#80055/COUNTY CLERK</v>
      </c>
    </row>
    <row r="837" spans="1:10" x14ac:dyDescent="0.3">
      <c r="A837" t="str">
        <f t="shared" si="22"/>
        <v>01</v>
      </c>
      <c r="B837" t="str">
        <f>"T11061"</f>
        <v>T11061</v>
      </c>
      <c r="C837" t="s">
        <v>321</v>
      </c>
      <c r="D837">
        <v>74707</v>
      </c>
      <c r="E837" s="2">
        <v>82.46</v>
      </c>
      <c r="F837" s="1">
        <v>43108</v>
      </c>
      <c r="G837" t="str">
        <f>"11969495 122217"</f>
        <v>11969495 122217</v>
      </c>
      <c r="H837" t="str">
        <f>"ACCT#556850411969495/DA'S OFF."</f>
        <v>ACCT#556850411969495/DA'S OFF.</v>
      </c>
      <c r="I837" s="2">
        <v>82.46</v>
      </c>
      <c r="J837" t="str">
        <f>"ACCT#556850411969495/DA'S OFF."</f>
        <v>ACCT#556850411969495/DA'S OFF.</v>
      </c>
    </row>
    <row r="838" spans="1:10" x14ac:dyDescent="0.3">
      <c r="A838" t="str">
        <f t="shared" si="22"/>
        <v>01</v>
      </c>
      <c r="B838" t="str">
        <f>"SDHCS"</f>
        <v>SDHCS</v>
      </c>
      <c r="C838" t="s">
        <v>322</v>
      </c>
      <c r="D838">
        <v>74941</v>
      </c>
      <c r="E838" s="2">
        <v>456.84</v>
      </c>
      <c r="F838" s="1">
        <v>43122</v>
      </c>
      <c r="G838" t="str">
        <f>"4328*98030*1"</f>
        <v>4328*98030*1</v>
      </c>
      <c r="H838" t="str">
        <f>"JAIL MEDICAL"</f>
        <v>JAIL MEDICAL</v>
      </c>
      <c r="I838" s="2">
        <v>456.84</v>
      </c>
      <c r="J838" t="str">
        <f>"JAIL MEDICAL"</f>
        <v>JAIL MEDICAL</v>
      </c>
    </row>
    <row r="839" spans="1:10" x14ac:dyDescent="0.3">
      <c r="A839" t="str">
        <f t="shared" si="22"/>
        <v>01</v>
      </c>
      <c r="B839" t="str">
        <f>"005370"</f>
        <v>005370</v>
      </c>
      <c r="C839" t="s">
        <v>323</v>
      </c>
      <c r="D839">
        <v>74708</v>
      </c>
      <c r="E839" s="2">
        <v>25</v>
      </c>
      <c r="F839" s="1">
        <v>43108</v>
      </c>
      <c r="G839" t="str">
        <f>"201801027634"</f>
        <v>201801027634</v>
      </c>
      <c r="H839" t="str">
        <f>"FERAL HOGS"</f>
        <v>FERAL HOGS</v>
      </c>
      <c r="I839" s="2">
        <v>25</v>
      </c>
      <c r="J839" t="str">
        <f>"FERAL HOGS"</f>
        <v>FERAL HOGS</v>
      </c>
    </row>
    <row r="840" spans="1:10" x14ac:dyDescent="0.3">
      <c r="A840" t="str">
        <f t="shared" si="22"/>
        <v>01</v>
      </c>
      <c r="B840" t="str">
        <f>"003508"</f>
        <v>003508</v>
      </c>
      <c r="C840" t="s">
        <v>324</v>
      </c>
      <c r="D840">
        <v>74709</v>
      </c>
      <c r="E840" s="2">
        <v>1433.54</v>
      </c>
      <c r="F840" s="1">
        <v>43108</v>
      </c>
      <c r="G840" t="str">
        <f>"8047846451"</f>
        <v>8047846451</v>
      </c>
      <c r="H840" t="str">
        <f>"Sum. Inv. 8047846451"</f>
        <v>Sum. Inv. 8047846451</v>
      </c>
      <c r="I840" s="2">
        <v>1433.54</v>
      </c>
      <c r="J840" t="str">
        <f>"Inv# 3362496456"</f>
        <v>Inv# 3362496456</v>
      </c>
    </row>
    <row r="841" spans="1:10" x14ac:dyDescent="0.3">
      <c r="A841" t="str">
        <f>""</f>
        <v/>
      </c>
      <c r="B841" t="str">
        <f>""</f>
        <v/>
      </c>
      <c r="G841" t="str">
        <f>""</f>
        <v/>
      </c>
      <c r="H841" t="str">
        <f>""</f>
        <v/>
      </c>
      <c r="J841" t="str">
        <f>"Inv# 3362496455"</f>
        <v>Inv# 3362496455</v>
      </c>
    </row>
    <row r="842" spans="1:10" x14ac:dyDescent="0.3">
      <c r="A842" t="str">
        <f>""</f>
        <v/>
      </c>
      <c r="B842" t="str">
        <f>""</f>
        <v/>
      </c>
      <c r="G842" t="str">
        <f>""</f>
        <v/>
      </c>
      <c r="H842" t="str">
        <f>""</f>
        <v/>
      </c>
      <c r="J842" t="str">
        <f>"Inv# 3362496457"</f>
        <v>Inv# 3362496457</v>
      </c>
    </row>
    <row r="843" spans="1:10" x14ac:dyDescent="0.3">
      <c r="A843" t="str">
        <f>""</f>
        <v/>
      </c>
      <c r="B843" t="str">
        <f>""</f>
        <v/>
      </c>
      <c r="G843" t="str">
        <f>""</f>
        <v/>
      </c>
      <c r="H843" t="str">
        <f>""</f>
        <v/>
      </c>
      <c r="J843" t="str">
        <f>"Inv# 3362496454"</f>
        <v>Inv# 3362496454</v>
      </c>
    </row>
    <row r="844" spans="1:10" x14ac:dyDescent="0.3">
      <c r="A844" t="str">
        <f>""</f>
        <v/>
      </c>
      <c r="B844" t="str">
        <f>""</f>
        <v/>
      </c>
      <c r="G844" t="str">
        <f>""</f>
        <v/>
      </c>
      <c r="H844" t="str">
        <f>""</f>
        <v/>
      </c>
      <c r="J844" t="str">
        <f>"Inv# 3362496461"</f>
        <v>Inv# 3362496461</v>
      </c>
    </row>
    <row r="845" spans="1:10" x14ac:dyDescent="0.3">
      <c r="A845" t="str">
        <f>""</f>
        <v/>
      </c>
      <c r="B845" t="str">
        <f>""</f>
        <v/>
      </c>
      <c r="G845" t="str">
        <f>""</f>
        <v/>
      </c>
      <c r="H845" t="str">
        <f>""</f>
        <v/>
      </c>
      <c r="J845" t="str">
        <f>"Inv# 3362496462"</f>
        <v>Inv# 3362496462</v>
      </c>
    </row>
    <row r="846" spans="1:10" x14ac:dyDescent="0.3">
      <c r="A846" t="str">
        <f>""</f>
        <v/>
      </c>
      <c r="B846" t="str">
        <f>""</f>
        <v/>
      </c>
      <c r="G846" t="str">
        <f>""</f>
        <v/>
      </c>
      <c r="H846" t="str">
        <f>""</f>
        <v/>
      </c>
      <c r="J846" t="str">
        <f>"Inv# 3362496463"</f>
        <v>Inv# 3362496463</v>
      </c>
    </row>
    <row r="847" spans="1:10" x14ac:dyDescent="0.3">
      <c r="A847" t="str">
        <f>""</f>
        <v/>
      </c>
      <c r="B847" t="str">
        <f>""</f>
        <v/>
      </c>
      <c r="G847" t="str">
        <f>""</f>
        <v/>
      </c>
      <c r="H847" t="str">
        <f>""</f>
        <v/>
      </c>
      <c r="J847" t="str">
        <f>"Inv# 3362496449"</f>
        <v>Inv# 3362496449</v>
      </c>
    </row>
    <row r="848" spans="1:10" x14ac:dyDescent="0.3">
      <c r="A848" t="str">
        <f>""</f>
        <v/>
      </c>
      <c r="B848" t="str">
        <f>""</f>
        <v/>
      </c>
      <c r="G848" t="str">
        <f>""</f>
        <v/>
      </c>
      <c r="H848" t="str">
        <f>""</f>
        <v/>
      </c>
      <c r="J848" t="str">
        <f>"Inv# 336246452"</f>
        <v>Inv# 336246452</v>
      </c>
    </row>
    <row r="849" spans="1:10" x14ac:dyDescent="0.3">
      <c r="A849" t="str">
        <f>""</f>
        <v/>
      </c>
      <c r="B849" t="str">
        <f>""</f>
        <v/>
      </c>
      <c r="G849" t="str">
        <f>""</f>
        <v/>
      </c>
      <c r="H849" t="str">
        <f>""</f>
        <v/>
      </c>
      <c r="J849" t="str">
        <f>"Inv# 3362496459"</f>
        <v>Inv# 3362496459</v>
      </c>
    </row>
    <row r="850" spans="1:10" x14ac:dyDescent="0.3">
      <c r="A850" t="str">
        <f>""</f>
        <v/>
      </c>
      <c r="B850" t="str">
        <f>""</f>
        <v/>
      </c>
      <c r="G850" t="str">
        <f>""</f>
        <v/>
      </c>
      <c r="H850" t="str">
        <f>""</f>
        <v/>
      </c>
      <c r="J850" t="str">
        <f>"Inv# 3362496460"</f>
        <v>Inv# 3362496460</v>
      </c>
    </row>
    <row r="851" spans="1:10" x14ac:dyDescent="0.3">
      <c r="A851" t="str">
        <f>""</f>
        <v/>
      </c>
      <c r="B851" t="str">
        <f>""</f>
        <v/>
      </c>
      <c r="G851" t="str">
        <f>""</f>
        <v/>
      </c>
      <c r="H851" t="str">
        <f>""</f>
        <v/>
      </c>
      <c r="J851" t="str">
        <f>"Inv# 3362496452"</f>
        <v>Inv# 3362496452</v>
      </c>
    </row>
    <row r="852" spans="1:10" x14ac:dyDescent="0.3">
      <c r="A852" t="str">
        <f>""</f>
        <v/>
      </c>
      <c r="B852" t="str">
        <f>""</f>
        <v/>
      </c>
      <c r="G852" t="str">
        <f>""</f>
        <v/>
      </c>
      <c r="H852" t="str">
        <f>""</f>
        <v/>
      </c>
      <c r="J852" t="str">
        <f>"Inv# 3362496465"</f>
        <v>Inv# 3362496465</v>
      </c>
    </row>
    <row r="853" spans="1:10" x14ac:dyDescent="0.3">
      <c r="A853" t="str">
        <f>""</f>
        <v/>
      </c>
      <c r="B853" t="str">
        <f>""</f>
        <v/>
      </c>
      <c r="G853" t="str">
        <f>""</f>
        <v/>
      </c>
      <c r="H853" t="str">
        <f>""</f>
        <v/>
      </c>
      <c r="J853" t="str">
        <f>"Inv# 3362496458"</f>
        <v>Inv# 3362496458</v>
      </c>
    </row>
    <row r="854" spans="1:10" x14ac:dyDescent="0.3">
      <c r="A854" t="str">
        <f>"01"</f>
        <v>01</v>
      </c>
      <c r="B854" t="str">
        <f>"T459"</f>
        <v>T459</v>
      </c>
      <c r="C854" t="s">
        <v>325</v>
      </c>
      <c r="D854">
        <v>74942</v>
      </c>
      <c r="E854" s="2">
        <v>495</v>
      </c>
      <c r="F854" s="1">
        <v>43122</v>
      </c>
      <c r="G854" t="str">
        <f>"201801118154"</f>
        <v>201801118154</v>
      </c>
      <c r="H854" t="str">
        <f>"MONTHLY STATEMENT DEC 2017"</f>
        <v>MONTHLY STATEMENT DEC 2017</v>
      </c>
      <c r="I854" s="2">
        <v>495</v>
      </c>
      <c r="J854" t="str">
        <f>"MONTHLY STATEMENT DEC 2017"</f>
        <v>MONTHLY STATEMENT DEC 2017</v>
      </c>
    </row>
    <row r="855" spans="1:10" x14ac:dyDescent="0.3">
      <c r="A855" t="str">
        <f>"01"</f>
        <v>01</v>
      </c>
      <c r="B855" t="str">
        <f>"004808"</f>
        <v>004808</v>
      </c>
      <c r="C855" t="s">
        <v>326</v>
      </c>
      <c r="D855">
        <v>74710</v>
      </c>
      <c r="E855" s="2">
        <v>95</v>
      </c>
      <c r="F855" s="1">
        <v>43108</v>
      </c>
      <c r="G855" t="str">
        <f>"201801027635"</f>
        <v>201801027635</v>
      </c>
      <c r="H855" t="str">
        <f>"FERAL HOGS"</f>
        <v>FERAL HOGS</v>
      </c>
      <c r="I855" s="2">
        <v>20</v>
      </c>
      <c r="J855" t="str">
        <f>"FERAL HOGS"</f>
        <v>FERAL HOGS</v>
      </c>
    </row>
    <row r="856" spans="1:10" x14ac:dyDescent="0.3">
      <c r="A856" t="str">
        <f>""</f>
        <v/>
      </c>
      <c r="B856" t="str">
        <f>""</f>
        <v/>
      </c>
      <c r="G856" t="str">
        <f>"201801027636"</f>
        <v>201801027636</v>
      </c>
      <c r="H856" t="str">
        <f>"FERAL HOGS"</f>
        <v>FERAL HOGS</v>
      </c>
      <c r="I856" s="2">
        <v>30</v>
      </c>
      <c r="J856" t="str">
        <f>"FERAL HOGS"</f>
        <v>FERAL HOGS</v>
      </c>
    </row>
    <row r="857" spans="1:10" x14ac:dyDescent="0.3">
      <c r="A857" t="str">
        <f>""</f>
        <v/>
      </c>
      <c r="B857" t="str">
        <f>""</f>
        <v/>
      </c>
      <c r="G857" t="str">
        <f>"201801027637"</f>
        <v>201801027637</v>
      </c>
      <c r="H857" t="str">
        <f>"FERAL HOGS"</f>
        <v>FERAL HOGS</v>
      </c>
      <c r="I857" s="2">
        <v>45</v>
      </c>
      <c r="J857" t="str">
        <f>"FERAL HOGS"</f>
        <v>FERAL HOGS</v>
      </c>
    </row>
    <row r="858" spans="1:10" x14ac:dyDescent="0.3">
      <c r="A858" t="str">
        <f>"01"</f>
        <v>01</v>
      </c>
      <c r="B858" t="str">
        <f>"T8648"</f>
        <v>T8648</v>
      </c>
      <c r="C858" t="s">
        <v>327</v>
      </c>
      <c r="D858">
        <v>74711</v>
      </c>
      <c r="E858" s="2">
        <v>723.61</v>
      </c>
      <c r="F858" s="1">
        <v>43108</v>
      </c>
      <c r="G858" t="str">
        <f>"4007544260"</f>
        <v>4007544260</v>
      </c>
      <c r="H858" t="str">
        <f>"INV 4007544260"</f>
        <v>INV 4007544260</v>
      </c>
      <c r="I858" s="2">
        <v>723.61</v>
      </c>
      <c r="J858" t="str">
        <f>"INV 4007544260"</f>
        <v>INV 4007544260</v>
      </c>
    </row>
    <row r="859" spans="1:10" x14ac:dyDescent="0.3">
      <c r="A859" t="str">
        <f>"01"</f>
        <v>01</v>
      </c>
      <c r="B859" t="str">
        <f>"002260"</f>
        <v>002260</v>
      </c>
      <c r="C859" t="s">
        <v>328</v>
      </c>
      <c r="D859">
        <v>74712</v>
      </c>
      <c r="E859" s="2">
        <v>247</v>
      </c>
      <c r="F859" s="1">
        <v>43108</v>
      </c>
      <c r="G859" t="str">
        <f>"201801027681"</f>
        <v>201801027681</v>
      </c>
      <c r="H859" t="str">
        <f>"TRASH REMOVAL/PCT#4"</f>
        <v>TRASH REMOVAL/PCT#4</v>
      </c>
      <c r="I859" s="2">
        <v>123.5</v>
      </c>
      <c r="J859" t="str">
        <f>"TRASH REMOVAL/PCT#4"</f>
        <v>TRASH REMOVAL/PCT#4</v>
      </c>
    </row>
    <row r="860" spans="1:10" x14ac:dyDescent="0.3">
      <c r="A860" t="str">
        <f>""</f>
        <v/>
      </c>
      <c r="B860" t="str">
        <f>""</f>
        <v/>
      </c>
      <c r="G860" t="str">
        <f>"201801027682"</f>
        <v>201801027682</v>
      </c>
      <c r="H860" t="str">
        <f>"TRASH REMOVAL/PCT#4"</f>
        <v>TRASH REMOVAL/PCT#4</v>
      </c>
      <c r="I860" s="2">
        <v>123.5</v>
      </c>
      <c r="J860" t="str">
        <f>"TRASH REMOVAL/PCT#4"</f>
        <v>TRASH REMOVAL/PCT#4</v>
      </c>
    </row>
    <row r="861" spans="1:10" x14ac:dyDescent="0.3">
      <c r="A861" t="str">
        <f>"01"</f>
        <v>01</v>
      </c>
      <c r="B861" t="str">
        <f>"002260"</f>
        <v>002260</v>
      </c>
      <c r="C861" t="s">
        <v>328</v>
      </c>
      <c r="D861">
        <v>74943</v>
      </c>
      <c r="E861" s="2">
        <v>390</v>
      </c>
      <c r="F861" s="1">
        <v>43122</v>
      </c>
      <c r="G861" t="str">
        <f>"201801178170"</f>
        <v>201801178170</v>
      </c>
      <c r="H861" t="str">
        <f>"TRASH REMOVAL SVCS/1-8TO1/19"</f>
        <v>TRASH REMOVAL SVCS/1-8TO1/19</v>
      </c>
      <c r="I861" s="2">
        <v>390</v>
      </c>
      <c r="J861" t="str">
        <f>"TRASH REMOVAL SVCS/1-8TO1/19"</f>
        <v>TRASH REMOVAL SVCS/1-8TO1/19</v>
      </c>
    </row>
    <row r="862" spans="1:10" x14ac:dyDescent="0.3">
      <c r="A862" t="str">
        <f>"01"</f>
        <v>01</v>
      </c>
      <c r="B862" t="str">
        <f>"004775"</f>
        <v>004775</v>
      </c>
      <c r="C862" t="s">
        <v>329</v>
      </c>
      <c r="D862">
        <v>999999</v>
      </c>
      <c r="E862" s="2">
        <v>2000</v>
      </c>
      <c r="F862" s="1">
        <v>43123</v>
      </c>
      <c r="G862" t="str">
        <f>"168"</f>
        <v>168</v>
      </c>
      <c r="H862" t="str">
        <f>"SHREDDING/MOWING/PCT#2"</f>
        <v>SHREDDING/MOWING/PCT#2</v>
      </c>
      <c r="I862" s="2">
        <v>2000</v>
      </c>
      <c r="J862" t="str">
        <f>"SHREDDING/MOWING/PCT#2"</f>
        <v>SHREDDING/MOWING/PCT#2</v>
      </c>
    </row>
    <row r="863" spans="1:10" x14ac:dyDescent="0.3">
      <c r="A863" t="str">
        <f>"01"</f>
        <v>01</v>
      </c>
      <c r="B863" t="str">
        <f>"003646"</f>
        <v>003646</v>
      </c>
      <c r="C863" t="s">
        <v>330</v>
      </c>
      <c r="D863">
        <v>999999</v>
      </c>
      <c r="E863" s="2">
        <v>525.21</v>
      </c>
      <c r="F863" s="1">
        <v>43123</v>
      </c>
      <c r="G863" t="str">
        <f>"60092127"</f>
        <v>60092127</v>
      </c>
      <c r="H863" t="str">
        <f>"HANGER KIT"</f>
        <v>HANGER KIT</v>
      </c>
      <c r="I863" s="2">
        <v>525.21</v>
      </c>
      <c r="J863" t="str">
        <f>"HANGER KIT"</f>
        <v>HANGER KIT</v>
      </c>
    </row>
    <row r="864" spans="1:10" x14ac:dyDescent="0.3">
      <c r="A864" t="str">
        <f>""</f>
        <v/>
      </c>
      <c r="B864" t="str">
        <f>""</f>
        <v/>
      </c>
      <c r="G864" t="str">
        <f>""</f>
        <v/>
      </c>
      <c r="H864" t="str">
        <f>""</f>
        <v/>
      </c>
      <c r="J864" t="str">
        <f>"ADAPTER KIT"</f>
        <v>ADAPTER KIT</v>
      </c>
    </row>
    <row r="865" spans="1:10" x14ac:dyDescent="0.3">
      <c r="A865" t="str">
        <f>""</f>
        <v/>
      </c>
      <c r="B865" t="str">
        <f>""</f>
        <v/>
      </c>
      <c r="G865" t="str">
        <f>""</f>
        <v/>
      </c>
      <c r="H865" t="str">
        <f>""</f>
        <v/>
      </c>
      <c r="J865" t="str">
        <f>"SHIPPING"</f>
        <v>SHIPPING</v>
      </c>
    </row>
    <row r="866" spans="1:10" x14ac:dyDescent="0.3">
      <c r="A866" t="str">
        <f>"01"</f>
        <v>01</v>
      </c>
      <c r="B866" t="str">
        <f>"001979"</f>
        <v>001979</v>
      </c>
      <c r="C866" t="s">
        <v>331</v>
      </c>
      <c r="D866">
        <v>74944</v>
      </c>
      <c r="E866" s="2">
        <v>31.49</v>
      </c>
      <c r="F866" s="1">
        <v>43122</v>
      </c>
      <c r="G866" t="str">
        <f>"REIMBURSE SUPPLIES"</f>
        <v>REIMBURSE SUPPLIES</v>
      </c>
      <c r="H866" t="str">
        <f>"REIMBURSEMENT"</f>
        <v>REIMBURSEMENT</v>
      </c>
      <c r="I866" s="2">
        <v>31.49</v>
      </c>
      <c r="J866" t="str">
        <f>"WALMART - REFLECTIVE"</f>
        <v>WALMART - REFLECTIVE</v>
      </c>
    </row>
    <row r="867" spans="1:10" x14ac:dyDescent="0.3">
      <c r="A867" t="str">
        <f>""</f>
        <v/>
      </c>
      <c r="B867" t="str">
        <f>""</f>
        <v/>
      </c>
      <c r="G867" t="str">
        <f>""</f>
        <v/>
      </c>
      <c r="H867" t="str">
        <f>""</f>
        <v/>
      </c>
      <c r="J867" t="str">
        <f>"ACADEMY - REFLECTIVE"</f>
        <v>ACADEMY - REFLECTIVE</v>
      </c>
    </row>
    <row r="868" spans="1:10" x14ac:dyDescent="0.3">
      <c r="A868" t="str">
        <f>"01"</f>
        <v>01</v>
      </c>
      <c r="B868" t="str">
        <f>"004087"</f>
        <v>004087</v>
      </c>
      <c r="C868" t="s">
        <v>332</v>
      </c>
      <c r="D868">
        <v>999999</v>
      </c>
      <c r="E868" s="2">
        <v>50.8</v>
      </c>
      <c r="F868" s="1">
        <v>43109</v>
      </c>
      <c r="G868" t="str">
        <f>"18010204"</f>
        <v>18010204</v>
      </c>
      <c r="H868" t="str">
        <f>"SVC CONTRACT"</f>
        <v>SVC CONTRACT</v>
      </c>
      <c r="I868" s="2">
        <v>50.8</v>
      </c>
      <c r="J868" t="str">
        <f>"SVC CONTRACT"</f>
        <v>SVC CONTRACT</v>
      </c>
    </row>
    <row r="869" spans="1:10" x14ac:dyDescent="0.3">
      <c r="A869" t="str">
        <f>"01"</f>
        <v>01</v>
      </c>
      <c r="B869" t="str">
        <f>"T14477"</f>
        <v>T14477</v>
      </c>
      <c r="C869" t="s">
        <v>333</v>
      </c>
      <c r="D869">
        <v>74945</v>
      </c>
      <c r="E869" s="2">
        <v>150</v>
      </c>
      <c r="F869" s="1">
        <v>43122</v>
      </c>
      <c r="G869" t="str">
        <f>"TCOLE JAILER EXAMS"</f>
        <v>TCOLE JAILER EXAMS</v>
      </c>
      <c r="H869" t="str">
        <f>"TX COMM ON LAW ENFORCEMENT"</f>
        <v>TX COMM ON LAW ENFORCEMENT</v>
      </c>
      <c r="I869" s="2">
        <v>150</v>
      </c>
      <c r="J869" t="str">
        <f>""</f>
        <v/>
      </c>
    </row>
    <row r="870" spans="1:10" x14ac:dyDescent="0.3">
      <c r="A870" t="str">
        <f>"01"</f>
        <v>01</v>
      </c>
      <c r="B870" t="str">
        <f>"T7300"</f>
        <v>T7300</v>
      </c>
      <c r="C870" t="s">
        <v>334</v>
      </c>
      <c r="D870">
        <v>74713</v>
      </c>
      <c r="E870" s="2">
        <v>700</v>
      </c>
      <c r="F870" s="1">
        <v>43108</v>
      </c>
      <c r="G870" t="str">
        <f>"132081"</f>
        <v>132081</v>
      </c>
      <c r="H870" t="str">
        <f>"2018 INVEST. SCHOOL-C.RABEL"</f>
        <v>2018 INVEST. SCHOOL-C.RABEL</v>
      </c>
      <c r="I870" s="2">
        <v>350</v>
      </c>
      <c r="J870" t="str">
        <f>"2018 INVEST. SCHOOL-C.RABEL"</f>
        <v>2018 INVEST. SCHOOL-C.RABEL</v>
      </c>
    </row>
    <row r="871" spans="1:10" x14ac:dyDescent="0.3">
      <c r="A871" t="str">
        <f>""</f>
        <v/>
      </c>
      <c r="B871" t="str">
        <f>""</f>
        <v/>
      </c>
      <c r="G871" t="str">
        <f>"132679"</f>
        <v>132679</v>
      </c>
      <c r="H871" t="str">
        <f>"2018 INVEST.SCHOOL-D.LEWIS"</f>
        <v>2018 INVEST.SCHOOL-D.LEWIS</v>
      </c>
      <c r="I871" s="2">
        <v>350</v>
      </c>
      <c r="J871" t="str">
        <f>"2018 INVEST.SCHOOL-D.LEWIS"</f>
        <v>2018 INVEST.SCHOOL-D.LEWIS</v>
      </c>
    </row>
    <row r="872" spans="1:10" x14ac:dyDescent="0.3">
      <c r="A872" t="str">
        <f>"01"</f>
        <v>01</v>
      </c>
      <c r="B872" t="str">
        <f>"T2897"</f>
        <v>T2897</v>
      </c>
      <c r="C872" t="s">
        <v>335</v>
      </c>
      <c r="D872">
        <v>74946</v>
      </c>
      <c r="E872" s="2">
        <v>1000</v>
      </c>
      <c r="F872" s="1">
        <v>43122</v>
      </c>
      <c r="G872" t="str">
        <f>"TRAINING-D GRIFFIN"</f>
        <v>TRAINING-D GRIFFIN</v>
      </c>
      <c r="H872" t="str">
        <f>"LS - LET570 - 49 TRAINING"</f>
        <v>LS - LET570 - 49 TRAINING</v>
      </c>
      <c r="I872" s="2">
        <v>500</v>
      </c>
      <c r="J872" t="str">
        <f>"LS - LETS570 - 49 TRAININ"</f>
        <v>LS - LETS570 - 49 TRAININ</v>
      </c>
    </row>
    <row r="873" spans="1:10" x14ac:dyDescent="0.3">
      <c r="A873" t="str">
        <f>""</f>
        <v/>
      </c>
      <c r="B873" t="str">
        <f>""</f>
        <v/>
      </c>
      <c r="G873" t="str">
        <f>"TRAINING-D.GRIFFIN"</f>
        <v>TRAINING-D.GRIFFIN</v>
      </c>
      <c r="H873" t="str">
        <f>"LS-AIR540-83 TRAINING"</f>
        <v>LS-AIR540-83 TRAINING</v>
      </c>
      <c r="I873" s="2">
        <v>500</v>
      </c>
      <c r="J873" t="str">
        <f>"LS-AIR540-83 TRAINING"</f>
        <v>LS-AIR540-83 TRAINING</v>
      </c>
    </row>
    <row r="874" spans="1:10" x14ac:dyDescent="0.3">
      <c r="A874" t="str">
        <f>"01"</f>
        <v>01</v>
      </c>
      <c r="B874" t="str">
        <f>"002996"</f>
        <v>002996</v>
      </c>
      <c r="C874" t="s">
        <v>336</v>
      </c>
      <c r="D874">
        <v>999999</v>
      </c>
      <c r="E874" s="2">
        <v>80880</v>
      </c>
      <c r="F874" s="1">
        <v>43123</v>
      </c>
      <c r="G874" t="str">
        <f>"1163"</f>
        <v>1163</v>
      </c>
      <c r="H874" t="str">
        <f>"CONCRETE/PCT#1"</f>
        <v>CONCRETE/PCT#1</v>
      </c>
      <c r="I874" s="2">
        <v>680</v>
      </c>
      <c r="J874" t="str">
        <f>"CONCRETE/PCT#1"</f>
        <v>CONCRETE/PCT#1</v>
      </c>
    </row>
    <row r="875" spans="1:10" x14ac:dyDescent="0.3">
      <c r="A875" t="str">
        <f>""</f>
        <v/>
      </c>
      <c r="B875" t="str">
        <f>""</f>
        <v/>
      </c>
      <c r="G875" t="str">
        <f>"1171"</f>
        <v>1171</v>
      </c>
      <c r="H875" t="str">
        <f>"Inv# 1171"</f>
        <v>Inv# 1171</v>
      </c>
      <c r="I875" s="2">
        <v>71200</v>
      </c>
      <c r="J875" t="str">
        <f>"Inv# 1171"</f>
        <v>Inv# 1171</v>
      </c>
    </row>
    <row r="876" spans="1:10" x14ac:dyDescent="0.3">
      <c r="A876" t="str">
        <f>""</f>
        <v/>
      </c>
      <c r="B876" t="str">
        <f>""</f>
        <v/>
      </c>
      <c r="G876" t="str">
        <f>"CONCRETE CONST"</f>
        <v>CONCRETE CONST</v>
      </c>
      <c r="H876" t="str">
        <f>"Concrete Construction"</f>
        <v>Concrete Construction</v>
      </c>
      <c r="I876" s="2">
        <v>4800</v>
      </c>
      <c r="J876" t="str">
        <f>"Concrete Construction"</f>
        <v>Concrete Construction</v>
      </c>
    </row>
    <row r="877" spans="1:10" x14ac:dyDescent="0.3">
      <c r="A877" t="str">
        <f>""</f>
        <v/>
      </c>
      <c r="B877" t="str">
        <f>""</f>
        <v/>
      </c>
      <c r="G877" t="str">
        <f>"CONCRETE DEMO"</f>
        <v>CONCRETE DEMO</v>
      </c>
      <c r="H877" t="str">
        <f>"Concrete Work"</f>
        <v>Concrete Work</v>
      </c>
      <c r="I877" s="2">
        <v>4200</v>
      </c>
      <c r="J877" t="str">
        <f>"Concrete  Walkway"</f>
        <v>Concrete  Walkway</v>
      </c>
    </row>
    <row r="878" spans="1:10" x14ac:dyDescent="0.3">
      <c r="A878" t="str">
        <f>""</f>
        <v/>
      </c>
      <c r="B878" t="str">
        <f>""</f>
        <v/>
      </c>
      <c r="G878" t="str">
        <f>""</f>
        <v/>
      </c>
      <c r="H878" t="str">
        <f>""</f>
        <v/>
      </c>
      <c r="J878" t="str">
        <f>"Concrete ADA Ramp"</f>
        <v>Concrete ADA Ramp</v>
      </c>
    </row>
    <row r="879" spans="1:10" x14ac:dyDescent="0.3">
      <c r="A879" t="str">
        <f>"01"</f>
        <v>01</v>
      </c>
      <c r="B879" t="str">
        <f>"T11830"</f>
        <v>T11830</v>
      </c>
      <c r="C879" t="s">
        <v>337</v>
      </c>
      <c r="D879">
        <v>74714</v>
      </c>
      <c r="E879" s="2">
        <v>192.6</v>
      </c>
      <c r="F879" s="1">
        <v>43108</v>
      </c>
      <c r="G879" t="str">
        <f>"201801027654"</f>
        <v>201801027654</v>
      </c>
      <c r="H879" t="str">
        <f>"MILEAGE REIMBURSEMENT"</f>
        <v>MILEAGE REIMBURSEMENT</v>
      </c>
      <c r="I879" s="2">
        <v>128.4</v>
      </c>
      <c r="J879" t="str">
        <f>"MILEAGE REIMBURSEMENT"</f>
        <v>MILEAGE REIMBURSEMENT</v>
      </c>
    </row>
    <row r="880" spans="1:10" x14ac:dyDescent="0.3">
      <c r="A880" t="str">
        <f>""</f>
        <v/>
      </c>
      <c r="B880" t="str">
        <f>""</f>
        <v/>
      </c>
      <c r="G880" t="str">
        <f>"201801027655"</f>
        <v>201801027655</v>
      </c>
      <c r="H880" t="str">
        <f>"MILEAGE REIMBURSEMENT"</f>
        <v>MILEAGE REIMBURSEMENT</v>
      </c>
      <c r="I880" s="2">
        <v>64.2</v>
      </c>
      <c r="J880" t="str">
        <f>"MILEAGE REIMBURSEMENT"</f>
        <v>MILEAGE REIMBURSEMENT</v>
      </c>
    </row>
    <row r="881" spans="1:10" x14ac:dyDescent="0.3">
      <c r="A881" t="str">
        <f>"01"</f>
        <v>01</v>
      </c>
      <c r="B881" t="str">
        <f>"T13574"</f>
        <v>T13574</v>
      </c>
      <c r="C881" t="s">
        <v>338</v>
      </c>
      <c r="D881">
        <v>999999</v>
      </c>
      <c r="E881" s="2">
        <v>155.25</v>
      </c>
      <c r="F881" s="1">
        <v>43109</v>
      </c>
      <c r="G881" t="str">
        <f>"201801027587"</f>
        <v>201801027587</v>
      </c>
      <c r="H881" t="str">
        <f>"ACCT#63275/CUST#BASCO1"</f>
        <v>ACCT#63275/CUST#BASCO1</v>
      </c>
      <c r="I881" s="2">
        <v>140.25</v>
      </c>
      <c r="J881" t="str">
        <f>"ACCT#63275/CUST#BASCO1"</f>
        <v>ACCT#63275/CUST#BASCO1</v>
      </c>
    </row>
    <row r="882" spans="1:10" x14ac:dyDescent="0.3">
      <c r="A882" t="str">
        <f>""</f>
        <v/>
      </c>
      <c r="B882" t="str">
        <f>""</f>
        <v/>
      </c>
      <c r="G882" t="str">
        <f>"201801027596"</f>
        <v>201801027596</v>
      </c>
      <c r="H882" t="str">
        <f>"ACCT#63275/CUST#BASC01/PCT#2"</f>
        <v>ACCT#63275/CUST#BASC01/PCT#2</v>
      </c>
      <c r="I882" s="2">
        <v>15</v>
      </c>
      <c r="J882" t="str">
        <f>"ACCT#63275/CUST#BASC01/PCT#2"</f>
        <v>ACCT#63275/CUST#BASC01/PCT#2</v>
      </c>
    </row>
    <row r="883" spans="1:10" x14ac:dyDescent="0.3">
      <c r="A883" t="str">
        <f>"01"</f>
        <v>01</v>
      </c>
      <c r="B883" t="str">
        <f>"T6855"</f>
        <v>T6855</v>
      </c>
      <c r="C883" t="s">
        <v>339</v>
      </c>
      <c r="D883">
        <v>74715</v>
      </c>
      <c r="E883" s="2">
        <v>7693.99</v>
      </c>
      <c r="F883" s="1">
        <v>43108</v>
      </c>
      <c r="G883" t="str">
        <f>"0707037-IN"</f>
        <v>0707037-IN</v>
      </c>
      <c r="H883" t="str">
        <f>"ACCT#01-0112917/PCT#2"</f>
        <v>ACCT#01-0112917/PCT#2</v>
      </c>
      <c r="I883" s="2">
        <v>2903.09</v>
      </c>
      <c r="J883" t="str">
        <f>"ACCT#01-0112917/PCT#2"</f>
        <v>ACCT#01-0112917/PCT#2</v>
      </c>
    </row>
    <row r="884" spans="1:10" x14ac:dyDescent="0.3">
      <c r="A884" t="str">
        <f>""</f>
        <v/>
      </c>
      <c r="B884" t="str">
        <f>""</f>
        <v/>
      </c>
      <c r="G884" t="str">
        <f>"0707986-IN"</f>
        <v>0707986-IN</v>
      </c>
      <c r="H884" t="str">
        <f>"ACCT#01-0112917/PCT#3"</f>
        <v>ACCT#01-0112917/PCT#3</v>
      </c>
      <c r="I884" s="2">
        <v>4790.8999999999996</v>
      </c>
      <c r="J884" t="str">
        <f>"ACCT#01-0112917/PCT#3"</f>
        <v>ACCT#01-0112917/PCT#3</v>
      </c>
    </row>
    <row r="885" spans="1:10" x14ac:dyDescent="0.3">
      <c r="A885" t="str">
        <f>"01"</f>
        <v>01</v>
      </c>
      <c r="B885" t="str">
        <f>"T6855"</f>
        <v>T6855</v>
      </c>
      <c r="C885" t="s">
        <v>339</v>
      </c>
      <c r="D885">
        <v>74947</v>
      </c>
      <c r="E885" s="2">
        <v>5120.05</v>
      </c>
      <c r="F885" s="1">
        <v>43122</v>
      </c>
      <c r="G885" t="str">
        <f>"0709939-IN"</f>
        <v>0709939-IN</v>
      </c>
      <c r="H885" t="str">
        <f>"ACCT#01-0112917/PCT#2"</f>
        <v>ACCT#01-0112917/PCT#2</v>
      </c>
      <c r="I885" s="2">
        <v>2757.1</v>
      </c>
      <c r="J885" t="str">
        <f>"ACCT#01-0112917/PCT#2"</f>
        <v>ACCT#01-0112917/PCT#2</v>
      </c>
    </row>
    <row r="886" spans="1:10" x14ac:dyDescent="0.3">
      <c r="A886" t="str">
        <f>""</f>
        <v/>
      </c>
      <c r="B886" t="str">
        <f>""</f>
        <v/>
      </c>
      <c r="G886" t="str">
        <f>"0711823-IN"</f>
        <v>0711823-IN</v>
      </c>
      <c r="H886" t="str">
        <f>"ACCT#01-0112917/PCT#2"</f>
        <v>ACCT#01-0112917/PCT#2</v>
      </c>
      <c r="I886" s="2">
        <v>2362.9499999999998</v>
      </c>
      <c r="J886" t="str">
        <f>"ACCT#01-0112917/PCT#2"</f>
        <v>ACCT#01-0112917/PCT#2</v>
      </c>
    </row>
    <row r="887" spans="1:10" x14ac:dyDescent="0.3">
      <c r="A887" t="str">
        <f>"01"</f>
        <v>01</v>
      </c>
      <c r="B887" t="str">
        <f>"004134"</f>
        <v>004134</v>
      </c>
      <c r="C887" t="s">
        <v>340</v>
      </c>
      <c r="D887">
        <v>74819</v>
      </c>
      <c r="E887" s="2">
        <v>500</v>
      </c>
      <c r="F887" s="1">
        <v>43110</v>
      </c>
      <c r="G887" t="str">
        <f>"201801108105"</f>
        <v>201801108105</v>
      </c>
      <c r="H887" t="str">
        <f>"TEXAS AMERICAN TITLE COMPANY -"</f>
        <v>TEXAS AMERICAN TITLE COMPANY -</v>
      </c>
      <c r="I887" s="2">
        <v>500</v>
      </c>
      <c r="J887" t="str">
        <f>"TEXAS AMERICAN TITLE COMPANY -"</f>
        <v>TEXAS AMERICAN TITLE COMPANY -</v>
      </c>
    </row>
    <row r="888" spans="1:10" x14ac:dyDescent="0.3">
      <c r="A888" t="str">
        <f>"01"</f>
        <v>01</v>
      </c>
      <c r="B888" t="str">
        <f>"001468"</f>
        <v>001468</v>
      </c>
      <c r="C888" t="s">
        <v>341</v>
      </c>
      <c r="D888">
        <v>74716</v>
      </c>
      <c r="E888" s="2">
        <v>500</v>
      </c>
      <c r="F888" s="1">
        <v>43108</v>
      </c>
      <c r="G888" t="str">
        <f>"379"</f>
        <v>379</v>
      </c>
      <c r="H888" t="str">
        <f>"INV 379"</f>
        <v>INV 379</v>
      </c>
      <c r="I888" s="2">
        <v>500</v>
      </c>
      <c r="J888" t="str">
        <f>"INV 379"</f>
        <v>INV 379</v>
      </c>
    </row>
    <row r="889" spans="1:10" x14ac:dyDescent="0.3">
      <c r="A889" t="str">
        <f>""</f>
        <v/>
      </c>
      <c r="B889" t="str">
        <f>""</f>
        <v/>
      </c>
      <c r="G889" t="str">
        <f>""</f>
        <v/>
      </c>
      <c r="H889" t="str">
        <f>""</f>
        <v/>
      </c>
      <c r="J889" t="str">
        <f>""</f>
        <v/>
      </c>
    </row>
    <row r="890" spans="1:10" x14ac:dyDescent="0.3">
      <c r="A890" t="str">
        <f t="shared" ref="A890:A896" si="23">"01"</f>
        <v>01</v>
      </c>
      <c r="B890" t="str">
        <f>"TACRMP"</f>
        <v>TACRMP</v>
      </c>
      <c r="C890" t="s">
        <v>342</v>
      </c>
      <c r="D890">
        <v>74717</v>
      </c>
      <c r="E890" s="2">
        <v>60</v>
      </c>
      <c r="F890" s="1">
        <v>43108</v>
      </c>
      <c r="G890" t="str">
        <f>"103440"</f>
        <v>103440</v>
      </c>
      <c r="H890" t="str">
        <f>"JPCA MEMBERSHIP DUES-A. MEDUNA"</f>
        <v>JPCA MEMBERSHIP DUES-A. MEDUNA</v>
      </c>
      <c r="I890" s="2">
        <v>60</v>
      </c>
      <c r="J890" t="str">
        <f>"JPCA MEMBERSHIP DUES-A. MEDUNA"</f>
        <v>JPCA MEMBERSHIP DUES-A. MEDUNA</v>
      </c>
    </row>
    <row r="891" spans="1:10" x14ac:dyDescent="0.3">
      <c r="A891" t="str">
        <f t="shared" si="23"/>
        <v>01</v>
      </c>
      <c r="B891" t="str">
        <f>"TACRMP"</f>
        <v>TACRMP</v>
      </c>
      <c r="C891" t="s">
        <v>342</v>
      </c>
      <c r="D891">
        <v>74718</v>
      </c>
      <c r="E891" s="2">
        <v>60</v>
      </c>
      <c r="F891" s="1">
        <v>43108</v>
      </c>
      <c r="G891" t="str">
        <f>"191454 01/01/2018"</f>
        <v>191454 01/01/2018</v>
      </c>
      <c r="H891" t="str">
        <f>"JPCA MEMBERSHIP DUES-L. DUNNE"</f>
        <v>JPCA MEMBERSHIP DUES-L. DUNNE</v>
      </c>
      <c r="I891" s="2">
        <v>60</v>
      </c>
      <c r="J891" t="str">
        <f>"JPCA MEMBERSHIP DUES-L. DUNNE"</f>
        <v>JPCA MEMBERSHIP DUES-L. DUNNE</v>
      </c>
    </row>
    <row r="892" spans="1:10" x14ac:dyDescent="0.3">
      <c r="A892" t="str">
        <f t="shared" si="23"/>
        <v>01</v>
      </c>
      <c r="B892" t="str">
        <f>"TACRMP"</f>
        <v>TACRMP</v>
      </c>
      <c r="C892" t="s">
        <v>342</v>
      </c>
      <c r="D892">
        <v>74719</v>
      </c>
      <c r="E892" s="2">
        <v>60</v>
      </c>
      <c r="F892" s="1">
        <v>43108</v>
      </c>
      <c r="G892" t="str">
        <f>"202785"</f>
        <v>202785</v>
      </c>
      <c r="H892" t="str">
        <f>"JPCA MEMBERSHIP DUES-R. DAVIS"</f>
        <v>JPCA MEMBERSHIP DUES-R. DAVIS</v>
      </c>
      <c r="I892" s="2">
        <v>60</v>
      </c>
      <c r="J892" t="str">
        <f>"JPCA MEMBERSHIP DUES"</f>
        <v>JPCA MEMBERSHIP DUES</v>
      </c>
    </row>
    <row r="893" spans="1:10" x14ac:dyDescent="0.3">
      <c r="A893" t="str">
        <f t="shared" si="23"/>
        <v>01</v>
      </c>
      <c r="B893" t="str">
        <f>"TACRMP"</f>
        <v>TACRMP</v>
      </c>
      <c r="C893" t="s">
        <v>342</v>
      </c>
      <c r="D893">
        <v>74720</v>
      </c>
      <c r="E893" s="2">
        <v>35</v>
      </c>
      <c r="F893" s="1">
        <v>43108</v>
      </c>
      <c r="G893" t="str">
        <f>"217451 01/01/2018"</f>
        <v>217451 01/01/2018</v>
      </c>
      <c r="H893" t="str">
        <f>"JPCA MEMBERSHIP DUES-M.BURNS"</f>
        <v>JPCA MEMBERSHIP DUES-M.BURNS</v>
      </c>
      <c r="I893" s="2">
        <v>35</v>
      </c>
      <c r="J893" t="str">
        <f>"JPCA MEMBERSHIP DUES-M.BURNS"</f>
        <v>JPCA MEMBERSHIP DUES-M.BURNS</v>
      </c>
    </row>
    <row r="894" spans="1:10" x14ac:dyDescent="0.3">
      <c r="A894" t="str">
        <f t="shared" si="23"/>
        <v>01</v>
      </c>
      <c r="B894" t="str">
        <f>"TACRMP"</f>
        <v>TACRMP</v>
      </c>
      <c r="C894" t="s">
        <v>342</v>
      </c>
      <c r="D894">
        <v>74721</v>
      </c>
      <c r="E894" s="2">
        <v>35</v>
      </c>
      <c r="F894" s="1">
        <v>43108</v>
      </c>
      <c r="G894" t="str">
        <f>"240506 01/01/2018"</f>
        <v>240506 01/01/2018</v>
      </c>
      <c r="H894" t="str">
        <f>"JPCA MEMBERSHIP DUES-N.RAGLAND"</f>
        <v>JPCA MEMBERSHIP DUES-N.RAGLAND</v>
      </c>
      <c r="I894" s="2">
        <v>35</v>
      </c>
      <c r="J894" t="str">
        <f>"JPCA MEMBERSHIP DUES-N.RAGLAND"</f>
        <v>JPCA MEMBERSHIP DUES-N.RAGLAND</v>
      </c>
    </row>
    <row r="895" spans="1:10" x14ac:dyDescent="0.3">
      <c r="A895" t="str">
        <f t="shared" si="23"/>
        <v>01</v>
      </c>
      <c r="B895" t="str">
        <f>"T13851"</f>
        <v>T13851</v>
      </c>
      <c r="C895" t="s">
        <v>343</v>
      </c>
      <c r="D895">
        <v>74722</v>
      </c>
      <c r="E895" s="2">
        <v>165</v>
      </c>
      <c r="F895" s="1">
        <v>43108</v>
      </c>
      <c r="G895" t="str">
        <f>"201801027584"</f>
        <v>201801027584</v>
      </c>
      <c r="H895" t="str">
        <f>"2018 MEMBERSHIP/G. BARTSCH"</f>
        <v>2018 MEMBERSHIP/G. BARTSCH</v>
      </c>
      <c r="I895" s="2">
        <v>165</v>
      </c>
      <c r="J895" t="str">
        <f>"2018 MEMBERSHIP/G. BARTSCH"</f>
        <v>2018 MEMBERSHIP/G. BARTSCH</v>
      </c>
    </row>
    <row r="896" spans="1:10" x14ac:dyDescent="0.3">
      <c r="A896" t="str">
        <f t="shared" si="23"/>
        <v>01</v>
      </c>
      <c r="B896" t="str">
        <f>"TACUE"</f>
        <v>TACUE</v>
      </c>
      <c r="C896" t="s">
        <v>342</v>
      </c>
      <c r="D896">
        <v>74753</v>
      </c>
      <c r="E896" s="2">
        <v>7594.02</v>
      </c>
      <c r="F896" s="1">
        <v>43109</v>
      </c>
      <c r="G896" t="str">
        <f>"UF-2017-4-110"</f>
        <v>UF-2017-4-110</v>
      </c>
      <c r="H896" t="str">
        <f>"UNEMPLOYMENT/4TH QTR 2017"</f>
        <v>UNEMPLOYMENT/4TH QTR 2017</v>
      </c>
      <c r="I896" s="2">
        <v>6702.27</v>
      </c>
      <c r="J896" t="str">
        <f t="shared" ref="J896:J931" si="24">"UNEMPLOYMENT/4TH QTR 2017"</f>
        <v>UNEMPLOYMENT/4TH QTR 2017</v>
      </c>
    </row>
    <row r="897" spans="1:10" x14ac:dyDescent="0.3">
      <c r="A897" t="str">
        <f>""</f>
        <v/>
      </c>
      <c r="B897" t="str">
        <f>""</f>
        <v/>
      </c>
      <c r="G897" t="str">
        <f>""</f>
        <v/>
      </c>
      <c r="H897" t="str">
        <f>""</f>
        <v/>
      </c>
      <c r="J897" t="str">
        <f t="shared" si="24"/>
        <v>UNEMPLOYMENT/4TH QTR 2017</v>
      </c>
    </row>
    <row r="898" spans="1:10" x14ac:dyDescent="0.3">
      <c r="A898" t="str">
        <f>""</f>
        <v/>
      </c>
      <c r="B898" t="str">
        <f>""</f>
        <v/>
      </c>
      <c r="G898" t="str">
        <f>""</f>
        <v/>
      </c>
      <c r="H898" t="str">
        <f>""</f>
        <v/>
      </c>
      <c r="J898" t="str">
        <f t="shared" si="24"/>
        <v>UNEMPLOYMENT/4TH QTR 2017</v>
      </c>
    </row>
    <row r="899" spans="1:10" x14ac:dyDescent="0.3">
      <c r="A899" t="str">
        <f>""</f>
        <v/>
      </c>
      <c r="B899" t="str">
        <f>""</f>
        <v/>
      </c>
      <c r="G899" t="str">
        <f>""</f>
        <v/>
      </c>
      <c r="H899" t="str">
        <f>""</f>
        <v/>
      </c>
      <c r="J899" t="str">
        <f t="shared" si="24"/>
        <v>UNEMPLOYMENT/4TH QTR 2017</v>
      </c>
    </row>
    <row r="900" spans="1:10" x14ac:dyDescent="0.3">
      <c r="A900" t="str">
        <f>""</f>
        <v/>
      </c>
      <c r="B900" t="str">
        <f>""</f>
        <v/>
      </c>
      <c r="G900" t="str">
        <f>""</f>
        <v/>
      </c>
      <c r="H900" t="str">
        <f>""</f>
        <v/>
      </c>
      <c r="J900" t="str">
        <f t="shared" si="24"/>
        <v>UNEMPLOYMENT/4TH QTR 2017</v>
      </c>
    </row>
    <row r="901" spans="1:10" x14ac:dyDescent="0.3">
      <c r="A901" t="str">
        <f>""</f>
        <v/>
      </c>
      <c r="B901" t="str">
        <f>""</f>
        <v/>
      </c>
      <c r="G901" t="str">
        <f>""</f>
        <v/>
      </c>
      <c r="H901" t="str">
        <f>""</f>
        <v/>
      </c>
      <c r="J901" t="str">
        <f t="shared" si="24"/>
        <v>UNEMPLOYMENT/4TH QTR 2017</v>
      </c>
    </row>
    <row r="902" spans="1:10" x14ac:dyDescent="0.3">
      <c r="A902" t="str">
        <f>""</f>
        <v/>
      </c>
      <c r="B902" t="str">
        <f>""</f>
        <v/>
      </c>
      <c r="G902" t="str">
        <f>""</f>
        <v/>
      </c>
      <c r="H902" t="str">
        <f>""</f>
        <v/>
      </c>
      <c r="J902" t="str">
        <f t="shared" si="24"/>
        <v>UNEMPLOYMENT/4TH QTR 2017</v>
      </c>
    </row>
    <row r="903" spans="1:10" x14ac:dyDescent="0.3">
      <c r="A903" t="str">
        <f>""</f>
        <v/>
      </c>
      <c r="B903" t="str">
        <f>""</f>
        <v/>
      </c>
      <c r="G903" t="str">
        <f>""</f>
        <v/>
      </c>
      <c r="H903" t="str">
        <f>""</f>
        <v/>
      </c>
      <c r="J903" t="str">
        <f t="shared" si="24"/>
        <v>UNEMPLOYMENT/4TH QTR 2017</v>
      </c>
    </row>
    <row r="904" spans="1:10" x14ac:dyDescent="0.3">
      <c r="A904" t="str">
        <f>""</f>
        <v/>
      </c>
      <c r="B904" t="str">
        <f>""</f>
        <v/>
      </c>
      <c r="G904" t="str">
        <f>""</f>
        <v/>
      </c>
      <c r="H904" t="str">
        <f>""</f>
        <v/>
      </c>
      <c r="J904" t="str">
        <f t="shared" si="24"/>
        <v>UNEMPLOYMENT/4TH QTR 2017</v>
      </c>
    </row>
    <row r="905" spans="1:10" x14ac:dyDescent="0.3">
      <c r="A905" t="str">
        <f>""</f>
        <v/>
      </c>
      <c r="B905" t="str">
        <f>""</f>
        <v/>
      </c>
      <c r="G905" t="str">
        <f>""</f>
        <v/>
      </c>
      <c r="H905" t="str">
        <f>""</f>
        <v/>
      </c>
      <c r="J905" t="str">
        <f t="shared" si="24"/>
        <v>UNEMPLOYMENT/4TH QTR 2017</v>
      </c>
    </row>
    <row r="906" spans="1:10" x14ac:dyDescent="0.3">
      <c r="A906" t="str">
        <f>""</f>
        <v/>
      </c>
      <c r="B906" t="str">
        <f>""</f>
        <v/>
      </c>
      <c r="G906" t="str">
        <f>""</f>
        <v/>
      </c>
      <c r="H906" t="str">
        <f>""</f>
        <v/>
      </c>
      <c r="J906" t="str">
        <f t="shared" si="24"/>
        <v>UNEMPLOYMENT/4TH QTR 2017</v>
      </c>
    </row>
    <row r="907" spans="1:10" x14ac:dyDescent="0.3">
      <c r="A907" t="str">
        <f>""</f>
        <v/>
      </c>
      <c r="B907" t="str">
        <f>""</f>
        <v/>
      </c>
      <c r="G907" t="str">
        <f>""</f>
        <v/>
      </c>
      <c r="H907" t="str">
        <f>""</f>
        <v/>
      </c>
      <c r="J907" t="str">
        <f t="shared" si="24"/>
        <v>UNEMPLOYMENT/4TH QTR 2017</v>
      </c>
    </row>
    <row r="908" spans="1:10" x14ac:dyDescent="0.3">
      <c r="A908" t="str">
        <f>""</f>
        <v/>
      </c>
      <c r="B908" t="str">
        <f>""</f>
        <v/>
      </c>
      <c r="G908" t="str">
        <f>""</f>
        <v/>
      </c>
      <c r="H908" t="str">
        <f>""</f>
        <v/>
      </c>
      <c r="J908" t="str">
        <f t="shared" si="24"/>
        <v>UNEMPLOYMENT/4TH QTR 2017</v>
      </c>
    </row>
    <row r="909" spans="1:10" x14ac:dyDescent="0.3">
      <c r="A909" t="str">
        <f>""</f>
        <v/>
      </c>
      <c r="B909" t="str">
        <f>""</f>
        <v/>
      </c>
      <c r="G909" t="str">
        <f>""</f>
        <v/>
      </c>
      <c r="H909" t="str">
        <f>""</f>
        <v/>
      </c>
      <c r="J909" t="str">
        <f t="shared" si="24"/>
        <v>UNEMPLOYMENT/4TH QTR 2017</v>
      </c>
    </row>
    <row r="910" spans="1:10" x14ac:dyDescent="0.3">
      <c r="A910" t="str">
        <f>""</f>
        <v/>
      </c>
      <c r="B910" t="str">
        <f>""</f>
        <v/>
      </c>
      <c r="G910" t="str">
        <f>""</f>
        <v/>
      </c>
      <c r="H910" t="str">
        <f>""</f>
        <v/>
      </c>
      <c r="J910" t="str">
        <f t="shared" si="24"/>
        <v>UNEMPLOYMENT/4TH QTR 2017</v>
      </c>
    </row>
    <row r="911" spans="1:10" x14ac:dyDescent="0.3">
      <c r="A911" t="str">
        <f>""</f>
        <v/>
      </c>
      <c r="B911" t="str">
        <f>""</f>
        <v/>
      </c>
      <c r="G911" t="str">
        <f>""</f>
        <v/>
      </c>
      <c r="H911" t="str">
        <f>""</f>
        <v/>
      </c>
      <c r="J911" t="str">
        <f t="shared" si="24"/>
        <v>UNEMPLOYMENT/4TH QTR 2017</v>
      </c>
    </row>
    <row r="912" spans="1:10" x14ac:dyDescent="0.3">
      <c r="A912" t="str">
        <f>""</f>
        <v/>
      </c>
      <c r="B912" t="str">
        <f>""</f>
        <v/>
      </c>
      <c r="G912" t="str">
        <f>""</f>
        <v/>
      </c>
      <c r="H912" t="str">
        <f>""</f>
        <v/>
      </c>
      <c r="J912" t="str">
        <f t="shared" si="24"/>
        <v>UNEMPLOYMENT/4TH QTR 2017</v>
      </c>
    </row>
    <row r="913" spans="1:10" x14ac:dyDescent="0.3">
      <c r="A913" t="str">
        <f>""</f>
        <v/>
      </c>
      <c r="B913" t="str">
        <f>""</f>
        <v/>
      </c>
      <c r="G913" t="str">
        <f>""</f>
        <v/>
      </c>
      <c r="H913" t="str">
        <f>""</f>
        <v/>
      </c>
      <c r="J913" t="str">
        <f t="shared" si="24"/>
        <v>UNEMPLOYMENT/4TH QTR 2017</v>
      </c>
    </row>
    <row r="914" spans="1:10" x14ac:dyDescent="0.3">
      <c r="A914" t="str">
        <f>""</f>
        <v/>
      </c>
      <c r="B914" t="str">
        <f>""</f>
        <v/>
      </c>
      <c r="G914" t="str">
        <f>""</f>
        <v/>
      </c>
      <c r="H914" t="str">
        <f>""</f>
        <v/>
      </c>
      <c r="J914" t="str">
        <f t="shared" si="24"/>
        <v>UNEMPLOYMENT/4TH QTR 2017</v>
      </c>
    </row>
    <row r="915" spans="1:10" x14ac:dyDescent="0.3">
      <c r="A915" t="str">
        <f>""</f>
        <v/>
      </c>
      <c r="B915" t="str">
        <f>""</f>
        <v/>
      </c>
      <c r="G915" t="str">
        <f>""</f>
        <v/>
      </c>
      <c r="H915" t="str">
        <f>""</f>
        <v/>
      </c>
      <c r="J915" t="str">
        <f t="shared" si="24"/>
        <v>UNEMPLOYMENT/4TH QTR 2017</v>
      </c>
    </row>
    <row r="916" spans="1:10" x14ac:dyDescent="0.3">
      <c r="A916" t="str">
        <f>""</f>
        <v/>
      </c>
      <c r="B916" t="str">
        <f>""</f>
        <v/>
      </c>
      <c r="G916" t="str">
        <f>""</f>
        <v/>
      </c>
      <c r="H916" t="str">
        <f>""</f>
        <v/>
      </c>
      <c r="J916" t="str">
        <f t="shared" si="24"/>
        <v>UNEMPLOYMENT/4TH QTR 2017</v>
      </c>
    </row>
    <row r="917" spans="1:10" x14ac:dyDescent="0.3">
      <c r="A917" t="str">
        <f>""</f>
        <v/>
      </c>
      <c r="B917" t="str">
        <f>""</f>
        <v/>
      </c>
      <c r="G917" t="str">
        <f>""</f>
        <v/>
      </c>
      <c r="H917" t="str">
        <f>""</f>
        <v/>
      </c>
      <c r="J917" t="str">
        <f t="shared" si="24"/>
        <v>UNEMPLOYMENT/4TH QTR 2017</v>
      </c>
    </row>
    <row r="918" spans="1:10" x14ac:dyDescent="0.3">
      <c r="A918" t="str">
        <f>""</f>
        <v/>
      </c>
      <c r="B918" t="str">
        <f>""</f>
        <v/>
      </c>
      <c r="G918" t="str">
        <f>""</f>
        <v/>
      </c>
      <c r="H918" t="str">
        <f>""</f>
        <v/>
      </c>
      <c r="J918" t="str">
        <f t="shared" si="24"/>
        <v>UNEMPLOYMENT/4TH QTR 2017</v>
      </c>
    </row>
    <row r="919" spans="1:10" x14ac:dyDescent="0.3">
      <c r="A919" t="str">
        <f>""</f>
        <v/>
      </c>
      <c r="B919" t="str">
        <f>""</f>
        <v/>
      </c>
      <c r="G919" t="str">
        <f>""</f>
        <v/>
      </c>
      <c r="H919" t="str">
        <f>""</f>
        <v/>
      </c>
      <c r="J919" t="str">
        <f t="shared" si="24"/>
        <v>UNEMPLOYMENT/4TH QTR 2017</v>
      </c>
    </row>
    <row r="920" spans="1:10" x14ac:dyDescent="0.3">
      <c r="A920" t="str">
        <f>""</f>
        <v/>
      </c>
      <c r="B920" t="str">
        <f>""</f>
        <v/>
      </c>
      <c r="G920" t="str">
        <f>""</f>
        <v/>
      </c>
      <c r="H920" t="str">
        <f>""</f>
        <v/>
      </c>
      <c r="J920" t="str">
        <f t="shared" si="24"/>
        <v>UNEMPLOYMENT/4TH QTR 2017</v>
      </c>
    </row>
    <row r="921" spans="1:10" x14ac:dyDescent="0.3">
      <c r="A921" t="str">
        <f>""</f>
        <v/>
      </c>
      <c r="B921" t="str">
        <f>""</f>
        <v/>
      </c>
      <c r="G921" t="str">
        <f>""</f>
        <v/>
      </c>
      <c r="H921" t="str">
        <f>""</f>
        <v/>
      </c>
      <c r="J921" t="str">
        <f t="shared" si="24"/>
        <v>UNEMPLOYMENT/4TH QTR 2017</v>
      </c>
    </row>
    <row r="922" spans="1:10" x14ac:dyDescent="0.3">
      <c r="A922" t="str">
        <f>""</f>
        <v/>
      </c>
      <c r="B922" t="str">
        <f>""</f>
        <v/>
      </c>
      <c r="G922" t="str">
        <f>""</f>
        <v/>
      </c>
      <c r="H922" t="str">
        <f>""</f>
        <v/>
      </c>
      <c r="J922" t="str">
        <f t="shared" si="24"/>
        <v>UNEMPLOYMENT/4TH QTR 2017</v>
      </c>
    </row>
    <row r="923" spans="1:10" x14ac:dyDescent="0.3">
      <c r="A923" t="str">
        <f>""</f>
        <v/>
      </c>
      <c r="B923" t="str">
        <f>""</f>
        <v/>
      </c>
      <c r="G923" t="str">
        <f>""</f>
        <v/>
      </c>
      <c r="H923" t="str">
        <f>""</f>
        <v/>
      </c>
      <c r="J923" t="str">
        <f t="shared" si="24"/>
        <v>UNEMPLOYMENT/4TH QTR 2017</v>
      </c>
    </row>
    <row r="924" spans="1:10" x14ac:dyDescent="0.3">
      <c r="A924" t="str">
        <f>""</f>
        <v/>
      </c>
      <c r="B924" t="str">
        <f>""</f>
        <v/>
      </c>
      <c r="G924" t="str">
        <f>""</f>
        <v/>
      </c>
      <c r="H924" t="str">
        <f>""</f>
        <v/>
      </c>
      <c r="J924" t="str">
        <f t="shared" si="24"/>
        <v>UNEMPLOYMENT/4TH QTR 2017</v>
      </c>
    </row>
    <row r="925" spans="1:10" x14ac:dyDescent="0.3">
      <c r="A925" t="str">
        <f>""</f>
        <v/>
      </c>
      <c r="B925" t="str">
        <f>""</f>
        <v/>
      </c>
      <c r="G925" t="str">
        <f>""</f>
        <v/>
      </c>
      <c r="H925" t="str">
        <f>""</f>
        <v/>
      </c>
      <c r="J925" t="str">
        <f t="shared" si="24"/>
        <v>UNEMPLOYMENT/4TH QTR 2017</v>
      </c>
    </row>
    <row r="926" spans="1:10" x14ac:dyDescent="0.3">
      <c r="A926" t="str">
        <f>""</f>
        <v/>
      </c>
      <c r="B926" t="str">
        <f>""</f>
        <v/>
      </c>
      <c r="G926" t="str">
        <f>""</f>
        <v/>
      </c>
      <c r="H926" t="str">
        <f>""</f>
        <v/>
      </c>
      <c r="J926" t="str">
        <f t="shared" si="24"/>
        <v>UNEMPLOYMENT/4TH QTR 2017</v>
      </c>
    </row>
    <row r="927" spans="1:10" x14ac:dyDescent="0.3">
      <c r="A927" t="str">
        <f>""</f>
        <v/>
      </c>
      <c r="B927" t="str">
        <f>""</f>
        <v/>
      </c>
      <c r="G927" t="str">
        <f>""</f>
        <v/>
      </c>
      <c r="H927" t="str">
        <f>""</f>
        <v/>
      </c>
      <c r="J927" t="str">
        <f t="shared" si="24"/>
        <v>UNEMPLOYMENT/4TH QTR 2017</v>
      </c>
    </row>
    <row r="928" spans="1:10" x14ac:dyDescent="0.3">
      <c r="A928" t="str">
        <f>""</f>
        <v/>
      </c>
      <c r="B928" t="str">
        <f>""</f>
        <v/>
      </c>
      <c r="G928" t="str">
        <f>""</f>
        <v/>
      </c>
      <c r="H928" t="str">
        <f>""</f>
        <v/>
      </c>
      <c r="J928" t="str">
        <f t="shared" si="24"/>
        <v>UNEMPLOYMENT/4TH QTR 2017</v>
      </c>
    </row>
    <row r="929" spans="1:10" x14ac:dyDescent="0.3">
      <c r="A929" t="str">
        <f>""</f>
        <v/>
      </c>
      <c r="B929" t="str">
        <f>""</f>
        <v/>
      </c>
      <c r="G929" t="str">
        <f>""</f>
        <v/>
      </c>
      <c r="H929" t="str">
        <f>""</f>
        <v/>
      </c>
      <c r="J929" t="str">
        <f t="shared" si="24"/>
        <v>UNEMPLOYMENT/4TH QTR 2017</v>
      </c>
    </row>
    <row r="930" spans="1:10" x14ac:dyDescent="0.3">
      <c r="A930" t="str">
        <f>""</f>
        <v/>
      </c>
      <c r="B930" t="str">
        <f>""</f>
        <v/>
      </c>
      <c r="G930" t="str">
        <f>""</f>
        <v/>
      </c>
      <c r="H930" t="str">
        <f>""</f>
        <v/>
      </c>
      <c r="J930" t="str">
        <f t="shared" si="24"/>
        <v>UNEMPLOYMENT/4TH QTR 2017</v>
      </c>
    </row>
    <row r="931" spans="1:10" x14ac:dyDescent="0.3">
      <c r="A931" t="str">
        <f>""</f>
        <v/>
      </c>
      <c r="B931" t="str">
        <f>""</f>
        <v/>
      </c>
      <c r="G931" t="str">
        <f>""</f>
        <v/>
      </c>
      <c r="H931" t="str">
        <f>""</f>
        <v/>
      </c>
      <c r="J931" t="str">
        <f t="shared" si="24"/>
        <v>UNEMPLOYMENT/4TH QTR 2017</v>
      </c>
    </row>
    <row r="932" spans="1:10" x14ac:dyDescent="0.3">
      <c r="A932" t="str">
        <f>""</f>
        <v/>
      </c>
      <c r="B932" t="str">
        <f>""</f>
        <v/>
      </c>
      <c r="G932" t="str">
        <f>"UF-2017-4-110/PCT"</f>
        <v>UF-2017-4-110/PCT</v>
      </c>
      <c r="H932" t="str">
        <f>"UNEMPLOYMENT/4TH QTR 2017/PCT"</f>
        <v>UNEMPLOYMENT/4TH QTR 2017/PCT</v>
      </c>
      <c r="I932" s="2">
        <v>891.75</v>
      </c>
      <c r="J932" t="str">
        <f>"UNEMPLOYMENT/4TH QTR 2017/PCT"</f>
        <v>UNEMPLOYMENT/4TH QTR 2017/PCT</v>
      </c>
    </row>
    <row r="933" spans="1:10" x14ac:dyDescent="0.3">
      <c r="A933" t="str">
        <f>""</f>
        <v/>
      </c>
      <c r="B933" t="str">
        <f>""</f>
        <v/>
      </c>
      <c r="G933" t="str">
        <f>""</f>
        <v/>
      </c>
      <c r="H933" t="str">
        <f>""</f>
        <v/>
      </c>
      <c r="J933" t="str">
        <f>"UNEMPLOYMENT/4TH QTR 2017/PCT"</f>
        <v>UNEMPLOYMENT/4TH QTR 2017/PCT</v>
      </c>
    </row>
    <row r="934" spans="1:10" x14ac:dyDescent="0.3">
      <c r="A934" t="str">
        <f>""</f>
        <v/>
      </c>
      <c r="B934" t="str">
        <f>""</f>
        <v/>
      </c>
      <c r="G934" t="str">
        <f>""</f>
        <v/>
      </c>
      <c r="H934" t="str">
        <f>""</f>
        <v/>
      </c>
      <c r="J934" t="str">
        <f>"UNEMPLOYMENT/4TH QTR 2017/PCT"</f>
        <v>UNEMPLOYMENT/4TH QTR 2017/PCT</v>
      </c>
    </row>
    <row r="935" spans="1:10" x14ac:dyDescent="0.3">
      <c r="A935" t="str">
        <f>""</f>
        <v/>
      </c>
      <c r="B935" t="str">
        <f>""</f>
        <v/>
      </c>
      <c r="G935" t="str">
        <f>""</f>
        <v/>
      </c>
      <c r="H935" t="str">
        <f>""</f>
        <v/>
      </c>
      <c r="J935" t="str">
        <f>"UNEMPLOYMENT/4TH QTR 2017/PCT"</f>
        <v>UNEMPLOYMENT/4TH QTR 2017/PCT</v>
      </c>
    </row>
    <row r="936" spans="1:10" x14ac:dyDescent="0.3">
      <c r="A936" t="str">
        <f t="shared" ref="A936:A944" si="25">"01"</f>
        <v>01</v>
      </c>
      <c r="B936" t="str">
        <f t="shared" ref="B936:B941" si="26">"TACRMP"</f>
        <v>TACRMP</v>
      </c>
      <c r="C936" t="s">
        <v>342</v>
      </c>
      <c r="D936">
        <v>74948</v>
      </c>
      <c r="E936" s="2">
        <v>475</v>
      </c>
      <c r="F936" s="1">
        <v>43122</v>
      </c>
      <c r="G936" t="str">
        <f>"201801098079"</f>
        <v>201801098079</v>
      </c>
      <c r="H936" t="str">
        <f>"TACA DUES-L.SMITH"</f>
        <v>TACA DUES-L.SMITH</v>
      </c>
      <c r="I936" s="2">
        <v>475</v>
      </c>
      <c r="J936" t="str">
        <f>"TACA DUES-L.SMITH"</f>
        <v>TACA DUES-L.SMITH</v>
      </c>
    </row>
    <row r="937" spans="1:10" x14ac:dyDescent="0.3">
      <c r="A937" t="str">
        <f t="shared" si="25"/>
        <v>01</v>
      </c>
      <c r="B937" t="str">
        <f t="shared" si="26"/>
        <v>TACRMP</v>
      </c>
      <c r="C937" t="s">
        <v>342</v>
      </c>
      <c r="D937">
        <v>74949</v>
      </c>
      <c r="E937" s="2">
        <v>150</v>
      </c>
      <c r="F937" s="1">
        <v>43122</v>
      </c>
      <c r="G937" t="str">
        <f>"201801108100"</f>
        <v>201801108100</v>
      </c>
      <c r="H937" t="str">
        <f>"CTAT DUES-L. INGRAM"</f>
        <v>CTAT DUES-L. INGRAM</v>
      </c>
      <c r="I937" s="2">
        <v>150</v>
      </c>
      <c r="J937" t="str">
        <f>"CTAT DUES-L. INGRAM"</f>
        <v>CTAT DUES-L. INGRAM</v>
      </c>
    </row>
    <row r="938" spans="1:10" x14ac:dyDescent="0.3">
      <c r="A938" t="str">
        <f t="shared" si="25"/>
        <v>01</v>
      </c>
      <c r="B938" t="str">
        <f t="shared" si="26"/>
        <v>TACRMP</v>
      </c>
      <c r="C938" t="s">
        <v>342</v>
      </c>
      <c r="D938">
        <v>74950</v>
      </c>
      <c r="E938" s="2">
        <v>60</v>
      </c>
      <c r="F938" s="1">
        <v>43122</v>
      </c>
      <c r="G938" t="str">
        <f>"20977  01/01/2018"</f>
        <v>20977  01/01/2018</v>
      </c>
      <c r="H938" t="str">
        <f>"JPCA MEMBERSHIP DUES-K. HANNA"</f>
        <v>JPCA MEMBERSHIP DUES-K. HANNA</v>
      </c>
      <c r="I938" s="2">
        <v>60</v>
      </c>
      <c r="J938" t="str">
        <f>"JPCA MEMBERSHIP DUES-K. HANNA"</f>
        <v>JPCA MEMBERSHIP DUES-K. HANNA</v>
      </c>
    </row>
    <row r="939" spans="1:10" x14ac:dyDescent="0.3">
      <c r="A939" t="str">
        <f t="shared" si="25"/>
        <v>01</v>
      </c>
      <c r="B939" t="str">
        <f t="shared" si="26"/>
        <v>TACRMP</v>
      </c>
      <c r="C939" t="s">
        <v>342</v>
      </c>
      <c r="D939">
        <v>74951</v>
      </c>
      <c r="E939" s="2">
        <v>60</v>
      </c>
      <c r="F939" s="1">
        <v>43122</v>
      </c>
      <c r="G939" t="str">
        <f>"231044  01/01/2018"</f>
        <v>231044  01/01/2018</v>
      </c>
      <c r="H939" t="str">
        <f>"JPCA MEMBERSHIP DUES/TSPARKMAN"</f>
        <v>JPCA MEMBERSHIP DUES/TSPARKMAN</v>
      </c>
      <c r="I939" s="2">
        <v>60</v>
      </c>
      <c r="J939" t="str">
        <f>"JPCA MEMBERSHIP DUES/TSPARKMAN"</f>
        <v>JPCA MEMBERSHIP DUES/TSPARKMAN</v>
      </c>
    </row>
    <row r="940" spans="1:10" x14ac:dyDescent="0.3">
      <c r="A940" t="str">
        <f t="shared" si="25"/>
        <v>01</v>
      </c>
      <c r="B940" t="str">
        <f t="shared" si="26"/>
        <v>TACRMP</v>
      </c>
      <c r="C940" t="s">
        <v>342</v>
      </c>
      <c r="D940">
        <v>74952</v>
      </c>
      <c r="E940" s="2">
        <v>35</v>
      </c>
      <c r="F940" s="1">
        <v>43122</v>
      </c>
      <c r="G940" t="str">
        <f>"240641"</f>
        <v>240641</v>
      </c>
      <c r="H940" t="str">
        <f>"JPCA MEMBERSHIP DUES-D. TINER"</f>
        <v>JPCA MEMBERSHIP DUES-D. TINER</v>
      </c>
      <c r="I940" s="2">
        <v>35</v>
      </c>
      <c r="J940" t="str">
        <f>"JPCA MEMBERSHIP DUES-D. TINER"</f>
        <v>JPCA MEMBERSHIP DUES-D. TINER</v>
      </c>
    </row>
    <row r="941" spans="1:10" x14ac:dyDescent="0.3">
      <c r="A941" t="str">
        <f t="shared" si="25"/>
        <v>01</v>
      </c>
      <c r="B941" t="str">
        <f t="shared" si="26"/>
        <v>TACRMP</v>
      </c>
      <c r="C941" t="s">
        <v>342</v>
      </c>
      <c r="D941">
        <v>74953</v>
      </c>
      <c r="E941" s="2">
        <v>125</v>
      </c>
      <c r="F941" s="1">
        <v>43122</v>
      </c>
      <c r="G941" t="str">
        <f>"242500"</f>
        <v>242500</v>
      </c>
      <c r="H941" t="str">
        <f>"TRAINING-R.FISHBECK"</f>
        <v>TRAINING-R.FISHBECK</v>
      </c>
      <c r="I941" s="2">
        <v>125</v>
      </c>
      <c r="J941" t="str">
        <f>"TRAINING-R.FISHBECK"</f>
        <v>TRAINING-R.FISHBECK</v>
      </c>
    </row>
    <row r="942" spans="1:10" x14ac:dyDescent="0.3">
      <c r="A942" t="str">
        <f t="shared" si="25"/>
        <v>01</v>
      </c>
      <c r="B942" t="str">
        <f>"002122"</f>
        <v>002122</v>
      </c>
      <c r="C942" t="s">
        <v>344</v>
      </c>
      <c r="D942">
        <v>999999</v>
      </c>
      <c r="E942" s="2">
        <v>385.44</v>
      </c>
      <c r="F942" s="1">
        <v>43123</v>
      </c>
      <c r="G942" t="str">
        <f>"201801118124"</f>
        <v>201801118124</v>
      </c>
      <c r="H942" t="str">
        <f>"ACCT#0005/PCT#4"</f>
        <v>ACCT#0005/PCT#4</v>
      </c>
      <c r="I942" s="2">
        <v>385.44</v>
      </c>
      <c r="J942" t="str">
        <f>"ACCT#0005/PCT#4"</f>
        <v>ACCT#0005/PCT#4</v>
      </c>
    </row>
    <row r="943" spans="1:10" x14ac:dyDescent="0.3">
      <c r="A943" t="str">
        <f t="shared" si="25"/>
        <v>01</v>
      </c>
      <c r="B943" t="str">
        <f>"T11148"</f>
        <v>T11148</v>
      </c>
      <c r="C943" t="s">
        <v>345</v>
      </c>
      <c r="D943">
        <v>74723</v>
      </c>
      <c r="E943" s="2">
        <v>745.8</v>
      </c>
      <c r="F943" s="1">
        <v>43108</v>
      </c>
      <c r="G943" t="str">
        <f>"UI424360"</f>
        <v>UI424360</v>
      </c>
      <c r="H943" t="str">
        <f>"INV UI424360"</f>
        <v>INV UI424360</v>
      </c>
      <c r="I943" s="2">
        <v>745.8</v>
      </c>
      <c r="J943" t="str">
        <f>"INV UI424360"</f>
        <v>INV UI424360</v>
      </c>
    </row>
    <row r="944" spans="1:10" x14ac:dyDescent="0.3">
      <c r="A944" t="str">
        <f t="shared" si="25"/>
        <v>01</v>
      </c>
      <c r="B944" t="str">
        <f>"TCSC"</f>
        <v>TCSC</v>
      </c>
      <c r="C944" t="s">
        <v>346</v>
      </c>
      <c r="D944">
        <v>74724</v>
      </c>
      <c r="E944" s="2">
        <v>3115.67</v>
      </c>
      <c r="F944" s="1">
        <v>43108</v>
      </c>
      <c r="G944" t="str">
        <f>"51006"</f>
        <v>51006</v>
      </c>
      <c r="H944" t="str">
        <f>"CUST#1574/MESH TYPE/F/PCT#4"</f>
        <v>CUST#1574/MESH TYPE/F/PCT#4</v>
      </c>
      <c r="I944" s="2">
        <v>931.8</v>
      </c>
      <c r="J944" t="str">
        <f>"CUST#1574/MESH TYPE/F/PCT#4"</f>
        <v>CUST#1574/MESH TYPE/F/PCT#4</v>
      </c>
    </row>
    <row r="945" spans="1:10" x14ac:dyDescent="0.3">
      <c r="A945" t="str">
        <f>""</f>
        <v/>
      </c>
      <c r="B945" t="str">
        <f>""</f>
        <v/>
      </c>
      <c r="G945" t="str">
        <f>"51239"</f>
        <v>51239</v>
      </c>
      <c r="H945" t="str">
        <f>"CUST#1574/MESH TYPE F/PCT#4"</f>
        <v>CUST#1574/MESH TYPE F/PCT#4</v>
      </c>
      <c r="I945" s="2">
        <v>946.57</v>
      </c>
      <c r="J945" t="str">
        <f>"CUST#1574/MESH TYPE F/PCT#4"</f>
        <v>CUST#1574/MESH TYPE F/PCT#4</v>
      </c>
    </row>
    <row r="946" spans="1:10" x14ac:dyDescent="0.3">
      <c r="A946" t="str">
        <f>""</f>
        <v/>
      </c>
      <c r="B946" t="str">
        <f>""</f>
        <v/>
      </c>
      <c r="G946" t="str">
        <f>"52292"</f>
        <v>52292</v>
      </c>
      <c r="H946" t="str">
        <f>"CUST#1574/MESH TYPE/PCT#4"</f>
        <v>CUST#1574/MESH TYPE/PCT#4</v>
      </c>
      <c r="I946" s="2">
        <v>1237.3</v>
      </c>
      <c r="J946" t="str">
        <f>"CUST#1574/MESH TYPE/PCT#4"</f>
        <v>CUST#1574/MESH TYPE/PCT#4</v>
      </c>
    </row>
    <row r="947" spans="1:10" x14ac:dyDescent="0.3">
      <c r="A947" t="str">
        <f>"01"</f>
        <v>01</v>
      </c>
      <c r="B947" t="str">
        <f>"TCSC"</f>
        <v>TCSC</v>
      </c>
      <c r="C947" t="s">
        <v>346</v>
      </c>
      <c r="D947">
        <v>74954</v>
      </c>
      <c r="E947" s="2">
        <v>1252.5899999999999</v>
      </c>
      <c r="F947" s="1">
        <v>43122</v>
      </c>
      <c r="G947" t="str">
        <f>"52960"</f>
        <v>52960</v>
      </c>
      <c r="H947" t="str">
        <f>"CUST#1574/MESH TYPE F/PCT#4"</f>
        <v>CUST#1574/MESH TYPE F/PCT#4</v>
      </c>
      <c r="I947" s="2">
        <v>1252.5899999999999</v>
      </c>
      <c r="J947" t="str">
        <f>"CUST#1574/MESH TYPE F/PCT#4"</f>
        <v>CUST#1574/MESH TYPE F/PCT#4</v>
      </c>
    </row>
    <row r="948" spans="1:10" x14ac:dyDescent="0.3">
      <c r="A948" t="str">
        <f>"01"</f>
        <v>01</v>
      </c>
      <c r="B948" t="str">
        <f>"TCSC"</f>
        <v>TCSC</v>
      </c>
      <c r="C948" t="s">
        <v>346</v>
      </c>
      <c r="D948">
        <v>74986</v>
      </c>
      <c r="E948" s="2">
        <v>4684.93</v>
      </c>
      <c r="F948" s="1">
        <v>43130</v>
      </c>
      <c r="G948" t="str">
        <f>"54687"</f>
        <v>54687</v>
      </c>
      <c r="H948" t="str">
        <f>"STOCKPILE MESH TYPE F / P4"</f>
        <v>STOCKPILE MESH TYPE F / P4</v>
      </c>
      <c r="I948" s="2">
        <v>2494.2800000000002</v>
      </c>
      <c r="J948" t="str">
        <f>"STOCKPILE MESH TYPE F / P4"</f>
        <v>STOCKPILE MESH TYPE F / P4</v>
      </c>
    </row>
    <row r="949" spans="1:10" x14ac:dyDescent="0.3">
      <c r="A949" t="str">
        <f>""</f>
        <v/>
      </c>
      <c r="B949" t="str">
        <f>""</f>
        <v/>
      </c>
      <c r="G949" t="str">
        <f>"54812"</f>
        <v>54812</v>
      </c>
      <c r="H949" t="str">
        <f>"STOCKPILE MESH TYPE F / P4"</f>
        <v>STOCKPILE MESH TYPE F / P4</v>
      </c>
      <c r="I949" s="2">
        <v>1243.82</v>
      </c>
      <c r="J949" t="str">
        <f>"STOCKPILE MESH TYPE F / P4"</f>
        <v>STOCKPILE MESH TYPE F / P4</v>
      </c>
    </row>
    <row r="950" spans="1:10" x14ac:dyDescent="0.3">
      <c r="A950" t="str">
        <f>""</f>
        <v/>
      </c>
      <c r="B950" t="str">
        <f>""</f>
        <v/>
      </c>
      <c r="G950" t="str">
        <f>"55022"</f>
        <v>55022</v>
      </c>
      <c r="H950" t="str">
        <f>"STOCKPILE MESH TYPE F / P4"</f>
        <v>STOCKPILE MESH TYPE F / P4</v>
      </c>
      <c r="I950" s="2">
        <v>946.83</v>
      </c>
      <c r="J950" t="str">
        <f>"STOCKPILE MESH TYPE F / P4"</f>
        <v>STOCKPILE MESH TYPE F / P4</v>
      </c>
    </row>
    <row r="951" spans="1:10" x14ac:dyDescent="0.3">
      <c r="A951" t="str">
        <f t="shared" ref="A951:A956" si="27">"01"</f>
        <v>01</v>
      </c>
      <c r="B951" t="str">
        <f>"TDOL&amp;R"</f>
        <v>TDOL&amp;R</v>
      </c>
      <c r="C951" t="s">
        <v>347</v>
      </c>
      <c r="D951">
        <v>74955</v>
      </c>
      <c r="E951" s="2">
        <v>30</v>
      </c>
      <c r="F951" s="1">
        <v>43122</v>
      </c>
      <c r="G951" t="str">
        <f>"201801188189"</f>
        <v>201801188189</v>
      </c>
      <c r="H951" t="str">
        <f>"ELBI#342/EQUIP#54465/GEN SVCS"</f>
        <v>ELBI#342/EQUIP#54465/GEN SVCS</v>
      </c>
      <c r="I951" s="2">
        <v>30</v>
      </c>
      <c r="J951" t="str">
        <f>"ELBI#342/EQUIP#54465/GEN SVCS"</f>
        <v>ELBI#342/EQUIP#54465/GEN SVCS</v>
      </c>
    </row>
    <row r="952" spans="1:10" x14ac:dyDescent="0.3">
      <c r="A952" t="str">
        <f t="shared" si="27"/>
        <v>01</v>
      </c>
      <c r="B952" t="str">
        <f>"002803"</f>
        <v>002803</v>
      </c>
      <c r="C952" t="s">
        <v>348</v>
      </c>
      <c r="D952">
        <v>74725</v>
      </c>
      <c r="E952" s="2">
        <v>500</v>
      </c>
      <c r="F952" s="1">
        <v>43108</v>
      </c>
      <c r="G952" t="str">
        <f>"7600"</f>
        <v>7600</v>
      </c>
      <c r="H952" t="str">
        <f>"MEMBERSHIP DEVELOPMENT"</f>
        <v>MEMBERSHIP DEVELOPMENT</v>
      </c>
      <c r="I952" s="2">
        <v>500</v>
      </c>
      <c r="J952" t="str">
        <f>"MEMBERSHIP DEVELOPMENT"</f>
        <v>MEMBERSHIP DEVELOPMENT</v>
      </c>
    </row>
    <row r="953" spans="1:10" x14ac:dyDescent="0.3">
      <c r="A953" t="str">
        <f t="shared" si="27"/>
        <v>01</v>
      </c>
      <c r="B953" t="str">
        <f>"T6071"</f>
        <v>T6071</v>
      </c>
      <c r="C953" t="s">
        <v>349</v>
      </c>
      <c r="D953">
        <v>74726</v>
      </c>
      <c r="E953" s="2">
        <v>469.73</v>
      </c>
      <c r="F953" s="1">
        <v>43108</v>
      </c>
      <c r="G953" t="str">
        <f>"201801027592"</f>
        <v>201801027592</v>
      </c>
      <c r="H953" t="str">
        <f>"JAIL MEDICAL"</f>
        <v>JAIL MEDICAL</v>
      </c>
      <c r="I953" s="2">
        <v>469.73</v>
      </c>
      <c r="J953" t="str">
        <f>"JAIL MEDICAL"</f>
        <v>JAIL MEDICAL</v>
      </c>
    </row>
    <row r="954" spans="1:10" x14ac:dyDescent="0.3">
      <c r="A954" t="str">
        <f t="shared" si="27"/>
        <v>01</v>
      </c>
      <c r="B954" t="str">
        <f>"004858"</f>
        <v>004858</v>
      </c>
      <c r="C954" t="s">
        <v>350</v>
      </c>
      <c r="D954">
        <v>74727</v>
      </c>
      <c r="E954" s="2">
        <v>50</v>
      </c>
      <c r="F954" s="1">
        <v>43108</v>
      </c>
      <c r="G954" t="str">
        <f>"10720"</f>
        <v>10720</v>
      </c>
      <c r="H954" t="str">
        <f>"VINYL FOR SHOVELS/BCAS"</f>
        <v>VINYL FOR SHOVELS/BCAS</v>
      </c>
      <c r="I954" s="2">
        <v>50</v>
      </c>
      <c r="J954" t="str">
        <f>"VINYL FOR SHOVELS/BCAS"</f>
        <v>VINYL FOR SHOVELS/BCAS</v>
      </c>
    </row>
    <row r="955" spans="1:10" x14ac:dyDescent="0.3">
      <c r="A955" t="str">
        <f t="shared" si="27"/>
        <v>01</v>
      </c>
      <c r="B955" t="str">
        <f>"T10299"</f>
        <v>T10299</v>
      </c>
      <c r="C955" t="s">
        <v>351</v>
      </c>
      <c r="D955">
        <v>74956</v>
      </c>
      <c r="E955" s="2">
        <v>175</v>
      </c>
      <c r="F955" s="1">
        <v>43122</v>
      </c>
      <c r="G955" t="str">
        <f>"13961837"</f>
        <v>13961837</v>
      </c>
      <c r="H955" t="str">
        <f>"INV 13961837"</f>
        <v>INV 13961837</v>
      </c>
      <c r="I955" s="2">
        <v>175</v>
      </c>
      <c r="J955" t="str">
        <f>"INV 13961837"</f>
        <v>INV 13961837</v>
      </c>
    </row>
    <row r="956" spans="1:10" x14ac:dyDescent="0.3">
      <c r="A956" t="str">
        <f t="shared" si="27"/>
        <v>01</v>
      </c>
      <c r="B956" t="str">
        <f>"002317"</f>
        <v>002317</v>
      </c>
      <c r="C956" t="s">
        <v>352</v>
      </c>
      <c r="D956">
        <v>999999</v>
      </c>
      <c r="E956" s="2">
        <v>1375</v>
      </c>
      <c r="F956" s="1">
        <v>43109</v>
      </c>
      <c r="G956" t="str">
        <f>"201801027652"</f>
        <v>201801027652</v>
      </c>
      <c r="H956" t="str">
        <f>"15 455"</f>
        <v>15 455</v>
      </c>
      <c r="I956" s="2">
        <v>400</v>
      </c>
      <c r="J956" t="str">
        <f>"15 455"</f>
        <v>15 455</v>
      </c>
    </row>
    <row r="957" spans="1:10" x14ac:dyDescent="0.3">
      <c r="A957" t="str">
        <f>""</f>
        <v/>
      </c>
      <c r="B957" t="str">
        <f>""</f>
        <v/>
      </c>
      <c r="G957" t="str">
        <f>"201801027653"</f>
        <v>201801027653</v>
      </c>
      <c r="H957" t="str">
        <f>"16 431  AC2017-04968"</f>
        <v>16 431  AC2017-04968</v>
      </c>
      <c r="I957" s="2">
        <v>600</v>
      </c>
      <c r="J957" t="str">
        <f>"16 431  AC2017-04968"</f>
        <v>16 431  AC2017-04968</v>
      </c>
    </row>
    <row r="958" spans="1:10" x14ac:dyDescent="0.3">
      <c r="A958" t="str">
        <f>""</f>
        <v/>
      </c>
      <c r="B958" t="str">
        <f>""</f>
        <v/>
      </c>
      <c r="G958" t="str">
        <f>"201801037729"</f>
        <v>201801037729</v>
      </c>
      <c r="H958" t="str">
        <f>"55 630  AC20170421W"</f>
        <v>55 630  AC20170421W</v>
      </c>
      <c r="I958" s="2">
        <v>375</v>
      </c>
      <c r="J958" t="str">
        <f>"55 630  AC20170421W"</f>
        <v>55 630  AC20170421W</v>
      </c>
    </row>
    <row r="959" spans="1:10" x14ac:dyDescent="0.3">
      <c r="A959" t="str">
        <f>"01"</f>
        <v>01</v>
      </c>
      <c r="B959" t="str">
        <f>"005375"</f>
        <v>005375</v>
      </c>
      <c r="C959" t="s">
        <v>353</v>
      </c>
      <c r="D959">
        <v>74728</v>
      </c>
      <c r="E959" s="2">
        <v>990.8</v>
      </c>
      <c r="F959" s="1">
        <v>43108</v>
      </c>
      <c r="G959" t="str">
        <f>"CONF#115904/115905"</f>
        <v>CONF#115904/115905</v>
      </c>
      <c r="H959" t="str">
        <f>"HOTEL STAY 01/22/18-01/26/18"</f>
        <v>HOTEL STAY 01/22/18-01/26/18</v>
      </c>
      <c r="I959" s="2">
        <v>990.8</v>
      </c>
      <c r="J959" t="str">
        <f>"HOTEL STAY 01/22/18-01/26/18"</f>
        <v>HOTEL STAY 01/22/18-01/26/18</v>
      </c>
    </row>
    <row r="960" spans="1:10" x14ac:dyDescent="0.3">
      <c r="A960" t="str">
        <f>"01"</f>
        <v>01</v>
      </c>
      <c r="B960" t="str">
        <f>"TIME"</f>
        <v>TIME</v>
      </c>
      <c r="C960" t="s">
        <v>354</v>
      </c>
      <c r="D960">
        <v>74729</v>
      </c>
      <c r="E960" s="2">
        <v>21579.89</v>
      </c>
      <c r="F960" s="1">
        <v>43108</v>
      </c>
      <c r="G960" t="str">
        <f>"0139886121817"</f>
        <v>0139886121817</v>
      </c>
      <c r="H960" t="str">
        <f>"ACCT#8260 16 111 0139886"</f>
        <v>ACCT#8260 16 111 0139886</v>
      </c>
      <c r="I960" s="2">
        <v>353.17</v>
      </c>
      <c r="J960" t="str">
        <f>"ACCT#8260 16 111 0139886"</f>
        <v>ACCT#8260 16 111 0139886</v>
      </c>
    </row>
    <row r="961" spans="1:10" x14ac:dyDescent="0.3">
      <c r="A961" t="str">
        <f>""</f>
        <v/>
      </c>
      <c r="B961" t="str">
        <f>""</f>
        <v/>
      </c>
      <c r="G961" t="str">
        <f>"201801027589"</f>
        <v>201801027589</v>
      </c>
      <c r="H961" t="str">
        <f>"ACCT#8260163000003669"</f>
        <v>ACCT#8260163000003669</v>
      </c>
      <c r="I961" s="2">
        <v>10522.22</v>
      </c>
      <c r="J961" t="str">
        <f t="shared" ref="J961:J966" si="28">"ACCT#8260163000003669"</f>
        <v>ACCT#8260163000003669</v>
      </c>
    </row>
    <row r="962" spans="1:10" x14ac:dyDescent="0.3">
      <c r="A962" t="str">
        <f>""</f>
        <v/>
      </c>
      <c r="B962" t="str">
        <f>""</f>
        <v/>
      </c>
      <c r="G962" t="str">
        <f>""</f>
        <v/>
      </c>
      <c r="H962" t="str">
        <f>""</f>
        <v/>
      </c>
      <c r="J962" t="str">
        <f t="shared" si="28"/>
        <v>ACCT#8260163000003669</v>
      </c>
    </row>
    <row r="963" spans="1:10" x14ac:dyDescent="0.3">
      <c r="A963" t="str">
        <f>""</f>
        <v/>
      </c>
      <c r="B963" t="str">
        <f>""</f>
        <v/>
      </c>
      <c r="G963" t="str">
        <f>""</f>
        <v/>
      </c>
      <c r="H963" t="str">
        <f>""</f>
        <v/>
      </c>
      <c r="J963" t="str">
        <f t="shared" si="28"/>
        <v>ACCT#8260163000003669</v>
      </c>
    </row>
    <row r="964" spans="1:10" x14ac:dyDescent="0.3">
      <c r="A964" t="str">
        <f>""</f>
        <v/>
      </c>
      <c r="B964" t="str">
        <f>""</f>
        <v/>
      </c>
      <c r="G964" t="str">
        <f>"201801027590"</f>
        <v>201801027590</v>
      </c>
      <c r="H964" t="str">
        <f>"ACCT#8260163000003669"</f>
        <v>ACCT#8260163000003669</v>
      </c>
      <c r="I964" s="2">
        <v>10704.5</v>
      </c>
      <c r="J964" t="str">
        <f t="shared" si="28"/>
        <v>ACCT#8260163000003669</v>
      </c>
    </row>
    <row r="965" spans="1:10" x14ac:dyDescent="0.3">
      <c r="A965" t="str">
        <f>""</f>
        <v/>
      </c>
      <c r="B965" t="str">
        <f>""</f>
        <v/>
      </c>
      <c r="G965" t="str">
        <f>""</f>
        <v/>
      </c>
      <c r="H965" t="str">
        <f>""</f>
        <v/>
      </c>
      <c r="J965" t="str">
        <f t="shared" si="28"/>
        <v>ACCT#8260163000003669</v>
      </c>
    </row>
    <row r="966" spans="1:10" x14ac:dyDescent="0.3">
      <c r="A966" t="str">
        <f>""</f>
        <v/>
      </c>
      <c r="B966" t="str">
        <f>""</f>
        <v/>
      </c>
      <c r="G966" t="str">
        <f>""</f>
        <v/>
      </c>
      <c r="H966" t="str">
        <f>""</f>
        <v/>
      </c>
      <c r="J966" t="str">
        <f t="shared" si="28"/>
        <v>ACCT#8260163000003669</v>
      </c>
    </row>
    <row r="967" spans="1:10" x14ac:dyDescent="0.3">
      <c r="A967" t="str">
        <f t="shared" ref="A967:A972" si="29">"01"</f>
        <v>01</v>
      </c>
      <c r="B967" t="str">
        <f>"005373"</f>
        <v>005373</v>
      </c>
      <c r="C967" t="s">
        <v>355</v>
      </c>
      <c r="D967">
        <v>74730</v>
      </c>
      <c r="E967" s="2">
        <v>50</v>
      </c>
      <c r="F967" s="1">
        <v>43108</v>
      </c>
      <c r="G967" t="str">
        <f>"201801027693"</f>
        <v>201801027693</v>
      </c>
      <c r="H967" t="str">
        <f>"REFUND ADOPTION FEE"</f>
        <v>REFUND ADOPTION FEE</v>
      </c>
      <c r="I967" s="2">
        <v>50</v>
      </c>
      <c r="J967" t="str">
        <f>"REFUND ADOPTION FEE"</f>
        <v>REFUND ADOPTION FEE</v>
      </c>
    </row>
    <row r="968" spans="1:10" x14ac:dyDescent="0.3">
      <c r="A968" t="str">
        <f t="shared" si="29"/>
        <v>01</v>
      </c>
      <c r="B968" t="str">
        <f>"005371"</f>
        <v>005371</v>
      </c>
      <c r="C968" t="s">
        <v>356</v>
      </c>
      <c r="D968">
        <v>74731</v>
      </c>
      <c r="E968" s="2">
        <v>50</v>
      </c>
      <c r="F968" s="1">
        <v>43108</v>
      </c>
      <c r="G968" t="str">
        <f>"201801027638"</f>
        <v>201801027638</v>
      </c>
      <c r="H968" t="str">
        <f>"FERAL HOGS"</f>
        <v>FERAL HOGS</v>
      </c>
      <c r="I968" s="2">
        <v>50</v>
      </c>
      <c r="J968" t="str">
        <f>"FERAL HOGS"</f>
        <v>FERAL HOGS</v>
      </c>
    </row>
    <row r="969" spans="1:10" x14ac:dyDescent="0.3">
      <c r="A969" t="str">
        <f t="shared" si="29"/>
        <v>01</v>
      </c>
      <c r="B969" t="str">
        <f>"002337"</f>
        <v>002337</v>
      </c>
      <c r="C969" t="s">
        <v>357</v>
      </c>
      <c r="D969">
        <v>74957</v>
      </c>
      <c r="E969" s="2">
        <v>225</v>
      </c>
      <c r="F969" s="1">
        <v>43122</v>
      </c>
      <c r="G969" t="str">
        <f>"12638"</f>
        <v>12638</v>
      </c>
      <c r="H969" t="str">
        <f>"SERVICE  11/20/17"</f>
        <v>SERVICE  11/20/17</v>
      </c>
      <c r="I969" s="2">
        <v>225</v>
      </c>
      <c r="J969" t="str">
        <f>"SERVICE  11/20/17"</f>
        <v>SERVICE  11/20/17</v>
      </c>
    </row>
    <row r="970" spans="1:10" x14ac:dyDescent="0.3">
      <c r="A970" t="str">
        <f t="shared" si="29"/>
        <v>01</v>
      </c>
      <c r="B970" t="str">
        <f>"TCC"</f>
        <v>TCC</v>
      </c>
      <c r="C970" t="s">
        <v>358</v>
      </c>
      <c r="D970">
        <v>74958</v>
      </c>
      <c r="E970" s="2">
        <v>454</v>
      </c>
      <c r="F970" s="1">
        <v>43122</v>
      </c>
      <c r="G970" t="str">
        <f>"17-002349"</f>
        <v>17-002349</v>
      </c>
      <c r="H970" t="str">
        <f>"CAUSE#C-1-MH-17-002349"</f>
        <v>CAUSE#C-1-MH-17-002349</v>
      </c>
      <c r="I970" s="2">
        <v>454</v>
      </c>
      <c r="J970" t="str">
        <f>"CAUSE#C-1-MH-17-002349"</f>
        <v>CAUSE#C-1-MH-17-002349</v>
      </c>
    </row>
    <row r="971" spans="1:10" x14ac:dyDescent="0.3">
      <c r="A971" t="str">
        <f t="shared" si="29"/>
        <v>01</v>
      </c>
      <c r="B971" t="str">
        <f>"005136"</f>
        <v>005136</v>
      </c>
      <c r="C971" t="s">
        <v>359</v>
      </c>
      <c r="D971">
        <v>74732</v>
      </c>
      <c r="E971" s="2">
        <v>2900</v>
      </c>
      <c r="F971" s="1">
        <v>43108</v>
      </c>
      <c r="G971" t="str">
        <f>"3300000935"</f>
        <v>3300000935</v>
      </c>
      <c r="H971" t="str">
        <f>"INV#3300000935/CUST#100010"</f>
        <v>INV#3300000935/CUST#100010</v>
      </c>
      <c r="I971" s="2">
        <v>2900</v>
      </c>
      <c r="J971" t="str">
        <f>"INV#3300000935/CUST#100010"</f>
        <v>INV#3300000935/CUST#100010</v>
      </c>
    </row>
    <row r="972" spans="1:10" x14ac:dyDescent="0.3">
      <c r="A972" t="str">
        <f t="shared" si="29"/>
        <v>01</v>
      </c>
      <c r="B972" t="str">
        <f>"005136"</f>
        <v>005136</v>
      </c>
      <c r="C972" t="s">
        <v>359</v>
      </c>
      <c r="D972">
        <v>74959</v>
      </c>
      <c r="E972" s="2">
        <v>5800</v>
      </c>
      <c r="F972" s="1">
        <v>43122</v>
      </c>
      <c r="G972" t="str">
        <f>"3300000922"</f>
        <v>3300000922</v>
      </c>
      <c r="H972" t="str">
        <f>"INV#3300000922/CUST#100011"</f>
        <v>INV#3300000922/CUST#100011</v>
      </c>
      <c r="I972" s="2">
        <v>2900</v>
      </c>
      <c r="J972" t="str">
        <f>"INV#3300000922/CUST#100011"</f>
        <v>INV#3300000922/CUST#100011</v>
      </c>
    </row>
    <row r="973" spans="1:10" x14ac:dyDescent="0.3">
      <c r="A973" t="str">
        <f>""</f>
        <v/>
      </c>
      <c r="B973" t="str">
        <f>""</f>
        <v/>
      </c>
      <c r="G973" t="str">
        <f>"3300000934"</f>
        <v>3300000934</v>
      </c>
      <c r="H973" t="str">
        <f>"INV#3300000934/CUST#100008"</f>
        <v>INV#3300000934/CUST#100008</v>
      </c>
      <c r="I973" s="2">
        <v>2900</v>
      </c>
      <c r="J973" t="str">
        <f>"INV#3300000934/CUST#100008"</f>
        <v>INV#3300000934/CUST#100008</v>
      </c>
    </row>
    <row r="974" spans="1:10" x14ac:dyDescent="0.3">
      <c r="A974" t="str">
        <f>"01"</f>
        <v>01</v>
      </c>
      <c r="B974" t="str">
        <f>"002944"</f>
        <v>002944</v>
      </c>
      <c r="C974" t="s">
        <v>360</v>
      </c>
      <c r="D974">
        <v>999999</v>
      </c>
      <c r="E974" s="2">
        <v>2145.16</v>
      </c>
      <c r="F974" s="1">
        <v>43123</v>
      </c>
      <c r="G974" t="str">
        <f>"689911"</f>
        <v>689911</v>
      </c>
      <c r="H974" t="str">
        <f>"INV 689911/UNIT 0120"</f>
        <v>INV 689911/UNIT 0120</v>
      </c>
      <c r="I974" s="2">
        <v>260.82</v>
      </c>
      <c r="J974" t="str">
        <f>"INV 689911/UNIT 0120"</f>
        <v>INV 689911/UNIT 0120</v>
      </c>
    </row>
    <row r="975" spans="1:10" x14ac:dyDescent="0.3">
      <c r="A975" t="str">
        <f>""</f>
        <v/>
      </c>
      <c r="B975" t="str">
        <f>""</f>
        <v/>
      </c>
      <c r="G975" t="str">
        <f>"689912"</f>
        <v>689912</v>
      </c>
      <c r="H975" t="str">
        <f>"INV 689912/UNIT 6502"</f>
        <v>INV 689912/UNIT 6502</v>
      </c>
      <c r="I975" s="2">
        <v>391.23</v>
      </c>
      <c r="J975" t="str">
        <f>"INV 689912/UNIT 6502"</f>
        <v>INV 689912/UNIT 6502</v>
      </c>
    </row>
    <row r="976" spans="1:10" x14ac:dyDescent="0.3">
      <c r="A976" t="str">
        <f>""</f>
        <v/>
      </c>
      <c r="B976" t="str">
        <f>""</f>
        <v/>
      </c>
      <c r="G976" t="str">
        <f>"690914"</f>
        <v>690914</v>
      </c>
      <c r="H976" t="str">
        <f>"INV 690914/UNIT 0118"</f>
        <v>INV 690914/UNIT 0118</v>
      </c>
      <c r="I976" s="2">
        <v>260.82</v>
      </c>
      <c r="J976" t="str">
        <f>"INV 690914/UNIT 0118"</f>
        <v>INV 690914/UNIT 0118</v>
      </c>
    </row>
    <row r="977" spans="1:10" x14ac:dyDescent="0.3">
      <c r="A977" t="str">
        <f>""</f>
        <v/>
      </c>
      <c r="B977" t="str">
        <f>""</f>
        <v/>
      </c>
      <c r="G977" t="str">
        <f>"691586"</f>
        <v>691586</v>
      </c>
      <c r="H977" t="str">
        <f>"INV 691586/UNIT 6535"</f>
        <v>INV 691586/UNIT 6535</v>
      </c>
      <c r="I977" s="2">
        <v>130.41</v>
      </c>
      <c r="J977" t="str">
        <f>"INV 691586/UNIT 6535"</f>
        <v>INV 691586/UNIT 6535</v>
      </c>
    </row>
    <row r="978" spans="1:10" x14ac:dyDescent="0.3">
      <c r="A978" t="str">
        <f>""</f>
        <v/>
      </c>
      <c r="B978" t="str">
        <f>""</f>
        <v/>
      </c>
      <c r="G978" t="str">
        <f>"691794"</f>
        <v>691794</v>
      </c>
      <c r="H978" t="str">
        <f>"INV 691794/UNIT 0313"</f>
        <v>INV 691794/UNIT 0313</v>
      </c>
      <c r="I978" s="2">
        <v>319.42</v>
      </c>
      <c r="J978" t="str">
        <f>"INV 691794/UNIT 0313"</f>
        <v>INV 691794/UNIT 0313</v>
      </c>
    </row>
    <row r="979" spans="1:10" x14ac:dyDescent="0.3">
      <c r="A979" t="str">
        <f>""</f>
        <v/>
      </c>
      <c r="B979" t="str">
        <f>""</f>
        <v/>
      </c>
      <c r="G979" t="str">
        <f>"691990"</f>
        <v>691990</v>
      </c>
      <c r="H979" t="str">
        <f>"INV 691990/UNIT 1670"</f>
        <v>INV 691990/UNIT 1670</v>
      </c>
      <c r="I979" s="2">
        <v>521.64</v>
      </c>
      <c r="J979" t="str">
        <f>"INV 691990/UNIT 1670"</f>
        <v>INV 691990/UNIT 1670</v>
      </c>
    </row>
    <row r="980" spans="1:10" x14ac:dyDescent="0.3">
      <c r="A980" t="str">
        <f>""</f>
        <v/>
      </c>
      <c r="B980" t="str">
        <f>""</f>
        <v/>
      </c>
      <c r="G980" t="str">
        <f>"692163"</f>
        <v>692163</v>
      </c>
      <c r="H980" t="str">
        <f>"INV 692163/UNIT 6520"</f>
        <v>INV 692163/UNIT 6520</v>
      </c>
      <c r="I980" s="2">
        <v>130.41</v>
      </c>
      <c r="J980" t="str">
        <f>"INV 692163/UNIT 6520"</f>
        <v>INV 692163/UNIT 6520</v>
      </c>
    </row>
    <row r="981" spans="1:10" x14ac:dyDescent="0.3">
      <c r="A981" t="str">
        <f>""</f>
        <v/>
      </c>
      <c r="B981" t="str">
        <f>""</f>
        <v/>
      </c>
      <c r="G981" t="str">
        <f>"692301"</f>
        <v>692301</v>
      </c>
      <c r="H981" t="str">
        <f>"INV 692301/UNIT 6535"</f>
        <v>INV 692301/UNIT 6535</v>
      </c>
      <c r="I981" s="2">
        <v>130.41</v>
      </c>
      <c r="J981" t="str">
        <f>"INV 692301/UNIT 6535"</f>
        <v>INV 692301/UNIT 6535</v>
      </c>
    </row>
    <row r="982" spans="1:10" x14ac:dyDescent="0.3">
      <c r="A982" t="str">
        <f>"01"</f>
        <v>01</v>
      </c>
      <c r="B982" t="str">
        <f>"TRACTO"</f>
        <v>TRACTO</v>
      </c>
      <c r="C982" t="s">
        <v>361</v>
      </c>
      <c r="D982">
        <v>74733</v>
      </c>
      <c r="E982" s="2">
        <v>2531.42</v>
      </c>
      <c r="F982" s="1">
        <v>43108</v>
      </c>
      <c r="G982" t="str">
        <f>"ACCT#6035301200160"</f>
        <v>ACCT#6035301200160</v>
      </c>
      <c r="H982" t="str">
        <f>"Acct# 6035301200160982"</f>
        <v>Acct# 6035301200160982</v>
      </c>
      <c r="I982" s="2">
        <v>2531.42</v>
      </c>
      <c r="J982" t="str">
        <f>"Inv# 100541272"</f>
        <v>Inv# 100541272</v>
      </c>
    </row>
    <row r="983" spans="1:10" x14ac:dyDescent="0.3">
      <c r="A983" t="str">
        <f>""</f>
        <v/>
      </c>
      <c r="B983" t="str">
        <f>""</f>
        <v/>
      </c>
      <c r="G983" t="str">
        <f>""</f>
        <v/>
      </c>
      <c r="H983" t="str">
        <f>""</f>
        <v/>
      </c>
      <c r="J983" t="str">
        <f>"Inv# 100541682"</f>
        <v>Inv# 100541682</v>
      </c>
    </row>
    <row r="984" spans="1:10" x14ac:dyDescent="0.3">
      <c r="A984" t="str">
        <f>""</f>
        <v/>
      </c>
      <c r="B984" t="str">
        <f>""</f>
        <v/>
      </c>
      <c r="G984" t="str">
        <f>""</f>
        <v/>
      </c>
      <c r="H984" t="str">
        <f>""</f>
        <v/>
      </c>
      <c r="J984" t="str">
        <f>"Inv# 300420413"</f>
        <v>Inv# 300420413</v>
      </c>
    </row>
    <row r="985" spans="1:10" x14ac:dyDescent="0.3">
      <c r="A985" t="str">
        <f>""</f>
        <v/>
      </c>
      <c r="B985" t="str">
        <f>""</f>
        <v/>
      </c>
      <c r="G985" t="str">
        <f>""</f>
        <v/>
      </c>
      <c r="H985" t="str">
        <f>""</f>
        <v/>
      </c>
      <c r="J985" t="str">
        <f>"Inv# 300420413"</f>
        <v>Inv# 300420413</v>
      </c>
    </row>
    <row r="986" spans="1:10" x14ac:dyDescent="0.3">
      <c r="A986" t="str">
        <f>""</f>
        <v/>
      </c>
      <c r="B986" t="str">
        <f>""</f>
        <v/>
      </c>
      <c r="G986" t="str">
        <f>""</f>
        <v/>
      </c>
      <c r="H986" t="str">
        <f>""</f>
        <v/>
      </c>
      <c r="J986" t="str">
        <f>"Inv# 300423670"</f>
        <v>Inv# 300423670</v>
      </c>
    </row>
    <row r="987" spans="1:10" x14ac:dyDescent="0.3">
      <c r="A987" t="str">
        <f>""</f>
        <v/>
      </c>
      <c r="B987" t="str">
        <f>""</f>
        <v/>
      </c>
      <c r="G987" t="str">
        <f>""</f>
        <v/>
      </c>
      <c r="H987" t="str">
        <f>""</f>
        <v/>
      </c>
      <c r="J987" t="str">
        <f>"Inv# 300418812"</f>
        <v>Inv# 300418812</v>
      </c>
    </row>
    <row r="988" spans="1:10" x14ac:dyDescent="0.3">
      <c r="A988" t="str">
        <f>""</f>
        <v/>
      </c>
      <c r="B988" t="str">
        <f>""</f>
        <v/>
      </c>
      <c r="G988" t="str">
        <f>""</f>
        <v/>
      </c>
      <c r="H988" t="str">
        <f>""</f>
        <v/>
      </c>
      <c r="J988" t="str">
        <f>"Inv# 300420131"</f>
        <v>Inv# 300420131</v>
      </c>
    </row>
    <row r="989" spans="1:10" x14ac:dyDescent="0.3">
      <c r="A989" t="str">
        <f>""</f>
        <v/>
      </c>
      <c r="B989" t="str">
        <f>""</f>
        <v/>
      </c>
      <c r="G989" t="str">
        <f>""</f>
        <v/>
      </c>
      <c r="H989" t="str">
        <f>""</f>
        <v/>
      </c>
      <c r="J989" t="str">
        <f>"Inv# 300420673"</f>
        <v>Inv# 300420673</v>
      </c>
    </row>
    <row r="990" spans="1:10" x14ac:dyDescent="0.3">
      <c r="A990" t="str">
        <f>""</f>
        <v/>
      </c>
      <c r="B990" t="str">
        <f>""</f>
        <v/>
      </c>
      <c r="G990" t="str">
        <f>""</f>
        <v/>
      </c>
      <c r="H990" t="str">
        <f>""</f>
        <v/>
      </c>
      <c r="J990" t="str">
        <f>"Inv# 300421939"</f>
        <v>Inv# 300421939</v>
      </c>
    </row>
    <row r="991" spans="1:10" x14ac:dyDescent="0.3">
      <c r="A991" t="str">
        <f>""</f>
        <v/>
      </c>
      <c r="B991" t="str">
        <f>""</f>
        <v/>
      </c>
      <c r="G991" t="str">
        <f>""</f>
        <v/>
      </c>
      <c r="H991" t="str">
        <f>""</f>
        <v/>
      </c>
      <c r="J991" t="str">
        <f>"Inv# 300421940"</f>
        <v>Inv# 300421940</v>
      </c>
    </row>
    <row r="992" spans="1:10" x14ac:dyDescent="0.3">
      <c r="A992" t="str">
        <f>""</f>
        <v/>
      </c>
      <c r="B992" t="str">
        <f>""</f>
        <v/>
      </c>
      <c r="G992" t="str">
        <f>""</f>
        <v/>
      </c>
      <c r="H992" t="str">
        <f>""</f>
        <v/>
      </c>
      <c r="J992" t="str">
        <f>"Inv# 300421941"</f>
        <v>Inv# 300421941</v>
      </c>
    </row>
    <row r="993" spans="1:10" x14ac:dyDescent="0.3">
      <c r="A993" t="str">
        <f>""</f>
        <v/>
      </c>
      <c r="B993" t="str">
        <f>""</f>
        <v/>
      </c>
      <c r="G993" t="str">
        <f>""</f>
        <v/>
      </c>
      <c r="H993" t="str">
        <f>""</f>
        <v/>
      </c>
      <c r="J993" t="str">
        <f>"Inv# 300422519"</f>
        <v>Inv# 300422519</v>
      </c>
    </row>
    <row r="994" spans="1:10" x14ac:dyDescent="0.3">
      <c r="A994" t="str">
        <f>""</f>
        <v/>
      </c>
      <c r="B994" t="str">
        <f>""</f>
        <v/>
      </c>
      <c r="G994" t="str">
        <f>""</f>
        <v/>
      </c>
      <c r="H994" t="str">
        <f>""</f>
        <v/>
      </c>
      <c r="J994" t="str">
        <f>"Inv# 100419026"</f>
        <v>Inv# 100419026</v>
      </c>
    </row>
    <row r="995" spans="1:10" x14ac:dyDescent="0.3">
      <c r="A995" t="str">
        <f>""</f>
        <v/>
      </c>
      <c r="B995" t="str">
        <f>""</f>
        <v/>
      </c>
      <c r="G995" t="str">
        <f>""</f>
        <v/>
      </c>
      <c r="H995" t="str">
        <f>""</f>
        <v/>
      </c>
      <c r="J995" t="str">
        <f>"Inv# 200454902"</f>
        <v>Inv# 200454902</v>
      </c>
    </row>
    <row r="996" spans="1:10" x14ac:dyDescent="0.3">
      <c r="A996" t="str">
        <f>""</f>
        <v/>
      </c>
      <c r="B996" t="str">
        <f>""</f>
        <v/>
      </c>
      <c r="G996" t="str">
        <f>""</f>
        <v/>
      </c>
      <c r="H996" t="str">
        <f>""</f>
        <v/>
      </c>
      <c r="J996" t="str">
        <f>"Inv# 200461000"</f>
        <v>Inv# 200461000</v>
      </c>
    </row>
    <row r="997" spans="1:10" x14ac:dyDescent="0.3">
      <c r="A997" t="str">
        <f>""</f>
        <v/>
      </c>
      <c r="B997" t="str">
        <f>""</f>
        <v/>
      </c>
      <c r="G997" t="str">
        <f>""</f>
        <v/>
      </c>
      <c r="H997" t="str">
        <f>""</f>
        <v/>
      </c>
      <c r="J997" t="str">
        <f>"Inv# 100003841"</f>
        <v>Inv# 100003841</v>
      </c>
    </row>
    <row r="998" spans="1:10" x14ac:dyDescent="0.3">
      <c r="A998" t="str">
        <f>""</f>
        <v/>
      </c>
      <c r="B998" t="str">
        <f>""</f>
        <v/>
      </c>
      <c r="G998" t="str">
        <f>""</f>
        <v/>
      </c>
      <c r="H998" t="str">
        <f>""</f>
        <v/>
      </c>
      <c r="J998" t="str">
        <f>"Inv# 200004221"</f>
        <v>Inv# 200004221</v>
      </c>
    </row>
    <row r="999" spans="1:10" x14ac:dyDescent="0.3">
      <c r="A999" t="str">
        <f>"01"</f>
        <v>01</v>
      </c>
      <c r="B999" t="str">
        <f>"TULL"</f>
        <v>TULL</v>
      </c>
      <c r="C999" t="s">
        <v>362</v>
      </c>
      <c r="D999">
        <v>74734</v>
      </c>
      <c r="E999" s="2">
        <v>1600</v>
      </c>
      <c r="F999" s="1">
        <v>43108</v>
      </c>
      <c r="G999" t="str">
        <f>"201801027650"</f>
        <v>201801027650</v>
      </c>
      <c r="H999" t="str">
        <f>"15 323"</f>
        <v>15 323</v>
      </c>
      <c r="I999" s="2">
        <v>400</v>
      </c>
      <c r="J999" t="str">
        <f>"15 323"</f>
        <v>15 323</v>
      </c>
    </row>
    <row r="1000" spans="1:10" x14ac:dyDescent="0.3">
      <c r="A1000" t="str">
        <f>""</f>
        <v/>
      </c>
      <c r="B1000" t="str">
        <f>""</f>
        <v/>
      </c>
      <c r="G1000" t="str">
        <f>"201801027651"</f>
        <v>201801027651</v>
      </c>
      <c r="H1000" t="str">
        <f>"16 204"</f>
        <v>16 204</v>
      </c>
      <c r="I1000" s="2">
        <v>1200</v>
      </c>
      <c r="J1000" t="str">
        <f>"16 204"</f>
        <v>16 204</v>
      </c>
    </row>
    <row r="1001" spans="1:10" x14ac:dyDescent="0.3">
      <c r="A1001" t="str">
        <f>"01"</f>
        <v>01</v>
      </c>
      <c r="B1001" t="str">
        <f>"005340"</f>
        <v>005340</v>
      </c>
      <c r="C1001" t="s">
        <v>363</v>
      </c>
      <c r="D1001">
        <v>999999</v>
      </c>
      <c r="E1001" s="2">
        <v>180</v>
      </c>
      <c r="F1001" s="1">
        <v>43109</v>
      </c>
      <c r="G1001" t="str">
        <f>"1050"</f>
        <v>1050</v>
      </c>
      <c r="H1001" t="str">
        <f>"UNIT 2012/2011 FREIGHT/PCT#2"</f>
        <v>UNIT 2012/2011 FREIGHT/PCT#2</v>
      </c>
      <c r="I1001" s="2">
        <v>180</v>
      </c>
      <c r="J1001" t="str">
        <f>"UNIT 2012/2011 FREIGHT/PCT#2"</f>
        <v>UNIT 2012/2011 FREIGHT/PCT#2</v>
      </c>
    </row>
    <row r="1002" spans="1:10" x14ac:dyDescent="0.3">
      <c r="A1002" t="str">
        <f>"01"</f>
        <v>01</v>
      </c>
      <c r="B1002" t="str">
        <f>"T5493"</f>
        <v>T5493</v>
      </c>
      <c r="C1002" t="s">
        <v>364</v>
      </c>
      <c r="D1002">
        <v>74960</v>
      </c>
      <c r="E1002" s="2">
        <v>3105</v>
      </c>
      <c r="F1002" s="1">
        <v>43122</v>
      </c>
      <c r="G1002" t="str">
        <f>"201801178174"</f>
        <v>201801178174</v>
      </c>
      <c r="H1002" t="str">
        <f>"AXLE &amp; GROSS PERMIT/PCT#2"</f>
        <v>AXLE &amp; GROSS PERMIT/PCT#2</v>
      </c>
      <c r="I1002" s="2">
        <v>3105</v>
      </c>
      <c r="J1002" t="str">
        <f>"AXLE &amp; GROSS PERMIT/PCT#2"</f>
        <v>AXLE &amp; GROSS PERMIT/PCT#2</v>
      </c>
    </row>
    <row r="1003" spans="1:10" x14ac:dyDescent="0.3">
      <c r="A1003" t="str">
        <f>"01"</f>
        <v>01</v>
      </c>
      <c r="B1003" t="str">
        <f>"TXTAG"</f>
        <v>TXTAG</v>
      </c>
      <c r="C1003" t="s">
        <v>365</v>
      </c>
      <c r="D1003">
        <v>74961</v>
      </c>
      <c r="E1003" s="2">
        <v>115.14</v>
      </c>
      <c r="F1003" s="1">
        <v>43122</v>
      </c>
      <c r="G1003" t="str">
        <f>"#349887291"</f>
        <v>#349887291</v>
      </c>
      <c r="H1003" t="str">
        <f>"Acct# 349887291"</f>
        <v>Acct# 349887291</v>
      </c>
      <c r="I1003" s="2">
        <v>115.14</v>
      </c>
      <c r="J1003" t="str">
        <f>"TEX.03737840"</f>
        <v>TEX.03737840</v>
      </c>
    </row>
    <row r="1004" spans="1:10" x14ac:dyDescent="0.3">
      <c r="A1004" t="str">
        <f>""</f>
        <v/>
      </c>
      <c r="B1004" t="str">
        <f>""</f>
        <v/>
      </c>
      <c r="G1004" t="str">
        <f>""</f>
        <v/>
      </c>
      <c r="H1004" t="str">
        <f>""</f>
        <v/>
      </c>
      <c r="J1004" t="str">
        <f>"TEX.03920202"</f>
        <v>TEX.03920202</v>
      </c>
    </row>
    <row r="1005" spans="1:10" x14ac:dyDescent="0.3">
      <c r="A1005" t="str">
        <f>""</f>
        <v/>
      </c>
      <c r="B1005" t="str">
        <f>""</f>
        <v/>
      </c>
      <c r="G1005" t="str">
        <f>""</f>
        <v/>
      </c>
      <c r="H1005" t="str">
        <f>""</f>
        <v/>
      </c>
      <c r="J1005" t="str">
        <f>"TEX.03737832"</f>
        <v>TEX.03737832</v>
      </c>
    </row>
    <row r="1006" spans="1:10" x14ac:dyDescent="0.3">
      <c r="A1006" t="str">
        <f>""</f>
        <v/>
      </c>
      <c r="B1006" t="str">
        <f>""</f>
        <v/>
      </c>
      <c r="G1006" t="str">
        <f>""</f>
        <v/>
      </c>
      <c r="H1006" t="str">
        <f>""</f>
        <v/>
      </c>
      <c r="J1006" t="str">
        <f>"TEX.03737834"</f>
        <v>TEX.03737834</v>
      </c>
    </row>
    <row r="1007" spans="1:10" x14ac:dyDescent="0.3">
      <c r="A1007" t="str">
        <f>""</f>
        <v/>
      </c>
      <c r="B1007" t="str">
        <f>""</f>
        <v/>
      </c>
      <c r="G1007" t="str">
        <f>""</f>
        <v/>
      </c>
      <c r="H1007" t="str">
        <f>""</f>
        <v/>
      </c>
      <c r="J1007" t="str">
        <f>"TEX.03737834"</f>
        <v>TEX.03737834</v>
      </c>
    </row>
    <row r="1008" spans="1:10" x14ac:dyDescent="0.3">
      <c r="A1008" t="str">
        <f>""</f>
        <v/>
      </c>
      <c r="B1008" t="str">
        <f>""</f>
        <v/>
      </c>
      <c r="G1008" t="str">
        <f>""</f>
        <v/>
      </c>
      <c r="H1008" t="str">
        <f>""</f>
        <v/>
      </c>
      <c r="J1008" t="str">
        <f>"TEX.03737836"</f>
        <v>TEX.03737836</v>
      </c>
    </row>
    <row r="1009" spans="1:10" x14ac:dyDescent="0.3">
      <c r="A1009" t="str">
        <f>"01"</f>
        <v>01</v>
      </c>
      <c r="B1009" t="str">
        <f>"004370"</f>
        <v>004370</v>
      </c>
      <c r="C1009" t="s">
        <v>366</v>
      </c>
      <c r="D1009">
        <v>74735</v>
      </c>
      <c r="E1009" s="2">
        <v>400</v>
      </c>
      <c r="F1009" s="1">
        <v>43108</v>
      </c>
      <c r="G1009" t="str">
        <f>"201801027639"</f>
        <v>201801027639</v>
      </c>
      <c r="H1009" t="str">
        <f>"FERAL HOGS"</f>
        <v>FERAL HOGS</v>
      </c>
      <c r="I1009" s="2">
        <v>400</v>
      </c>
      <c r="J1009" t="str">
        <f>"FERAL HOGS"</f>
        <v>FERAL HOGS</v>
      </c>
    </row>
    <row r="1010" spans="1:10" x14ac:dyDescent="0.3">
      <c r="A1010" t="str">
        <f>"01"</f>
        <v>01</v>
      </c>
      <c r="B1010" t="str">
        <f>"TYLER"</f>
        <v>TYLER</v>
      </c>
      <c r="C1010" t="s">
        <v>367</v>
      </c>
      <c r="D1010">
        <v>999999</v>
      </c>
      <c r="E1010" s="2">
        <v>13033</v>
      </c>
      <c r="F1010" s="1">
        <v>43109</v>
      </c>
      <c r="G1010" t="str">
        <f>"025-210840"</f>
        <v>025-210840</v>
      </c>
      <c r="H1010" t="str">
        <f>"CUST#42161/ORD#88658"</f>
        <v>CUST#42161/ORD#88658</v>
      </c>
      <c r="I1010" s="2">
        <v>3000</v>
      </c>
      <c r="J1010" t="str">
        <f>"CUST#42161/ORD#88658"</f>
        <v>CUST#42161/ORD#88658</v>
      </c>
    </row>
    <row r="1011" spans="1:10" x14ac:dyDescent="0.3">
      <c r="A1011" t="str">
        <f>""</f>
        <v/>
      </c>
      <c r="B1011" t="str">
        <f>""</f>
        <v/>
      </c>
      <c r="G1011" t="str">
        <f>"025-210841"</f>
        <v>025-210841</v>
      </c>
      <c r="H1011" t="str">
        <f>"CUST#42161/ORD#88659"</f>
        <v>CUST#42161/ORD#88659</v>
      </c>
      <c r="I1011" s="2">
        <v>5500</v>
      </c>
      <c r="J1011" t="str">
        <f>"CUST#42161/ORD#88659"</f>
        <v>CUST#42161/ORD#88659</v>
      </c>
    </row>
    <row r="1012" spans="1:10" x14ac:dyDescent="0.3">
      <c r="A1012" t="str">
        <f>""</f>
        <v/>
      </c>
      <c r="B1012" t="str">
        <f>""</f>
        <v/>
      </c>
      <c r="G1012" t="str">
        <f>"060-8707"</f>
        <v>060-8707</v>
      </c>
      <c r="H1012" t="str">
        <f>"CUST#46405/CONVERSION/TAX OFF"</f>
        <v>CUST#46405/CONVERSION/TAX OFF</v>
      </c>
      <c r="I1012" s="2">
        <v>4533</v>
      </c>
      <c r="J1012" t="str">
        <f>"CUST#46405/CONVERSION/TAX OFF"</f>
        <v>CUST#46405/CONVERSION/TAX OFF</v>
      </c>
    </row>
    <row r="1013" spans="1:10" x14ac:dyDescent="0.3">
      <c r="A1013" t="str">
        <f>"01"</f>
        <v>01</v>
      </c>
      <c r="B1013" t="str">
        <f>"TYLER"</f>
        <v>TYLER</v>
      </c>
      <c r="C1013" t="s">
        <v>367</v>
      </c>
      <c r="D1013">
        <v>999999</v>
      </c>
      <c r="E1013" s="2">
        <v>25324</v>
      </c>
      <c r="F1013" s="1">
        <v>43123</v>
      </c>
      <c r="G1013" t="str">
        <f>"060-8515"</f>
        <v>060-8515</v>
      </c>
      <c r="H1013" t="str">
        <f>"CUST#46405/TAX OFFICE"</f>
        <v>CUST#46405/TAX OFFICE</v>
      </c>
      <c r="I1013" s="2">
        <v>25324</v>
      </c>
      <c r="J1013" t="str">
        <f>"CUST#46405/TAX OFFICE"</f>
        <v>CUST#46405/TAX OFFICE</v>
      </c>
    </row>
    <row r="1014" spans="1:10" x14ac:dyDescent="0.3">
      <c r="A1014" t="str">
        <f>"01"</f>
        <v>01</v>
      </c>
      <c r="B1014" t="str">
        <f>"000599"</f>
        <v>000599</v>
      </c>
      <c r="C1014" t="s">
        <v>368</v>
      </c>
      <c r="D1014">
        <v>74736</v>
      </c>
      <c r="E1014" s="2">
        <v>273.43</v>
      </c>
      <c r="F1014" s="1">
        <v>43108</v>
      </c>
      <c r="G1014" t="str">
        <f>"93354045"</f>
        <v>93354045</v>
      </c>
      <c r="H1014" t="str">
        <f>"Uline - 55 Gallon Lid"</f>
        <v>Uline - 55 Gallon Lid</v>
      </c>
      <c r="I1014" s="2">
        <v>273.43</v>
      </c>
      <c r="J1014" t="str">
        <f>"H-1593"</f>
        <v>H-1593</v>
      </c>
    </row>
    <row r="1015" spans="1:10" x14ac:dyDescent="0.3">
      <c r="A1015" t="str">
        <f>""</f>
        <v/>
      </c>
      <c r="B1015" t="str">
        <f>""</f>
        <v/>
      </c>
      <c r="G1015" t="str">
        <f>""</f>
        <v/>
      </c>
      <c r="H1015" t="str">
        <f>""</f>
        <v/>
      </c>
      <c r="J1015" t="str">
        <f>"Shipping"</f>
        <v>Shipping</v>
      </c>
    </row>
    <row r="1016" spans="1:10" x14ac:dyDescent="0.3">
      <c r="A1016" t="str">
        <f>"01"</f>
        <v>01</v>
      </c>
      <c r="B1016" t="str">
        <f>"000775"</f>
        <v>000775</v>
      </c>
      <c r="C1016" t="s">
        <v>369</v>
      </c>
      <c r="D1016">
        <v>74737</v>
      </c>
      <c r="E1016" s="2">
        <v>25.59</v>
      </c>
      <c r="F1016" s="1">
        <v>43108</v>
      </c>
      <c r="G1016" t="str">
        <f>"000018VW63507"</f>
        <v>000018VW63507</v>
      </c>
      <c r="H1016" t="str">
        <f>"INTERNET SHIPPING"</f>
        <v>INTERNET SHIPPING</v>
      </c>
      <c r="I1016" s="2">
        <v>25.59</v>
      </c>
      <c r="J1016" t="str">
        <f>"INTERNET SHIPPING"</f>
        <v>INTERNET SHIPPING</v>
      </c>
    </row>
    <row r="1017" spans="1:10" x14ac:dyDescent="0.3">
      <c r="A1017" t="str">
        <f>""</f>
        <v/>
      </c>
      <c r="B1017" t="str">
        <f>""</f>
        <v/>
      </c>
      <c r="G1017" t="str">
        <f>""</f>
        <v/>
      </c>
      <c r="H1017" t="str">
        <f>""</f>
        <v/>
      </c>
      <c r="J1017" t="str">
        <f>"INTERNET SHIPPING"</f>
        <v>INTERNET SHIPPING</v>
      </c>
    </row>
    <row r="1018" spans="1:10" x14ac:dyDescent="0.3">
      <c r="A1018" t="str">
        <f>"01"</f>
        <v>01</v>
      </c>
      <c r="B1018" t="str">
        <f>"001445"</f>
        <v>001445</v>
      </c>
      <c r="C1018" t="s">
        <v>370</v>
      </c>
      <c r="D1018">
        <v>74962</v>
      </c>
      <c r="E1018" s="2">
        <v>53.07</v>
      </c>
      <c r="F1018" s="1">
        <v>43122</v>
      </c>
      <c r="G1018" t="str">
        <f>"2004712"</f>
        <v>2004712</v>
      </c>
      <c r="H1018" t="str">
        <f>"REMOTE BIRTH ACCESS-DEC 1-30"</f>
        <v>REMOTE BIRTH ACCESS-DEC 1-30</v>
      </c>
      <c r="I1018" s="2">
        <v>53.07</v>
      </c>
      <c r="J1018" t="str">
        <f>"REMOTE BIRTH ACCESS-DEC 1-30"</f>
        <v>REMOTE BIRTH ACCESS-DEC 1-30</v>
      </c>
    </row>
    <row r="1019" spans="1:10" x14ac:dyDescent="0.3">
      <c r="A1019" t="str">
        <f>"01"</f>
        <v>01</v>
      </c>
      <c r="B1019" t="str">
        <f>"VI"</f>
        <v>VI</v>
      </c>
      <c r="C1019" t="s">
        <v>371</v>
      </c>
      <c r="D1019">
        <v>74738</v>
      </c>
      <c r="E1019" s="2">
        <v>280</v>
      </c>
      <c r="F1019" s="1">
        <v>43108</v>
      </c>
      <c r="G1019" t="str">
        <f>"317959"</f>
        <v>317959</v>
      </c>
      <c r="H1019" t="str">
        <f>"Reflective Yellow"</f>
        <v>Reflective Yellow</v>
      </c>
      <c r="I1019" s="2">
        <v>280</v>
      </c>
      <c r="J1019" t="str">
        <f>"Reflective Yellow"</f>
        <v>Reflective Yellow</v>
      </c>
    </row>
    <row r="1020" spans="1:10" x14ac:dyDescent="0.3">
      <c r="A1020" t="str">
        <f>"01"</f>
        <v>01</v>
      </c>
      <c r="B1020" t="str">
        <f>"003629"</f>
        <v>003629</v>
      </c>
      <c r="C1020" t="s">
        <v>372</v>
      </c>
      <c r="D1020">
        <v>999999</v>
      </c>
      <c r="E1020" s="2">
        <v>7848.37</v>
      </c>
      <c r="F1020" s="1">
        <v>43123</v>
      </c>
      <c r="G1020" t="str">
        <f>"13180"</f>
        <v>13180</v>
      </c>
      <c r="H1020" t="str">
        <f>"COLD MIX FREIGHT/PCT#4"</f>
        <v>COLD MIX FREIGHT/PCT#4</v>
      </c>
      <c r="I1020" s="2">
        <v>2653.73</v>
      </c>
      <c r="J1020" t="str">
        <f>"COLD MIX FREIGHT/PCT#4"</f>
        <v>COLD MIX FREIGHT/PCT#4</v>
      </c>
    </row>
    <row r="1021" spans="1:10" x14ac:dyDescent="0.3">
      <c r="A1021" t="str">
        <f>""</f>
        <v/>
      </c>
      <c r="B1021" t="str">
        <f>""</f>
        <v/>
      </c>
      <c r="G1021" t="str">
        <f>"13338"</f>
        <v>13338</v>
      </c>
      <c r="H1021" t="str">
        <f>"COLD MIX/FREIGHT/PCT#1"</f>
        <v>COLD MIX/FREIGHT/PCT#1</v>
      </c>
      <c r="I1021" s="2">
        <v>2620.86</v>
      </c>
      <c r="J1021" t="str">
        <f>"COLD MIX/FREIGHT/PCT#1"</f>
        <v>COLD MIX/FREIGHT/PCT#1</v>
      </c>
    </row>
    <row r="1022" spans="1:10" x14ac:dyDescent="0.3">
      <c r="A1022" t="str">
        <f>""</f>
        <v/>
      </c>
      <c r="B1022" t="str">
        <f>""</f>
        <v/>
      </c>
      <c r="G1022" t="str">
        <f>"13347"</f>
        <v>13347</v>
      </c>
      <c r="H1022" t="str">
        <f>"COLD MIX/PCT#4"</f>
        <v>COLD MIX/PCT#4</v>
      </c>
      <c r="I1022" s="2">
        <v>2573.7800000000002</v>
      </c>
      <c r="J1022" t="str">
        <f>"COLD MIX/PCT#4"</f>
        <v>COLD MIX/PCT#4</v>
      </c>
    </row>
    <row r="1023" spans="1:10" x14ac:dyDescent="0.3">
      <c r="A1023" t="str">
        <f>"01"</f>
        <v>01</v>
      </c>
      <c r="B1023" t="str">
        <f>"WALMAR"</f>
        <v>WALMAR</v>
      </c>
      <c r="C1023" t="s">
        <v>373</v>
      </c>
      <c r="D1023">
        <v>74739</v>
      </c>
      <c r="E1023" s="2">
        <v>1059.78</v>
      </c>
      <c r="F1023" s="1">
        <v>43108</v>
      </c>
      <c r="G1023" t="str">
        <f>"ACCT#5312476"</f>
        <v>ACCT#5312476</v>
      </c>
      <c r="H1023" t="str">
        <f>"Acct 6032202005312476"</f>
        <v>Acct 6032202005312476</v>
      </c>
      <c r="I1023" s="2">
        <v>1059.78</v>
      </c>
      <c r="J1023" t="str">
        <f>"Inv# 008456"</f>
        <v>Inv# 008456</v>
      </c>
    </row>
    <row r="1024" spans="1:10" x14ac:dyDescent="0.3">
      <c r="A1024" t="str">
        <f>""</f>
        <v/>
      </c>
      <c r="B1024" t="str">
        <f>""</f>
        <v/>
      </c>
      <c r="G1024" t="str">
        <f>""</f>
        <v/>
      </c>
      <c r="H1024" t="str">
        <f>""</f>
        <v/>
      </c>
      <c r="J1024" t="str">
        <f>"Inv# 003988"</f>
        <v>Inv# 003988</v>
      </c>
    </row>
    <row r="1025" spans="1:10" x14ac:dyDescent="0.3">
      <c r="A1025" t="str">
        <f>""</f>
        <v/>
      </c>
      <c r="B1025" t="str">
        <f>""</f>
        <v/>
      </c>
      <c r="G1025" t="str">
        <f>""</f>
        <v/>
      </c>
      <c r="H1025" t="str">
        <f>""</f>
        <v/>
      </c>
      <c r="J1025" t="str">
        <f>"Inv# 004076"</f>
        <v>Inv# 004076</v>
      </c>
    </row>
    <row r="1026" spans="1:10" x14ac:dyDescent="0.3">
      <c r="A1026" t="str">
        <f>""</f>
        <v/>
      </c>
      <c r="B1026" t="str">
        <f>""</f>
        <v/>
      </c>
      <c r="G1026" t="str">
        <f>""</f>
        <v/>
      </c>
      <c r="H1026" t="str">
        <f>""</f>
        <v/>
      </c>
      <c r="J1026" t="str">
        <f>"Inv# 005422"</f>
        <v>Inv# 005422</v>
      </c>
    </row>
    <row r="1027" spans="1:10" x14ac:dyDescent="0.3">
      <c r="A1027" t="str">
        <f>""</f>
        <v/>
      </c>
      <c r="B1027" t="str">
        <f>""</f>
        <v/>
      </c>
      <c r="G1027" t="str">
        <f>""</f>
        <v/>
      </c>
      <c r="H1027" t="str">
        <f>""</f>
        <v/>
      </c>
      <c r="J1027" t="str">
        <f>"Inv# 001598"</f>
        <v>Inv# 001598</v>
      </c>
    </row>
    <row r="1028" spans="1:10" x14ac:dyDescent="0.3">
      <c r="A1028" t="str">
        <f>""</f>
        <v/>
      </c>
      <c r="B1028" t="str">
        <f>""</f>
        <v/>
      </c>
      <c r="G1028" t="str">
        <f>""</f>
        <v/>
      </c>
      <c r="H1028" t="str">
        <f>""</f>
        <v/>
      </c>
      <c r="J1028" t="str">
        <f>"Inv# 008196"</f>
        <v>Inv# 008196</v>
      </c>
    </row>
    <row r="1029" spans="1:10" x14ac:dyDescent="0.3">
      <c r="A1029" t="str">
        <f>""</f>
        <v/>
      </c>
      <c r="B1029" t="str">
        <f>""</f>
        <v/>
      </c>
      <c r="G1029" t="str">
        <f>""</f>
        <v/>
      </c>
      <c r="H1029" t="str">
        <f>""</f>
        <v/>
      </c>
      <c r="J1029" t="str">
        <f>"Inv# 008196"</f>
        <v>Inv# 008196</v>
      </c>
    </row>
    <row r="1030" spans="1:10" x14ac:dyDescent="0.3">
      <c r="A1030" t="str">
        <f>""</f>
        <v/>
      </c>
      <c r="B1030" t="str">
        <f>""</f>
        <v/>
      </c>
      <c r="G1030" t="str">
        <f>""</f>
        <v/>
      </c>
      <c r="H1030" t="str">
        <f>""</f>
        <v/>
      </c>
      <c r="J1030" t="str">
        <f>"Inv# 000373"</f>
        <v>Inv# 000373</v>
      </c>
    </row>
    <row r="1031" spans="1:10" x14ac:dyDescent="0.3">
      <c r="A1031" t="str">
        <f>""</f>
        <v/>
      </c>
      <c r="B1031" t="str">
        <f>""</f>
        <v/>
      </c>
      <c r="G1031" t="str">
        <f>""</f>
        <v/>
      </c>
      <c r="H1031" t="str">
        <f>""</f>
        <v/>
      </c>
      <c r="J1031" t="str">
        <f>"Inv# 000145"</f>
        <v>Inv# 000145</v>
      </c>
    </row>
    <row r="1032" spans="1:10" x14ac:dyDescent="0.3">
      <c r="A1032" t="str">
        <f>""</f>
        <v/>
      </c>
      <c r="B1032" t="str">
        <f>""</f>
        <v/>
      </c>
      <c r="G1032" t="str">
        <f>""</f>
        <v/>
      </c>
      <c r="H1032" t="str">
        <f>""</f>
        <v/>
      </c>
      <c r="J1032" t="str">
        <f>"Inv# 008268"</f>
        <v>Inv# 008268</v>
      </c>
    </row>
    <row r="1033" spans="1:10" x14ac:dyDescent="0.3">
      <c r="A1033" t="str">
        <f>""</f>
        <v/>
      </c>
      <c r="B1033" t="str">
        <f>""</f>
        <v/>
      </c>
      <c r="G1033" t="str">
        <f>""</f>
        <v/>
      </c>
      <c r="H1033" t="str">
        <f>""</f>
        <v/>
      </c>
      <c r="J1033" t="str">
        <f>"Inv# 000435"</f>
        <v>Inv# 000435</v>
      </c>
    </row>
    <row r="1034" spans="1:10" x14ac:dyDescent="0.3">
      <c r="A1034" t="str">
        <f>""</f>
        <v/>
      </c>
      <c r="B1034" t="str">
        <f>""</f>
        <v/>
      </c>
      <c r="G1034" t="str">
        <f>""</f>
        <v/>
      </c>
      <c r="H1034" t="str">
        <f>""</f>
        <v/>
      </c>
      <c r="J1034" t="str">
        <f>"Inv# 009430"</f>
        <v>Inv# 009430</v>
      </c>
    </row>
    <row r="1035" spans="1:10" x14ac:dyDescent="0.3">
      <c r="A1035" t="str">
        <f>""</f>
        <v/>
      </c>
      <c r="B1035" t="str">
        <f>""</f>
        <v/>
      </c>
      <c r="G1035" t="str">
        <f>""</f>
        <v/>
      </c>
      <c r="H1035" t="str">
        <f>""</f>
        <v/>
      </c>
      <c r="J1035" t="str">
        <f>"Inv# 001854"</f>
        <v>Inv# 001854</v>
      </c>
    </row>
    <row r="1036" spans="1:10" x14ac:dyDescent="0.3">
      <c r="A1036" t="str">
        <f>""</f>
        <v/>
      </c>
      <c r="B1036" t="str">
        <f>""</f>
        <v/>
      </c>
      <c r="G1036" t="str">
        <f>""</f>
        <v/>
      </c>
      <c r="H1036" t="str">
        <f>""</f>
        <v/>
      </c>
      <c r="J1036" t="str">
        <f>"Inv# 008088"</f>
        <v>Inv# 008088</v>
      </c>
    </row>
    <row r="1037" spans="1:10" x14ac:dyDescent="0.3">
      <c r="A1037" t="str">
        <f>""</f>
        <v/>
      </c>
      <c r="B1037" t="str">
        <f>""</f>
        <v/>
      </c>
      <c r="G1037" t="str">
        <f>""</f>
        <v/>
      </c>
      <c r="H1037" t="str">
        <f>""</f>
        <v/>
      </c>
      <c r="J1037" t="str">
        <f>"Inv# 004498"</f>
        <v>Inv# 004498</v>
      </c>
    </row>
    <row r="1038" spans="1:10" x14ac:dyDescent="0.3">
      <c r="A1038" t="str">
        <f>"01"</f>
        <v>01</v>
      </c>
      <c r="B1038" t="str">
        <f>"003331"</f>
        <v>003331</v>
      </c>
      <c r="C1038" t="s">
        <v>374</v>
      </c>
      <c r="D1038">
        <v>74963</v>
      </c>
      <c r="E1038" s="2">
        <v>70</v>
      </c>
      <c r="F1038" s="1">
        <v>43122</v>
      </c>
      <c r="G1038" t="str">
        <f>"201801108088"</f>
        <v>201801108088</v>
      </c>
      <c r="H1038" t="str">
        <f>"FERAL HOGS"</f>
        <v>FERAL HOGS</v>
      </c>
      <c r="I1038" s="2">
        <v>70</v>
      </c>
      <c r="J1038" t="str">
        <f>"FERAL HOGS"</f>
        <v>FERAL HOGS</v>
      </c>
    </row>
    <row r="1039" spans="1:10" x14ac:dyDescent="0.3">
      <c r="A1039" t="str">
        <f>"01"</f>
        <v>01</v>
      </c>
      <c r="B1039" t="str">
        <f>"004877"</f>
        <v>004877</v>
      </c>
      <c r="C1039" t="s">
        <v>375</v>
      </c>
      <c r="D1039">
        <v>74594</v>
      </c>
      <c r="E1039" s="2">
        <v>1039.5</v>
      </c>
      <c r="F1039" s="1">
        <v>43105</v>
      </c>
      <c r="G1039" t="str">
        <f>"1701806412"</f>
        <v>1701806412</v>
      </c>
      <c r="H1039" t="str">
        <f>"ACCT#5150-005150524 / P1"</f>
        <v>ACCT#5150-005150524 / P1</v>
      </c>
      <c r="I1039" s="2">
        <v>1039.5</v>
      </c>
      <c r="J1039" t="str">
        <f>"ACCT#5150-005150524 / P1"</f>
        <v>ACCT#5150-005150524 / P1</v>
      </c>
    </row>
    <row r="1040" spans="1:10" x14ac:dyDescent="0.3">
      <c r="A1040" t="str">
        <f>"01"</f>
        <v>01</v>
      </c>
      <c r="B1040" t="str">
        <f>"004877"</f>
        <v>004877</v>
      </c>
      <c r="C1040" t="s">
        <v>375</v>
      </c>
      <c r="D1040">
        <v>74980</v>
      </c>
      <c r="E1040" s="2">
        <v>7155.51</v>
      </c>
      <c r="F1040" s="1">
        <v>43123</v>
      </c>
      <c r="G1040" t="str">
        <f>"1701865676"</f>
        <v>1701865676</v>
      </c>
      <c r="H1040" t="str">
        <f>"ACCT#5151-005117630 / 123117"</f>
        <v>ACCT#5151-005117630 / 123117</v>
      </c>
      <c r="I1040" s="2">
        <v>226.82</v>
      </c>
      <c r="J1040" t="str">
        <f>"ACCT#5151-005117630 / 123117"</f>
        <v>ACCT#5151-005117630 / 123117</v>
      </c>
    </row>
    <row r="1041" spans="1:10" x14ac:dyDescent="0.3">
      <c r="A1041" t="str">
        <f>""</f>
        <v/>
      </c>
      <c r="B1041" t="str">
        <f>""</f>
        <v/>
      </c>
      <c r="G1041" t="str">
        <f>"1701865677"</f>
        <v>1701865677</v>
      </c>
      <c r="H1041" t="str">
        <f>"ACCT#5151-005117766 / 123117"</f>
        <v>ACCT#5151-005117766 / 123117</v>
      </c>
      <c r="I1041" s="2">
        <v>104.64</v>
      </c>
      <c r="J1041" t="str">
        <f>"ACCT#5151-005117766 / 123117"</f>
        <v>ACCT#5151-005117766 / 123117</v>
      </c>
    </row>
    <row r="1042" spans="1:10" x14ac:dyDescent="0.3">
      <c r="A1042" t="str">
        <f>""</f>
        <v/>
      </c>
      <c r="B1042" t="str">
        <f>""</f>
        <v/>
      </c>
      <c r="G1042" t="str">
        <f>"1701865678"</f>
        <v>1701865678</v>
      </c>
      <c r="H1042" t="str">
        <f>"ACCT#5151-005117838 / 123117"</f>
        <v>ACCT#5151-005117838 / 123117</v>
      </c>
      <c r="I1042" s="2">
        <v>96.85</v>
      </c>
      <c r="J1042" t="str">
        <f>"ACCT#5151-005117838 / 123117"</f>
        <v>ACCT#5151-005117838 / 123117</v>
      </c>
    </row>
    <row r="1043" spans="1:10" x14ac:dyDescent="0.3">
      <c r="A1043" t="str">
        <f>""</f>
        <v/>
      </c>
      <c r="B1043" t="str">
        <f>""</f>
        <v/>
      </c>
      <c r="G1043" t="str">
        <f>"1701865680"</f>
        <v>1701865680</v>
      </c>
      <c r="H1043" t="str">
        <f>"ACCT#5151-005117882"</f>
        <v>ACCT#5151-005117882</v>
      </c>
      <c r="I1043" s="2">
        <v>130.78</v>
      </c>
      <c r="J1043" t="str">
        <f>"ACCT#5151-005117882"</f>
        <v>ACCT#5151-005117882</v>
      </c>
    </row>
    <row r="1044" spans="1:10" x14ac:dyDescent="0.3">
      <c r="A1044" t="str">
        <f>""</f>
        <v/>
      </c>
      <c r="B1044" t="str">
        <f>""</f>
        <v/>
      </c>
      <c r="G1044" t="str">
        <f>"1701865682"</f>
        <v>1701865682</v>
      </c>
      <c r="H1044" t="str">
        <f>"ACCT#5151-005118183 / 123117"</f>
        <v>ACCT#5151-005118183 / 123117</v>
      </c>
      <c r="I1044" s="2">
        <v>561.41999999999996</v>
      </c>
      <c r="J1044" t="str">
        <f>"ACCT#5151-005118183 / 123117"</f>
        <v>ACCT#5151-005118183 / 123117</v>
      </c>
    </row>
    <row r="1045" spans="1:10" x14ac:dyDescent="0.3">
      <c r="A1045" t="str">
        <f>""</f>
        <v/>
      </c>
      <c r="B1045" t="str">
        <f>""</f>
        <v/>
      </c>
      <c r="G1045" t="str">
        <f>"1701865695"</f>
        <v>1701865695</v>
      </c>
      <c r="H1045" t="str">
        <f>"ACCT#5150-005129483 / 123117"</f>
        <v>ACCT#5150-005129483 / 123117</v>
      </c>
      <c r="I1045" s="2">
        <v>6035</v>
      </c>
      <c r="J1045" t="str">
        <f>"ACCT#5150-005129483 / 123117"</f>
        <v>ACCT#5150-005129483 / 123117</v>
      </c>
    </row>
    <row r="1046" spans="1:10" x14ac:dyDescent="0.3">
      <c r="A1046" t="str">
        <f>"01"</f>
        <v>01</v>
      </c>
      <c r="B1046" t="str">
        <f>"004874"</f>
        <v>004874</v>
      </c>
      <c r="C1046" t="s">
        <v>376</v>
      </c>
      <c r="D1046">
        <v>74740</v>
      </c>
      <c r="E1046" s="2">
        <v>216</v>
      </c>
      <c r="F1046" s="1">
        <v>43108</v>
      </c>
      <c r="G1046" t="str">
        <f>"2278"</f>
        <v>2278</v>
      </c>
      <c r="H1046" t="str">
        <f>"SHIRTS/JP2"</f>
        <v>SHIRTS/JP2</v>
      </c>
      <c r="I1046" s="2">
        <v>216</v>
      </c>
      <c r="J1046" t="str">
        <f>"SHIRTS/JP2"</f>
        <v>SHIRTS/JP2</v>
      </c>
    </row>
    <row r="1047" spans="1:10" x14ac:dyDescent="0.3">
      <c r="A1047" t="str">
        <f>"01"</f>
        <v>01</v>
      </c>
      <c r="B1047" t="str">
        <f>"004874"</f>
        <v>004874</v>
      </c>
      <c r="C1047" t="s">
        <v>376</v>
      </c>
      <c r="D1047">
        <v>74964</v>
      </c>
      <c r="E1047" s="2">
        <v>300</v>
      </c>
      <c r="F1047" s="1">
        <v>43122</v>
      </c>
      <c r="G1047" t="str">
        <f>"2302"</f>
        <v>2302</v>
      </c>
      <c r="H1047" t="str">
        <f>"CAPS / P3"</f>
        <v>CAPS / P3</v>
      </c>
      <c r="I1047" s="2">
        <v>300</v>
      </c>
      <c r="J1047" t="str">
        <f>"CAPS / P3"</f>
        <v>CAPS / P3</v>
      </c>
    </row>
    <row r="1048" spans="1:10" x14ac:dyDescent="0.3">
      <c r="A1048" t="str">
        <f>"01"</f>
        <v>01</v>
      </c>
      <c r="B1048" t="str">
        <f>"003479"</f>
        <v>003479</v>
      </c>
      <c r="C1048" t="s">
        <v>377</v>
      </c>
      <c r="D1048">
        <v>74741</v>
      </c>
      <c r="E1048" s="2">
        <v>666.05</v>
      </c>
      <c r="F1048" s="1">
        <v>43108</v>
      </c>
      <c r="G1048" t="str">
        <f>"247982"</f>
        <v>247982</v>
      </c>
      <c r="H1048" t="str">
        <f>"SKID STEER/ANIMAL SVCS"</f>
        <v>SKID STEER/ANIMAL SVCS</v>
      </c>
      <c r="I1048" s="2">
        <v>666.05</v>
      </c>
      <c r="J1048" t="str">
        <f>"SKID STEER/ANIMAL SVCS"</f>
        <v>SKID STEER/ANIMAL SVCS</v>
      </c>
    </row>
    <row r="1049" spans="1:10" x14ac:dyDescent="0.3">
      <c r="A1049" t="str">
        <f>"01"</f>
        <v>01</v>
      </c>
      <c r="B1049" t="str">
        <f>"LIN"</f>
        <v>LIN</v>
      </c>
      <c r="C1049" t="s">
        <v>378</v>
      </c>
      <c r="D1049">
        <v>999999</v>
      </c>
      <c r="E1049" s="2">
        <v>12500</v>
      </c>
      <c r="F1049" s="1">
        <v>43123</v>
      </c>
      <c r="G1049" t="str">
        <f>"201801108109"</f>
        <v>201801108109</v>
      </c>
      <c r="H1049" t="str">
        <f>"MEDICAL CONTRACT"</f>
        <v>MEDICAL CONTRACT</v>
      </c>
      <c r="I1049" s="2">
        <v>12500</v>
      </c>
      <c r="J1049" t="str">
        <f>"MEDICAL CONTRACT"</f>
        <v>MEDICAL CONTRACT</v>
      </c>
    </row>
    <row r="1050" spans="1:10" x14ac:dyDescent="0.3">
      <c r="A1050" t="str">
        <f>"01"</f>
        <v>01</v>
      </c>
      <c r="B1050" t="str">
        <f>"WPC"</f>
        <v>WPC</v>
      </c>
      <c r="C1050" t="s">
        <v>379</v>
      </c>
      <c r="D1050">
        <v>74965</v>
      </c>
      <c r="E1050" s="2">
        <v>781</v>
      </c>
      <c r="F1050" s="1">
        <v>43122</v>
      </c>
      <c r="G1050" t="str">
        <f>"6118918537/9025838"</f>
        <v>6118918537/9025838</v>
      </c>
      <c r="H1050" t="str">
        <f>"INV 6118918537/6119025838"</f>
        <v>INV 6118918537/6119025838</v>
      </c>
      <c r="I1050" s="2">
        <v>261</v>
      </c>
      <c r="J1050" t="str">
        <f>"INV 6118918537"</f>
        <v>INV 6118918537</v>
      </c>
    </row>
    <row r="1051" spans="1:10" x14ac:dyDescent="0.3">
      <c r="A1051" t="str">
        <f>""</f>
        <v/>
      </c>
      <c r="B1051" t="str">
        <f>""</f>
        <v/>
      </c>
      <c r="G1051" t="str">
        <f>""</f>
        <v/>
      </c>
      <c r="H1051" t="str">
        <f>""</f>
        <v/>
      </c>
      <c r="J1051" t="str">
        <f>"INV 6119025838"</f>
        <v>INV 6119025838</v>
      </c>
    </row>
    <row r="1052" spans="1:10" x14ac:dyDescent="0.3">
      <c r="A1052" t="str">
        <f>""</f>
        <v/>
      </c>
      <c r="B1052" t="str">
        <f>""</f>
        <v/>
      </c>
      <c r="G1052" t="str">
        <f>"837440599"</f>
        <v>837440599</v>
      </c>
      <c r="H1052" t="str">
        <f>"ACCT#1000648597/INFO CHRGS/DEC"</f>
        <v>ACCT#1000648597/INFO CHRGS/DEC</v>
      </c>
      <c r="I1052" s="2">
        <v>520</v>
      </c>
      <c r="J1052" t="str">
        <f>"ACCT#1000648597/INFO CHRGS/DEC"</f>
        <v>ACCT#1000648597/INFO CHRGS/DEC</v>
      </c>
    </row>
    <row r="1053" spans="1:10" x14ac:dyDescent="0.3">
      <c r="A1053" t="str">
        <f>"01"</f>
        <v>01</v>
      </c>
      <c r="B1053" t="str">
        <f>"XEROXC"</f>
        <v>XEROXC</v>
      </c>
      <c r="C1053" t="s">
        <v>380</v>
      </c>
      <c r="D1053">
        <v>74966</v>
      </c>
      <c r="E1053" s="2">
        <v>177.35</v>
      </c>
      <c r="F1053" s="1">
        <v>43122</v>
      </c>
      <c r="G1053" t="str">
        <f>"091779647"</f>
        <v>091779647</v>
      </c>
      <c r="H1053" t="str">
        <f>"REF#VTX00000X-000/CU#662445931"</f>
        <v>REF#VTX00000X-000/CU#662445931</v>
      </c>
      <c r="I1053" s="2">
        <v>106.45</v>
      </c>
      <c r="J1053" t="str">
        <f>"REF#VTX00000X-000/CU#662445931"</f>
        <v>REF#VTX00000X-000/CU#662445931</v>
      </c>
    </row>
    <row r="1054" spans="1:10" x14ac:dyDescent="0.3">
      <c r="A1054" t="str">
        <f>""</f>
        <v/>
      </c>
      <c r="B1054" t="str">
        <f>""</f>
        <v/>
      </c>
      <c r="G1054" t="str">
        <f>"091779648"</f>
        <v>091779648</v>
      </c>
      <c r="H1054" t="str">
        <f>"REF#VTX00000X-000/CUS#66245931"</f>
        <v>REF#VTX00000X-000/CUS#66245931</v>
      </c>
      <c r="I1054" s="2">
        <v>35.450000000000003</v>
      </c>
      <c r="J1054" t="str">
        <f>"REF#VTX00000X-000/CUS#66245931"</f>
        <v>REF#VTX00000X-000/CUS#66245931</v>
      </c>
    </row>
    <row r="1055" spans="1:10" x14ac:dyDescent="0.3">
      <c r="A1055" t="str">
        <f>""</f>
        <v/>
      </c>
      <c r="B1055" t="str">
        <f>""</f>
        <v/>
      </c>
      <c r="G1055" t="str">
        <f>"091779661"</f>
        <v>091779661</v>
      </c>
      <c r="H1055" t="str">
        <f>"REF#VTX00000X-000/CU#723230843"</f>
        <v>REF#VTX00000X-000/CU#723230843</v>
      </c>
      <c r="I1055" s="2">
        <v>35.450000000000003</v>
      </c>
      <c r="J1055" t="str">
        <f>"REF#VTX00000X-000/CU#723230843"</f>
        <v>REF#VTX00000X-000/CU#723230843</v>
      </c>
    </row>
    <row r="1056" spans="1:10" x14ac:dyDescent="0.3">
      <c r="A1056" t="str">
        <f>"01"</f>
        <v>01</v>
      </c>
      <c r="B1056" t="str">
        <f>"005225"</f>
        <v>005225</v>
      </c>
      <c r="C1056" t="s">
        <v>381</v>
      </c>
      <c r="D1056">
        <v>74967</v>
      </c>
      <c r="E1056" s="2">
        <v>1040</v>
      </c>
      <c r="F1056" s="1">
        <v>43122</v>
      </c>
      <c r="G1056" t="str">
        <f>"29527"</f>
        <v>29527</v>
      </c>
      <c r="H1056" t="str">
        <f>"INV 29527"</f>
        <v>INV 29527</v>
      </c>
      <c r="I1056" s="2">
        <v>385</v>
      </c>
      <c r="J1056" t="str">
        <f>"INV 29527"</f>
        <v>INV 29527</v>
      </c>
    </row>
    <row r="1057" spans="1:10" x14ac:dyDescent="0.3">
      <c r="A1057" t="str">
        <f>""</f>
        <v/>
      </c>
      <c r="B1057" t="str">
        <f>""</f>
        <v/>
      </c>
      <c r="G1057" t="str">
        <f>"29593"</f>
        <v>29593</v>
      </c>
      <c r="H1057" t="str">
        <f>"INV 29593"</f>
        <v>INV 29593</v>
      </c>
      <c r="I1057" s="2">
        <v>655</v>
      </c>
      <c r="J1057" t="str">
        <f>"INV 29593"</f>
        <v>INV 29593</v>
      </c>
    </row>
    <row r="1058" spans="1:10" x14ac:dyDescent="0.3">
      <c r="A1058" t="str">
        <f t="shared" ref="A1058:A1070" si="30">"01"</f>
        <v>01</v>
      </c>
      <c r="B1058" t="str">
        <f>"T4634"</f>
        <v>T4634</v>
      </c>
      <c r="C1058" t="s">
        <v>382</v>
      </c>
      <c r="D1058">
        <v>74742</v>
      </c>
      <c r="E1058" s="2">
        <v>133.16</v>
      </c>
      <c r="F1058" s="1">
        <v>43108</v>
      </c>
      <c r="G1058" t="str">
        <f>"9003176816"</f>
        <v>9003176816</v>
      </c>
      <c r="H1058" t="str">
        <f>"CUST#31041143/PCT#2"</f>
        <v>CUST#31041143/PCT#2</v>
      </c>
      <c r="I1058" s="2">
        <v>133.16</v>
      </c>
      <c r="J1058" t="str">
        <f>"CUST#31041143/PCT#2"</f>
        <v>CUST#31041143/PCT#2</v>
      </c>
    </row>
    <row r="1059" spans="1:10" x14ac:dyDescent="0.3">
      <c r="A1059" t="str">
        <f t="shared" si="30"/>
        <v>01</v>
      </c>
      <c r="B1059" t="str">
        <f>"AQUAB"</f>
        <v>AQUAB</v>
      </c>
      <c r="C1059" t="s">
        <v>34</v>
      </c>
      <c r="D1059">
        <v>74968</v>
      </c>
      <c r="E1059" s="2">
        <v>188.68</v>
      </c>
      <c r="F1059" s="1">
        <v>43122</v>
      </c>
      <c r="G1059" t="str">
        <f>"201801108108"</f>
        <v>201801108108</v>
      </c>
      <c r="H1059" t="str">
        <f>"ACCT#015397/JUVENILE BOOT CAMP"</f>
        <v>ACCT#015397/JUVENILE BOOT CAMP</v>
      </c>
      <c r="I1059" s="2">
        <v>188.68</v>
      </c>
      <c r="J1059" t="str">
        <f>"ACCT#015397/JUVENILE BOOT CAMP"</f>
        <v>ACCT#015397/JUVENILE BOOT CAMP</v>
      </c>
    </row>
    <row r="1060" spans="1:10" x14ac:dyDescent="0.3">
      <c r="A1060" t="str">
        <f t="shared" si="30"/>
        <v>01</v>
      </c>
      <c r="B1060" t="str">
        <f>"B&amp;B"</f>
        <v>B&amp;B</v>
      </c>
      <c r="C1060" t="s">
        <v>46</v>
      </c>
      <c r="D1060">
        <v>74743</v>
      </c>
      <c r="E1060" s="2">
        <v>944.76</v>
      </c>
      <c r="F1060" s="1">
        <v>43108</v>
      </c>
      <c r="G1060" t="str">
        <f>"201801027667"</f>
        <v>201801027667</v>
      </c>
      <c r="H1060" t="str">
        <f>"CUST#1645/OEM"</f>
        <v>CUST#1645/OEM</v>
      </c>
      <c r="I1060" s="2">
        <v>944.76</v>
      </c>
      <c r="J1060" t="str">
        <f>"CUST#1645/OEM"</f>
        <v>CUST#1645/OEM</v>
      </c>
    </row>
    <row r="1061" spans="1:10" x14ac:dyDescent="0.3">
      <c r="A1061" t="str">
        <f t="shared" si="30"/>
        <v>01</v>
      </c>
      <c r="B1061" t="str">
        <f>"003696"</f>
        <v>003696</v>
      </c>
      <c r="C1061" t="s">
        <v>383</v>
      </c>
      <c r="D1061">
        <v>74744</v>
      </c>
      <c r="E1061" s="2">
        <v>347.91</v>
      </c>
      <c r="F1061" s="1">
        <v>43108</v>
      </c>
      <c r="G1061" t="str">
        <f>"1039 12/29/17"</f>
        <v>1039 12/29/17</v>
      </c>
      <c r="H1061" t="str">
        <f>"UNIFORMS"</f>
        <v>UNIFORMS</v>
      </c>
      <c r="I1061" s="2">
        <v>347.91</v>
      </c>
      <c r="J1061" t="str">
        <f>"UNIFORMS"</f>
        <v>UNIFORMS</v>
      </c>
    </row>
    <row r="1062" spans="1:10" x14ac:dyDescent="0.3">
      <c r="A1062" t="str">
        <f t="shared" si="30"/>
        <v>01</v>
      </c>
      <c r="B1062" t="str">
        <f>"BTW"</f>
        <v>BTW</v>
      </c>
      <c r="C1062" t="s">
        <v>49</v>
      </c>
      <c r="D1062">
        <v>74745</v>
      </c>
      <c r="E1062" s="2">
        <v>36</v>
      </c>
      <c r="F1062" s="1">
        <v>43108</v>
      </c>
      <c r="G1062" t="str">
        <f>"201801027668"</f>
        <v>201801027668</v>
      </c>
      <c r="H1062" t="str">
        <f>"CUST#7788/OEM"</f>
        <v>CUST#7788/OEM</v>
      </c>
      <c r="I1062" s="2">
        <v>36</v>
      </c>
      <c r="J1062" t="str">
        <f>"CUST#7788/OEM"</f>
        <v>CUST#7788/OEM</v>
      </c>
    </row>
    <row r="1063" spans="1:10" x14ac:dyDescent="0.3">
      <c r="A1063" t="str">
        <f t="shared" si="30"/>
        <v>01</v>
      </c>
      <c r="B1063" t="str">
        <f>"000864"</f>
        <v>000864</v>
      </c>
      <c r="C1063" t="s">
        <v>384</v>
      </c>
      <c r="D1063">
        <v>74969</v>
      </c>
      <c r="E1063" s="2">
        <v>420</v>
      </c>
      <c r="F1063" s="1">
        <v>43122</v>
      </c>
      <c r="G1063" t="str">
        <f>"16-6717.3"</f>
        <v>16-6717.3</v>
      </c>
      <c r="H1063" t="str">
        <f>"PROFESSIONAL SVCS"</f>
        <v>PROFESSIONAL SVCS</v>
      </c>
      <c r="I1063" s="2">
        <v>420</v>
      </c>
      <c r="J1063" t="str">
        <f>"PROFESSIONAL SVCS"</f>
        <v>PROFESSIONAL SVCS</v>
      </c>
    </row>
    <row r="1064" spans="1:10" x14ac:dyDescent="0.3">
      <c r="A1064" t="str">
        <f t="shared" si="30"/>
        <v>01</v>
      </c>
      <c r="B1064" t="str">
        <f>"BEC"</f>
        <v>BEC</v>
      </c>
      <c r="C1064" t="s">
        <v>67</v>
      </c>
      <c r="D1064">
        <v>74981</v>
      </c>
      <c r="E1064" s="2">
        <v>265.52</v>
      </c>
      <c r="F1064" s="1">
        <v>43123</v>
      </c>
      <c r="G1064" t="str">
        <f>"201801238206"</f>
        <v>201801238206</v>
      </c>
      <c r="H1064" t="str">
        <f>"ACCT#5000057374 / 01/03/2018"</f>
        <v>ACCT#5000057374 / 01/03/2018</v>
      </c>
      <c r="I1064" s="2">
        <v>265.52</v>
      </c>
      <c r="J1064" t="str">
        <f>"ACCT#5000057374 / 01/03/2018"</f>
        <v>ACCT#5000057374 / 01/03/2018</v>
      </c>
    </row>
    <row r="1065" spans="1:10" x14ac:dyDescent="0.3">
      <c r="A1065" t="str">
        <f t="shared" si="30"/>
        <v>01</v>
      </c>
      <c r="B1065" t="str">
        <f>"002469"</f>
        <v>002469</v>
      </c>
      <c r="C1065" t="s">
        <v>385</v>
      </c>
      <c r="D1065">
        <v>74970</v>
      </c>
      <c r="E1065" s="2">
        <v>1555.37</v>
      </c>
      <c r="F1065" s="1">
        <v>43122</v>
      </c>
      <c r="G1065" t="str">
        <f>"15901-26"</f>
        <v>15901-26</v>
      </c>
      <c r="H1065" t="str">
        <f>"PROJECT:B15159.01/ER SVCS DIS2"</f>
        <v>PROJECT:B15159.01/ER SVCS DIS2</v>
      </c>
      <c r="I1065" s="2">
        <v>1555.37</v>
      </c>
      <c r="J1065" t="str">
        <f>"PROJECT:B15159.01/ER SVCS DIS2"</f>
        <v>PROJECT:B15159.01/ER SVCS DIS2</v>
      </c>
    </row>
    <row r="1066" spans="1:10" x14ac:dyDescent="0.3">
      <c r="A1066" t="str">
        <f t="shared" si="30"/>
        <v>01</v>
      </c>
      <c r="B1066" t="str">
        <f>"COB"</f>
        <v>COB</v>
      </c>
      <c r="C1066" t="s">
        <v>93</v>
      </c>
      <c r="D1066">
        <v>74971</v>
      </c>
      <c r="E1066" s="2">
        <v>396432.46</v>
      </c>
      <c r="F1066" s="1">
        <v>43122</v>
      </c>
      <c r="G1066" t="str">
        <f>"201801118139"</f>
        <v>201801118139</v>
      </c>
      <c r="H1066" t="str">
        <f>"SHELTER GRANT REIMBURSEMENT#6"</f>
        <v>SHELTER GRANT REIMBURSEMENT#6</v>
      </c>
      <c r="I1066" s="2">
        <v>396432.46</v>
      </c>
      <c r="J1066" t="str">
        <f>"SHELTER GRANT REIMBURSEMENT#6"</f>
        <v>SHELTER GRANT REIMBURSEMENT#6</v>
      </c>
    </row>
    <row r="1067" spans="1:10" x14ac:dyDescent="0.3">
      <c r="A1067" t="str">
        <f t="shared" si="30"/>
        <v>01</v>
      </c>
      <c r="B1067" t="str">
        <f>"ECO"</f>
        <v>ECO</v>
      </c>
      <c r="C1067" t="s">
        <v>386</v>
      </c>
      <c r="D1067">
        <v>74972</v>
      </c>
      <c r="E1067" s="2">
        <v>425211.45</v>
      </c>
      <c r="F1067" s="1">
        <v>43122</v>
      </c>
      <c r="G1067" t="str">
        <f>"201801178164"</f>
        <v>201801178164</v>
      </c>
      <c r="H1067" t="str">
        <f>"REIMBURSE-ELGIN COMM CTR"</f>
        <v>REIMBURSE-ELGIN COMM CTR</v>
      </c>
      <c r="I1067" s="2">
        <v>425211.45</v>
      </c>
      <c r="J1067" t="str">
        <f>"REIMBURSE-ELGIN COMM CTR"</f>
        <v>REIMBURSE-ELGIN COMM CTR</v>
      </c>
    </row>
    <row r="1068" spans="1:10" x14ac:dyDescent="0.3">
      <c r="A1068" t="str">
        <f t="shared" si="30"/>
        <v>01</v>
      </c>
      <c r="B1068" t="str">
        <f>"005374"</f>
        <v>005374</v>
      </c>
      <c r="C1068" t="s">
        <v>387</v>
      </c>
      <c r="D1068">
        <v>74587</v>
      </c>
      <c r="E1068" s="2">
        <v>2700</v>
      </c>
      <c r="F1068" s="1">
        <v>43104</v>
      </c>
      <c r="G1068" t="str">
        <f>"4936R"</f>
        <v>4936R</v>
      </c>
      <c r="H1068" t="str">
        <f>"UNDERSTORY THINNING PROJECT"</f>
        <v>UNDERSTORY THINNING PROJECT</v>
      </c>
      <c r="I1068" s="2">
        <v>2700</v>
      </c>
      <c r="J1068" t="str">
        <f>"UNDERSTORY THINNING PROJECT"</f>
        <v>UNDERSTORY THINNING PROJECT</v>
      </c>
    </row>
    <row r="1069" spans="1:10" x14ac:dyDescent="0.3">
      <c r="A1069" t="str">
        <f t="shared" si="30"/>
        <v>01</v>
      </c>
      <c r="B1069" t="str">
        <f>"FNB"</f>
        <v>FNB</v>
      </c>
      <c r="C1069" t="s">
        <v>388</v>
      </c>
      <c r="D1069">
        <v>0</v>
      </c>
      <c r="E1069" s="2">
        <v>53462.5</v>
      </c>
      <c r="F1069" s="1">
        <v>43108</v>
      </c>
      <c r="G1069" t="str">
        <f>"201801027670"</f>
        <v>201801027670</v>
      </c>
      <c r="H1069" t="str">
        <f>"LOAN#BASREF15/REF BDS 2015"</f>
        <v>LOAN#BASREF15/REF BDS 2015</v>
      </c>
      <c r="I1069" s="2">
        <v>53462.5</v>
      </c>
      <c r="J1069" t="str">
        <f>"LOAN#BASREF/REF BDS 2015"</f>
        <v>LOAN#BASREF/REF BDS 2015</v>
      </c>
    </row>
    <row r="1070" spans="1:10" x14ac:dyDescent="0.3">
      <c r="A1070" t="str">
        <f t="shared" si="30"/>
        <v>01</v>
      </c>
      <c r="B1070" t="str">
        <f>"FNB"</f>
        <v>FNB</v>
      </c>
      <c r="C1070" t="s">
        <v>388</v>
      </c>
      <c r="D1070">
        <v>0</v>
      </c>
      <c r="E1070" s="2">
        <v>506562.5</v>
      </c>
      <c r="F1070" s="1">
        <v>43122</v>
      </c>
      <c r="G1070" t="str">
        <f>"849174"</f>
        <v>849174</v>
      </c>
      <c r="H1070" t="str">
        <f>"ACCT#275262000/SERIES 2017"</f>
        <v>ACCT#275262000/SERIES 2017</v>
      </c>
      <c r="I1070" s="2">
        <v>209025</v>
      </c>
      <c r="J1070" t="str">
        <f>"ACCT#275262000/SERIES 2017"</f>
        <v>ACCT#275262000/SERIES 2017</v>
      </c>
    </row>
    <row r="1071" spans="1:10" x14ac:dyDescent="0.3">
      <c r="A1071" t="str">
        <f>""</f>
        <v/>
      </c>
      <c r="B1071" t="str">
        <f>""</f>
        <v/>
      </c>
      <c r="G1071" t="str">
        <f>"849175"</f>
        <v>849175</v>
      </c>
      <c r="H1071" t="str">
        <f>"ACCT#210437000/SERIES 2014"</f>
        <v>ACCT#210437000/SERIES 2014</v>
      </c>
      <c r="I1071" s="2">
        <v>146093.75</v>
      </c>
      <c r="J1071" t="str">
        <f>"ACCT#210437000/SERIES 2014"</f>
        <v>ACCT#210437000/SERIES 2014</v>
      </c>
    </row>
    <row r="1072" spans="1:10" x14ac:dyDescent="0.3">
      <c r="A1072" t="str">
        <f>""</f>
        <v/>
      </c>
      <c r="B1072" t="str">
        <f>""</f>
        <v/>
      </c>
      <c r="G1072" t="str">
        <f>"BASTROPTXR10 2010"</f>
        <v>BASTROPTXR10 2010</v>
      </c>
      <c r="H1072" t="str">
        <f>"REF#BASTROPTXR10/SERIES 2010"</f>
        <v>REF#BASTROPTXR10/SERIES 2010</v>
      </c>
      <c r="I1072" s="2">
        <v>151443.75</v>
      </c>
      <c r="J1072" t="str">
        <f>"REF#BASTROPTXR10/SERIES 2010"</f>
        <v>REF#BASTROPTXR10/SERIES 2010</v>
      </c>
    </row>
    <row r="1073" spans="1:10" x14ac:dyDescent="0.3">
      <c r="A1073" t="str">
        <f>""</f>
        <v/>
      </c>
      <c r="B1073" t="str">
        <f>""</f>
        <v/>
      </c>
      <c r="G1073" t="str">
        <f>""</f>
        <v/>
      </c>
      <c r="H1073" t="str">
        <f>""</f>
        <v/>
      </c>
      <c r="J1073" t="str">
        <f>"REF#BASTROPTXR10/SERIES 2010"</f>
        <v>REF#BASTROPTXR10/SERIES 2010</v>
      </c>
    </row>
    <row r="1074" spans="1:10" x14ac:dyDescent="0.3">
      <c r="A1074" t="str">
        <f>"01"</f>
        <v>01</v>
      </c>
      <c r="B1074" t="str">
        <f>"003988"</f>
        <v>003988</v>
      </c>
      <c r="C1074" t="s">
        <v>389</v>
      </c>
      <c r="D1074">
        <v>74746</v>
      </c>
      <c r="E1074" s="2">
        <v>5650</v>
      </c>
      <c r="F1074" s="1">
        <v>43108</v>
      </c>
      <c r="G1074" t="str">
        <f>"2017122903"</f>
        <v>2017122903</v>
      </c>
      <c r="H1074" t="str">
        <f>"SOFTWARE SUBSCRIPTION"</f>
        <v>SOFTWARE SUBSCRIPTION</v>
      </c>
      <c r="I1074" s="2">
        <v>5650</v>
      </c>
      <c r="J1074" t="str">
        <f>"SOFTWARE SUBSCRIPTION"</f>
        <v>SOFTWARE SUBSCRIPTION</v>
      </c>
    </row>
    <row r="1075" spans="1:10" x14ac:dyDescent="0.3">
      <c r="A1075" t="str">
        <f>"01"</f>
        <v>01</v>
      </c>
      <c r="B1075" t="str">
        <f>"T13475"</f>
        <v>T13475</v>
      </c>
      <c r="C1075" t="s">
        <v>390</v>
      </c>
      <c r="D1075">
        <v>74747</v>
      </c>
      <c r="E1075" s="2">
        <v>24120.99</v>
      </c>
      <c r="F1075" s="1">
        <v>43108</v>
      </c>
      <c r="G1075" t="str">
        <f>"3418"</f>
        <v>3418</v>
      </c>
      <c r="H1075" t="str">
        <f>"WFR#010001 GLO DISASTER RECVRY"</f>
        <v>WFR#010001 GLO DISASTER RECVRY</v>
      </c>
      <c r="I1075" s="2">
        <v>24120.99</v>
      </c>
      <c r="J1075" t="str">
        <f>"WFR#010001 GLO DISASTER RECVRY"</f>
        <v>WFR#010001 GLO DISASTER RECVRY</v>
      </c>
    </row>
    <row r="1076" spans="1:10" x14ac:dyDescent="0.3">
      <c r="A1076" t="str">
        <f>""</f>
        <v/>
      </c>
      <c r="B1076" t="str">
        <f>""</f>
        <v/>
      </c>
      <c r="G1076" t="str">
        <f>""</f>
        <v/>
      </c>
      <c r="H1076" t="str">
        <f>""</f>
        <v/>
      </c>
      <c r="J1076" t="str">
        <f>"WFR#010001 GLO DISASTER RECVRY"</f>
        <v>WFR#010001 GLO DISASTER RECVRY</v>
      </c>
    </row>
    <row r="1077" spans="1:10" x14ac:dyDescent="0.3">
      <c r="A1077" t="str">
        <f>"01"</f>
        <v>01</v>
      </c>
      <c r="B1077" t="str">
        <f>"T11113"</f>
        <v>T11113</v>
      </c>
      <c r="C1077" t="s">
        <v>181</v>
      </c>
      <c r="D1077">
        <v>74748</v>
      </c>
      <c r="E1077" s="2">
        <v>22587.55</v>
      </c>
      <c r="F1077" s="1">
        <v>43108</v>
      </c>
      <c r="G1077" t="str">
        <f>"2017-44503"</f>
        <v>2017-44503</v>
      </c>
      <c r="H1077" t="str">
        <f>"PROPERTY TAXES /R37863"</f>
        <v>PROPERTY TAXES /R37863</v>
      </c>
      <c r="I1077" s="2">
        <v>73.14</v>
      </c>
      <c r="J1077" t="str">
        <f>"PROPERTY TAXES /R37863"</f>
        <v>PROPERTY TAXES /R37863</v>
      </c>
    </row>
    <row r="1078" spans="1:10" x14ac:dyDescent="0.3">
      <c r="A1078" t="str">
        <f>""</f>
        <v/>
      </c>
      <c r="B1078" t="str">
        <f>""</f>
        <v/>
      </c>
      <c r="G1078" t="str">
        <f>"2017-57539"</f>
        <v>2017-57539</v>
      </c>
      <c r="H1078" t="str">
        <f>"PROPERTY TAXES/R79966"</f>
        <v>PROPERTY TAXES/R79966</v>
      </c>
      <c r="I1078" s="2">
        <v>22514.41</v>
      </c>
      <c r="J1078" t="str">
        <f>"PROPERTY TAXES"</f>
        <v>PROPERTY TAXES</v>
      </c>
    </row>
    <row r="1079" spans="1:10" x14ac:dyDescent="0.3">
      <c r="A1079" t="str">
        <f>"01"</f>
        <v>01</v>
      </c>
      <c r="B1079" t="str">
        <f>"004401"</f>
        <v>004401</v>
      </c>
      <c r="C1079" t="s">
        <v>391</v>
      </c>
      <c r="D1079">
        <v>74749</v>
      </c>
      <c r="E1079" s="2">
        <v>3856.3</v>
      </c>
      <c r="F1079" s="1">
        <v>43108</v>
      </c>
      <c r="G1079" t="str">
        <f>"A029453"</f>
        <v>A029453</v>
      </c>
      <c r="H1079" t="str">
        <f>"INV# A029453"</f>
        <v>INV# A029453</v>
      </c>
      <c r="I1079" s="2">
        <v>2620.67</v>
      </c>
      <c r="J1079" t="str">
        <f>"INV# A029453"</f>
        <v>INV# A029453</v>
      </c>
    </row>
    <row r="1080" spans="1:10" x14ac:dyDescent="0.3">
      <c r="A1080" t="str">
        <f>""</f>
        <v/>
      </c>
      <c r="B1080" t="str">
        <f>""</f>
        <v/>
      </c>
      <c r="G1080" t="str">
        <f>"A029535"</f>
        <v>A029535</v>
      </c>
      <c r="H1080" t="str">
        <f>"Inv# A029535"</f>
        <v>Inv# A029535</v>
      </c>
      <c r="I1080" s="2">
        <v>1235.6300000000001</v>
      </c>
      <c r="J1080" t="str">
        <f>"Inv# A029535"</f>
        <v>Inv# A029535</v>
      </c>
    </row>
    <row r="1081" spans="1:10" x14ac:dyDescent="0.3">
      <c r="A1081" t="str">
        <f>"01"</f>
        <v>01</v>
      </c>
      <c r="B1081" t="str">
        <f>"003697"</f>
        <v>003697</v>
      </c>
      <c r="C1081" t="s">
        <v>303</v>
      </c>
      <c r="D1081">
        <v>74750</v>
      </c>
      <c r="E1081" s="2">
        <v>187.88</v>
      </c>
      <c r="F1081" s="1">
        <v>43108</v>
      </c>
      <c r="G1081" t="str">
        <f>"23608"</f>
        <v>23608</v>
      </c>
      <c r="H1081" t="str">
        <f>"ACCT#35019/PCT#2"</f>
        <v>ACCT#35019/PCT#2</v>
      </c>
      <c r="I1081" s="2">
        <v>187.88</v>
      </c>
      <c r="J1081" t="str">
        <f>"ACCT#35019/PCT#2"</f>
        <v>ACCT#35019/PCT#2</v>
      </c>
    </row>
    <row r="1082" spans="1:10" x14ac:dyDescent="0.3">
      <c r="A1082" t="str">
        <f>"01"</f>
        <v>01</v>
      </c>
      <c r="B1082" t="str">
        <f>"004539"</f>
        <v>004539</v>
      </c>
      <c r="C1082" t="s">
        <v>392</v>
      </c>
      <c r="D1082">
        <v>74973</v>
      </c>
      <c r="E1082" s="2">
        <v>157210.6</v>
      </c>
      <c r="F1082" s="1">
        <v>43122</v>
      </c>
      <c r="G1082" t="str">
        <f>"160305-R"</f>
        <v>160305-R</v>
      </c>
      <c r="H1082" t="str">
        <f>"PROJ#160305/APP#15/BASTROP FS4"</f>
        <v>PROJ#160305/APP#15/BASTROP FS4</v>
      </c>
      <c r="I1082" s="2">
        <v>157210.6</v>
      </c>
    </row>
    <row r="1083" spans="1:10" x14ac:dyDescent="0.3">
      <c r="A1083" t="str">
        <f>"01"</f>
        <v>01</v>
      </c>
      <c r="B1083" t="str">
        <f>"004539"</f>
        <v>004539</v>
      </c>
      <c r="C1083" t="s">
        <v>392</v>
      </c>
      <c r="D1083">
        <v>74973</v>
      </c>
      <c r="E1083" s="2">
        <v>157210.6</v>
      </c>
      <c r="F1083" s="1">
        <v>43131</v>
      </c>
      <c r="G1083" t="str">
        <f>"CHECK"</f>
        <v>CHECK</v>
      </c>
      <c r="H1083" t="str">
        <f>""</f>
        <v/>
      </c>
      <c r="I1083" s="2">
        <v>157210.6</v>
      </c>
    </row>
    <row r="1084" spans="1:10" x14ac:dyDescent="0.3">
      <c r="A1084" t="str">
        <f>"01"</f>
        <v>01</v>
      </c>
      <c r="B1084" t="str">
        <f>"004539"</f>
        <v>004539</v>
      </c>
      <c r="C1084" t="s">
        <v>392</v>
      </c>
      <c r="D1084">
        <v>74987</v>
      </c>
      <c r="E1084" s="2">
        <v>135720.65</v>
      </c>
      <c r="F1084" s="1">
        <v>43131</v>
      </c>
      <c r="G1084" t="str">
        <f>"160305R - Reissue"</f>
        <v>160305R - Reissue</v>
      </c>
      <c r="H1084" t="str">
        <f>"RETAINAGE / PROJECT #160305"</f>
        <v>RETAINAGE / PROJECT #160305</v>
      </c>
      <c r="I1084" s="2">
        <v>135720.65</v>
      </c>
      <c r="J1084" t="str">
        <f>"RETAINAGE / PROJECT #160305"</f>
        <v>RETAINAGE / PROJECT #160305</v>
      </c>
    </row>
    <row r="1085" spans="1:10" x14ac:dyDescent="0.3">
      <c r="A1085" t="str">
        <f>"01"</f>
        <v>01</v>
      </c>
      <c r="B1085" t="str">
        <f>"TACUE"</f>
        <v>TACUE</v>
      </c>
      <c r="C1085" t="s">
        <v>342</v>
      </c>
      <c r="D1085">
        <v>74754</v>
      </c>
      <c r="E1085" s="2">
        <v>118.11</v>
      </c>
      <c r="F1085" s="1">
        <v>43109</v>
      </c>
      <c r="G1085" t="str">
        <f>"UF-2017-4-110/APTF"</f>
        <v>UF-2017-4-110/APTF</v>
      </c>
      <c r="H1085" t="str">
        <f>"UNEMPLOYMENT/4TH QTR 2017/APTF"</f>
        <v>UNEMPLOYMENT/4TH QTR 2017/APTF</v>
      </c>
      <c r="I1085" s="2">
        <v>118.11</v>
      </c>
      <c r="J1085" t="str">
        <f>"UNEMPLOYMENT/4TH QTR 2017/APTF"</f>
        <v>UNEMPLOYMENT/4TH QTR 2017/APTF</v>
      </c>
    </row>
    <row r="1086" spans="1:10" x14ac:dyDescent="0.3">
      <c r="A1086" t="str">
        <f>""</f>
        <v/>
      </c>
      <c r="B1086" t="str">
        <f>""</f>
        <v/>
      </c>
      <c r="G1086" t="str">
        <f>""</f>
        <v/>
      </c>
      <c r="H1086" t="str">
        <f>""</f>
        <v/>
      </c>
      <c r="J1086" t="str">
        <f>"UNEMPLOYMENT/4TH QTR 2017/APTF"</f>
        <v>UNEMPLOYMENT/4TH QTR 2017/APTF</v>
      </c>
    </row>
    <row r="1087" spans="1:10" x14ac:dyDescent="0.3">
      <c r="A1087" t="str">
        <f>"01"</f>
        <v>01</v>
      </c>
      <c r="B1087" t="str">
        <f>"WALMAR"</f>
        <v>WALMAR</v>
      </c>
      <c r="C1087" t="s">
        <v>373</v>
      </c>
      <c r="D1087">
        <v>74751</v>
      </c>
      <c r="E1087" s="2">
        <v>285.11</v>
      </c>
      <c r="F1087" s="1">
        <v>43108</v>
      </c>
      <c r="G1087" t="str">
        <f>"004525"</f>
        <v>004525</v>
      </c>
      <c r="H1087" t="str">
        <f>"Acct 6032202005312476"</f>
        <v>Acct 6032202005312476</v>
      </c>
      <c r="I1087" s="2">
        <v>285.11</v>
      </c>
      <c r="J1087" t="str">
        <f>"Inv# 004525"</f>
        <v>Inv# 004525</v>
      </c>
    </row>
    <row r="1088" spans="1:10" x14ac:dyDescent="0.3">
      <c r="A1088" t="str">
        <f>"01"</f>
        <v>01</v>
      </c>
      <c r="B1088" t="str">
        <f>"ALLSTA"</f>
        <v>ALLSTA</v>
      </c>
      <c r="C1088" t="s">
        <v>393</v>
      </c>
      <c r="D1088">
        <v>0</v>
      </c>
      <c r="E1088" s="2">
        <v>7915.01</v>
      </c>
      <c r="F1088" s="1">
        <v>43131</v>
      </c>
      <c r="G1088" t="str">
        <f>"201802018377"</f>
        <v>201802018377</v>
      </c>
      <c r="H1088" t="str">
        <f>"ALLSTATE-AMERICAN HERITAGE LIF"</f>
        <v>ALLSTATE-AMERICAN HERITAGE LIF</v>
      </c>
      <c r="I1088" s="2">
        <v>7.0000000000000007E-2</v>
      </c>
      <c r="J1088" t="str">
        <f>"ALLSTATE-AMERICAN HERITAGE LIF"</f>
        <v>ALLSTATE-AMERICAN HERITAGE LIF</v>
      </c>
    </row>
    <row r="1089" spans="1:10" x14ac:dyDescent="0.3">
      <c r="A1089" t="str">
        <f>""</f>
        <v/>
      </c>
      <c r="B1089" t="str">
        <f>""</f>
        <v/>
      </c>
      <c r="G1089" t="str">
        <f>"AS 201801118129"</f>
        <v>AS 201801118129</v>
      </c>
      <c r="H1089" t="str">
        <f t="shared" ref="H1089:H1102" si="31">"ALLSTATE"</f>
        <v>ALLSTATE</v>
      </c>
      <c r="I1089" s="2">
        <v>783.27</v>
      </c>
      <c r="J1089" t="str">
        <f t="shared" ref="J1089:J1102" si="32">"ALLSTATE"</f>
        <v>ALLSTATE</v>
      </c>
    </row>
    <row r="1090" spans="1:10" x14ac:dyDescent="0.3">
      <c r="A1090" t="str">
        <f>""</f>
        <v/>
      </c>
      <c r="B1090" t="str">
        <f>""</f>
        <v/>
      </c>
      <c r="G1090" t="str">
        <f>"AS 201801118130"</f>
        <v>AS 201801118130</v>
      </c>
      <c r="H1090" t="str">
        <f t="shared" si="31"/>
        <v>ALLSTATE</v>
      </c>
      <c r="I1090" s="2">
        <v>36.14</v>
      </c>
      <c r="J1090" t="str">
        <f t="shared" si="32"/>
        <v>ALLSTATE</v>
      </c>
    </row>
    <row r="1091" spans="1:10" x14ac:dyDescent="0.3">
      <c r="A1091" t="str">
        <f>""</f>
        <v/>
      </c>
      <c r="B1091" t="str">
        <f>""</f>
        <v/>
      </c>
      <c r="G1091" t="str">
        <f>"AS 201801248226"</f>
        <v>AS 201801248226</v>
      </c>
      <c r="H1091" t="str">
        <f t="shared" si="31"/>
        <v>ALLSTATE</v>
      </c>
      <c r="I1091" s="2">
        <v>36.14</v>
      </c>
      <c r="J1091" t="str">
        <f t="shared" si="32"/>
        <v>ALLSTATE</v>
      </c>
    </row>
    <row r="1092" spans="1:10" x14ac:dyDescent="0.3">
      <c r="A1092" t="str">
        <f>""</f>
        <v/>
      </c>
      <c r="B1092" t="str">
        <f>""</f>
        <v/>
      </c>
      <c r="G1092" t="str">
        <f>"AS 201801248228"</f>
        <v>AS 201801248228</v>
      </c>
      <c r="H1092" t="str">
        <f t="shared" si="31"/>
        <v>ALLSTATE</v>
      </c>
      <c r="I1092" s="2">
        <v>783.27</v>
      </c>
      <c r="J1092" t="str">
        <f t="shared" si="32"/>
        <v>ALLSTATE</v>
      </c>
    </row>
    <row r="1093" spans="1:10" x14ac:dyDescent="0.3">
      <c r="A1093" t="str">
        <f>""</f>
        <v/>
      </c>
      <c r="B1093" t="str">
        <f>""</f>
        <v/>
      </c>
      <c r="G1093" t="str">
        <f>"ASD201801118129"</f>
        <v>ASD201801118129</v>
      </c>
      <c r="H1093" t="str">
        <f t="shared" si="31"/>
        <v>ALLSTATE</v>
      </c>
      <c r="I1093" s="2">
        <v>286.08999999999997</v>
      </c>
      <c r="J1093" t="str">
        <f t="shared" si="32"/>
        <v>ALLSTATE</v>
      </c>
    </row>
    <row r="1094" spans="1:10" x14ac:dyDescent="0.3">
      <c r="A1094" t="str">
        <f>""</f>
        <v/>
      </c>
      <c r="B1094" t="str">
        <f>""</f>
        <v/>
      </c>
      <c r="G1094" t="str">
        <f>"ASD201801248228"</f>
        <v>ASD201801248228</v>
      </c>
      <c r="H1094" t="str">
        <f t="shared" si="31"/>
        <v>ALLSTATE</v>
      </c>
      <c r="I1094" s="2">
        <v>286.08999999999997</v>
      </c>
      <c r="J1094" t="str">
        <f t="shared" si="32"/>
        <v>ALLSTATE</v>
      </c>
    </row>
    <row r="1095" spans="1:10" x14ac:dyDescent="0.3">
      <c r="A1095" t="str">
        <f>""</f>
        <v/>
      </c>
      <c r="B1095" t="str">
        <f>""</f>
        <v/>
      </c>
      <c r="G1095" t="str">
        <f>"ASI201801118129"</f>
        <v>ASI201801118129</v>
      </c>
      <c r="H1095" t="str">
        <f t="shared" si="31"/>
        <v>ALLSTATE</v>
      </c>
      <c r="I1095" s="2">
        <v>984.05</v>
      </c>
      <c r="J1095" t="str">
        <f t="shared" si="32"/>
        <v>ALLSTATE</v>
      </c>
    </row>
    <row r="1096" spans="1:10" x14ac:dyDescent="0.3">
      <c r="A1096" t="str">
        <f>""</f>
        <v/>
      </c>
      <c r="B1096" t="str">
        <f>""</f>
        <v/>
      </c>
      <c r="G1096" t="str">
        <f>"ASI201801118130"</f>
        <v>ASI201801118130</v>
      </c>
      <c r="H1096" t="str">
        <f t="shared" si="31"/>
        <v>ALLSTATE</v>
      </c>
      <c r="I1096" s="2">
        <v>100.63</v>
      </c>
      <c r="J1096" t="str">
        <f t="shared" si="32"/>
        <v>ALLSTATE</v>
      </c>
    </row>
    <row r="1097" spans="1:10" x14ac:dyDescent="0.3">
      <c r="A1097" t="str">
        <f>""</f>
        <v/>
      </c>
      <c r="B1097" t="str">
        <f>""</f>
        <v/>
      </c>
      <c r="G1097" t="str">
        <f>"ASI201801248226"</f>
        <v>ASI201801248226</v>
      </c>
      <c r="H1097" t="str">
        <f t="shared" si="31"/>
        <v>ALLSTATE</v>
      </c>
      <c r="I1097" s="2">
        <v>100.63</v>
      </c>
      <c r="J1097" t="str">
        <f t="shared" si="32"/>
        <v>ALLSTATE</v>
      </c>
    </row>
    <row r="1098" spans="1:10" x14ac:dyDescent="0.3">
      <c r="A1098" t="str">
        <f>""</f>
        <v/>
      </c>
      <c r="B1098" t="str">
        <f>""</f>
        <v/>
      </c>
      <c r="G1098" t="str">
        <f>"ASI201801248228"</f>
        <v>ASI201801248228</v>
      </c>
      <c r="H1098" t="str">
        <f t="shared" si="31"/>
        <v>ALLSTATE</v>
      </c>
      <c r="I1098" s="2">
        <v>984.05</v>
      </c>
      <c r="J1098" t="str">
        <f t="shared" si="32"/>
        <v>ALLSTATE</v>
      </c>
    </row>
    <row r="1099" spans="1:10" x14ac:dyDescent="0.3">
      <c r="A1099" t="str">
        <f>""</f>
        <v/>
      </c>
      <c r="B1099" t="str">
        <f>""</f>
        <v/>
      </c>
      <c r="G1099" t="str">
        <f>"AST201801118129"</f>
        <v>AST201801118129</v>
      </c>
      <c r="H1099" t="str">
        <f t="shared" si="31"/>
        <v>ALLSTATE</v>
      </c>
      <c r="I1099" s="2">
        <v>1713.46</v>
      </c>
      <c r="J1099" t="str">
        <f t="shared" si="32"/>
        <v>ALLSTATE</v>
      </c>
    </row>
    <row r="1100" spans="1:10" x14ac:dyDescent="0.3">
      <c r="A1100" t="str">
        <f>""</f>
        <v/>
      </c>
      <c r="B1100" t="str">
        <f>""</f>
        <v/>
      </c>
      <c r="G1100" t="str">
        <f>"AST201801118130"</f>
        <v>AST201801118130</v>
      </c>
      <c r="H1100" t="str">
        <f t="shared" si="31"/>
        <v>ALLSTATE</v>
      </c>
      <c r="I1100" s="2">
        <v>53.83</v>
      </c>
      <c r="J1100" t="str">
        <f t="shared" si="32"/>
        <v>ALLSTATE</v>
      </c>
    </row>
    <row r="1101" spans="1:10" x14ac:dyDescent="0.3">
      <c r="A1101" t="str">
        <f>""</f>
        <v/>
      </c>
      <c r="B1101" t="str">
        <f>""</f>
        <v/>
      </c>
      <c r="G1101" t="str">
        <f>"AST201801248226"</f>
        <v>AST201801248226</v>
      </c>
      <c r="H1101" t="str">
        <f t="shared" si="31"/>
        <v>ALLSTATE</v>
      </c>
      <c r="I1101" s="2">
        <v>53.83</v>
      </c>
      <c r="J1101" t="str">
        <f t="shared" si="32"/>
        <v>ALLSTATE</v>
      </c>
    </row>
    <row r="1102" spans="1:10" x14ac:dyDescent="0.3">
      <c r="A1102" t="str">
        <f>""</f>
        <v/>
      </c>
      <c r="B1102" t="str">
        <f>""</f>
        <v/>
      </c>
      <c r="G1102" t="str">
        <f>"AST201801248228"</f>
        <v>AST201801248228</v>
      </c>
      <c r="H1102" t="str">
        <f t="shared" si="31"/>
        <v>ALLSTATE</v>
      </c>
      <c r="I1102" s="2">
        <v>1713.46</v>
      </c>
      <c r="J1102" t="str">
        <f t="shared" si="32"/>
        <v>ALLSTATE</v>
      </c>
    </row>
    <row r="1103" spans="1:10" x14ac:dyDescent="0.3">
      <c r="A1103" t="str">
        <f>"01"</f>
        <v>01</v>
      </c>
      <c r="B1103" t="str">
        <f>"002234"</f>
        <v>002234</v>
      </c>
      <c r="C1103" t="s">
        <v>394</v>
      </c>
      <c r="D1103">
        <v>0</v>
      </c>
      <c r="E1103" s="2">
        <v>0</v>
      </c>
      <c r="F1103" s="1">
        <v>43131</v>
      </c>
      <c r="G1103" t="str">
        <f>"BAS201801248228"</f>
        <v>BAS201801248228</v>
      </c>
      <c r="H1103" t="str">
        <f>"B.A.S.E."</f>
        <v>B.A.S.E.</v>
      </c>
      <c r="I1103" s="2">
        <v>-636</v>
      </c>
      <c r="J1103" t="str">
        <f>"B.A.S.E."</f>
        <v>B.A.S.E.</v>
      </c>
    </row>
    <row r="1104" spans="1:10" x14ac:dyDescent="0.3">
      <c r="A1104" t="str">
        <f>""</f>
        <v/>
      </c>
      <c r="B1104" t="str">
        <f>""</f>
        <v/>
      </c>
      <c r="G1104" t="str">
        <f>"BAS201801118129"</f>
        <v>BAS201801118129</v>
      </c>
      <c r="H1104" t="str">
        <f>"B.A.S.E."</f>
        <v>B.A.S.E.</v>
      </c>
      <c r="I1104" s="2">
        <v>636</v>
      </c>
      <c r="J1104" t="str">
        <f>"B.A.S.E."</f>
        <v>B.A.S.E.</v>
      </c>
    </row>
    <row r="1105" spans="1:10" x14ac:dyDescent="0.3">
      <c r="A1105" t="str">
        <f>"01"</f>
        <v>01</v>
      </c>
      <c r="B1105" t="str">
        <f>"T12180"</f>
        <v>T12180</v>
      </c>
      <c r="C1105" t="s">
        <v>395</v>
      </c>
      <c r="D1105">
        <v>0</v>
      </c>
      <c r="E1105" s="2">
        <v>3151.46</v>
      </c>
      <c r="F1105" s="1">
        <v>43112</v>
      </c>
      <c r="G1105" t="str">
        <f>"DDP201801118131"</f>
        <v>DDP201801118131</v>
      </c>
      <c r="H1105" t="str">
        <f>"AP - TEXAS DISCOUNT DENTAL"</f>
        <v>AP - TEXAS DISCOUNT DENTAL</v>
      </c>
      <c r="I1105" s="2">
        <v>6.53</v>
      </c>
      <c r="J1105" t="str">
        <f>"AP - TEXAS DISCOUNT DENTAL"</f>
        <v>AP - TEXAS DISCOUNT DENTAL</v>
      </c>
    </row>
    <row r="1106" spans="1:10" x14ac:dyDescent="0.3">
      <c r="A1106" t="str">
        <f>""</f>
        <v/>
      </c>
      <c r="B1106" t="str">
        <f>""</f>
        <v/>
      </c>
      <c r="G1106" t="str">
        <f>"DHM201801118131"</f>
        <v>DHM201801118131</v>
      </c>
      <c r="H1106" t="str">
        <f>"AP - DENTAL HMO"</f>
        <v>AP - DENTAL HMO</v>
      </c>
      <c r="I1106" s="2">
        <v>30.7</v>
      </c>
      <c r="J1106" t="str">
        <f>"AP - DENTAL HMO"</f>
        <v>AP - DENTAL HMO</v>
      </c>
    </row>
    <row r="1107" spans="1:10" x14ac:dyDescent="0.3">
      <c r="A1107" t="str">
        <f>""</f>
        <v/>
      </c>
      <c r="B1107" t="str">
        <f>""</f>
        <v/>
      </c>
      <c r="G1107" t="str">
        <f>"DTX201801118131"</f>
        <v>DTX201801118131</v>
      </c>
      <c r="H1107" t="str">
        <f>"AP - TEXAS DENTAL"</f>
        <v>AP - TEXAS DENTAL</v>
      </c>
      <c r="I1107" s="2">
        <v>397.64</v>
      </c>
      <c r="J1107" t="str">
        <f>"AP - TEXAS DENTAL"</f>
        <v>AP - TEXAS DENTAL</v>
      </c>
    </row>
    <row r="1108" spans="1:10" x14ac:dyDescent="0.3">
      <c r="A1108" t="str">
        <f>""</f>
        <v/>
      </c>
      <c r="B1108" t="str">
        <f>""</f>
        <v/>
      </c>
      <c r="G1108" t="str">
        <f>"FD 201801118131"</f>
        <v>FD 201801118131</v>
      </c>
      <c r="H1108" t="str">
        <f>"AP - FT DEARBORN PRE-TAX"</f>
        <v>AP - FT DEARBORN PRE-TAX</v>
      </c>
      <c r="I1108" s="2">
        <v>221.68</v>
      </c>
      <c r="J1108" t="str">
        <f>"AP - FT DEARBORN PRE-TAX"</f>
        <v>AP - FT DEARBORN PRE-TAX</v>
      </c>
    </row>
    <row r="1109" spans="1:10" x14ac:dyDescent="0.3">
      <c r="A1109" t="str">
        <f>""</f>
        <v/>
      </c>
      <c r="B1109" t="str">
        <f>""</f>
        <v/>
      </c>
      <c r="G1109" t="str">
        <f>"FDT201801118131"</f>
        <v>FDT201801118131</v>
      </c>
      <c r="H1109" t="str">
        <f>"AP - FT DEARBORN AFTER TAX"</f>
        <v>AP - FT DEARBORN AFTER TAX</v>
      </c>
      <c r="I1109" s="2">
        <v>86.54</v>
      </c>
      <c r="J1109" t="str">
        <f>"AP - FT DEARBORN AFTER TAX"</f>
        <v>AP - FT DEARBORN AFTER TAX</v>
      </c>
    </row>
    <row r="1110" spans="1:10" x14ac:dyDescent="0.3">
      <c r="A1110" t="str">
        <f>""</f>
        <v/>
      </c>
      <c r="B1110" t="str">
        <f>""</f>
        <v/>
      </c>
      <c r="G1110" t="str">
        <f>"FLX201801118131"</f>
        <v>FLX201801118131</v>
      </c>
      <c r="H1110" t="str">
        <f>"AP - TEX FLEX"</f>
        <v>AP - TEX FLEX</v>
      </c>
      <c r="I1110" s="2">
        <v>312</v>
      </c>
      <c r="J1110" t="str">
        <f>"AP - TEX FLEX"</f>
        <v>AP - TEX FLEX</v>
      </c>
    </row>
    <row r="1111" spans="1:10" x14ac:dyDescent="0.3">
      <c r="A1111" t="str">
        <f>""</f>
        <v/>
      </c>
      <c r="B1111" t="str">
        <f>""</f>
        <v/>
      </c>
      <c r="G1111" t="str">
        <f>"MHS201801118131"</f>
        <v>MHS201801118131</v>
      </c>
      <c r="H1111" t="str">
        <f>"AP - HEALTH SELECT MEDICAL"</f>
        <v>AP - HEALTH SELECT MEDICAL</v>
      </c>
      <c r="I1111" s="2">
        <v>1787.8</v>
      </c>
      <c r="J1111" t="str">
        <f>"AP - HEALTH SELECT MEDICAL"</f>
        <v>AP - HEALTH SELECT MEDICAL</v>
      </c>
    </row>
    <row r="1112" spans="1:10" x14ac:dyDescent="0.3">
      <c r="A1112" t="str">
        <f>""</f>
        <v/>
      </c>
      <c r="B1112" t="str">
        <f>""</f>
        <v/>
      </c>
      <c r="G1112" t="str">
        <f>"MSW201801118131"</f>
        <v>MSW201801118131</v>
      </c>
      <c r="H1112" t="str">
        <f>"AP - SCOTT &amp; WHITE MEDICAL"</f>
        <v>AP - SCOTT &amp; WHITE MEDICAL</v>
      </c>
      <c r="I1112" s="2">
        <v>291.82</v>
      </c>
      <c r="J1112" t="str">
        <f>"AP - SCOTT &amp; WHITE MEDICAL"</f>
        <v>AP - SCOTT &amp; WHITE MEDICAL</v>
      </c>
    </row>
    <row r="1113" spans="1:10" x14ac:dyDescent="0.3">
      <c r="A1113" t="str">
        <f>""</f>
        <v/>
      </c>
      <c r="B1113" t="str">
        <f>""</f>
        <v/>
      </c>
      <c r="G1113" t="str">
        <f>"SPE201801118131"</f>
        <v>SPE201801118131</v>
      </c>
      <c r="H1113" t="str">
        <f>"AP - STATE VISION"</f>
        <v>AP - STATE VISION</v>
      </c>
      <c r="I1113" s="2">
        <v>16.75</v>
      </c>
      <c r="J1113" t="str">
        <f>"AP - STATE VISION"</f>
        <v>AP - STATE VISION</v>
      </c>
    </row>
    <row r="1114" spans="1:10" x14ac:dyDescent="0.3">
      <c r="A1114" t="str">
        <f>"01"</f>
        <v>01</v>
      </c>
      <c r="B1114" t="str">
        <f>"T12180"</f>
        <v>T12180</v>
      </c>
      <c r="C1114" t="s">
        <v>395</v>
      </c>
      <c r="D1114">
        <v>0</v>
      </c>
      <c r="E1114" s="2">
        <v>3151.46</v>
      </c>
      <c r="F1114" s="1">
        <v>43126</v>
      </c>
      <c r="G1114" t="str">
        <f>"DDP201801248227"</f>
        <v>DDP201801248227</v>
      </c>
      <c r="H1114" t="str">
        <f>"AP - TEXAS DISCOUNT DENTAL"</f>
        <v>AP - TEXAS DISCOUNT DENTAL</v>
      </c>
      <c r="I1114" s="2">
        <v>6.53</v>
      </c>
      <c r="J1114" t="str">
        <f>"AP - TEXAS DISCOUNT DENTAL"</f>
        <v>AP - TEXAS DISCOUNT DENTAL</v>
      </c>
    </row>
    <row r="1115" spans="1:10" x14ac:dyDescent="0.3">
      <c r="A1115" t="str">
        <f>""</f>
        <v/>
      </c>
      <c r="B1115" t="str">
        <f>""</f>
        <v/>
      </c>
      <c r="G1115" t="str">
        <f>"DHM201801248227"</f>
        <v>DHM201801248227</v>
      </c>
      <c r="H1115" t="str">
        <f>"AP - DENTAL HMO"</f>
        <v>AP - DENTAL HMO</v>
      </c>
      <c r="I1115" s="2">
        <v>30.7</v>
      </c>
      <c r="J1115" t="str">
        <f>"AP - DENTAL HMO"</f>
        <v>AP - DENTAL HMO</v>
      </c>
    </row>
    <row r="1116" spans="1:10" x14ac:dyDescent="0.3">
      <c r="A1116" t="str">
        <f>""</f>
        <v/>
      </c>
      <c r="B1116" t="str">
        <f>""</f>
        <v/>
      </c>
      <c r="G1116" t="str">
        <f>"DTX201801248227"</f>
        <v>DTX201801248227</v>
      </c>
      <c r="H1116" t="str">
        <f>"AP - TEXAS DENTAL"</f>
        <v>AP - TEXAS DENTAL</v>
      </c>
      <c r="I1116" s="2">
        <v>397.64</v>
      </c>
      <c r="J1116" t="str">
        <f>"AP - TEXAS DENTAL"</f>
        <v>AP - TEXAS DENTAL</v>
      </c>
    </row>
    <row r="1117" spans="1:10" x14ac:dyDescent="0.3">
      <c r="A1117" t="str">
        <f>""</f>
        <v/>
      </c>
      <c r="B1117" t="str">
        <f>""</f>
        <v/>
      </c>
      <c r="G1117" t="str">
        <f>"FD 201801248227"</f>
        <v>FD 201801248227</v>
      </c>
      <c r="H1117" t="str">
        <f>"AP - FT DEARBORN PRE-TAX"</f>
        <v>AP - FT DEARBORN PRE-TAX</v>
      </c>
      <c r="I1117" s="2">
        <v>221.68</v>
      </c>
      <c r="J1117" t="str">
        <f>"AP - FT DEARBORN PRE-TAX"</f>
        <v>AP - FT DEARBORN PRE-TAX</v>
      </c>
    </row>
    <row r="1118" spans="1:10" x14ac:dyDescent="0.3">
      <c r="A1118" t="str">
        <f>""</f>
        <v/>
      </c>
      <c r="B1118" t="str">
        <f>""</f>
        <v/>
      </c>
      <c r="G1118" t="str">
        <f>"FDT201801248227"</f>
        <v>FDT201801248227</v>
      </c>
      <c r="H1118" t="str">
        <f>"AP - FT DEARBORN AFTER TAX"</f>
        <v>AP - FT DEARBORN AFTER TAX</v>
      </c>
      <c r="I1118" s="2">
        <v>86.54</v>
      </c>
      <c r="J1118" t="str">
        <f>"AP - FT DEARBORN AFTER TAX"</f>
        <v>AP - FT DEARBORN AFTER TAX</v>
      </c>
    </row>
    <row r="1119" spans="1:10" x14ac:dyDescent="0.3">
      <c r="A1119" t="str">
        <f>""</f>
        <v/>
      </c>
      <c r="B1119" t="str">
        <f>""</f>
        <v/>
      </c>
      <c r="G1119" t="str">
        <f>"FLX201801248227"</f>
        <v>FLX201801248227</v>
      </c>
      <c r="H1119" t="str">
        <f>"AP - TEX FLEX"</f>
        <v>AP - TEX FLEX</v>
      </c>
      <c r="I1119" s="2">
        <v>312</v>
      </c>
      <c r="J1119" t="str">
        <f>"AP - TEX FLEX"</f>
        <v>AP - TEX FLEX</v>
      </c>
    </row>
    <row r="1120" spans="1:10" x14ac:dyDescent="0.3">
      <c r="A1120" t="str">
        <f>""</f>
        <v/>
      </c>
      <c r="B1120" t="str">
        <f>""</f>
        <v/>
      </c>
      <c r="G1120" t="str">
        <f>"MHS201801248227"</f>
        <v>MHS201801248227</v>
      </c>
      <c r="H1120" t="str">
        <f>"AP - HEALTH SELECT MEDICAL"</f>
        <v>AP - HEALTH SELECT MEDICAL</v>
      </c>
      <c r="I1120" s="2">
        <v>1787.8</v>
      </c>
      <c r="J1120" t="str">
        <f>"AP - HEALTH SELECT MEDICAL"</f>
        <v>AP - HEALTH SELECT MEDICAL</v>
      </c>
    </row>
    <row r="1121" spans="1:10" x14ac:dyDescent="0.3">
      <c r="A1121" t="str">
        <f>""</f>
        <v/>
      </c>
      <c r="B1121" t="str">
        <f>""</f>
        <v/>
      </c>
      <c r="G1121" t="str">
        <f>"MSW201801248227"</f>
        <v>MSW201801248227</v>
      </c>
      <c r="H1121" t="str">
        <f>"AP - SCOTT &amp; WHITE MEDICAL"</f>
        <v>AP - SCOTT &amp; WHITE MEDICAL</v>
      </c>
      <c r="I1121" s="2">
        <v>291.82</v>
      </c>
      <c r="J1121" t="str">
        <f>"AP - SCOTT &amp; WHITE MEDICAL"</f>
        <v>AP - SCOTT &amp; WHITE MEDICAL</v>
      </c>
    </row>
    <row r="1122" spans="1:10" x14ac:dyDescent="0.3">
      <c r="A1122" t="str">
        <f>""</f>
        <v/>
      </c>
      <c r="B1122" t="str">
        <f>""</f>
        <v/>
      </c>
      <c r="G1122" t="str">
        <f>"SPE201801248227"</f>
        <v>SPE201801248227</v>
      </c>
      <c r="H1122" t="str">
        <f>"AP - STATE VISION"</f>
        <v>AP - STATE VISION</v>
      </c>
      <c r="I1122" s="2">
        <v>16.75</v>
      </c>
      <c r="J1122" t="str">
        <f>"AP - STATE VISION"</f>
        <v>AP - STATE VISION</v>
      </c>
    </row>
    <row r="1123" spans="1:10" x14ac:dyDescent="0.3">
      <c r="A1123" t="str">
        <f>"01"</f>
        <v>01</v>
      </c>
      <c r="B1123" t="str">
        <f>"COLONI"</f>
        <v>COLONI</v>
      </c>
      <c r="C1123" t="s">
        <v>396</v>
      </c>
      <c r="D1123">
        <v>0</v>
      </c>
      <c r="E1123" s="2">
        <v>5373.04</v>
      </c>
      <c r="F1123" s="1">
        <v>43131</v>
      </c>
      <c r="G1123" t="str">
        <f>"CL 201801118129"</f>
        <v>CL 201801118129</v>
      </c>
      <c r="H1123" t="str">
        <f t="shared" ref="H1123:H1144" si="33">"COLONIAL"</f>
        <v>COLONIAL</v>
      </c>
      <c r="I1123" s="2">
        <v>790.75</v>
      </c>
      <c r="J1123" t="str">
        <f t="shared" ref="J1123:J1144" si="34">"COLONIAL"</f>
        <v>COLONIAL</v>
      </c>
    </row>
    <row r="1124" spans="1:10" x14ac:dyDescent="0.3">
      <c r="A1124" t="str">
        <f>""</f>
        <v/>
      </c>
      <c r="B1124" t="str">
        <f>""</f>
        <v/>
      </c>
      <c r="G1124" t="str">
        <f>"CL 201801118130"</f>
        <v>CL 201801118130</v>
      </c>
      <c r="H1124" t="str">
        <f t="shared" si="33"/>
        <v>COLONIAL</v>
      </c>
      <c r="I1124" s="2">
        <v>14.49</v>
      </c>
      <c r="J1124" t="str">
        <f t="shared" si="34"/>
        <v>COLONIAL</v>
      </c>
    </row>
    <row r="1125" spans="1:10" x14ac:dyDescent="0.3">
      <c r="A1125" t="str">
        <f>""</f>
        <v/>
      </c>
      <c r="B1125" t="str">
        <f>""</f>
        <v/>
      </c>
      <c r="G1125" t="str">
        <f>"CL 201801248226"</f>
        <v>CL 201801248226</v>
      </c>
      <c r="H1125" t="str">
        <f t="shared" si="33"/>
        <v>COLONIAL</v>
      </c>
      <c r="I1125" s="2">
        <v>14.49</v>
      </c>
      <c r="J1125" t="str">
        <f t="shared" si="34"/>
        <v>COLONIAL</v>
      </c>
    </row>
    <row r="1126" spans="1:10" x14ac:dyDescent="0.3">
      <c r="A1126" t="str">
        <f>""</f>
        <v/>
      </c>
      <c r="B1126" t="str">
        <f>""</f>
        <v/>
      </c>
      <c r="G1126" t="str">
        <f>"CL 201801248228"</f>
        <v>CL 201801248228</v>
      </c>
      <c r="H1126" t="str">
        <f t="shared" si="33"/>
        <v>COLONIAL</v>
      </c>
      <c r="I1126" s="2">
        <v>790.75</v>
      </c>
      <c r="J1126" t="str">
        <f t="shared" si="34"/>
        <v>COLONIAL</v>
      </c>
    </row>
    <row r="1127" spans="1:10" x14ac:dyDescent="0.3">
      <c r="A1127" t="str">
        <f>""</f>
        <v/>
      </c>
      <c r="B1127" t="str">
        <f>""</f>
        <v/>
      </c>
      <c r="G1127" t="str">
        <f>"CLC201801118129"</f>
        <v>CLC201801118129</v>
      </c>
      <c r="H1127" t="str">
        <f t="shared" si="33"/>
        <v>COLONIAL</v>
      </c>
      <c r="I1127" s="2">
        <v>77.97</v>
      </c>
      <c r="J1127" t="str">
        <f t="shared" si="34"/>
        <v>COLONIAL</v>
      </c>
    </row>
    <row r="1128" spans="1:10" x14ac:dyDescent="0.3">
      <c r="A1128" t="str">
        <f>""</f>
        <v/>
      </c>
      <c r="B1128" t="str">
        <f>""</f>
        <v/>
      </c>
      <c r="G1128" t="str">
        <f>"CLC201801248228"</f>
        <v>CLC201801248228</v>
      </c>
      <c r="H1128" t="str">
        <f t="shared" si="33"/>
        <v>COLONIAL</v>
      </c>
      <c r="I1128" s="2">
        <v>77.97</v>
      </c>
      <c r="J1128" t="str">
        <f t="shared" si="34"/>
        <v>COLONIAL</v>
      </c>
    </row>
    <row r="1129" spans="1:10" x14ac:dyDescent="0.3">
      <c r="A1129" t="str">
        <f>""</f>
        <v/>
      </c>
      <c r="B1129" t="str">
        <f>""</f>
        <v/>
      </c>
      <c r="G1129" t="str">
        <f>"CLI201801118129"</f>
        <v>CLI201801118129</v>
      </c>
      <c r="H1129" t="str">
        <f t="shared" si="33"/>
        <v>COLONIAL</v>
      </c>
      <c r="I1129" s="2">
        <v>649.54</v>
      </c>
      <c r="J1129" t="str">
        <f t="shared" si="34"/>
        <v>COLONIAL</v>
      </c>
    </row>
    <row r="1130" spans="1:10" x14ac:dyDescent="0.3">
      <c r="A1130" t="str">
        <f>""</f>
        <v/>
      </c>
      <c r="B1130" t="str">
        <f>""</f>
        <v/>
      </c>
      <c r="G1130" t="str">
        <f>"CLI201801118130"</f>
        <v>CLI201801118130</v>
      </c>
      <c r="H1130" t="str">
        <f t="shared" si="33"/>
        <v>COLONIAL</v>
      </c>
      <c r="I1130" s="2">
        <v>17.53</v>
      </c>
      <c r="J1130" t="str">
        <f t="shared" si="34"/>
        <v>COLONIAL</v>
      </c>
    </row>
    <row r="1131" spans="1:10" x14ac:dyDescent="0.3">
      <c r="A1131" t="str">
        <f>""</f>
        <v/>
      </c>
      <c r="B1131" t="str">
        <f>""</f>
        <v/>
      </c>
      <c r="G1131" t="str">
        <f>"CLI201801248226"</f>
        <v>CLI201801248226</v>
      </c>
      <c r="H1131" t="str">
        <f t="shared" si="33"/>
        <v>COLONIAL</v>
      </c>
      <c r="I1131" s="2">
        <v>17.53</v>
      </c>
      <c r="J1131" t="str">
        <f t="shared" si="34"/>
        <v>COLONIAL</v>
      </c>
    </row>
    <row r="1132" spans="1:10" x14ac:dyDescent="0.3">
      <c r="A1132" t="str">
        <f>""</f>
        <v/>
      </c>
      <c r="B1132" t="str">
        <f>""</f>
        <v/>
      </c>
      <c r="G1132" t="str">
        <f>"CLI201801248228"</f>
        <v>CLI201801248228</v>
      </c>
      <c r="H1132" t="str">
        <f t="shared" si="33"/>
        <v>COLONIAL</v>
      </c>
      <c r="I1132" s="2">
        <v>649.54</v>
      </c>
      <c r="J1132" t="str">
        <f t="shared" si="34"/>
        <v>COLONIAL</v>
      </c>
    </row>
    <row r="1133" spans="1:10" x14ac:dyDescent="0.3">
      <c r="A1133" t="str">
        <f>""</f>
        <v/>
      </c>
      <c r="B1133" t="str">
        <f>""</f>
        <v/>
      </c>
      <c r="G1133" t="str">
        <f>"CLK201801118129"</f>
        <v>CLK201801118129</v>
      </c>
      <c r="H1133" t="str">
        <f t="shared" si="33"/>
        <v>COLONIAL</v>
      </c>
      <c r="I1133" s="2">
        <v>27.09</v>
      </c>
      <c r="J1133" t="str">
        <f t="shared" si="34"/>
        <v>COLONIAL</v>
      </c>
    </row>
    <row r="1134" spans="1:10" x14ac:dyDescent="0.3">
      <c r="A1134" t="str">
        <f>""</f>
        <v/>
      </c>
      <c r="B1134" t="str">
        <f>""</f>
        <v/>
      </c>
      <c r="G1134" t="str">
        <f>"CLK201801248228"</f>
        <v>CLK201801248228</v>
      </c>
      <c r="H1134" t="str">
        <f t="shared" si="33"/>
        <v>COLONIAL</v>
      </c>
      <c r="I1134" s="2">
        <v>27.09</v>
      </c>
      <c r="J1134" t="str">
        <f t="shared" si="34"/>
        <v>COLONIAL</v>
      </c>
    </row>
    <row r="1135" spans="1:10" x14ac:dyDescent="0.3">
      <c r="A1135" t="str">
        <f>""</f>
        <v/>
      </c>
      <c r="B1135" t="str">
        <f>""</f>
        <v/>
      </c>
      <c r="G1135" t="str">
        <f>"CLS201801118129"</f>
        <v>CLS201801118129</v>
      </c>
      <c r="H1135" t="str">
        <f t="shared" si="33"/>
        <v>COLONIAL</v>
      </c>
      <c r="I1135" s="2">
        <v>447.11</v>
      </c>
      <c r="J1135" t="str">
        <f t="shared" si="34"/>
        <v>COLONIAL</v>
      </c>
    </row>
    <row r="1136" spans="1:10" x14ac:dyDescent="0.3">
      <c r="A1136" t="str">
        <f>""</f>
        <v/>
      </c>
      <c r="B1136" t="str">
        <f>""</f>
        <v/>
      </c>
      <c r="G1136" t="str">
        <f>"CLS201801118130"</f>
        <v>CLS201801118130</v>
      </c>
      <c r="H1136" t="str">
        <f t="shared" si="33"/>
        <v>COLONIAL</v>
      </c>
      <c r="I1136" s="2">
        <v>12.84</v>
      </c>
      <c r="J1136" t="str">
        <f t="shared" si="34"/>
        <v>COLONIAL</v>
      </c>
    </row>
    <row r="1137" spans="1:10" x14ac:dyDescent="0.3">
      <c r="A1137" t="str">
        <f>""</f>
        <v/>
      </c>
      <c r="B1137" t="str">
        <f>""</f>
        <v/>
      </c>
      <c r="G1137" t="str">
        <f>"CLS201801248226"</f>
        <v>CLS201801248226</v>
      </c>
      <c r="H1137" t="str">
        <f t="shared" si="33"/>
        <v>COLONIAL</v>
      </c>
      <c r="I1137" s="2">
        <v>12.84</v>
      </c>
      <c r="J1137" t="str">
        <f t="shared" si="34"/>
        <v>COLONIAL</v>
      </c>
    </row>
    <row r="1138" spans="1:10" x14ac:dyDescent="0.3">
      <c r="A1138" t="str">
        <f>""</f>
        <v/>
      </c>
      <c r="B1138" t="str">
        <f>""</f>
        <v/>
      </c>
      <c r="G1138" t="str">
        <f>"CLS201801248228"</f>
        <v>CLS201801248228</v>
      </c>
      <c r="H1138" t="str">
        <f t="shared" si="33"/>
        <v>COLONIAL</v>
      </c>
      <c r="I1138" s="2">
        <v>447.11</v>
      </c>
      <c r="J1138" t="str">
        <f t="shared" si="34"/>
        <v>COLONIAL</v>
      </c>
    </row>
    <row r="1139" spans="1:10" x14ac:dyDescent="0.3">
      <c r="A1139" t="str">
        <f>""</f>
        <v/>
      </c>
      <c r="B1139" t="str">
        <f>""</f>
        <v/>
      </c>
      <c r="G1139" t="str">
        <f>"CLT201801118129"</f>
        <v>CLT201801118129</v>
      </c>
      <c r="H1139" t="str">
        <f t="shared" si="33"/>
        <v>COLONIAL</v>
      </c>
      <c r="I1139" s="2">
        <v>367.91</v>
      </c>
      <c r="J1139" t="str">
        <f t="shared" si="34"/>
        <v>COLONIAL</v>
      </c>
    </row>
    <row r="1140" spans="1:10" x14ac:dyDescent="0.3">
      <c r="A1140" t="str">
        <f>""</f>
        <v/>
      </c>
      <c r="B1140" t="str">
        <f>""</f>
        <v/>
      </c>
      <c r="G1140" t="str">
        <f>"CLT201801248228"</f>
        <v>CLT201801248228</v>
      </c>
      <c r="H1140" t="str">
        <f t="shared" si="33"/>
        <v>COLONIAL</v>
      </c>
      <c r="I1140" s="2">
        <v>367.91</v>
      </c>
      <c r="J1140" t="str">
        <f t="shared" si="34"/>
        <v>COLONIAL</v>
      </c>
    </row>
    <row r="1141" spans="1:10" x14ac:dyDescent="0.3">
      <c r="A1141" t="str">
        <f>""</f>
        <v/>
      </c>
      <c r="B1141" t="str">
        <f>""</f>
        <v/>
      </c>
      <c r="G1141" t="str">
        <f>"CLU201801118129"</f>
        <v>CLU201801118129</v>
      </c>
      <c r="H1141" t="str">
        <f t="shared" si="33"/>
        <v>COLONIAL</v>
      </c>
      <c r="I1141" s="2">
        <v>211.7</v>
      </c>
      <c r="J1141" t="str">
        <f t="shared" si="34"/>
        <v>COLONIAL</v>
      </c>
    </row>
    <row r="1142" spans="1:10" x14ac:dyDescent="0.3">
      <c r="A1142" t="str">
        <f>""</f>
        <v/>
      </c>
      <c r="B1142" t="str">
        <f>""</f>
        <v/>
      </c>
      <c r="G1142" t="str">
        <f>"CLU201801248228"</f>
        <v>CLU201801248228</v>
      </c>
      <c r="H1142" t="str">
        <f t="shared" si="33"/>
        <v>COLONIAL</v>
      </c>
      <c r="I1142" s="2">
        <v>211.7</v>
      </c>
      <c r="J1142" t="str">
        <f t="shared" si="34"/>
        <v>COLONIAL</v>
      </c>
    </row>
    <row r="1143" spans="1:10" x14ac:dyDescent="0.3">
      <c r="A1143" t="str">
        <f>""</f>
        <v/>
      </c>
      <c r="B1143" t="str">
        <f>""</f>
        <v/>
      </c>
      <c r="G1143" t="str">
        <f>"CLW201801118129"</f>
        <v>CLW201801118129</v>
      </c>
      <c r="H1143" t="str">
        <f t="shared" si="33"/>
        <v>COLONIAL</v>
      </c>
      <c r="I1143" s="2">
        <v>69.59</v>
      </c>
      <c r="J1143" t="str">
        <f t="shared" si="34"/>
        <v>COLONIAL</v>
      </c>
    </row>
    <row r="1144" spans="1:10" x14ac:dyDescent="0.3">
      <c r="A1144" t="str">
        <f>""</f>
        <v/>
      </c>
      <c r="B1144" t="str">
        <f>""</f>
        <v/>
      </c>
      <c r="G1144" t="str">
        <f>"CLW201801248228"</f>
        <v>CLW201801248228</v>
      </c>
      <c r="H1144" t="str">
        <f t="shared" si="33"/>
        <v>COLONIAL</v>
      </c>
      <c r="I1144" s="2">
        <v>69.59</v>
      </c>
      <c r="J1144" t="str">
        <f t="shared" si="34"/>
        <v>COLONIAL</v>
      </c>
    </row>
    <row r="1145" spans="1:10" x14ac:dyDescent="0.3">
      <c r="A1145" t="str">
        <f>"01"</f>
        <v>01</v>
      </c>
      <c r="B1145" t="str">
        <f>"T14390"</f>
        <v>T14390</v>
      </c>
      <c r="C1145" t="s">
        <v>397</v>
      </c>
      <c r="D1145">
        <v>0</v>
      </c>
      <c r="E1145" s="2">
        <v>7442.6</v>
      </c>
      <c r="F1145" s="1">
        <v>43112</v>
      </c>
      <c r="G1145" t="str">
        <f>"CPI201801118129"</f>
        <v>CPI201801118129</v>
      </c>
      <c r="H1145" t="str">
        <f>"DEFERRED COMP 457B PAYABLE"</f>
        <v>DEFERRED COMP 457B PAYABLE</v>
      </c>
      <c r="I1145" s="2">
        <v>7335.1</v>
      </c>
      <c r="J1145" t="str">
        <f>"DEFERRED COMP 457B PAYABLE"</f>
        <v>DEFERRED COMP 457B PAYABLE</v>
      </c>
    </row>
    <row r="1146" spans="1:10" x14ac:dyDescent="0.3">
      <c r="A1146" t="str">
        <f>""</f>
        <v/>
      </c>
      <c r="B1146" t="str">
        <f>""</f>
        <v/>
      </c>
      <c r="G1146" t="str">
        <f>"CPI201801118130"</f>
        <v>CPI201801118130</v>
      </c>
      <c r="H1146" t="str">
        <f>"DEFERRED COMP 457B PAYABLE"</f>
        <v>DEFERRED COMP 457B PAYABLE</v>
      </c>
      <c r="I1146" s="2">
        <v>107.5</v>
      </c>
      <c r="J1146" t="str">
        <f>"DEFERRED COMP 457B PAYABLE"</f>
        <v>DEFERRED COMP 457B PAYABLE</v>
      </c>
    </row>
    <row r="1147" spans="1:10" x14ac:dyDescent="0.3">
      <c r="A1147" t="str">
        <f>"01"</f>
        <v>01</v>
      </c>
      <c r="B1147" t="str">
        <f>"T14390"</f>
        <v>T14390</v>
      </c>
      <c r="C1147" t="s">
        <v>397</v>
      </c>
      <c r="D1147">
        <v>0</v>
      </c>
      <c r="E1147" s="2">
        <v>7420.1</v>
      </c>
      <c r="F1147" s="1">
        <v>43126</v>
      </c>
      <c r="G1147" t="str">
        <f>"CPI201801248226"</f>
        <v>CPI201801248226</v>
      </c>
      <c r="H1147" t="str">
        <f>"DEFERRED COMP 457B PAYABLE"</f>
        <v>DEFERRED COMP 457B PAYABLE</v>
      </c>
      <c r="I1147" s="2">
        <v>107.5</v>
      </c>
      <c r="J1147" t="str">
        <f>"DEFERRED COMP 457B PAYABLE"</f>
        <v>DEFERRED COMP 457B PAYABLE</v>
      </c>
    </row>
    <row r="1148" spans="1:10" x14ac:dyDescent="0.3">
      <c r="A1148" t="str">
        <f>""</f>
        <v/>
      </c>
      <c r="B1148" t="str">
        <f>""</f>
        <v/>
      </c>
      <c r="G1148" t="str">
        <f>"CPI201801248228"</f>
        <v>CPI201801248228</v>
      </c>
      <c r="H1148" t="str">
        <f>"DEFERRED COMP 457B PAYABLE"</f>
        <v>DEFERRED COMP 457B PAYABLE</v>
      </c>
      <c r="I1148" s="2">
        <v>7312.6</v>
      </c>
      <c r="J1148" t="str">
        <f>"DEFERRED COMP 457B PAYABLE"</f>
        <v>DEFERRED COMP 457B PAYABLE</v>
      </c>
    </row>
    <row r="1149" spans="1:10" x14ac:dyDescent="0.3">
      <c r="A1149" t="str">
        <f>"01"</f>
        <v>01</v>
      </c>
      <c r="B1149" t="str">
        <f>"T10761"</f>
        <v>T10761</v>
      </c>
      <c r="C1149" t="s">
        <v>398</v>
      </c>
      <c r="D1149">
        <v>46106</v>
      </c>
      <c r="E1149" s="2">
        <v>1345.62</v>
      </c>
      <c r="F1149" s="1">
        <v>43112</v>
      </c>
      <c r="G1149" t="str">
        <f>"B13201801118129"</f>
        <v>B13201801118129</v>
      </c>
      <c r="H1149" t="str">
        <f>"Rosa Warren 15-10357-TMD"</f>
        <v>Rosa Warren 15-10357-TMD</v>
      </c>
      <c r="I1149" s="2">
        <v>853.85</v>
      </c>
      <c r="J1149" t="str">
        <f>"Rosa Warren 15-10357-TMD"</f>
        <v>Rosa Warren 15-10357-TMD</v>
      </c>
    </row>
    <row r="1150" spans="1:10" x14ac:dyDescent="0.3">
      <c r="A1150" t="str">
        <f>""</f>
        <v/>
      </c>
      <c r="B1150" t="str">
        <f>""</f>
        <v/>
      </c>
      <c r="G1150" t="str">
        <f>"BJL201801118129"</f>
        <v>BJL201801118129</v>
      </c>
      <c r="H1150" t="str">
        <f>"Julian Luna 14-10230-TMD"</f>
        <v>Julian Luna 14-10230-TMD</v>
      </c>
      <c r="I1150" s="2">
        <v>491.77</v>
      </c>
      <c r="J1150" t="str">
        <f>"Julian Luna 14-10230-TMD"</f>
        <v>Julian Luna 14-10230-TMD</v>
      </c>
    </row>
    <row r="1151" spans="1:10" x14ac:dyDescent="0.3">
      <c r="A1151" t="str">
        <f>"01"</f>
        <v>01</v>
      </c>
      <c r="B1151" t="str">
        <f>"T10761"</f>
        <v>T10761</v>
      </c>
      <c r="C1151" t="s">
        <v>398</v>
      </c>
      <c r="D1151">
        <v>46131</v>
      </c>
      <c r="E1151" s="2">
        <v>1345.62</v>
      </c>
      <c r="F1151" s="1">
        <v>43126</v>
      </c>
      <c r="G1151" t="str">
        <f>"B13201801248228"</f>
        <v>B13201801248228</v>
      </c>
      <c r="H1151" t="str">
        <f>"Rosa Warren 15-10357-TMD"</f>
        <v>Rosa Warren 15-10357-TMD</v>
      </c>
      <c r="I1151" s="2">
        <v>853.85</v>
      </c>
      <c r="J1151" t="str">
        <f>"Rosa Warren 15-10357-TMD"</f>
        <v>Rosa Warren 15-10357-TMD</v>
      </c>
    </row>
    <row r="1152" spans="1:10" x14ac:dyDescent="0.3">
      <c r="A1152" t="str">
        <f>""</f>
        <v/>
      </c>
      <c r="B1152" t="str">
        <f>""</f>
        <v/>
      </c>
      <c r="G1152" t="str">
        <f>"BJL201801248228"</f>
        <v>BJL201801248228</v>
      </c>
      <c r="H1152" t="str">
        <f>"Julian Luna 14-10230-TMD"</f>
        <v>Julian Luna 14-10230-TMD</v>
      </c>
      <c r="I1152" s="2">
        <v>491.77</v>
      </c>
      <c r="J1152" t="str">
        <f>"Julian Luna 14-10230-TMD"</f>
        <v>Julian Luna 14-10230-TMD</v>
      </c>
    </row>
    <row r="1153" spans="1:10" x14ac:dyDescent="0.3">
      <c r="A1153" t="str">
        <f>"01"</f>
        <v>01</v>
      </c>
      <c r="B1153" t="str">
        <f>"GUARD"</f>
        <v>GUARD</v>
      </c>
      <c r="C1153" t="s">
        <v>399</v>
      </c>
      <c r="D1153">
        <v>0</v>
      </c>
      <c r="E1153" s="2">
        <v>36792.01</v>
      </c>
      <c r="F1153" s="1">
        <v>43131</v>
      </c>
      <c r="G1153" t="str">
        <f>"201802018370"</f>
        <v>201802018370</v>
      </c>
      <c r="H1153" t="str">
        <f>"Dental Rounding Jan 2018"</f>
        <v>Dental Rounding Jan 2018</v>
      </c>
      <c r="I1153" s="2">
        <v>-5.81</v>
      </c>
      <c r="J1153" t="str">
        <f>"Dental Rounding Jan 2018"</f>
        <v>Dental Rounding Jan 2018</v>
      </c>
    </row>
    <row r="1154" spans="1:10" x14ac:dyDescent="0.3">
      <c r="A1154" t="str">
        <f>""</f>
        <v/>
      </c>
      <c r="B1154" t="str">
        <f>""</f>
        <v/>
      </c>
      <c r="G1154" t="str">
        <f>"201802018372"</f>
        <v>201802018372</v>
      </c>
      <c r="H1154" t="str">
        <f>"Life Ins Rounding Jan 2018"</f>
        <v>Life Ins Rounding Jan 2018</v>
      </c>
      <c r="I1154" s="2">
        <v>-0.21</v>
      </c>
      <c r="J1154" t="str">
        <f>"Life Ins Rounding Jan 2018"</f>
        <v>Life Ins Rounding Jan 2018</v>
      </c>
    </row>
    <row r="1155" spans="1:10" x14ac:dyDescent="0.3">
      <c r="A1155" t="str">
        <f>""</f>
        <v/>
      </c>
      <c r="B1155" t="str">
        <f>""</f>
        <v/>
      </c>
      <c r="G1155" t="str">
        <f>"201802018373"</f>
        <v>201802018373</v>
      </c>
      <c r="H1155" t="str">
        <f>"LTD Rounding Jan 2018"</f>
        <v>LTD Rounding Jan 2018</v>
      </c>
      <c r="I1155" s="2">
        <v>-0.11</v>
      </c>
      <c r="J1155" t="str">
        <f>"LTD Rounding Jan 2018"</f>
        <v>LTD Rounding Jan 2018</v>
      </c>
    </row>
    <row r="1156" spans="1:10" x14ac:dyDescent="0.3">
      <c r="A1156" t="str">
        <f>""</f>
        <v/>
      </c>
      <c r="B1156" t="str">
        <f>""</f>
        <v/>
      </c>
      <c r="G1156" t="str">
        <f>"201802018368"</f>
        <v>201802018368</v>
      </c>
      <c r="H1156" t="str">
        <f>"Retiree Dental Vision Jan 2018"</f>
        <v>Retiree Dental Vision Jan 2018</v>
      </c>
      <c r="I1156" s="2">
        <v>2830.38</v>
      </c>
      <c r="J1156" t="str">
        <f>"Retiree Dental Vision Jan 2018"</f>
        <v>Retiree Dental Vision Jan 2018</v>
      </c>
    </row>
    <row r="1157" spans="1:10" x14ac:dyDescent="0.3">
      <c r="A1157" t="str">
        <f>""</f>
        <v/>
      </c>
      <c r="B1157" t="str">
        <f>""</f>
        <v/>
      </c>
      <c r="G1157" t="str">
        <f>"201802018369"</f>
        <v>201802018369</v>
      </c>
      <c r="H1157" t="str">
        <f>"COBRA Jan 2018"</f>
        <v>COBRA Jan 2018</v>
      </c>
      <c r="I1157" s="2">
        <v>100.42</v>
      </c>
      <c r="J1157" t="str">
        <f>"COBRA Jan 2018"</f>
        <v>COBRA Jan 2018</v>
      </c>
    </row>
    <row r="1158" spans="1:10" x14ac:dyDescent="0.3">
      <c r="A1158" t="str">
        <f>""</f>
        <v/>
      </c>
      <c r="B1158" t="str">
        <f>""</f>
        <v/>
      </c>
      <c r="G1158" t="str">
        <f>"201802018371"</f>
        <v>201802018371</v>
      </c>
      <c r="H1158" t="str">
        <f>"Retiree Life Coverage Jan 2018"</f>
        <v>Retiree Life Coverage Jan 2018</v>
      </c>
      <c r="I1158" s="2">
        <v>133.22</v>
      </c>
      <c r="J1158" t="str">
        <f>"Retiree Life Coverage Jan 2018"</f>
        <v>Retiree Life Coverage Jan 2018</v>
      </c>
    </row>
    <row r="1159" spans="1:10" x14ac:dyDescent="0.3">
      <c r="A1159" t="str">
        <f>""</f>
        <v/>
      </c>
      <c r="B1159" t="str">
        <f>""</f>
        <v/>
      </c>
      <c r="G1159" t="str">
        <f>"ADC201801118129"</f>
        <v>ADC201801118129</v>
      </c>
      <c r="H1159" t="str">
        <f t="shared" ref="H1159:H1171" si="35">"GUARDIAN"</f>
        <v>GUARDIAN</v>
      </c>
      <c r="I1159" s="2">
        <v>4.99</v>
      </c>
      <c r="J1159" t="str">
        <f t="shared" ref="J1159:J1222" si="36">"GUARDIAN"</f>
        <v>GUARDIAN</v>
      </c>
    </row>
    <row r="1160" spans="1:10" x14ac:dyDescent="0.3">
      <c r="A1160" t="str">
        <f>""</f>
        <v/>
      </c>
      <c r="B1160" t="str">
        <f>""</f>
        <v/>
      </c>
      <c r="G1160" t="str">
        <f>"ADC201801118130"</f>
        <v>ADC201801118130</v>
      </c>
      <c r="H1160" t="str">
        <f t="shared" si="35"/>
        <v>GUARDIAN</v>
      </c>
      <c r="I1160" s="2">
        <v>0.16</v>
      </c>
      <c r="J1160" t="str">
        <f t="shared" si="36"/>
        <v>GUARDIAN</v>
      </c>
    </row>
    <row r="1161" spans="1:10" x14ac:dyDescent="0.3">
      <c r="A1161" t="str">
        <f>""</f>
        <v/>
      </c>
      <c r="B1161" t="str">
        <f>""</f>
        <v/>
      </c>
      <c r="G1161" t="str">
        <f>"ADC201801248226"</f>
        <v>ADC201801248226</v>
      </c>
      <c r="H1161" t="str">
        <f t="shared" si="35"/>
        <v>GUARDIAN</v>
      </c>
      <c r="I1161" s="2">
        <v>0.16</v>
      </c>
      <c r="J1161" t="str">
        <f t="shared" si="36"/>
        <v>GUARDIAN</v>
      </c>
    </row>
    <row r="1162" spans="1:10" x14ac:dyDescent="0.3">
      <c r="A1162" t="str">
        <f>""</f>
        <v/>
      </c>
      <c r="B1162" t="str">
        <f>""</f>
        <v/>
      </c>
      <c r="G1162" t="str">
        <f>"ADC201801248228"</f>
        <v>ADC201801248228</v>
      </c>
      <c r="H1162" t="str">
        <f t="shared" si="35"/>
        <v>GUARDIAN</v>
      </c>
      <c r="I1162" s="2">
        <v>4.99</v>
      </c>
      <c r="J1162" t="str">
        <f t="shared" si="36"/>
        <v>GUARDIAN</v>
      </c>
    </row>
    <row r="1163" spans="1:10" x14ac:dyDescent="0.3">
      <c r="A1163" t="str">
        <f>""</f>
        <v/>
      </c>
      <c r="B1163" t="str">
        <f>""</f>
        <v/>
      </c>
      <c r="G1163" t="str">
        <f>"ADE201801118129"</f>
        <v>ADE201801118129</v>
      </c>
      <c r="H1163" t="str">
        <f t="shared" si="35"/>
        <v>GUARDIAN</v>
      </c>
      <c r="I1163" s="2">
        <v>195.72</v>
      </c>
      <c r="J1163" t="str">
        <f t="shared" si="36"/>
        <v>GUARDIAN</v>
      </c>
    </row>
    <row r="1164" spans="1:10" x14ac:dyDescent="0.3">
      <c r="A1164" t="str">
        <f>""</f>
        <v/>
      </c>
      <c r="B1164" t="str">
        <f>""</f>
        <v/>
      </c>
      <c r="G1164" t="str">
        <f>"ADE201801118130"</f>
        <v>ADE201801118130</v>
      </c>
      <c r="H1164" t="str">
        <f t="shared" si="35"/>
        <v>GUARDIAN</v>
      </c>
      <c r="I1164" s="2">
        <v>7.8</v>
      </c>
      <c r="J1164" t="str">
        <f t="shared" si="36"/>
        <v>GUARDIAN</v>
      </c>
    </row>
    <row r="1165" spans="1:10" x14ac:dyDescent="0.3">
      <c r="A1165" t="str">
        <f>""</f>
        <v/>
      </c>
      <c r="B1165" t="str">
        <f>""</f>
        <v/>
      </c>
      <c r="G1165" t="str">
        <f>"ADE201801248226"</f>
        <v>ADE201801248226</v>
      </c>
      <c r="H1165" t="str">
        <f t="shared" si="35"/>
        <v>GUARDIAN</v>
      </c>
      <c r="I1165" s="2">
        <v>7.8</v>
      </c>
      <c r="J1165" t="str">
        <f t="shared" si="36"/>
        <v>GUARDIAN</v>
      </c>
    </row>
    <row r="1166" spans="1:10" x14ac:dyDescent="0.3">
      <c r="A1166" t="str">
        <f>""</f>
        <v/>
      </c>
      <c r="B1166" t="str">
        <f>""</f>
        <v/>
      </c>
      <c r="G1166" t="str">
        <f>"ADE201801248228"</f>
        <v>ADE201801248228</v>
      </c>
      <c r="H1166" t="str">
        <f t="shared" si="35"/>
        <v>GUARDIAN</v>
      </c>
      <c r="I1166" s="2">
        <v>195.72</v>
      </c>
      <c r="J1166" t="str">
        <f t="shared" si="36"/>
        <v>GUARDIAN</v>
      </c>
    </row>
    <row r="1167" spans="1:10" x14ac:dyDescent="0.3">
      <c r="A1167" t="str">
        <f>""</f>
        <v/>
      </c>
      <c r="B1167" t="str">
        <f>""</f>
        <v/>
      </c>
      <c r="G1167" t="str">
        <f>"ADS201801118129"</f>
        <v>ADS201801118129</v>
      </c>
      <c r="H1167" t="str">
        <f t="shared" si="35"/>
        <v>GUARDIAN</v>
      </c>
      <c r="I1167" s="2">
        <v>30.88</v>
      </c>
      <c r="J1167" t="str">
        <f t="shared" si="36"/>
        <v>GUARDIAN</v>
      </c>
    </row>
    <row r="1168" spans="1:10" x14ac:dyDescent="0.3">
      <c r="A1168" t="str">
        <f>""</f>
        <v/>
      </c>
      <c r="B1168" t="str">
        <f>""</f>
        <v/>
      </c>
      <c r="G1168" t="str">
        <f>"ADS201801118130"</f>
        <v>ADS201801118130</v>
      </c>
      <c r="H1168" t="str">
        <f t="shared" si="35"/>
        <v>GUARDIAN</v>
      </c>
      <c r="I1168" s="2">
        <v>0.98</v>
      </c>
      <c r="J1168" t="str">
        <f t="shared" si="36"/>
        <v>GUARDIAN</v>
      </c>
    </row>
    <row r="1169" spans="1:10" x14ac:dyDescent="0.3">
      <c r="A1169" t="str">
        <f>""</f>
        <v/>
      </c>
      <c r="B1169" t="str">
        <f>""</f>
        <v/>
      </c>
      <c r="G1169" t="str">
        <f>"ADS201801248226"</f>
        <v>ADS201801248226</v>
      </c>
      <c r="H1169" t="str">
        <f t="shared" si="35"/>
        <v>GUARDIAN</v>
      </c>
      <c r="I1169" s="2">
        <v>0.98</v>
      </c>
      <c r="J1169" t="str">
        <f t="shared" si="36"/>
        <v>GUARDIAN</v>
      </c>
    </row>
    <row r="1170" spans="1:10" x14ac:dyDescent="0.3">
      <c r="A1170" t="str">
        <f>""</f>
        <v/>
      </c>
      <c r="B1170" t="str">
        <f>""</f>
        <v/>
      </c>
      <c r="G1170" t="str">
        <f>"ADS201801248228"</f>
        <v>ADS201801248228</v>
      </c>
      <c r="H1170" t="str">
        <f t="shared" si="35"/>
        <v>GUARDIAN</v>
      </c>
      <c r="I1170" s="2">
        <v>30.88</v>
      </c>
      <c r="J1170" t="str">
        <f t="shared" si="36"/>
        <v>GUARDIAN</v>
      </c>
    </row>
    <row r="1171" spans="1:10" x14ac:dyDescent="0.3">
      <c r="A1171" t="str">
        <f>""</f>
        <v/>
      </c>
      <c r="B1171" t="str">
        <f>""</f>
        <v/>
      </c>
      <c r="G1171" t="str">
        <f>"GDC201801118129"</f>
        <v>GDC201801118129</v>
      </c>
      <c r="H1171" t="str">
        <f t="shared" si="35"/>
        <v>GUARDIAN</v>
      </c>
      <c r="I1171" s="2">
        <v>2481.4</v>
      </c>
      <c r="J1171" t="str">
        <f t="shared" si="36"/>
        <v>GUARDIAN</v>
      </c>
    </row>
    <row r="1172" spans="1:10" x14ac:dyDescent="0.3">
      <c r="A1172" t="str">
        <f>""</f>
        <v/>
      </c>
      <c r="B1172" t="str">
        <f>""</f>
        <v/>
      </c>
      <c r="G1172" t="str">
        <f>""</f>
        <v/>
      </c>
      <c r="H1172" t="str">
        <f>""</f>
        <v/>
      </c>
      <c r="J1172" t="str">
        <f t="shared" si="36"/>
        <v>GUARDIAN</v>
      </c>
    </row>
    <row r="1173" spans="1:10" x14ac:dyDescent="0.3">
      <c r="A1173" t="str">
        <f>""</f>
        <v/>
      </c>
      <c r="B1173" t="str">
        <f>""</f>
        <v/>
      </c>
      <c r="G1173" t="str">
        <f>""</f>
        <v/>
      </c>
      <c r="H1173" t="str">
        <f>""</f>
        <v/>
      </c>
      <c r="J1173" t="str">
        <f t="shared" si="36"/>
        <v>GUARDIAN</v>
      </c>
    </row>
    <row r="1174" spans="1:10" x14ac:dyDescent="0.3">
      <c r="A1174" t="str">
        <f>""</f>
        <v/>
      </c>
      <c r="B1174" t="str">
        <f>""</f>
        <v/>
      </c>
      <c r="G1174" t="str">
        <f>""</f>
        <v/>
      </c>
      <c r="H1174" t="str">
        <f>""</f>
        <v/>
      </c>
      <c r="J1174" t="str">
        <f t="shared" si="36"/>
        <v>GUARDIAN</v>
      </c>
    </row>
    <row r="1175" spans="1:10" x14ac:dyDescent="0.3">
      <c r="A1175" t="str">
        <f>""</f>
        <v/>
      </c>
      <c r="B1175" t="str">
        <f>""</f>
        <v/>
      </c>
      <c r="G1175" t="str">
        <f>""</f>
        <v/>
      </c>
      <c r="H1175" t="str">
        <f>""</f>
        <v/>
      </c>
      <c r="J1175" t="str">
        <f t="shared" si="36"/>
        <v>GUARDIAN</v>
      </c>
    </row>
    <row r="1176" spans="1:10" x14ac:dyDescent="0.3">
      <c r="A1176" t="str">
        <f>""</f>
        <v/>
      </c>
      <c r="B1176" t="str">
        <f>""</f>
        <v/>
      </c>
      <c r="G1176" t="str">
        <f>""</f>
        <v/>
      </c>
      <c r="H1176" t="str">
        <f>""</f>
        <v/>
      </c>
      <c r="J1176" t="str">
        <f t="shared" si="36"/>
        <v>GUARDIAN</v>
      </c>
    </row>
    <row r="1177" spans="1:10" x14ac:dyDescent="0.3">
      <c r="A1177" t="str">
        <f>""</f>
        <v/>
      </c>
      <c r="B1177" t="str">
        <f>""</f>
        <v/>
      </c>
      <c r="G1177" t="str">
        <f>""</f>
        <v/>
      </c>
      <c r="H1177" t="str">
        <f>""</f>
        <v/>
      </c>
      <c r="J1177" t="str">
        <f t="shared" si="36"/>
        <v>GUARDIAN</v>
      </c>
    </row>
    <row r="1178" spans="1:10" x14ac:dyDescent="0.3">
      <c r="A1178" t="str">
        <f>""</f>
        <v/>
      </c>
      <c r="B1178" t="str">
        <f>""</f>
        <v/>
      </c>
      <c r="G1178" t="str">
        <f>""</f>
        <v/>
      </c>
      <c r="H1178" t="str">
        <f>""</f>
        <v/>
      </c>
      <c r="J1178" t="str">
        <f t="shared" si="36"/>
        <v>GUARDIAN</v>
      </c>
    </row>
    <row r="1179" spans="1:10" x14ac:dyDescent="0.3">
      <c r="A1179" t="str">
        <f>""</f>
        <v/>
      </c>
      <c r="B1179" t="str">
        <f>""</f>
        <v/>
      </c>
      <c r="G1179" t="str">
        <f>""</f>
        <v/>
      </c>
      <c r="H1179" t="str">
        <f>""</f>
        <v/>
      </c>
      <c r="J1179" t="str">
        <f t="shared" si="36"/>
        <v>GUARDIAN</v>
      </c>
    </row>
    <row r="1180" spans="1:10" x14ac:dyDescent="0.3">
      <c r="A1180" t="str">
        <f>""</f>
        <v/>
      </c>
      <c r="B1180" t="str">
        <f>""</f>
        <v/>
      </c>
      <c r="G1180" t="str">
        <f>""</f>
        <v/>
      </c>
      <c r="H1180" t="str">
        <f>""</f>
        <v/>
      </c>
      <c r="J1180" t="str">
        <f t="shared" si="36"/>
        <v>GUARDIAN</v>
      </c>
    </row>
    <row r="1181" spans="1:10" x14ac:dyDescent="0.3">
      <c r="A1181" t="str">
        <f>""</f>
        <v/>
      </c>
      <c r="B1181" t="str">
        <f>""</f>
        <v/>
      </c>
      <c r="G1181" t="str">
        <f>""</f>
        <v/>
      </c>
      <c r="H1181" t="str">
        <f>""</f>
        <v/>
      </c>
      <c r="J1181" t="str">
        <f t="shared" si="36"/>
        <v>GUARDIAN</v>
      </c>
    </row>
    <row r="1182" spans="1:10" x14ac:dyDescent="0.3">
      <c r="A1182" t="str">
        <f>""</f>
        <v/>
      </c>
      <c r="B1182" t="str">
        <f>""</f>
        <v/>
      </c>
      <c r="G1182" t="str">
        <f>""</f>
        <v/>
      </c>
      <c r="H1182" t="str">
        <f>""</f>
        <v/>
      </c>
      <c r="J1182" t="str">
        <f t="shared" si="36"/>
        <v>GUARDIAN</v>
      </c>
    </row>
    <row r="1183" spans="1:10" x14ac:dyDescent="0.3">
      <c r="A1183" t="str">
        <f>""</f>
        <v/>
      </c>
      <c r="B1183" t="str">
        <f>""</f>
        <v/>
      </c>
      <c r="G1183" t="str">
        <f>""</f>
        <v/>
      </c>
      <c r="H1183" t="str">
        <f>""</f>
        <v/>
      </c>
      <c r="J1183" t="str">
        <f t="shared" si="36"/>
        <v>GUARDIAN</v>
      </c>
    </row>
    <row r="1184" spans="1:10" x14ac:dyDescent="0.3">
      <c r="A1184" t="str">
        <f>""</f>
        <v/>
      </c>
      <c r="B1184" t="str">
        <f>""</f>
        <v/>
      </c>
      <c r="G1184" t="str">
        <f>""</f>
        <v/>
      </c>
      <c r="H1184" t="str">
        <f>""</f>
        <v/>
      </c>
      <c r="J1184" t="str">
        <f t="shared" si="36"/>
        <v>GUARDIAN</v>
      </c>
    </row>
    <row r="1185" spans="1:10" x14ac:dyDescent="0.3">
      <c r="A1185" t="str">
        <f>""</f>
        <v/>
      </c>
      <c r="B1185" t="str">
        <f>""</f>
        <v/>
      </c>
      <c r="G1185" t="str">
        <f>""</f>
        <v/>
      </c>
      <c r="H1185" t="str">
        <f>""</f>
        <v/>
      </c>
      <c r="J1185" t="str">
        <f t="shared" si="36"/>
        <v>GUARDIAN</v>
      </c>
    </row>
    <row r="1186" spans="1:10" x14ac:dyDescent="0.3">
      <c r="A1186" t="str">
        <f>""</f>
        <v/>
      </c>
      <c r="B1186" t="str">
        <f>""</f>
        <v/>
      </c>
      <c r="G1186" t="str">
        <f>""</f>
        <v/>
      </c>
      <c r="H1186" t="str">
        <f>""</f>
        <v/>
      </c>
      <c r="J1186" t="str">
        <f t="shared" si="36"/>
        <v>GUARDIAN</v>
      </c>
    </row>
    <row r="1187" spans="1:10" x14ac:dyDescent="0.3">
      <c r="A1187" t="str">
        <f>""</f>
        <v/>
      </c>
      <c r="B1187" t="str">
        <f>""</f>
        <v/>
      </c>
      <c r="G1187" t="str">
        <f>""</f>
        <v/>
      </c>
      <c r="H1187" t="str">
        <f>""</f>
        <v/>
      </c>
      <c r="J1187" t="str">
        <f t="shared" si="36"/>
        <v>GUARDIAN</v>
      </c>
    </row>
    <row r="1188" spans="1:10" x14ac:dyDescent="0.3">
      <c r="A1188" t="str">
        <f>""</f>
        <v/>
      </c>
      <c r="B1188" t="str">
        <f>""</f>
        <v/>
      </c>
      <c r="G1188" t="str">
        <f>""</f>
        <v/>
      </c>
      <c r="H1188" t="str">
        <f>""</f>
        <v/>
      </c>
      <c r="J1188" t="str">
        <f t="shared" si="36"/>
        <v>GUARDIAN</v>
      </c>
    </row>
    <row r="1189" spans="1:10" x14ac:dyDescent="0.3">
      <c r="A1189" t="str">
        <f>""</f>
        <v/>
      </c>
      <c r="B1189" t="str">
        <f>""</f>
        <v/>
      </c>
      <c r="G1189" t="str">
        <f>""</f>
        <v/>
      </c>
      <c r="H1189" t="str">
        <f>""</f>
        <v/>
      </c>
      <c r="J1189" t="str">
        <f t="shared" si="36"/>
        <v>GUARDIAN</v>
      </c>
    </row>
    <row r="1190" spans="1:10" x14ac:dyDescent="0.3">
      <c r="A1190" t="str">
        <f>""</f>
        <v/>
      </c>
      <c r="B1190" t="str">
        <f>""</f>
        <v/>
      </c>
      <c r="G1190" t="str">
        <f>""</f>
        <v/>
      </c>
      <c r="H1190" t="str">
        <f>""</f>
        <v/>
      </c>
      <c r="J1190" t="str">
        <f t="shared" si="36"/>
        <v>GUARDIAN</v>
      </c>
    </row>
    <row r="1191" spans="1:10" x14ac:dyDescent="0.3">
      <c r="A1191" t="str">
        <f>""</f>
        <v/>
      </c>
      <c r="B1191" t="str">
        <f>""</f>
        <v/>
      </c>
      <c r="G1191" t="str">
        <f>""</f>
        <v/>
      </c>
      <c r="H1191" t="str">
        <f>""</f>
        <v/>
      </c>
      <c r="J1191" t="str">
        <f t="shared" si="36"/>
        <v>GUARDIAN</v>
      </c>
    </row>
    <row r="1192" spans="1:10" x14ac:dyDescent="0.3">
      <c r="A1192" t="str">
        <f>""</f>
        <v/>
      </c>
      <c r="B1192" t="str">
        <f>""</f>
        <v/>
      </c>
      <c r="G1192" t="str">
        <f>""</f>
        <v/>
      </c>
      <c r="H1192" t="str">
        <f>""</f>
        <v/>
      </c>
      <c r="J1192" t="str">
        <f t="shared" si="36"/>
        <v>GUARDIAN</v>
      </c>
    </row>
    <row r="1193" spans="1:10" x14ac:dyDescent="0.3">
      <c r="A1193" t="str">
        <f>""</f>
        <v/>
      </c>
      <c r="B1193" t="str">
        <f>""</f>
        <v/>
      </c>
      <c r="G1193" t="str">
        <f>""</f>
        <v/>
      </c>
      <c r="H1193" t="str">
        <f>""</f>
        <v/>
      </c>
      <c r="J1193" t="str">
        <f t="shared" si="36"/>
        <v>GUARDIAN</v>
      </c>
    </row>
    <row r="1194" spans="1:10" x14ac:dyDescent="0.3">
      <c r="A1194" t="str">
        <f>""</f>
        <v/>
      </c>
      <c r="B1194" t="str">
        <f>""</f>
        <v/>
      </c>
      <c r="G1194" t="str">
        <f>""</f>
        <v/>
      </c>
      <c r="H1194" t="str">
        <f>""</f>
        <v/>
      </c>
      <c r="J1194" t="str">
        <f t="shared" si="36"/>
        <v>GUARDIAN</v>
      </c>
    </row>
    <row r="1195" spans="1:10" x14ac:dyDescent="0.3">
      <c r="A1195" t="str">
        <f>""</f>
        <v/>
      </c>
      <c r="B1195" t="str">
        <f>""</f>
        <v/>
      </c>
      <c r="G1195" t="str">
        <f>""</f>
        <v/>
      </c>
      <c r="H1195" t="str">
        <f>""</f>
        <v/>
      </c>
      <c r="J1195" t="str">
        <f t="shared" si="36"/>
        <v>GUARDIAN</v>
      </c>
    </row>
    <row r="1196" spans="1:10" x14ac:dyDescent="0.3">
      <c r="A1196" t="str">
        <f>""</f>
        <v/>
      </c>
      <c r="B1196" t="str">
        <f>""</f>
        <v/>
      </c>
      <c r="G1196" t="str">
        <f>""</f>
        <v/>
      </c>
      <c r="H1196" t="str">
        <f>""</f>
        <v/>
      </c>
      <c r="J1196" t="str">
        <f t="shared" si="36"/>
        <v>GUARDIAN</v>
      </c>
    </row>
    <row r="1197" spans="1:10" x14ac:dyDescent="0.3">
      <c r="A1197" t="str">
        <f>""</f>
        <v/>
      </c>
      <c r="B1197" t="str">
        <f>""</f>
        <v/>
      </c>
      <c r="G1197" t="str">
        <f>""</f>
        <v/>
      </c>
      <c r="H1197" t="str">
        <f>""</f>
        <v/>
      </c>
      <c r="J1197" t="str">
        <f t="shared" si="36"/>
        <v>GUARDIAN</v>
      </c>
    </row>
    <row r="1198" spans="1:10" x14ac:dyDescent="0.3">
      <c r="A1198" t="str">
        <f>""</f>
        <v/>
      </c>
      <c r="B1198" t="str">
        <f>""</f>
        <v/>
      </c>
      <c r="G1198" t="str">
        <f>""</f>
        <v/>
      </c>
      <c r="H1198" t="str">
        <f>""</f>
        <v/>
      </c>
      <c r="J1198" t="str">
        <f t="shared" si="36"/>
        <v>GUARDIAN</v>
      </c>
    </row>
    <row r="1199" spans="1:10" x14ac:dyDescent="0.3">
      <c r="A1199" t="str">
        <f>""</f>
        <v/>
      </c>
      <c r="B1199" t="str">
        <f>""</f>
        <v/>
      </c>
      <c r="G1199" t="str">
        <f>""</f>
        <v/>
      </c>
      <c r="H1199" t="str">
        <f>""</f>
        <v/>
      </c>
      <c r="J1199" t="str">
        <f t="shared" si="36"/>
        <v>GUARDIAN</v>
      </c>
    </row>
    <row r="1200" spans="1:10" x14ac:dyDescent="0.3">
      <c r="A1200" t="str">
        <f>""</f>
        <v/>
      </c>
      <c r="B1200" t="str">
        <f>""</f>
        <v/>
      </c>
      <c r="G1200" t="str">
        <f>""</f>
        <v/>
      </c>
      <c r="H1200" t="str">
        <f>""</f>
        <v/>
      </c>
      <c r="J1200" t="str">
        <f t="shared" si="36"/>
        <v>GUARDIAN</v>
      </c>
    </row>
    <row r="1201" spans="1:10" x14ac:dyDescent="0.3">
      <c r="A1201" t="str">
        <f>""</f>
        <v/>
      </c>
      <c r="B1201" t="str">
        <f>""</f>
        <v/>
      </c>
      <c r="G1201" t="str">
        <f>""</f>
        <v/>
      </c>
      <c r="H1201" t="str">
        <f>""</f>
        <v/>
      </c>
      <c r="J1201" t="str">
        <f t="shared" si="36"/>
        <v>GUARDIAN</v>
      </c>
    </row>
    <row r="1202" spans="1:10" x14ac:dyDescent="0.3">
      <c r="A1202" t="str">
        <f>""</f>
        <v/>
      </c>
      <c r="B1202" t="str">
        <f>""</f>
        <v/>
      </c>
      <c r="G1202" t="str">
        <f>"GDC201801118130"</f>
        <v>GDC201801118130</v>
      </c>
      <c r="H1202" t="str">
        <f>"GUARDIAN"</f>
        <v>GUARDIAN</v>
      </c>
      <c r="I1202" s="2">
        <v>97.95</v>
      </c>
      <c r="J1202" t="str">
        <f t="shared" si="36"/>
        <v>GUARDIAN</v>
      </c>
    </row>
    <row r="1203" spans="1:10" x14ac:dyDescent="0.3">
      <c r="A1203" t="str">
        <f>""</f>
        <v/>
      </c>
      <c r="B1203" t="str">
        <f>""</f>
        <v/>
      </c>
      <c r="G1203" t="str">
        <f>""</f>
        <v/>
      </c>
      <c r="H1203" t="str">
        <f>""</f>
        <v/>
      </c>
      <c r="J1203" t="str">
        <f t="shared" si="36"/>
        <v>GUARDIAN</v>
      </c>
    </row>
    <row r="1204" spans="1:10" x14ac:dyDescent="0.3">
      <c r="A1204" t="str">
        <f>""</f>
        <v/>
      </c>
      <c r="B1204" t="str">
        <f>""</f>
        <v/>
      </c>
      <c r="G1204" t="str">
        <f>"GDC201801248226"</f>
        <v>GDC201801248226</v>
      </c>
      <c r="H1204" t="str">
        <f>"GUARDIAN"</f>
        <v>GUARDIAN</v>
      </c>
      <c r="I1204" s="2">
        <v>97.95</v>
      </c>
      <c r="J1204" t="str">
        <f t="shared" si="36"/>
        <v>GUARDIAN</v>
      </c>
    </row>
    <row r="1205" spans="1:10" x14ac:dyDescent="0.3">
      <c r="A1205" t="str">
        <f>""</f>
        <v/>
      </c>
      <c r="B1205" t="str">
        <f>""</f>
        <v/>
      </c>
      <c r="G1205" t="str">
        <f>""</f>
        <v/>
      </c>
      <c r="H1205" t="str">
        <f>""</f>
        <v/>
      </c>
      <c r="J1205" t="str">
        <f t="shared" si="36"/>
        <v>GUARDIAN</v>
      </c>
    </row>
    <row r="1206" spans="1:10" x14ac:dyDescent="0.3">
      <c r="A1206" t="str">
        <f>""</f>
        <v/>
      </c>
      <c r="B1206" t="str">
        <f>""</f>
        <v/>
      </c>
      <c r="G1206" t="str">
        <f>"GDC201801248228"</f>
        <v>GDC201801248228</v>
      </c>
      <c r="H1206" t="str">
        <f>"GUARDIAN"</f>
        <v>GUARDIAN</v>
      </c>
      <c r="I1206" s="2">
        <v>2481.4</v>
      </c>
      <c r="J1206" t="str">
        <f t="shared" si="36"/>
        <v>GUARDIAN</v>
      </c>
    </row>
    <row r="1207" spans="1:10" x14ac:dyDescent="0.3">
      <c r="A1207" t="str">
        <f>""</f>
        <v/>
      </c>
      <c r="B1207" t="str">
        <f>""</f>
        <v/>
      </c>
      <c r="G1207" t="str">
        <f>""</f>
        <v/>
      </c>
      <c r="H1207" t="str">
        <f>""</f>
        <v/>
      </c>
      <c r="J1207" t="str">
        <f t="shared" si="36"/>
        <v>GUARDIAN</v>
      </c>
    </row>
    <row r="1208" spans="1:10" x14ac:dyDescent="0.3">
      <c r="A1208" t="str">
        <f>""</f>
        <v/>
      </c>
      <c r="B1208" t="str">
        <f>""</f>
        <v/>
      </c>
      <c r="G1208" t="str">
        <f>""</f>
        <v/>
      </c>
      <c r="H1208" t="str">
        <f>""</f>
        <v/>
      </c>
      <c r="J1208" t="str">
        <f t="shared" si="36"/>
        <v>GUARDIAN</v>
      </c>
    </row>
    <row r="1209" spans="1:10" x14ac:dyDescent="0.3">
      <c r="A1209" t="str">
        <f>""</f>
        <v/>
      </c>
      <c r="B1209" t="str">
        <f>""</f>
        <v/>
      </c>
      <c r="G1209" t="str">
        <f>""</f>
        <v/>
      </c>
      <c r="H1209" t="str">
        <f>""</f>
        <v/>
      </c>
      <c r="J1209" t="str">
        <f t="shared" si="36"/>
        <v>GUARDIAN</v>
      </c>
    </row>
    <row r="1210" spans="1:10" x14ac:dyDescent="0.3">
      <c r="A1210" t="str">
        <f>""</f>
        <v/>
      </c>
      <c r="B1210" t="str">
        <f>""</f>
        <v/>
      </c>
      <c r="G1210" t="str">
        <f>""</f>
        <v/>
      </c>
      <c r="H1210" t="str">
        <f>""</f>
        <v/>
      </c>
      <c r="J1210" t="str">
        <f t="shared" si="36"/>
        <v>GUARDIAN</v>
      </c>
    </row>
    <row r="1211" spans="1:10" x14ac:dyDescent="0.3">
      <c r="A1211" t="str">
        <f>""</f>
        <v/>
      </c>
      <c r="B1211" t="str">
        <f>""</f>
        <v/>
      </c>
      <c r="G1211" t="str">
        <f>""</f>
        <v/>
      </c>
      <c r="H1211" t="str">
        <f>""</f>
        <v/>
      </c>
      <c r="J1211" t="str">
        <f t="shared" si="36"/>
        <v>GUARDIAN</v>
      </c>
    </row>
    <row r="1212" spans="1:10" x14ac:dyDescent="0.3">
      <c r="A1212" t="str">
        <f>""</f>
        <v/>
      </c>
      <c r="B1212" t="str">
        <f>""</f>
        <v/>
      </c>
      <c r="G1212" t="str">
        <f>""</f>
        <v/>
      </c>
      <c r="H1212" t="str">
        <f>""</f>
        <v/>
      </c>
      <c r="J1212" t="str">
        <f t="shared" si="36"/>
        <v>GUARDIAN</v>
      </c>
    </row>
    <row r="1213" spans="1:10" x14ac:dyDescent="0.3">
      <c r="A1213" t="str">
        <f>""</f>
        <v/>
      </c>
      <c r="B1213" t="str">
        <f>""</f>
        <v/>
      </c>
      <c r="G1213" t="str">
        <f>""</f>
        <v/>
      </c>
      <c r="H1213" t="str">
        <f>""</f>
        <v/>
      </c>
      <c r="J1213" t="str">
        <f t="shared" si="36"/>
        <v>GUARDIAN</v>
      </c>
    </row>
    <row r="1214" spans="1:10" x14ac:dyDescent="0.3">
      <c r="A1214" t="str">
        <f>""</f>
        <v/>
      </c>
      <c r="B1214" t="str">
        <f>""</f>
        <v/>
      </c>
      <c r="G1214" t="str">
        <f>""</f>
        <v/>
      </c>
      <c r="H1214" t="str">
        <f>""</f>
        <v/>
      </c>
      <c r="J1214" t="str">
        <f t="shared" si="36"/>
        <v>GUARDIAN</v>
      </c>
    </row>
    <row r="1215" spans="1:10" x14ac:dyDescent="0.3">
      <c r="A1215" t="str">
        <f>""</f>
        <v/>
      </c>
      <c r="B1215" t="str">
        <f>""</f>
        <v/>
      </c>
      <c r="G1215" t="str">
        <f>""</f>
        <v/>
      </c>
      <c r="H1215" t="str">
        <f>""</f>
        <v/>
      </c>
      <c r="J1215" t="str">
        <f t="shared" si="36"/>
        <v>GUARDIAN</v>
      </c>
    </row>
    <row r="1216" spans="1:10" x14ac:dyDescent="0.3">
      <c r="A1216" t="str">
        <f>""</f>
        <v/>
      </c>
      <c r="B1216" t="str">
        <f>""</f>
        <v/>
      </c>
      <c r="G1216" t="str">
        <f>""</f>
        <v/>
      </c>
      <c r="H1216" t="str">
        <f>""</f>
        <v/>
      </c>
      <c r="J1216" t="str">
        <f t="shared" si="36"/>
        <v>GUARDIAN</v>
      </c>
    </row>
    <row r="1217" spans="1:10" x14ac:dyDescent="0.3">
      <c r="A1217" t="str">
        <f>""</f>
        <v/>
      </c>
      <c r="B1217" t="str">
        <f>""</f>
        <v/>
      </c>
      <c r="G1217" t="str">
        <f>""</f>
        <v/>
      </c>
      <c r="H1217" t="str">
        <f>""</f>
        <v/>
      </c>
      <c r="J1217" t="str">
        <f t="shared" si="36"/>
        <v>GUARDIAN</v>
      </c>
    </row>
    <row r="1218" spans="1:10" x14ac:dyDescent="0.3">
      <c r="A1218" t="str">
        <f>""</f>
        <v/>
      </c>
      <c r="B1218" t="str">
        <f>""</f>
        <v/>
      </c>
      <c r="G1218" t="str">
        <f>""</f>
        <v/>
      </c>
      <c r="H1218" t="str">
        <f>""</f>
        <v/>
      </c>
      <c r="J1218" t="str">
        <f t="shared" si="36"/>
        <v>GUARDIAN</v>
      </c>
    </row>
    <row r="1219" spans="1:10" x14ac:dyDescent="0.3">
      <c r="A1219" t="str">
        <f>""</f>
        <v/>
      </c>
      <c r="B1219" t="str">
        <f>""</f>
        <v/>
      </c>
      <c r="G1219" t="str">
        <f>""</f>
        <v/>
      </c>
      <c r="H1219" t="str">
        <f>""</f>
        <v/>
      </c>
      <c r="J1219" t="str">
        <f t="shared" si="36"/>
        <v>GUARDIAN</v>
      </c>
    </row>
    <row r="1220" spans="1:10" x14ac:dyDescent="0.3">
      <c r="A1220" t="str">
        <f>""</f>
        <v/>
      </c>
      <c r="B1220" t="str">
        <f>""</f>
        <v/>
      </c>
      <c r="G1220" t="str">
        <f>""</f>
        <v/>
      </c>
      <c r="H1220" t="str">
        <f>""</f>
        <v/>
      </c>
      <c r="J1220" t="str">
        <f t="shared" si="36"/>
        <v>GUARDIAN</v>
      </c>
    </row>
    <row r="1221" spans="1:10" x14ac:dyDescent="0.3">
      <c r="A1221" t="str">
        <f>""</f>
        <v/>
      </c>
      <c r="B1221" t="str">
        <f>""</f>
        <v/>
      </c>
      <c r="G1221" t="str">
        <f>""</f>
        <v/>
      </c>
      <c r="H1221" t="str">
        <f>""</f>
        <v/>
      </c>
      <c r="J1221" t="str">
        <f t="shared" si="36"/>
        <v>GUARDIAN</v>
      </c>
    </row>
    <row r="1222" spans="1:10" x14ac:dyDescent="0.3">
      <c r="A1222" t="str">
        <f>""</f>
        <v/>
      </c>
      <c r="B1222" t="str">
        <f>""</f>
        <v/>
      </c>
      <c r="G1222" t="str">
        <f>""</f>
        <v/>
      </c>
      <c r="H1222" t="str">
        <f>""</f>
        <v/>
      </c>
      <c r="J1222" t="str">
        <f t="shared" si="36"/>
        <v>GUARDIAN</v>
      </c>
    </row>
    <row r="1223" spans="1:10" x14ac:dyDescent="0.3">
      <c r="A1223" t="str">
        <f>""</f>
        <v/>
      </c>
      <c r="B1223" t="str">
        <f>""</f>
        <v/>
      </c>
      <c r="G1223" t="str">
        <f>""</f>
        <v/>
      </c>
      <c r="H1223" t="str">
        <f>""</f>
        <v/>
      </c>
      <c r="J1223" t="str">
        <f t="shared" ref="J1223:J1286" si="37">"GUARDIAN"</f>
        <v>GUARDIAN</v>
      </c>
    </row>
    <row r="1224" spans="1:10" x14ac:dyDescent="0.3">
      <c r="A1224" t="str">
        <f>""</f>
        <v/>
      </c>
      <c r="B1224" t="str">
        <f>""</f>
        <v/>
      </c>
      <c r="G1224" t="str">
        <f>""</f>
        <v/>
      </c>
      <c r="H1224" t="str">
        <f>""</f>
        <v/>
      </c>
      <c r="J1224" t="str">
        <f t="shared" si="37"/>
        <v>GUARDIAN</v>
      </c>
    </row>
    <row r="1225" spans="1:10" x14ac:dyDescent="0.3">
      <c r="A1225" t="str">
        <f>""</f>
        <v/>
      </c>
      <c r="B1225" t="str">
        <f>""</f>
        <v/>
      </c>
      <c r="G1225" t="str">
        <f>""</f>
        <v/>
      </c>
      <c r="H1225" t="str">
        <f>""</f>
        <v/>
      </c>
      <c r="J1225" t="str">
        <f t="shared" si="37"/>
        <v>GUARDIAN</v>
      </c>
    </row>
    <row r="1226" spans="1:10" x14ac:dyDescent="0.3">
      <c r="A1226" t="str">
        <f>""</f>
        <v/>
      </c>
      <c r="B1226" t="str">
        <f>""</f>
        <v/>
      </c>
      <c r="G1226" t="str">
        <f>""</f>
        <v/>
      </c>
      <c r="H1226" t="str">
        <f>""</f>
        <v/>
      </c>
      <c r="J1226" t="str">
        <f t="shared" si="37"/>
        <v>GUARDIAN</v>
      </c>
    </row>
    <row r="1227" spans="1:10" x14ac:dyDescent="0.3">
      <c r="A1227" t="str">
        <f>""</f>
        <v/>
      </c>
      <c r="B1227" t="str">
        <f>""</f>
        <v/>
      </c>
      <c r="G1227" t="str">
        <f>""</f>
        <v/>
      </c>
      <c r="H1227" t="str">
        <f>""</f>
        <v/>
      </c>
      <c r="J1227" t="str">
        <f t="shared" si="37"/>
        <v>GUARDIAN</v>
      </c>
    </row>
    <row r="1228" spans="1:10" x14ac:dyDescent="0.3">
      <c r="A1228" t="str">
        <f>""</f>
        <v/>
      </c>
      <c r="B1228" t="str">
        <f>""</f>
        <v/>
      </c>
      <c r="G1228" t="str">
        <f>""</f>
        <v/>
      </c>
      <c r="H1228" t="str">
        <f>""</f>
        <v/>
      </c>
      <c r="J1228" t="str">
        <f t="shared" si="37"/>
        <v>GUARDIAN</v>
      </c>
    </row>
    <row r="1229" spans="1:10" x14ac:dyDescent="0.3">
      <c r="A1229" t="str">
        <f>""</f>
        <v/>
      </c>
      <c r="B1229" t="str">
        <f>""</f>
        <v/>
      </c>
      <c r="G1229" t="str">
        <f>""</f>
        <v/>
      </c>
      <c r="H1229" t="str">
        <f>""</f>
        <v/>
      </c>
      <c r="J1229" t="str">
        <f t="shared" si="37"/>
        <v>GUARDIAN</v>
      </c>
    </row>
    <row r="1230" spans="1:10" x14ac:dyDescent="0.3">
      <c r="A1230" t="str">
        <f>""</f>
        <v/>
      </c>
      <c r="B1230" t="str">
        <f>""</f>
        <v/>
      </c>
      <c r="G1230" t="str">
        <f>""</f>
        <v/>
      </c>
      <c r="H1230" t="str">
        <f>""</f>
        <v/>
      </c>
      <c r="J1230" t="str">
        <f t="shared" si="37"/>
        <v>GUARDIAN</v>
      </c>
    </row>
    <row r="1231" spans="1:10" x14ac:dyDescent="0.3">
      <c r="A1231" t="str">
        <f>""</f>
        <v/>
      </c>
      <c r="B1231" t="str">
        <f>""</f>
        <v/>
      </c>
      <c r="G1231" t="str">
        <f>""</f>
        <v/>
      </c>
      <c r="H1231" t="str">
        <f>""</f>
        <v/>
      </c>
      <c r="J1231" t="str">
        <f t="shared" si="37"/>
        <v>GUARDIAN</v>
      </c>
    </row>
    <row r="1232" spans="1:10" x14ac:dyDescent="0.3">
      <c r="A1232" t="str">
        <f>""</f>
        <v/>
      </c>
      <c r="B1232" t="str">
        <f>""</f>
        <v/>
      </c>
      <c r="G1232" t="str">
        <f>""</f>
        <v/>
      </c>
      <c r="H1232" t="str">
        <f>""</f>
        <v/>
      </c>
      <c r="J1232" t="str">
        <f t="shared" si="37"/>
        <v>GUARDIAN</v>
      </c>
    </row>
    <row r="1233" spans="1:10" x14ac:dyDescent="0.3">
      <c r="A1233" t="str">
        <f>""</f>
        <v/>
      </c>
      <c r="B1233" t="str">
        <f>""</f>
        <v/>
      </c>
      <c r="G1233" t="str">
        <f>""</f>
        <v/>
      </c>
      <c r="H1233" t="str">
        <f>""</f>
        <v/>
      </c>
      <c r="J1233" t="str">
        <f t="shared" si="37"/>
        <v>GUARDIAN</v>
      </c>
    </row>
    <row r="1234" spans="1:10" x14ac:dyDescent="0.3">
      <c r="A1234" t="str">
        <f>""</f>
        <v/>
      </c>
      <c r="B1234" t="str">
        <f>""</f>
        <v/>
      </c>
      <c r="G1234" t="str">
        <f>""</f>
        <v/>
      </c>
      <c r="H1234" t="str">
        <f>""</f>
        <v/>
      </c>
      <c r="J1234" t="str">
        <f t="shared" si="37"/>
        <v>GUARDIAN</v>
      </c>
    </row>
    <row r="1235" spans="1:10" x14ac:dyDescent="0.3">
      <c r="A1235" t="str">
        <f>""</f>
        <v/>
      </c>
      <c r="B1235" t="str">
        <f>""</f>
        <v/>
      </c>
      <c r="G1235" t="str">
        <f>""</f>
        <v/>
      </c>
      <c r="H1235" t="str">
        <f>""</f>
        <v/>
      </c>
      <c r="J1235" t="str">
        <f t="shared" si="37"/>
        <v>GUARDIAN</v>
      </c>
    </row>
    <row r="1236" spans="1:10" x14ac:dyDescent="0.3">
      <c r="A1236" t="str">
        <f>""</f>
        <v/>
      </c>
      <c r="B1236" t="str">
        <f>""</f>
        <v/>
      </c>
      <c r="G1236" t="str">
        <f>""</f>
        <v/>
      </c>
      <c r="H1236" t="str">
        <f>""</f>
        <v/>
      </c>
      <c r="J1236" t="str">
        <f t="shared" si="37"/>
        <v>GUARDIAN</v>
      </c>
    </row>
    <row r="1237" spans="1:10" x14ac:dyDescent="0.3">
      <c r="A1237" t="str">
        <f>""</f>
        <v/>
      </c>
      <c r="B1237" t="str">
        <f>""</f>
        <v/>
      </c>
      <c r="G1237" t="str">
        <f>"GDE201801118129"</f>
        <v>GDE201801118129</v>
      </c>
      <c r="H1237" t="str">
        <f>"GUARDIAN"</f>
        <v>GUARDIAN</v>
      </c>
      <c r="I1237" s="2">
        <v>3803.6</v>
      </c>
      <c r="J1237" t="str">
        <f t="shared" si="37"/>
        <v>GUARDIAN</v>
      </c>
    </row>
    <row r="1238" spans="1:10" x14ac:dyDescent="0.3">
      <c r="A1238" t="str">
        <f>""</f>
        <v/>
      </c>
      <c r="B1238" t="str">
        <f>""</f>
        <v/>
      </c>
      <c r="G1238" t="str">
        <f>""</f>
        <v/>
      </c>
      <c r="H1238" t="str">
        <f>""</f>
        <v/>
      </c>
      <c r="J1238" t="str">
        <f t="shared" si="37"/>
        <v>GUARDIAN</v>
      </c>
    </row>
    <row r="1239" spans="1:10" x14ac:dyDescent="0.3">
      <c r="A1239" t="str">
        <f>""</f>
        <v/>
      </c>
      <c r="B1239" t="str">
        <f>""</f>
        <v/>
      </c>
      <c r="G1239" t="str">
        <f>""</f>
        <v/>
      </c>
      <c r="H1239" t="str">
        <f>""</f>
        <v/>
      </c>
      <c r="J1239" t="str">
        <f t="shared" si="37"/>
        <v>GUARDIAN</v>
      </c>
    </row>
    <row r="1240" spans="1:10" x14ac:dyDescent="0.3">
      <c r="A1240" t="str">
        <f>""</f>
        <v/>
      </c>
      <c r="B1240" t="str">
        <f>""</f>
        <v/>
      </c>
      <c r="G1240" t="str">
        <f>""</f>
        <v/>
      </c>
      <c r="H1240" t="str">
        <f>""</f>
        <v/>
      </c>
      <c r="J1240" t="str">
        <f t="shared" si="37"/>
        <v>GUARDIAN</v>
      </c>
    </row>
    <row r="1241" spans="1:10" x14ac:dyDescent="0.3">
      <c r="A1241" t="str">
        <f>""</f>
        <v/>
      </c>
      <c r="B1241" t="str">
        <f>""</f>
        <v/>
      </c>
      <c r="G1241" t="str">
        <f>""</f>
        <v/>
      </c>
      <c r="H1241" t="str">
        <f>""</f>
        <v/>
      </c>
      <c r="J1241" t="str">
        <f t="shared" si="37"/>
        <v>GUARDIAN</v>
      </c>
    </row>
    <row r="1242" spans="1:10" x14ac:dyDescent="0.3">
      <c r="A1242" t="str">
        <f>""</f>
        <v/>
      </c>
      <c r="B1242" t="str">
        <f>""</f>
        <v/>
      </c>
      <c r="G1242" t="str">
        <f>""</f>
        <v/>
      </c>
      <c r="H1242" t="str">
        <f>""</f>
        <v/>
      </c>
      <c r="J1242" t="str">
        <f t="shared" si="37"/>
        <v>GUARDIAN</v>
      </c>
    </row>
    <row r="1243" spans="1:10" x14ac:dyDescent="0.3">
      <c r="A1243" t="str">
        <f>""</f>
        <v/>
      </c>
      <c r="B1243" t="str">
        <f>""</f>
        <v/>
      </c>
      <c r="G1243" t="str">
        <f>""</f>
        <v/>
      </c>
      <c r="H1243" t="str">
        <f>""</f>
        <v/>
      </c>
      <c r="J1243" t="str">
        <f t="shared" si="37"/>
        <v>GUARDIAN</v>
      </c>
    </row>
    <row r="1244" spans="1:10" x14ac:dyDescent="0.3">
      <c r="A1244" t="str">
        <f>""</f>
        <v/>
      </c>
      <c r="B1244" t="str">
        <f>""</f>
        <v/>
      </c>
      <c r="G1244" t="str">
        <f>""</f>
        <v/>
      </c>
      <c r="H1244" t="str">
        <f>""</f>
        <v/>
      </c>
      <c r="J1244" t="str">
        <f t="shared" si="37"/>
        <v>GUARDIAN</v>
      </c>
    </row>
    <row r="1245" spans="1:10" x14ac:dyDescent="0.3">
      <c r="A1245" t="str">
        <f>""</f>
        <v/>
      </c>
      <c r="B1245" t="str">
        <f>""</f>
        <v/>
      </c>
      <c r="G1245" t="str">
        <f>""</f>
        <v/>
      </c>
      <c r="H1245" t="str">
        <f>""</f>
        <v/>
      </c>
      <c r="J1245" t="str">
        <f t="shared" si="37"/>
        <v>GUARDIAN</v>
      </c>
    </row>
    <row r="1246" spans="1:10" x14ac:dyDescent="0.3">
      <c r="A1246" t="str">
        <f>""</f>
        <v/>
      </c>
      <c r="B1246" t="str">
        <f>""</f>
        <v/>
      </c>
      <c r="G1246" t="str">
        <f>""</f>
        <v/>
      </c>
      <c r="H1246" t="str">
        <f>""</f>
        <v/>
      </c>
      <c r="J1246" t="str">
        <f t="shared" si="37"/>
        <v>GUARDIAN</v>
      </c>
    </row>
    <row r="1247" spans="1:10" x14ac:dyDescent="0.3">
      <c r="A1247" t="str">
        <f>""</f>
        <v/>
      </c>
      <c r="B1247" t="str">
        <f>""</f>
        <v/>
      </c>
      <c r="G1247" t="str">
        <f>""</f>
        <v/>
      </c>
      <c r="H1247" t="str">
        <f>""</f>
        <v/>
      </c>
      <c r="J1247" t="str">
        <f t="shared" si="37"/>
        <v>GUARDIAN</v>
      </c>
    </row>
    <row r="1248" spans="1:10" x14ac:dyDescent="0.3">
      <c r="A1248" t="str">
        <f>""</f>
        <v/>
      </c>
      <c r="B1248" t="str">
        <f>""</f>
        <v/>
      </c>
      <c r="G1248" t="str">
        <f>""</f>
        <v/>
      </c>
      <c r="H1248" t="str">
        <f>""</f>
        <v/>
      </c>
      <c r="J1248" t="str">
        <f t="shared" si="37"/>
        <v>GUARDIAN</v>
      </c>
    </row>
    <row r="1249" spans="1:10" x14ac:dyDescent="0.3">
      <c r="A1249" t="str">
        <f>""</f>
        <v/>
      </c>
      <c r="B1249" t="str">
        <f>""</f>
        <v/>
      </c>
      <c r="G1249" t="str">
        <f>""</f>
        <v/>
      </c>
      <c r="H1249" t="str">
        <f>""</f>
        <v/>
      </c>
      <c r="J1249" t="str">
        <f t="shared" si="37"/>
        <v>GUARDIAN</v>
      </c>
    </row>
    <row r="1250" spans="1:10" x14ac:dyDescent="0.3">
      <c r="A1250" t="str">
        <f>""</f>
        <v/>
      </c>
      <c r="B1250" t="str">
        <f>""</f>
        <v/>
      </c>
      <c r="G1250" t="str">
        <f>""</f>
        <v/>
      </c>
      <c r="H1250" t="str">
        <f>""</f>
        <v/>
      </c>
      <c r="J1250" t="str">
        <f t="shared" si="37"/>
        <v>GUARDIAN</v>
      </c>
    </row>
    <row r="1251" spans="1:10" x14ac:dyDescent="0.3">
      <c r="A1251" t="str">
        <f>""</f>
        <v/>
      </c>
      <c r="B1251" t="str">
        <f>""</f>
        <v/>
      </c>
      <c r="G1251" t="str">
        <f>""</f>
        <v/>
      </c>
      <c r="H1251" t="str">
        <f>""</f>
        <v/>
      </c>
      <c r="J1251" t="str">
        <f t="shared" si="37"/>
        <v>GUARDIAN</v>
      </c>
    </row>
    <row r="1252" spans="1:10" x14ac:dyDescent="0.3">
      <c r="A1252" t="str">
        <f>""</f>
        <v/>
      </c>
      <c r="B1252" t="str">
        <f>""</f>
        <v/>
      </c>
      <c r="G1252" t="str">
        <f>""</f>
        <v/>
      </c>
      <c r="H1252" t="str">
        <f>""</f>
        <v/>
      </c>
      <c r="J1252" t="str">
        <f t="shared" si="37"/>
        <v>GUARDIAN</v>
      </c>
    </row>
    <row r="1253" spans="1:10" x14ac:dyDescent="0.3">
      <c r="A1253" t="str">
        <f>""</f>
        <v/>
      </c>
      <c r="B1253" t="str">
        <f>""</f>
        <v/>
      </c>
      <c r="G1253" t="str">
        <f>""</f>
        <v/>
      </c>
      <c r="H1253" t="str">
        <f>""</f>
        <v/>
      </c>
      <c r="J1253" t="str">
        <f t="shared" si="37"/>
        <v>GUARDIAN</v>
      </c>
    </row>
    <row r="1254" spans="1:10" x14ac:dyDescent="0.3">
      <c r="A1254" t="str">
        <f>""</f>
        <v/>
      </c>
      <c r="B1254" t="str">
        <f>""</f>
        <v/>
      </c>
      <c r="G1254" t="str">
        <f>""</f>
        <v/>
      </c>
      <c r="H1254" t="str">
        <f>""</f>
        <v/>
      </c>
      <c r="J1254" t="str">
        <f t="shared" si="37"/>
        <v>GUARDIAN</v>
      </c>
    </row>
    <row r="1255" spans="1:10" x14ac:dyDescent="0.3">
      <c r="A1255" t="str">
        <f>""</f>
        <v/>
      </c>
      <c r="B1255" t="str">
        <f>""</f>
        <v/>
      </c>
      <c r="G1255" t="str">
        <f>""</f>
        <v/>
      </c>
      <c r="H1255" t="str">
        <f>""</f>
        <v/>
      </c>
      <c r="J1255" t="str">
        <f t="shared" si="37"/>
        <v>GUARDIAN</v>
      </c>
    </row>
    <row r="1256" spans="1:10" x14ac:dyDescent="0.3">
      <c r="A1256" t="str">
        <f>""</f>
        <v/>
      </c>
      <c r="B1256" t="str">
        <f>""</f>
        <v/>
      </c>
      <c r="G1256" t="str">
        <f>""</f>
        <v/>
      </c>
      <c r="H1256" t="str">
        <f>""</f>
        <v/>
      </c>
      <c r="J1256" t="str">
        <f t="shared" si="37"/>
        <v>GUARDIAN</v>
      </c>
    </row>
    <row r="1257" spans="1:10" x14ac:dyDescent="0.3">
      <c r="A1257" t="str">
        <f>""</f>
        <v/>
      </c>
      <c r="B1257" t="str">
        <f>""</f>
        <v/>
      </c>
      <c r="G1257" t="str">
        <f>""</f>
        <v/>
      </c>
      <c r="H1257" t="str">
        <f>""</f>
        <v/>
      </c>
      <c r="J1257" t="str">
        <f t="shared" si="37"/>
        <v>GUARDIAN</v>
      </c>
    </row>
    <row r="1258" spans="1:10" x14ac:dyDescent="0.3">
      <c r="A1258" t="str">
        <f>""</f>
        <v/>
      </c>
      <c r="B1258" t="str">
        <f>""</f>
        <v/>
      </c>
      <c r="G1258" t="str">
        <f>""</f>
        <v/>
      </c>
      <c r="H1258" t="str">
        <f>""</f>
        <v/>
      </c>
      <c r="J1258" t="str">
        <f t="shared" si="37"/>
        <v>GUARDIAN</v>
      </c>
    </row>
    <row r="1259" spans="1:10" x14ac:dyDescent="0.3">
      <c r="A1259" t="str">
        <f>""</f>
        <v/>
      </c>
      <c r="B1259" t="str">
        <f>""</f>
        <v/>
      </c>
      <c r="G1259" t="str">
        <f>""</f>
        <v/>
      </c>
      <c r="H1259" t="str">
        <f>""</f>
        <v/>
      </c>
      <c r="J1259" t="str">
        <f t="shared" si="37"/>
        <v>GUARDIAN</v>
      </c>
    </row>
    <row r="1260" spans="1:10" x14ac:dyDescent="0.3">
      <c r="A1260" t="str">
        <f>""</f>
        <v/>
      </c>
      <c r="B1260" t="str">
        <f>""</f>
        <v/>
      </c>
      <c r="G1260" t="str">
        <f>""</f>
        <v/>
      </c>
      <c r="H1260" t="str">
        <f>""</f>
        <v/>
      </c>
      <c r="J1260" t="str">
        <f t="shared" si="37"/>
        <v>GUARDIAN</v>
      </c>
    </row>
    <row r="1261" spans="1:10" x14ac:dyDescent="0.3">
      <c r="A1261" t="str">
        <f>""</f>
        <v/>
      </c>
      <c r="B1261" t="str">
        <f>""</f>
        <v/>
      </c>
      <c r="G1261" t="str">
        <f>""</f>
        <v/>
      </c>
      <c r="H1261" t="str">
        <f>""</f>
        <v/>
      </c>
      <c r="J1261" t="str">
        <f t="shared" si="37"/>
        <v>GUARDIAN</v>
      </c>
    </row>
    <row r="1262" spans="1:10" x14ac:dyDescent="0.3">
      <c r="A1262" t="str">
        <f>""</f>
        <v/>
      </c>
      <c r="B1262" t="str">
        <f>""</f>
        <v/>
      </c>
      <c r="G1262" t="str">
        <f>""</f>
        <v/>
      </c>
      <c r="H1262" t="str">
        <f>""</f>
        <v/>
      </c>
      <c r="J1262" t="str">
        <f t="shared" si="37"/>
        <v>GUARDIAN</v>
      </c>
    </row>
    <row r="1263" spans="1:10" x14ac:dyDescent="0.3">
      <c r="A1263" t="str">
        <f>""</f>
        <v/>
      </c>
      <c r="B1263" t="str">
        <f>""</f>
        <v/>
      </c>
      <c r="G1263" t="str">
        <f>""</f>
        <v/>
      </c>
      <c r="H1263" t="str">
        <f>""</f>
        <v/>
      </c>
      <c r="J1263" t="str">
        <f t="shared" si="37"/>
        <v>GUARDIAN</v>
      </c>
    </row>
    <row r="1264" spans="1:10" x14ac:dyDescent="0.3">
      <c r="A1264" t="str">
        <f>""</f>
        <v/>
      </c>
      <c r="B1264" t="str">
        <f>""</f>
        <v/>
      </c>
      <c r="G1264" t="str">
        <f>""</f>
        <v/>
      </c>
      <c r="H1264" t="str">
        <f>""</f>
        <v/>
      </c>
      <c r="J1264" t="str">
        <f t="shared" si="37"/>
        <v>GUARDIAN</v>
      </c>
    </row>
    <row r="1265" spans="1:10" x14ac:dyDescent="0.3">
      <c r="A1265" t="str">
        <f>""</f>
        <v/>
      </c>
      <c r="B1265" t="str">
        <f>""</f>
        <v/>
      </c>
      <c r="G1265" t="str">
        <f>""</f>
        <v/>
      </c>
      <c r="H1265" t="str">
        <f>""</f>
        <v/>
      </c>
      <c r="J1265" t="str">
        <f t="shared" si="37"/>
        <v>GUARDIAN</v>
      </c>
    </row>
    <row r="1266" spans="1:10" x14ac:dyDescent="0.3">
      <c r="A1266" t="str">
        <f>""</f>
        <v/>
      </c>
      <c r="B1266" t="str">
        <f>""</f>
        <v/>
      </c>
      <c r="G1266" t="str">
        <f>""</f>
        <v/>
      </c>
      <c r="H1266" t="str">
        <f>""</f>
        <v/>
      </c>
      <c r="J1266" t="str">
        <f t="shared" si="37"/>
        <v>GUARDIAN</v>
      </c>
    </row>
    <row r="1267" spans="1:10" x14ac:dyDescent="0.3">
      <c r="A1267" t="str">
        <f>""</f>
        <v/>
      </c>
      <c r="B1267" t="str">
        <f>""</f>
        <v/>
      </c>
      <c r="G1267" t="str">
        <f>""</f>
        <v/>
      </c>
      <c r="H1267" t="str">
        <f>""</f>
        <v/>
      </c>
      <c r="J1267" t="str">
        <f t="shared" si="37"/>
        <v>GUARDIAN</v>
      </c>
    </row>
    <row r="1268" spans="1:10" x14ac:dyDescent="0.3">
      <c r="A1268" t="str">
        <f>""</f>
        <v/>
      </c>
      <c r="B1268" t="str">
        <f>""</f>
        <v/>
      </c>
      <c r="G1268" t="str">
        <f>""</f>
        <v/>
      </c>
      <c r="H1268" t="str">
        <f>""</f>
        <v/>
      </c>
      <c r="J1268" t="str">
        <f t="shared" si="37"/>
        <v>GUARDIAN</v>
      </c>
    </row>
    <row r="1269" spans="1:10" x14ac:dyDescent="0.3">
      <c r="A1269" t="str">
        <f>""</f>
        <v/>
      </c>
      <c r="B1269" t="str">
        <f>""</f>
        <v/>
      </c>
      <c r="G1269" t="str">
        <f>""</f>
        <v/>
      </c>
      <c r="H1269" t="str">
        <f>""</f>
        <v/>
      </c>
      <c r="J1269" t="str">
        <f t="shared" si="37"/>
        <v>GUARDIAN</v>
      </c>
    </row>
    <row r="1270" spans="1:10" x14ac:dyDescent="0.3">
      <c r="A1270" t="str">
        <f>""</f>
        <v/>
      </c>
      <c r="B1270" t="str">
        <f>""</f>
        <v/>
      </c>
      <c r="G1270" t="str">
        <f>""</f>
        <v/>
      </c>
      <c r="H1270" t="str">
        <f>""</f>
        <v/>
      </c>
      <c r="J1270" t="str">
        <f t="shared" si="37"/>
        <v>GUARDIAN</v>
      </c>
    </row>
    <row r="1271" spans="1:10" x14ac:dyDescent="0.3">
      <c r="A1271" t="str">
        <f>""</f>
        <v/>
      </c>
      <c r="B1271" t="str">
        <f>""</f>
        <v/>
      </c>
      <c r="G1271" t="str">
        <f>""</f>
        <v/>
      </c>
      <c r="H1271" t="str">
        <f>""</f>
        <v/>
      </c>
      <c r="J1271" t="str">
        <f t="shared" si="37"/>
        <v>GUARDIAN</v>
      </c>
    </row>
    <row r="1272" spans="1:10" x14ac:dyDescent="0.3">
      <c r="A1272" t="str">
        <f>""</f>
        <v/>
      </c>
      <c r="B1272" t="str">
        <f>""</f>
        <v/>
      </c>
      <c r="G1272" t="str">
        <f>""</f>
        <v/>
      </c>
      <c r="H1272" t="str">
        <f>""</f>
        <v/>
      </c>
      <c r="J1272" t="str">
        <f t="shared" si="37"/>
        <v>GUARDIAN</v>
      </c>
    </row>
    <row r="1273" spans="1:10" x14ac:dyDescent="0.3">
      <c r="A1273" t="str">
        <f>""</f>
        <v/>
      </c>
      <c r="B1273" t="str">
        <f>""</f>
        <v/>
      </c>
      <c r="G1273" t="str">
        <f>""</f>
        <v/>
      </c>
      <c r="H1273" t="str">
        <f>""</f>
        <v/>
      </c>
      <c r="J1273" t="str">
        <f t="shared" si="37"/>
        <v>GUARDIAN</v>
      </c>
    </row>
    <row r="1274" spans="1:10" x14ac:dyDescent="0.3">
      <c r="A1274" t="str">
        <f>""</f>
        <v/>
      </c>
      <c r="B1274" t="str">
        <f>""</f>
        <v/>
      </c>
      <c r="G1274" t="str">
        <f>""</f>
        <v/>
      </c>
      <c r="H1274" t="str">
        <f>""</f>
        <v/>
      </c>
      <c r="J1274" t="str">
        <f t="shared" si="37"/>
        <v>GUARDIAN</v>
      </c>
    </row>
    <row r="1275" spans="1:10" x14ac:dyDescent="0.3">
      <c r="A1275" t="str">
        <f>""</f>
        <v/>
      </c>
      <c r="B1275" t="str">
        <f>""</f>
        <v/>
      </c>
      <c r="G1275" t="str">
        <f>""</f>
        <v/>
      </c>
      <c r="H1275" t="str">
        <f>""</f>
        <v/>
      </c>
      <c r="J1275" t="str">
        <f t="shared" si="37"/>
        <v>GUARDIAN</v>
      </c>
    </row>
    <row r="1276" spans="1:10" x14ac:dyDescent="0.3">
      <c r="A1276" t="str">
        <f>""</f>
        <v/>
      </c>
      <c r="B1276" t="str">
        <f>""</f>
        <v/>
      </c>
      <c r="G1276" t="str">
        <f>""</f>
        <v/>
      </c>
      <c r="H1276" t="str">
        <f>""</f>
        <v/>
      </c>
      <c r="J1276" t="str">
        <f t="shared" si="37"/>
        <v>GUARDIAN</v>
      </c>
    </row>
    <row r="1277" spans="1:10" x14ac:dyDescent="0.3">
      <c r="A1277" t="str">
        <f>""</f>
        <v/>
      </c>
      <c r="B1277" t="str">
        <f>""</f>
        <v/>
      </c>
      <c r="G1277" t="str">
        <f>"GDE201801118130"</f>
        <v>GDE201801118130</v>
      </c>
      <c r="H1277" t="str">
        <f>"GUARDIAN"</f>
        <v>GUARDIAN</v>
      </c>
      <c r="I1277" s="2">
        <v>148</v>
      </c>
      <c r="J1277" t="str">
        <f t="shared" si="37"/>
        <v>GUARDIAN</v>
      </c>
    </row>
    <row r="1278" spans="1:10" x14ac:dyDescent="0.3">
      <c r="A1278" t="str">
        <f>""</f>
        <v/>
      </c>
      <c r="B1278" t="str">
        <f>""</f>
        <v/>
      </c>
      <c r="G1278" t="str">
        <f>"GDE201801248226"</f>
        <v>GDE201801248226</v>
      </c>
      <c r="H1278" t="str">
        <f>"GUARDIAN"</f>
        <v>GUARDIAN</v>
      </c>
      <c r="I1278" s="2">
        <v>148</v>
      </c>
      <c r="J1278" t="str">
        <f t="shared" si="37"/>
        <v>GUARDIAN</v>
      </c>
    </row>
    <row r="1279" spans="1:10" x14ac:dyDescent="0.3">
      <c r="A1279" t="str">
        <f>""</f>
        <v/>
      </c>
      <c r="B1279" t="str">
        <f>""</f>
        <v/>
      </c>
      <c r="G1279" t="str">
        <f>"GDE201801248228"</f>
        <v>GDE201801248228</v>
      </c>
      <c r="H1279" t="str">
        <f>"GUARDIAN"</f>
        <v>GUARDIAN</v>
      </c>
      <c r="I1279" s="2">
        <v>3803.6</v>
      </c>
      <c r="J1279" t="str">
        <f t="shared" si="37"/>
        <v>GUARDIAN</v>
      </c>
    </row>
    <row r="1280" spans="1:10" x14ac:dyDescent="0.3">
      <c r="A1280" t="str">
        <f>""</f>
        <v/>
      </c>
      <c r="B1280" t="str">
        <f>""</f>
        <v/>
      </c>
      <c r="G1280" t="str">
        <f>""</f>
        <v/>
      </c>
      <c r="H1280" t="str">
        <f>""</f>
        <v/>
      </c>
      <c r="J1280" t="str">
        <f t="shared" si="37"/>
        <v>GUARDIAN</v>
      </c>
    </row>
    <row r="1281" spans="1:10" x14ac:dyDescent="0.3">
      <c r="A1281" t="str">
        <f>""</f>
        <v/>
      </c>
      <c r="B1281" t="str">
        <f>""</f>
        <v/>
      </c>
      <c r="G1281" t="str">
        <f>""</f>
        <v/>
      </c>
      <c r="H1281" t="str">
        <f>""</f>
        <v/>
      </c>
      <c r="J1281" t="str">
        <f t="shared" si="37"/>
        <v>GUARDIAN</v>
      </c>
    </row>
    <row r="1282" spans="1:10" x14ac:dyDescent="0.3">
      <c r="A1282" t="str">
        <f>""</f>
        <v/>
      </c>
      <c r="B1282" t="str">
        <f>""</f>
        <v/>
      </c>
      <c r="G1282" t="str">
        <f>""</f>
        <v/>
      </c>
      <c r="H1282" t="str">
        <f>""</f>
        <v/>
      </c>
      <c r="J1282" t="str">
        <f t="shared" si="37"/>
        <v>GUARDIAN</v>
      </c>
    </row>
    <row r="1283" spans="1:10" x14ac:dyDescent="0.3">
      <c r="A1283" t="str">
        <f>""</f>
        <v/>
      </c>
      <c r="B1283" t="str">
        <f>""</f>
        <v/>
      </c>
      <c r="G1283" t="str">
        <f>""</f>
        <v/>
      </c>
      <c r="H1283" t="str">
        <f>""</f>
        <v/>
      </c>
      <c r="J1283" t="str">
        <f t="shared" si="37"/>
        <v>GUARDIAN</v>
      </c>
    </row>
    <row r="1284" spans="1:10" x14ac:dyDescent="0.3">
      <c r="A1284" t="str">
        <f>""</f>
        <v/>
      </c>
      <c r="B1284" t="str">
        <f>""</f>
        <v/>
      </c>
      <c r="G1284" t="str">
        <f>""</f>
        <v/>
      </c>
      <c r="H1284" t="str">
        <f>""</f>
        <v/>
      </c>
      <c r="J1284" t="str">
        <f t="shared" si="37"/>
        <v>GUARDIAN</v>
      </c>
    </row>
    <row r="1285" spans="1:10" x14ac:dyDescent="0.3">
      <c r="A1285" t="str">
        <f>""</f>
        <v/>
      </c>
      <c r="B1285" t="str">
        <f>""</f>
        <v/>
      </c>
      <c r="G1285" t="str">
        <f>""</f>
        <v/>
      </c>
      <c r="H1285" t="str">
        <f>""</f>
        <v/>
      </c>
      <c r="J1285" t="str">
        <f t="shared" si="37"/>
        <v>GUARDIAN</v>
      </c>
    </row>
    <row r="1286" spans="1:10" x14ac:dyDescent="0.3">
      <c r="A1286" t="str">
        <f>""</f>
        <v/>
      </c>
      <c r="B1286" t="str">
        <f>""</f>
        <v/>
      </c>
      <c r="G1286" t="str">
        <f>""</f>
        <v/>
      </c>
      <c r="H1286" t="str">
        <f>""</f>
        <v/>
      </c>
      <c r="J1286" t="str">
        <f t="shared" si="37"/>
        <v>GUARDIAN</v>
      </c>
    </row>
    <row r="1287" spans="1:10" x14ac:dyDescent="0.3">
      <c r="A1287" t="str">
        <f>""</f>
        <v/>
      </c>
      <c r="B1287" t="str">
        <f>""</f>
        <v/>
      </c>
      <c r="G1287" t="str">
        <f>""</f>
        <v/>
      </c>
      <c r="H1287" t="str">
        <f>""</f>
        <v/>
      </c>
      <c r="J1287" t="str">
        <f t="shared" ref="J1287:J1350" si="38">"GUARDIAN"</f>
        <v>GUARDIAN</v>
      </c>
    </row>
    <row r="1288" spans="1:10" x14ac:dyDescent="0.3">
      <c r="A1288" t="str">
        <f>""</f>
        <v/>
      </c>
      <c r="B1288" t="str">
        <f>""</f>
        <v/>
      </c>
      <c r="G1288" t="str">
        <f>""</f>
        <v/>
      </c>
      <c r="H1288" t="str">
        <f>""</f>
        <v/>
      </c>
      <c r="J1288" t="str">
        <f t="shared" si="38"/>
        <v>GUARDIAN</v>
      </c>
    </row>
    <row r="1289" spans="1:10" x14ac:dyDescent="0.3">
      <c r="A1289" t="str">
        <f>""</f>
        <v/>
      </c>
      <c r="B1289" t="str">
        <f>""</f>
        <v/>
      </c>
      <c r="G1289" t="str">
        <f>""</f>
        <v/>
      </c>
      <c r="H1289" t="str">
        <f>""</f>
        <v/>
      </c>
      <c r="J1289" t="str">
        <f t="shared" si="38"/>
        <v>GUARDIAN</v>
      </c>
    </row>
    <row r="1290" spans="1:10" x14ac:dyDescent="0.3">
      <c r="A1290" t="str">
        <f>""</f>
        <v/>
      </c>
      <c r="B1290" t="str">
        <f>""</f>
        <v/>
      </c>
      <c r="G1290" t="str">
        <f>""</f>
        <v/>
      </c>
      <c r="H1290" t="str">
        <f>""</f>
        <v/>
      </c>
      <c r="J1290" t="str">
        <f t="shared" si="38"/>
        <v>GUARDIAN</v>
      </c>
    </row>
    <row r="1291" spans="1:10" x14ac:dyDescent="0.3">
      <c r="A1291" t="str">
        <f>""</f>
        <v/>
      </c>
      <c r="B1291" t="str">
        <f>""</f>
        <v/>
      </c>
      <c r="G1291" t="str">
        <f>""</f>
        <v/>
      </c>
      <c r="H1291" t="str">
        <f>""</f>
        <v/>
      </c>
      <c r="J1291" t="str">
        <f t="shared" si="38"/>
        <v>GUARDIAN</v>
      </c>
    </row>
    <row r="1292" spans="1:10" x14ac:dyDescent="0.3">
      <c r="A1292" t="str">
        <f>""</f>
        <v/>
      </c>
      <c r="B1292" t="str">
        <f>""</f>
        <v/>
      </c>
      <c r="G1292" t="str">
        <f>""</f>
        <v/>
      </c>
      <c r="H1292" t="str">
        <f>""</f>
        <v/>
      </c>
      <c r="J1292" t="str">
        <f t="shared" si="38"/>
        <v>GUARDIAN</v>
      </c>
    </row>
    <row r="1293" spans="1:10" x14ac:dyDescent="0.3">
      <c r="A1293" t="str">
        <f>""</f>
        <v/>
      </c>
      <c r="B1293" t="str">
        <f>""</f>
        <v/>
      </c>
      <c r="G1293" t="str">
        <f>""</f>
        <v/>
      </c>
      <c r="H1293" t="str">
        <f>""</f>
        <v/>
      </c>
      <c r="J1293" t="str">
        <f t="shared" si="38"/>
        <v>GUARDIAN</v>
      </c>
    </row>
    <row r="1294" spans="1:10" x14ac:dyDescent="0.3">
      <c r="A1294" t="str">
        <f>""</f>
        <v/>
      </c>
      <c r="B1294" t="str">
        <f>""</f>
        <v/>
      </c>
      <c r="G1294" t="str">
        <f>""</f>
        <v/>
      </c>
      <c r="H1294" t="str">
        <f>""</f>
        <v/>
      </c>
      <c r="J1294" t="str">
        <f t="shared" si="38"/>
        <v>GUARDIAN</v>
      </c>
    </row>
    <row r="1295" spans="1:10" x14ac:dyDescent="0.3">
      <c r="A1295" t="str">
        <f>""</f>
        <v/>
      </c>
      <c r="B1295" t="str">
        <f>""</f>
        <v/>
      </c>
      <c r="G1295" t="str">
        <f>""</f>
        <v/>
      </c>
      <c r="H1295" t="str">
        <f>""</f>
        <v/>
      </c>
      <c r="J1295" t="str">
        <f t="shared" si="38"/>
        <v>GUARDIAN</v>
      </c>
    </row>
    <row r="1296" spans="1:10" x14ac:dyDescent="0.3">
      <c r="A1296" t="str">
        <f>""</f>
        <v/>
      </c>
      <c r="B1296" t="str">
        <f>""</f>
        <v/>
      </c>
      <c r="G1296" t="str">
        <f>""</f>
        <v/>
      </c>
      <c r="H1296" t="str">
        <f>""</f>
        <v/>
      </c>
      <c r="J1296" t="str">
        <f t="shared" si="38"/>
        <v>GUARDIAN</v>
      </c>
    </row>
    <row r="1297" spans="1:10" x14ac:dyDescent="0.3">
      <c r="A1297" t="str">
        <f>""</f>
        <v/>
      </c>
      <c r="B1297" t="str">
        <f>""</f>
        <v/>
      </c>
      <c r="G1297" t="str">
        <f>""</f>
        <v/>
      </c>
      <c r="H1297" t="str">
        <f>""</f>
        <v/>
      </c>
      <c r="J1297" t="str">
        <f t="shared" si="38"/>
        <v>GUARDIAN</v>
      </c>
    </row>
    <row r="1298" spans="1:10" x14ac:dyDescent="0.3">
      <c r="A1298" t="str">
        <f>""</f>
        <v/>
      </c>
      <c r="B1298" t="str">
        <f>""</f>
        <v/>
      </c>
      <c r="G1298" t="str">
        <f>""</f>
        <v/>
      </c>
      <c r="H1298" t="str">
        <f>""</f>
        <v/>
      </c>
      <c r="J1298" t="str">
        <f t="shared" si="38"/>
        <v>GUARDIAN</v>
      </c>
    </row>
    <row r="1299" spans="1:10" x14ac:dyDescent="0.3">
      <c r="A1299" t="str">
        <f>""</f>
        <v/>
      </c>
      <c r="B1299" t="str">
        <f>""</f>
        <v/>
      </c>
      <c r="G1299" t="str">
        <f>""</f>
        <v/>
      </c>
      <c r="H1299" t="str">
        <f>""</f>
        <v/>
      </c>
      <c r="J1299" t="str">
        <f t="shared" si="38"/>
        <v>GUARDIAN</v>
      </c>
    </row>
    <row r="1300" spans="1:10" x14ac:dyDescent="0.3">
      <c r="A1300" t="str">
        <f>""</f>
        <v/>
      </c>
      <c r="B1300" t="str">
        <f>""</f>
        <v/>
      </c>
      <c r="G1300" t="str">
        <f>""</f>
        <v/>
      </c>
      <c r="H1300" t="str">
        <f>""</f>
        <v/>
      </c>
      <c r="J1300" t="str">
        <f t="shared" si="38"/>
        <v>GUARDIAN</v>
      </c>
    </row>
    <row r="1301" spans="1:10" x14ac:dyDescent="0.3">
      <c r="A1301" t="str">
        <f>""</f>
        <v/>
      </c>
      <c r="B1301" t="str">
        <f>""</f>
        <v/>
      </c>
      <c r="G1301" t="str">
        <f>""</f>
        <v/>
      </c>
      <c r="H1301" t="str">
        <f>""</f>
        <v/>
      </c>
      <c r="J1301" t="str">
        <f t="shared" si="38"/>
        <v>GUARDIAN</v>
      </c>
    </row>
    <row r="1302" spans="1:10" x14ac:dyDescent="0.3">
      <c r="A1302" t="str">
        <f>""</f>
        <v/>
      </c>
      <c r="B1302" t="str">
        <f>""</f>
        <v/>
      </c>
      <c r="G1302" t="str">
        <f>""</f>
        <v/>
      </c>
      <c r="H1302" t="str">
        <f>""</f>
        <v/>
      </c>
      <c r="J1302" t="str">
        <f t="shared" si="38"/>
        <v>GUARDIAN</v>
      </c>
    </row>
    <row r="1303" spans="1:10" x14ac:dyDescent="0.3">
      <c r="A1303" t="str">
        <f>""</f>
        <v/>
      </c>
      <c r="B1303" t="str">
        <f>""</f>
        <v/>
      </c>
      <c r="G1303" t="str">
        <f>""</f>
        <v/>
      </c>
      <c r="H1303" t="str">
        <f>""</f>
        <v/>
      </c>
      <c r="J1303" t="str">
        <f t="shared" si="38"/>
        <v>GUARDIAN</v>
      </c>
    </row>
    <row r="1304" spans="1:10" x14ac:dyDescent="0.3">
      <c r="A1304" t="str">
        <f>""</f>
        <v/>
      </c>
      <c r="B1304" t="str">
        <f>""</f>
        <v/>
      </c>
      <c r="G1304" t="str">
        <f>""</f>
        <v/>
      </c>
      <c r="H1304" t="str">
        <f>""</f>
        <v/>
      </c>
      <c r="J1304" t="str">
        <f t="shared" si="38"/>
        <v>GUARDIAN</v>
      </c>
    </row>
    <row r="1305" spans="1:10" x14ac:dyDescent="0.3">
      <c r="A1305" t="str">
        <f>""</f>
        <v/>
      </c>
      <c r="B1305" t="str">
        <f>""</f>
        <v/>
      </c>
      <c r="G1305" t="str">
        <f>""</f>
        <v/>
      </c>
      <c r="H1305" t="str">
        <f>""</f>
        <v/>
      </c>
      <c r="J1305" t="str">
        <f t="shared" si="38"/>
        <v>GUARDIAN</v>
      </c>
    </row>
    <row r="1306" spans="1:10" x14ac:dyDescent="0.3">
      <c r="A1306" t="str">
        <f>""</f>
        <v/>
      </c>
      <c r="B1306" t="str">
        <f>""</f>
        <v/>
      </c>
      <c r="G1306" t="str">
        <f>""</f>
        <v/>
      </c>
      <c r="H1306" t="str">
        <f>""</f>
        <v/>
      </c>
      <c r="J1306" t="str">
        <f t="shared" si="38"/>
        <v>GUARDIAN</v>
      </c>
    </row>
    <row r="1307" spans="1:10" x14ac:dyDescent="0.3">
      <c r="A1307" t="str">
        <f>""</f>
        <v/>
      </c>
      <c r="B1307" t="str">
        <f>""</f>
        <v/>
      </c>
      <c r="G1307" t="str">
        <f>""</f>
        <v/>
      </c>
      <c r="H1307" t="str">
        <f>""</f>
        <v/>
      </c>
      <c r="J1307" t="str">
        <f t="shared" si="38"/>
        <v>GUARDIAN</v>
      </c>
    </row>
    <row r="1308" spans="1:10" x14ac:dyDescent="0.3">
      <c r="A1308" t="str">
        <f>""</f>
        <v/>
      </c>
      <c r="B1308" t="str">
        <f>""</f>
        <v/>
      </c>
      <c r="G1308" t="str">
        <f>""</f>
        <v/>
      </c>
      <c r="H1308" t="str">
        <f>""</f>
        <v/>
      </c>
      <c r="J1308" t="str">
        <f t="shared" si="38"/>
        <v>GUARDIAN</v>
      </c>
    </row>
    <row r="1309" spans="1:10" x14ac:dyDescent="0.3">
      <c r="A1309" t="str">
        <f>""</f>
        <v/>
      </c>
      <c r="B1309" t="str">
        <f>""</f>
        <v/>
      </c>
      <c r="G1309" t="str">
        <f>""</f>
        <v/>
      </c>
      <c r="H1309" t="str">
        <f>""</f>
        <v/>
      </c>
      <c r="J1309" t="str">
        <f t="shared" si="38"/>
        <v>GUARDIAN</v>
      </c>
    </row>
    <row r="1310" spans="1:10" x14ac:dyDescent="0.3">
      <c r="A1310" t="str">
        <f>""</f>
        <v/>
      </c>
      <c r="B1310" t="str">
        <f>""</f>
        <v/>
      </c>
      <c r="G1310" t="str">
        <f>""</f>
        <v/>
      </c>
      <c r="H1310" t="str">
        <f>""</f>
        <v/>
      </c>
      <c r="J1310" t="str">
        <f t="shared" si="38"/>
        <v>GUARDIAN</v>
      </c>
    </row>
    <row r="1311" spans="1:10" x14ac:dyDescent="0.3">
      <c r="A1311" t="str">
        <f>""</f>
        <v/>
      </c>
      <c r="B1311" t="str">
        <f>""</f>
        <v/>
      </c>
      <c r="G1311" t="str">
        <f>""</f>
        <v/>
      </c>
      <c r="H1311" t="str">
        <f>""</f>
        <v/>
      </c>
      <c r="J1311" t="str">
        <f t="shared" si="38"/>
        <v>GUARDIAN</v>
      </c>
    </row>
    <row r="1312" spans="1:10" x14ac:dyDescent="0.3">
      <c r="A1312" t="str">
        <f>""</f>
        <v/>
      </c>
      <c r="B1312" t="str">
        <f>""</f>
        <v/>
      </c>
      <c r="G1312" t="str">
        <f>""</f>
        <v/>
      </c>
      <c r="H1312" t="str">
        <f>""</f>
        <v/>
      </c>
      <c r="J1312" t="str">
        <f t="shared" si="38"/>
        <v>GUARDIAN</v>
      </c>
    </row>
    <row r="1313" spans="1:10" x14ac:dyDescent="0.3">
      <c r="A1313" t="str">
        <f>""</f>
        <v/>
      </c>
      <c r="B1313" t="str">
        <f>""</f>
        <v/>
      </c>
      <c r="G1313" t="str">
        <f>""</f>
        <v/>
      </c>
      <c r="H1313" t="str">
        <f>""</f>
        <v/>
      </c>
      <c r="J1313" t="str">
        <f t="shared" si="38"/>
        <v>GUARDIAN</v>
      </c>
    </row>
    <row r="1314" spans="1:10" x14ac:dyDescent="0.3">
      <c r="A1314" t="str">
        <f>""</f>
        <v/>
      </c>
      <c r="B1314" t="str">
        <f>""</f>
        <v/>
      </c>
      <c r="G1314" t="str">
        <f>""</f>
        <v/>
      </c>
      <c r="H1314" t="str">
        <f>""</f>
        <v/>
      </c>
      <c r="J1314" t="str">
        <f t="shared" si="38"/>
        <v>GUARDIAN</v>
      </c>
    </row>
    <row r="1315" spans="1:10" x14ac:dyDescent="0.3">
      <c r="A1315" t="str">
        <f>""</f>
        <v/>
      </c>
      <c r="B1315" t="str">
        <f>""</f>
        <v/>
      </c>
      <c r="G1315" t="str">
        <f>""</f>
        <v/>
      </c>
      <c r="H1315" t="str">
        <f>""</f>
        <v/>
      </c>
      <c r="J1315" t="str">
        <f t="shared" si="38"/>
        <v>GUARDIAN</v>
      </c>
    </row>
    <row r="1316" spans="1:10" x14ac:dyDescent="0.3">
      <c r="A1316" t="str">
        <f>""</f>
        <v/>
      </c>
      <c r="B1316" t="str">
        <f>""</f>
        <v/>
      </c>
      <c r="G1316" t="str">
        <f>""</f>
        <v/>
      </c>
      <c r="H1316" t="str">
        <f>""</f>
        <v/>
      </c>
      <c r="J1316" t="str">
        <f t="shared" si="38"/>
        <v>GUARDIAN</v>
      </c>
    </row>
    <row r="1317" spans="1:10" x14ac:dyDescent="0.3">
      <c r="A1317" t="str">
        <f>""</f>
        <v/>
      </c>
      <c r="B1317" t="str">
        <f>""</f>
        <v/>
      </c>
      <c r="G1317" t="str">
        <f>""</f>
        <v/>
      </c>
      <c r="H1317" t="str">
        <f>""</f>
        <v/>
      </c>
      <c r="J1317" t="str">
        <f t="shared" si="38"/>
        <v>GUARDIAN</v>
      </c>
    </row>
    <row r="1318" spans="1:10" x14ac:dyDescent="0.3">
      <c r="A1318" t="str">
        <f>""</f>
        <v/>
      </c>
      <c r="B1318" t="str">
        <f>""</f>
        <v/>
      </c>
      <c r="G1318" t="str">
        <f>""</f>
        <v/>
      </c>
      <c r="H1318" t="str">
        <f>""</f>
        <v/>
      </c>
      <c r="J1318" t="str">
        <f t="shared" si="38"/>
        <v>GUARDIAN</v>
      </c>
    </row>
    <row r="1319" spans="1:10" x14ac:dyDescent="0.3">
      <c r="A1319" t="str">
        <f>""</f>
        <v/>
      </c>
      <c r="B1319" t="str">
        <f>""</f>
        <v/>
      </c>
      <c r="G1319" t="str">
        <f>"GDF201801118129"</f>
        <v>GDF201801118129</v>
      </c>
      <c r="H1319" t="str">
        <f>"GUARDIAN"</f>
        <v>GUARDIAN</v>
      </c>
      <c r="I1319" s="2">
        <v>2124.3200000000002</v>
      </c>
      <c r="J1319" t="str">
        <f t="shared" si="38"/>
        <v>GUARDIAN</v>
      </c>
    </row>
    <row r="1320" spans="1:10" x14ac:dyDescent="0.3">
      <c r="A1320" t="str">
        <f>""</f>
        <v/>
      </c>
      <c r="B1320" t="str">
        <f>""</f>
        <v/>
      </c>
      <c r="G1320" t="str">
        <f>""</f>
        <v/>
      </c>
      <c r="H1320" t="str">
        <f>""</f>
        <v/>
      </c>
      <c r="J1320" t="str">
        <f t="shared" si="38"/>
        <v>GUARDIAN</v>
      </c>
    </row>
    <row r="1321" spans="1:10" x14ac:dyDescent="0.3">
      <c r="A1321" t="str">
        <f>""</f>
        <v/>
      </c>
      <c r="B1321" t="str">
        <f>""</f>
        <v/>
      </c>
      <c r="G1321" t="str">
        <f>""</f>
        <v/>
      </c>
      <c r="H1321" t="str">
        <f>""</f>
        <v/>
      </c>
      <c r="J1321" t="str">
        <f t="shared" si="38"/>
        <v>GUARDIAN</v>
      </c>
    </row>
    <row r="1322" spans="1:10" x14ac:dyDescent="0.3">
      <c r="A1322" t="str">
        <f>""</f>
        <v/>
      </c>
      <c r="B1322" t="str">
        <f>""</f>
        <v/>
      </c>
      <c r="G1322" t="str">
        <f>""</f>
        <v/>
      </c>
      <c r="H1322" t="str">
        <f>""</f>
        <v/>
      </c>
      <c r="J1322" t="str">
        <f t="shared" si="38"/>
        <v>GUARDIAN</v>
      </c>
    </row>
    <row r="1323" spans="1:10" x14ac:dyDescent="0.3">
      <c r="A1323" t="str">
        <f>""</f>
        <v/>
      </c>
      <c r="B1323" t="str">
        <f>""</f>
        <v/>
      </c>
      <c r="G1323" t="str">
        <f>""</f>
        <v/>
      </c>
      <c r="H1323" t="str">
        <f>""</f>
        <v/>
      </c>
      <c r="J1323" t="str">
        <f t="shared" si="38"/>
        <v>GUARDIAN</v>
      </c>
    </row>
    <row r="1324" spans="1:10" x14ac:dyDescent="0.3">
      <c r="A1324" t="str">
        <f>""</f>
        <v/>
      </c>
      <c r="B1324" t="str">
        <f>""</f>
        <v/>
      </c>
      <c r="G1324" t="str">
        <f>""</f>
        <v/>
      </c>
      <c r="H1324" t="str">
        <f>""</f>
        <v/>
      </c>
      <c r="J1324" t="str">
        <f t="shared" si="38"/>
        <v>GUARDIAN</v>
      </c>
    </row>
    <row r="1325" spans="1:10" x14ac:dyDescent="0.3">
      <c r="A1325" t="str">
        <f>""</f>
        <v/>
      </c>
      <c r="B1325" t="str">
        <f>""</f>
        <v/>
      </c>
      <c r="G1325" t="str">
        <f>""</f>
        <v/>
      </c>
      <c r="H1325" t="str">
        <f>""</f>
        <v/>
      </c>
      <c r="J1325" t="str">
        <f t="shared" si="38"/>
        <v>GUARDIAN</v>
      </c>
    </row>
    <row r="1326" spans="1:10" x14ac:dyDescent="0.3">
      <c r="A1326" t="str">
        <f>""</f>
        <v/>
      </c>
      <c r="B1326" t="str">
        <f>""</f>
        <v/>
      </c>
      <c r="G1326" t="str">
        <f>""</f>
        <v/>
      </c>
      <c r="H1326" t="str">
        <f>""</f>
        <v/>
      </c>
      <c r="J1326" t="str">
        <f t="shared" si="38"/>
        <v>GUARDIAN</v>
      </c>
    </row>
    <row r="1327" spans="1:10" x14ac:dyDescent="0.3">
      <c r="A1327" t="str">
        <f>""</f>
        <v/>
      </c>
      <c r="B1327" t="str">
        <f>""</f>
        <v/>
      </c>
      <c r="G1327" t="str">
        <f>""</f>
        <v/>
      </c>
      <c r="H1327" t="str">
        <f>""</f>
        <v/>
      </c>
      <c r="J1327" t="str">
        <f t="shared" si="38"/>
        <v>GUARDIAN</v>
      </c>
    </row>
    <row r="1328" spans="1:10" x14ac:dyDescent="0.3">
      <c r="A1328" t="str">
        <f>""</f>
        <v/>
      </c>
      <c r="B1328" t="str">
        <f>""</f>
        <v/>
      </c>
      <c r="G1328" t="str">
        <f>""</f>
        <v/>
      </c>
      <c r="H1328" t="str">
        <f>""</f>
        <v/>
      </c>
      <c r="J1328" t="str">
        <f t="shared" si="38"/>
        <v>GUARDIAN</v>
      </c>
    </row>
    <row r="1329" spans="1:10" x14ac:dyDescent="0.3">
      <c r="A1329" t="str">
        <f>""</f>
        <v/>
      </c>
      <c r="B1329" t="str">
        <f>""</f>
        <v/>
      </c>
      <c r="G1329" t="str">
        <f>""</f>
        <v/>
      </c>
      <c r="H1329" t="str">
        <f>""</f>
        <v/>
      </c>
      <c r="J1329" t="str">
        <f t="shared" si="38"/>
        <v>GUARDIAN</v>
      </c>
    </row>
    <row r="1330" spans="1:10" x14ac:dyDescent="0.3">
      <c r="A1330" t="str">
        <f>""</f>
        <v/>
      </c>
      <c r="B1330" t="str">
        <f>""</f>
        <v/>
      </c>
      <c r="G1330" t="str">
        <f>""</f>
        <v/>
      </c>
      <c r="H1330" t="str">
        <f>""</f>
        <v/>
      </c>
      <c r="J1330" t="str">
        <f t="shared" si="38"/>
        <v>GUARDIAN</v>
      </c>
    </row>
    <row r="1331" spans="1:10" x14ac:dyDescent="0.3">
      <c r="A1331" t="str">
        <f>""</f>
        <v/>
      </c>
      <c r="B1331" t="str">
        <f>""</f>
        <v/>
      </c>
      <c r="G1331" t="str">
        <f>""</f>
        <v/>
      </c>
      <c r="H1331" t="str">
        <f>""</f>
        <v/>
      </c>
      <c r="J1331" t="str">
        <f t="shared" si="38"/>
        <v>GUARDIAN</v>
      </c>
    </row>
    <row r="1332" spans="1:10" x14ac:dyDescent="0.3">
      <c r="A1332" t="str">
        <f>""</f>
        <v/>
      </c>
      <c r="B1332" t="str">
        <f>""</f>
        <v/>
      </c>
      <c r="G1332" t="str">
        <f>""</f>
        <v/>
      </c>
      <c r="H1332" t="str">
        <f>""</f>
        <v/>
      </c>
      <c r="J1332" t="str">
        <f t="shared" si="38"/>
        <v>GUARDIAN</v>
      </c>
    </row>
    <row r="1333" spans="1:10" x14ac:dyDescent="0.3">
      <c r="A1333" t="str">
        <f>""</f>
        <v/>
      </c>
      <c r="B1333" t="str">
        <f>""</f>
        <v/>
      </c>
      <c r="G1333" t="str">
        <f>""</f>
        <v/>
      </c>
      <c r="H1333" t="str">
        <f>""</f>
        <v/>
      </c>
      <c r="J1333" t="str">
        <f t="shared" si="38"/>
        <v>GUARDIAN</v>
      </c>
    </row>
    <row r="1334" spans="1:10" x14ac:dyDescent="0.3">
      <c r="A1334" t="str">
        <f>""</f>
        <v/>
      </c>
      <c r="B1334" t="str">
        <f>""</f>
        <v/>
      </c>
      <c r="G1334" t="str">
        <f>""</f>
        <v/>
      </c>
      <c r="H1334" t="str">
        <f>""</f>
        <v/>
      </c>
      <c r="J1334" t="str">
        <f t="shared" si="38"/>
        <v>GUARDIAN</v>
      </c>
    </row>
    <row r="1335" spans="1:10" x14ac:dyDescent="0.3">
      <c r="A1335" t="str">
        <f>""</f>
        <v/>
      </c>
      <c r="B1335" t="str">
        <f>""</f>
        <v/>
      </c>
      <c r="G1335" t="str">
        <f>""</f>
        <v/>
      </c>
      <c r="H1335" t="str">
        <f>""</f>
        <v/>
      </c>
      <c r="J1335" t="str">
        <f t="shared" si="38"/>
        <v>GUARDIAN</v>
      </c>
    </row>
    <row r="1336" spans="1:10" x14ac:dyDescent="0.3">
      <c r="A1336" t="str">
        <f>""</f>
        <v/>
      </c>
      <c r="B1336" t="str">
        <f>""</f>
        <v/>
      </c>
      <c r="G1336" t="str">
        <f>""</f>
        <v/>
      </c>
      <c r="H1336" t="str">
        <f>""</f>
        <v/>
      </c>
      <c r="J1336" t="str">
        <f t="shared" si="38"/>
        <v>GUARDIAN</v>
      </c>
    </row>
    <row r="1337" spans="1:10" x14ac:dyDescent="0.3">
      <c r="A1337" t="str">
        <f>""</f>
        <v/>
      </c>
      <c r="B1337" t="str">
        <f>""</f>
        <v/>
      </c>
      <c r="G1337" t="str">
        <f>""</f>
        <v/>
      </c>
      <c r="H1337" t="str">
        <f>""</f>
        <v/>
      </c>
      <c r="J1337" t="str">
        <f t="shared" si="38"/>
        <v>GUARDIAN</v>
      </c>
    </row>
    <row r="1338" spans="1:10" x14ac:dyDescent="0.3">
      <c r="A1338" t="str">
        <f>""</f>
        <v/>
      </c>
      <c r="B1338" t="str">
        <f>""</f>
        <v/>
      </c>
      <c r="G1338" t="str">
        <f>""</f>
        <v/>
      </c>
      <c r="H1338" t="str">
        <f>""</f>
        <v/>
      </c>
      <c r="J1338" t="str">
        <f t="shared" si="38"/>
        <v>GUARDIAN</v>
      </c>
    </row>
    <row r="1339" spans="1:10" x14ac:dyDescent="0.3">
      <c r="A1339" t="str">
        <f>""</f>
        <v/>
      </c>
      <c r="B1339" t="str">
        <f>""</f>
        <v/>
      </c>
      <c r="G1339" t="str">
        <f>""</f>
        <v/>
      </c>
      <c r="H1339" t="str">
        <f>""</f>
        <v/>
      </c>
      <c r="J1339" t="str">
        <f t="shared" si="38"/>
        <v>GUARDIAN</v>
      </c>
    </row>
    <row r="1340" spans="1:10" x14ac:dyDescent="0.3">
      <c r="A1340" t="str">
        <f>""</f>
        <v/>
      </c>
      <c r="B1340" t="str">
        <f>""</f>
        <v/>
      </c>
      <c r="G1340" t="str">
        <f>""</f>
        <v/>
      </c>
      <c r="H1340" t="str">
        <f>""</f>
        <v/>
      </c>
      <c r="J1340" t="str">
        <f t="shared" si="38"/>
        <v>GUARDIAN</v>
      </c>
    </row>
    <row r="1341" spans="1:10" x14ac:dyDescent="0.3">
      <c r="A1341" t="str">
        <f>""</f>
        <v/>
      </c>
      <c r="B1341" t="str">
        <f>""</f>
        <v/>
      </c>
      <c r="G1341" t="str">
        <f>""</f>
        <v/>
      </c>
      <c r="H1341" t="str">
        <f>""</f>
        <v/>
      </c>
      <c r="J1341" t="str">
        <f t="shared" si="38"/>
        <v>GUARDIAN</v>
      </c>
    </row>
    <row r="1342" spans="1:10" x14ac:dyDescent="0.3">
      <c r="A1342" t="str">
        <f>""</f>
        <v/>
      </c>
      <c r="B1342" t="str">
        <f>""</f>
        <v/>
      </c>
      <c r="G1342" t="str">
        <f>"GDF201801118130"</f>
        <v>GDF201801118130</v>
      </c>
      <c r="H1342" t="str">
        <f>"GUARDIAN"</f>
        <v>GUARDIAN</v>
      </c>
      <c r="I1342" s="2">
        <v>144.84</v>
      </c>
      <c r="J1342" t="str">
        <f t="shared" si="38"/>
        <v>GUARDIAN</v>
      </c>
    </row>
    <row r="1343" spans="1:10" x14ac:dyDescent="0.3">
      <c r="A1343" t="str">
        <f>""</f>
        <v/>
      </c>
      <c r="B1343" t="str">
        <f>""</f>
        <v/>
      </c>
      <c r="G1343" t="str">
        <f>""</f>
        <v/>
      </c>
      <c r="H1343" t="str">
        <f>""</f>
        <v/>
      </c>
      <c r="J1343" t="str">
        <f t="shared" si="38"/>
        <v>GUARDIAN</v>
      </c>
    </row>
    <row r="1344" spans="1:10" x14ac:dyDescent="0.3">
      <c r="A1344" t="str">
        <f>""</f>
        <v/>
      </c>
      <c r="B1344" t="str">
        <f>""</f>
        <v/>
      </c>
      <c r="G1344" t="str">
        <f>"GDF201801248226"</f>
        <v>GDF201801248226</v>
      </c>
      <c r="H1344" t="str">
        <f>"GUARDIAN"</f>
        <v>GUARDIAN</v>
      </c>
      <c r="I1344" s="2">
        <v>144.84</v>
      </c>
      <c r="J1344" t="str">
        <f t="shared" si="38"/>
        <v>GUARDIAN</v>
      </c>
    </row>
    <row r="1345" spans="1:10" x14ac:dyDescent="0.3">
      <c r="A1345" t="str">
        <f>""</f>
        <v/>
      </c>
      <c r="B1345" t="str">
        <f>""</f>
        <v/>
      </c>
      <c r="G1345" t="str">
        <f>""</f>
        <v/>
      </c>
      <c r="H1345" t="str">
        <f>""</f>
        <v/>
      </c>
      <c r="J1345" t="str">
        <f t="shared" si="38"/>
        <v>GUARDIAN</v>
      </c>
    </row>
    <row r="1346" spans="1:10" x14ac:dyDescent="0.3">
      <c r="A1346" t="str">
        <f>""</f>
        <v/>
      </c>
      <c r="B1346" t="str">
        <f>""</f>
        <v/>
      </c>
      <c r="G1346" t="str">
        <f>"GDF201801248228"</f>
        <v>GDF201801248228</v>
      </c>
      <c r="H1346" t="str">
        <f>"GUARDIAN"</f>
        <v>GUARDIAN</v>
      </c>
      <c r="I1346" s="2">
        <v>2124.3200000000002</v>
      </c>
      <c r="J1346" t="str">
        <f t="shared" si="38"/>
        <v>GUARDIAN</v>
      </c>
    </row>
    <row r="1347" spans="1:10" x14ac:dyDescent="0.3">
      <c r="A1347" t="str">
        <f>""</f>
        <v/>
      </c>
      <c r="B1347" t="str">
        <f>""</f>
        <v/>
      </c>
      <c r="G1347" t="str">
        <f>""</f>
        <v/>
      </c>
      <c r="H1347" t="str">
        <f>""</f>
        <v/>
      </c>
      <c r="J1347" t="str">
        <f t="shared" si="38"/>
        <v>GUARDIAN</v>
      </c>
    </row>
    <row r="1348" spans="1:10" x14ac:dyDescent="0.3">
      <c r="A1348" t="str">
        <f>""</f>
        <v/>
      </c>
      <c r="B1348" t="str">
        <f>""</f>
        <v/>
      </c>
      <c r="G1348" t="str">
        <f>""</f>
        <v/>
      </c>
      <c r="H1348" t="str">
        <f>""</f>
        <v/>
      </c>
      <c r="J1348" t="str">
        <f t="shared" si="38"/>
        <v>GUARDIAN</v>
      </c>
    </row>
    <row r="1349" spans="1:10" x14ac:dyDescent="0.3">
      <c r="A1349" t="str">
        <f>""</f>
        <v/>
      </c>
      <c r="B1349" t="str">
        <f>""</f>
        <v/>
      </c>
      <c r="G1349" t="str">
        <f>""</f>
        <v/>
      </c>
      <c r="H1349" t="str">
        <f>""</f>
        <v/>
      </c>
      <c r="J1349" t="str">
        <f t="shared" si="38"/>
        <v>GUARDIAN</v>
      </c>
    </row>
    <row r="1350" spans="1:10" x14ac:dyDescent="0.3">
      <c r="A1350" t="str">
        <f>""</f>
        <v/>
      </c>
      <c r="B1350" t="str">
        <f>""</f>
        <v/>
      </c>
      <c r="G1350" t="str">
        <f>""</f>
        <v/>
      </c>
      <c r="H1350" t="str">
        <f>""</f>
        <v/>
      </c>
      <c r="J1350" t="str">
        <f t="shared" si="38"/>
        <v>GUARDIAN</v>
      </c>
    </row>
    <row r="1351" spans="1:10" x14ac:dyDescent="0.3">
      <c r="A1351" t="str">
        <f>""</f>
        <v/>
      </c>
      <c r="B1351" t="str">
        <f>""</f>
        <v/>
      </c>
      <c r="G1351" t="str">
        <f>""</f>
        <v/>
      </c>
      <c r="H1351" t="str">
        <f>""</f>
        <v/>
      </c>
      <c r="J1351" t="str">
        <f t="shared" ref="J1351:J1414" si="39">"GUARDIAN"</f>
        <v>GUARDIAN</v>
      </c>
    </row>
    <row r="1352" spans="1:10" x14ac:dyDescent="0.3">
      <c r="A1352" t="str">
        <f>""</f>
        <v/>
      </c>
      <c r="B1352" t="str">
        <f>""</f>
        <v/>
      </c>
      <c r="G1352" t="str">
        <f>""</f>
        <v/>
      </c>
      <c r="H1352" t="str">
        <f>""</f>
        <v/>
      </c>
      <c r="J1352" t="str">
        <f t="shared" si="39"/>
        <v>GUARDIAN</v>
      </c>
    </row>
    <row r="1353" spans="1:10" x14ac:dyDescent="0.3">
      <c r="A1353" t="str">
        <f>""</f>
        <v/>
      </c>
      <c r="B1353" t="str">
        <f>""</f>
        <v/>
      </c>
      <c r="G1353" t="str">
        <f>""</f>
        <v/>
      </c>
      <c r="H1353" t="str">
        <f>""</f>
        <v/>
      </c>
      <c r="J1353" t="str">
        <f t="shared" si="39"/>
        <v>GUARDIAN</v>
      </c>
    </row>
    <row r="1354" spans="1:10" x14ac:dyDescent="0.3">
      <c r="A1354" t="str">
        <f>""</f>
        <v/>
      </c>
      <c r="B1354" t="str">
        <f>""</f>
        <v/>
      </c>
      <c r="G1354" t="str">
        <f>""</f>
        <v/>
      </c>
      <c r="H1354" t="str">
        <f>""</f>
        <v/>
      </c>
      <c r="J1354" t="str">
        <f t="shared" si="39"/>
        <v>GUARDIAN</v>
      </c>
    </row>
    <row r="1355" spans="1:10" x14ac:dyDescent="0.3">
      <c r="A1355" t="str">
        <f>""</f>
        <v/>
      </c>
      <c r="B1355" t="str">
        <f>""</f>
        <v/>
      </c>
      <c r="G1355" t="str">
        <f>""</f>
        <v/>
      </c>
      <c r="H1355" t="str">
        <f>""</f>
        <v/>
      </c>
      <c r="J1355" t="str">
        <f t="shared" si="39"/>
        <v>GUARDIAN</v>
      </c>
    </row>
    <row r="1356" spans="1:10" x14ac:dyDescent="0.3">
      <c r="A1356" t="str">
        <f>""</f>
        <v/>
      </c>
      <c r="B1356" t="str">
        <f>""</f>
        <v/>
      </c>
      <c r="G1356" t="str">
        <f>""</f>
        <v/>
      </c>
      <c r="H1356" t="str">
        <f>""</f>
        <v/>
      </c>
      <c r="J1356" t="str">
        <f t="shared" si="39"/>
        <v>GUARDIAN</v>
      </c>
    </row>
    <row r="1357" spans="1:10" x14ac:dyDescent="0.3">
      <c r="A1357" t="str">
        <f>""</f>
        <v/>
      </c>
      <c r="B1357" t="str">
        <f>""</f>
        <v/>
      </c>
      <c r="G1357" t="str">
        <f>""</f>
        <v/>
      </c>
      <c r="H1357" t="str">
        <f>""</f>
        <v/>
      </c>
      <c r="J1357" t="str">
        <f t="shared" si="39"/>
        <v>GUARDIAN</v>
      </c>
    </row>
    <row r="1358" spans="1:10" x14ac:dyDescent="0.3">
      <c r="A1358" t="str">
        <f>""</f>
        <v/>
      </c>
      <c r="B1358" t="str">
        <f>""</f>
        <v/>
      </c>
      <c r="G1358" t="str">
        <f>""</f>
        <v/>
      </c>
      <c r="H1358" t="str">
        <f>""</f>
        <v/>
      </c>
      <c r="J1358" t="str">
        <f t="shared" si="39"/>
        <v>GUARDIAN</v>
      </c>
    </row>
    <row r="1359" spans="1:10" x14ac:dyDescent="0.3">
      <c r="A1359" t="str">
        <f>""</f>
        <v/>
      </c>
      <c r="B1359" t="str">
        <f>""</f>
        <v/>
      </c>
      <c r="G1359" t="str">
        <f>""</f>
        <v/>
      </c>
      <c r="H1359" t="str">
        <f>""</f>
        <v/>
      </c>
      <c r="J1359" t="str">
        <f t="shared" si="39"/>
        <v>GUARDIAN</v>
      </c>
    </row>
    <row r="1360" spans="1:10" x14ac:dyDescent="0.3">
      <c r="A1360" t="str">
        <f>""</f>
        <v/>
      </c>
      <c r="B1360" t="str">
        <f>""</f>
        <v/>
      </c>
      <c r="G1360" t="str">
        <f>""</f>
        <v/>
      </c>
      <c r="H1360" t="str">
        <f>""</f>
        <v/>
      </c>
      <c r="J1360" t="str">
        <f t="shared" si="39"/>
        <v>GUARDIAN</v>
      </c>
    </row>
    <row r="1361" spans="1:10" x14ac:dyDescent="0.3">
      <c r="A1361" t="str">
        <f>""</f>
        <v/>
      </c>
      <c r="B1361" t="str">
        <f>""</f>
        <v/>
      </c>
      <c r="G1361" t="str">
        <f>""</f>
        <v/>
      </c>
      <c r="H1361" t="str">
        <f>""</f>
        <v/>
      </c>
      <c r="J1361" t="str">
        <f t="shared" si="39"/>
        <v>GUARDIAN</v>
      </c>
    </row>
    <row r="1362" spans="1:10" x14ac:dyDescent="0.3">
      <c r="A1362" t="str">
        <f>""</f>
        <v/>
      </c>
      <c r="B1362" t="str">
        <f>""</f>
        <v/>
      </c>
      <c r="G1362" t="str">
        <f>""</f>
        <v/>
      </c>
      <c r="H1362" t="str">
        <f>""</f>
        <v/>
      </c>
      <c r="J1362" t="str">
        <f t="shared" si="39"/>
        <v>GUARDIAN</v>
      </c>
    </row>
    <row r="1363" spans="1:10" x14ac:dyDescent="0.3">
      <c r="A1363" t="str">
        <f>""</f>
        <v/>
      </c>
      <c r="B1363" t="str">
        <f>""</f>
        <v/>
      </c>
      <c r="G1363" t="str">
        <f>""</f>
        <v/>
      </c>
      <c r="H1363" t="str">
        <f>""</f>
        <v/>
      </c>
      <c r="J1363" t="str">
        <f t="shared" si="39"/>
        <v>GUARDIAN</v>
      </c>
    </row>
    <row r="1364" spans="1:10" x14ac:dyDescent="0.3">
      <c r="A1364" t="str">
        <f>""</f>
        <v/>
      </c>
      <c r="B1364" t="str">
        <f>""</f>
        <v/>
      </c>
      <c r="G1364" t="str">
        <f>""</f>
        <v/>
      </c>
      <c r="H1364" t="str">
        <f>""</f>
        <v/>
      </c>
      <c r="J1364" t="str">
        <f t="shared" si="39"/>
        <v>GUARDIAN</v>
      </c>
    </row>
    <row r="1365" spans="1:10" x14ac:dyDescent="0.3">
      <c r="A1365" t="str">
        <f>""</f>
        <v/>
      </c>
      <c r="B1365" t="str">
        <f>""</f>
        <v/>
      </c>
      <c r="G1365" t="str">
        <f>""</f>
        <v/>
      </c>
      <c r="H1365" t="str">
        <f>""</f>
        <v/>
      </c>
      <c r="J1365" t="str">
        <f t="shared" si="39"/>
        <v>GUARDIAN</v>
      </c>
    </row>
    <row r="1366" spans="1:10" x14ac:dyDescent="0.3">
      <c r="A1366" t="str">
        <f>""</f>
        <v/>
      </c>
      <c r="B1366" t="str">
        <f>""</f>
        <v/>
      </c>
      <c r="G1366" t="str">
        <f>""</f>
        <v/>
      </c>
      <c r="H1366" t="str">
        <f>""</f>
        <v/>
      </c>
      <c r="J1366" t="str">
        <f t="shared" si="39"/>
        <v>GUARDIAN</v>
      </c>
    </row>
    <row r="1367" spans="1:10" x14ac:dyDescent="0.3">
      <c r="A1367" t="str">
        <f>""</f>
        <v/>
      </c>
      <c r="B1367" t="str">
        <f>""</f>
        <v/>
      </c>
      <c r="G1367" t="str">
        <f>""</f>
        <v/>
      </c>
      <c r="H1367" t="str">
        <f>""</f>
        <v/>
      </c>
      <c r="J1367" t="str">
        <f t="shared" si="39"/>
        <v>GUARDIAN</v>
      </c>
    </row>
    <row r="1368" spans="1:10" x14ac:dyDescent="0.3">
      <c r="A1368" t="str">
        <f>""</f>
        <v/>
      </c>
      <c r="B1368" t="str">
        <f>""</f>
        <v/>
      </c>
      <c r="G1368" t="str">
        <f>""</f>
        <v/>
      </c>
      <c r="H1368" t="str">
        <f>""</f>
        <v/>
      </c>
      <c r="J1368" t="str">
        <f t="shared" si="39"/>
        <v>GUARDIAN</v>
      </c>
    </row>
    <row r="1369" spans="1:10" x14ac:dyDescent="0.3">
      <c r="A1369" t="str">
        <f>""</f>
        <v/>
      </c>
      <c r="B1369" t="str">
        <f>""</f>
        <v/>
      </c>
      <c r="G1369" t="str">
        <f>"GDS201801118129"</f>
        <v>GDS201801118129</v>
      </c>
      <c r="H1369" t="str">
        <f>"GUARDIAN"</f>
        <v>GUARDIAN</v>
      </c>
      <c r="I1369" s="2">
        <v>1789.2</v>
      </c>
      <c r="J1369" t="str">
        <f t="shared" si="39"/>
        <v>GUARDIAN</v>
      </c>
    </row>
    <row r="1370" spans="1:10" x14ac:dyDescent="0.3">
      <c r="A1370" t="str">
        <f>""</f>
        <v/>
      </c>
      <c r="B1370" t="str">
        <f>""</f>
        <v/>
      </c>
      <c r="G1370" t="str">
        <f>""</f>
        <v/>
      </c>
      <c r="H1370" t="str">
        <f>""</f>
        <v/>
      </c>
      <c r="J1370" t="str">
        <f t="shared" si="39"/>
        <v>GUARDIAN</v>
      </c>
    </row>
    <row r="1371" spans="1:10" x14ac:dyDescent="0.3">
      <c r="A1371" t="str">
        <f>""</f>
        <v/>
      </c>
      <c r="B1371" t="str">
        <f>""</f>
        <v/>
      </c>
      <c r="G1371" t="str">
        <f>""</f>
        <v/>
      </c>
      <c r="H1371" t="str">
        <f>""</f>
        <v/>
      </c>
      <c r="J1371" t="str">
        <f t="shared" si="39"/>
        <v>GUARDIAN</v>
      </c>
    </row>
    <row r="1372" spans="1:10" x14ac:dyDescent="0.3">
      <c r="A1372" t="str">
        <f>""</f>
        <v/>
      </c>
      <c r="B1372" t="str">
        <f>""</f>
        <v/>
      </c>
      <c r="G1372" t="str">
        <f>""</f>
        <v/>
      </c>
      <c r="H1372" t="str">
        <f>""</f>
        <v/>
      </c>
      <c r="J1372" t="str">
        <f t="shared" si="39"/>
        <v>GUARDIAN</v>
      </c>
    </row>
    <row r="1373" spans="1:10" x14ac:dyDescent="0.3">
      <c r="A1373" t="str">
        <f>""</f>
        <v/>
      </c>
      <c r="B1373" t="str">
        <f>""</f>
        <v/>
      </c>
      <c r="G1373" t="str">
        <f>""</f>
        <v/>
      </c>
      <c r="H1373" t="str">
        <f>""</f>
        <v/>
      </c>
      <c r="J1373" t="str">
        <f t="shared" si="39"/>
        <v>GUARDIAN</v>
      </c>
    </row>
    <row r="1374" spans="1:10" x14ac:dyDescent="0.3">
      <c r="A1374" t="str">
        <f>""</f>
        <v/>
      </c>
      <c r="B1374" t="str">
        <f>""</f>
        <v/>
      </c>
      <c r="G1374" t="str">
        <f>""</f>
        <v/>
      </c>
      <c r="H1374" t="str">
        <f>""</f>
        <v/>
      </c>
      <c r="J1374" t="str">
        <f t="shared" si="39"/>
        <v>GUARDIAN</v>
      </c>
    </row>
    <row r="1375" spans="1:10" x14ac:dyDescent="0.3">
      <c r="A1375" t="str">
        <f>""</f>
        <v/>
      </c>
      <c r="B1375" t="str">
        <f>""</f>
        <v/>
      </c>
      <c r="G1375" t="str">
        <f>""</f>
        <v/>
      </c>
      <c r="H1375" t="str">
        <f>""</f>
        <v/>
      </c>
      <c r="J1375" t="str">
        <f t="shared" si="39"/>
        <v>GUARDIAN</v>
      </c>
    </row>
    <row r="1376" spans="1:10" x14ac:dyDescent="0.3">
      <c r="A1376" t="str">
        <f>""</f>
        <v/>
      </c>
      <c r="B1376" t="str">
        <f>""</f>
        <v/>
      </c>
      <c r="G1376" t="str">
        <f>""</f>
        <v/>
      </c>
      <c r="H1376" t="str">
        <f>""</f>
        <v/>
      </c>
      <c r="J1376" t="str">
        <f t="shared" si="39"/>
        <v>GUARDIAN</v>
      </c>
    </row>
    <row r="1377" spans="1:10" x14ac:dyDescent="0.3">
      <c r="A1377" t="str">
        <f>""</f>
        <v/>
      </c>
      <c r="B1377" t="str">
        <f>""</f>
        <v/>
      </c>
      <c r="G1377" t="str">
        <f>""</f>
        <v/>
      </c>
      <c r="H1377" t="str">
        <f>""</f>
        <v/>
      </c>
      <c r="J1377" t="str">
        <f t="shared" si="39"/>
        <v>GUARDIAN</v>
      </c>
    </row>
    <row r="1378" spans="1:10" x14ac:dyDescent="0.3">
      <c r="A1378" t="str">
        <f>""</f>
        <v/>
      </c>
      <c r="B1378" t="str">
        <f>""</f>
        <v/>
      </c>
      <c r="G1378" t="str">
        <f>""</f>
        <v/>
      </c>
      <c r="H1378" t="str">
        <f>""</f>
        <v/>
      </c>
      <c r="J1378" t="str">
        <f t="shared" si="39"/>
        <v>GUARDIAN</v>
      </c>
    </row>
    <row r="1379" spans="1:10" x14ac:dyDescent="0.3">
      <c r="A1379" t="str">
        <f>""</f>
        <v/>
      </c>
      <c r="B1379" t="str">
        <f>""</f>
        <v/>
      </c>
      <c r="G1379" t="str">
        <f>""</f>
        <v/>
      </c>
      <c r="H1379" t="str">
        <f>""</f>
        <v/>
      </c>
      <c r="J1379" t="str">
        <f t="shared" si="39"/>
        <v>GUARDIAN</v>
      </c>
    </row>
    <row r="1380" spans="1:10" x14ac:dyDescent="0.3">
      <c r="A1380" t="str">
        <f>""</f>
        <v/>
      </c>
      <c r="B1380" t="str">
        <f>""</f>
        <v/>
      </c>
      <c r="G1380" t="str">
        <f>""</f>
        <v/>
      </c>
      <c r="H1380" t="str">
        <f>""</f>
        <v/>
      </c>
      <c r="J1380" t="str">
        <f t="shared" si="39"/>
        <v>GUARDIAN</v>
      </c>
    </row>
    <row r="1381" spans="1:10" x14ac:dyDescent="0.3">
      <c r="A1381" t="str">
        <f>""</f>
        <v/>
      </c>
      <c r="B1381" t="str">
        <f>""</f>
        <v/>
      </c>
      <c r="G1381" t="str">
        <f>""</f>
        <v/>
      </c>
      <c r="H1381" t="str">
        <f>""</f>
        <v/>
      </c>
      <c r="J1381" t="str">
        <f t="shared" si="39"/>
        <v>GUARDIAN</v>
      </c>
    </row>
    <row r="1382" spans="1:10" x14ac:dyDescent="0.3">
      <c r="A1382" t="str">
        <f>""</f>
        <v/>
      </c>
      <c r="B1382" t="str">
        <f>""</f>
        <v/>
      </c>
      <c r="G1382" t="str">
        <f>""</f>
        <v/>
      </c>
      <c r="H1382" t="str">
        <f>""</f>
        <v/>
      </c>
      <c r="J1382" t="str">
        <f t="shared" si="39"/>
        <v>GUARDIAN</v>
      </c>
    </row>
    <row r="1383" spans="1:10" x14ac:dyDescent="0.3">
      <c r="A1383" t="str">
        <f>""</f>
        <v/>
      </c>
      <c r="B1383" t="str">
        <f>""</f>
        <v/>
      </c>
      <c r="G1383" t="str">
        <f>""</f>
        <v/>
      </c>
      <c r="H1383" t="str">
        <f>""</f>
        <v/>
      </c>
      <c r="J1383" t="str">
        <f t="shared" si="39"/>
        <v>GUARDIAN</v>
      </c>
    </row>
    <row r="1384" spans="1:10" x14ac:dyDescent="0.3">
      <c r="A1384" t="str">
        <f>""</f>
        <v/>
      </c>
      <c r="B1384" t="str">
        <f>""</f>
        <v/>
      </c>
      <c r="G1384" t="str">
        <f>""</f>
        <v/>
      </c>
      <c r="H1384" t="str">
        <f>""</f>
        <v/>
      </c>
      <c r="J1384" t="str">
        <f t="shared" si="39"/>
        <v>GUARDIAN</v>
      </c>
    </row>
    <row r="1385" spans="1:10" x14ac:dyDescent="0.3">
      <c r="A1385" t="str">
        <f>""</f>
        <v/>
      </c>
      <c r="B1385" t="str">
        <f>""</f>
        <v/>
      </c>
      <c r="G1385" t="str">
        <f>""</f>
        <v/>
      </c>
      <c r="H1385" t="str">
        <f>""</f>
        <v/>
      </c>
      <c r="J1385" t="str">
        <f t="shared" si="39"/>
        <v>GUARDIAN</v>
      </c>
    </row>
    <row r="1386" spans="1:10" x14ac:dyDescent="0.3">
      <c r="A1386" t="str">
        <f>""</f>
        <v/>
      </c>
      <c r="B1386" t="str">
        <f>""</f>
        <v/>
      </c>
      <c r="G1386" t="str">
        <f>""</f>
        <v/>
      </c>
      <c r="H1386" t="str">
        <f>""</f>
        <v/>
      </c>
      <c r="J1386" t="str">
        <f t="shared" si="39"/>
        <v>GUARDIAN</v>
      </c>
    </row>
    <row r="1387" spans="1:10" x14ac:dyDescent="0.3">
      <c r="A1387" t="str">
        <f>""</f>
        <v/>
      </c>
      <c r="B1387" t="str">
        <f>""</f>
        <v/>
      </c>
      <c r="G1387" t="str">
        <f>""</f>
        <v/>
      </c>
      <c r="H1387" t="str">
        <f>""</f>
        <v/>
      </c>
      <c r="J1387" t="str">
        <f t="shared" si="39"/>
        <v>GUARDIAN</v>
      </c>
    </row>
    <row r="1388" spans="1:10" x14ac:dyDescent="0.3">
      <c r="A1388" t="str">
        <f>""</f>
        <v/>
      </c>
      <c r="B1388" t="str">
        <f>""</f>
        <v/>
      </c>
      <c r="G1388" t="str">
        <f>""</f>
        <v/>
      </c>
      <c r="H1388" t="str">
        <f>""</f>
        <v/>
      </c>
      <c r="J1388" t="str">
        <f t="shared" si="39"/>
        <v>GUARDIAN</v>
      </c>
    </row>
    <row r="1389" spans="1:10" x14ac:dyDescent="0.3">
      <c r="A1389" t="str">
        <f>""</f>
        <v/>
      </c>
      <c r="B1389" t="str">
        <f>""</f>
        <v/>
      </c>
      <c r="G1389" t="str">
        <f>""</f>
        <v/>
      </c>
      <c r="H1389" t="str">
        <f>""</f>
        <v/>
      </c>
      <c r="J1389" t="str">
        <f t="shared" si="39"/>
        <v>GUARDIAN</v>
      </c>
    </row>
    <row r="1390" spans="1:10" x14ac:dyDescent="0.3">
      <c r="A1390" t="str">
        <f>""</f>
        <v/>
      </c>
      <c r="B1390" t="str">
        <f>""</f>
        <v/>
      </c>
      <c r="G1390" t="str">
        <f>""</f>
        <v/>
      </c>
      <c r="H1390" t="str">
        <f>""</f>
        <v/>
      </c>
      <c r="J1390" t="str">
        <f t="shared" si="39"/>
        <v>GUARDIAN</v>
      </c>
    </row>
    <row r="1391" spans="1:10" x14ac:dyDescent="0.3">
      <c r="A1391" t="str">
        <f>""</f>
        <v/>
      </c>
      <c r="B1391" t="str">
        <f>""</f>
        <v/>
      </c>
      <c r="G1391" t="str">
        <f>""</f>
        <v/>
      </c>
      <c r="H1391" t="str">
        <f>""</f>
        <v/>
      </c>
      <c r="J1391" t="str">
        <f t="shared" si="39"/>
        <v>GUARDIAN</v>
      </c>
    </row>
    <row r="1392" spans="1:10" x14ac:dyDescent="0.3">
      <c r="A1392" t="str">
        <f>""</f>
        <v/>
      </c>
      <c r="B1392" t="str">
        <f>""</f>
        <v/>
      </c>
      <c r="G1392" t="str">
        <f>""</f>
        <v/>
      </c>
      <c r="H1392" t="str">
        <f>""</f>
        <v/>
      </c>
      <c r="J1392" t="str">
        <f t="shared" si="39"/>
        <v>GUARDIAN</v>
      </c>
    </row>
    <row r="1393" spans="1:10" x14ac:dyDescent="0.3">
      <c r="A1393" t="str">
        <f>""</f>
        <v/>
      </c>
      <c r="B1393" t="str">
        <f>""</f>
        <v/>
      </c>
      <c r="G1393" t="str">
        <f>""</f>
        <v/>
      </c>
      <c r="H1393" t="str">
        <f>""</f>
        <v/>
      </c>
      <c r="J1393" t="str">
        <f t="shared" si="39"/>
        <v>GUARDIAN</v>
      </c>
    </row>
    <row r="1394" spans="1:10" x14ac:dyDescent="0.3">
      <c r="A1394" t="str">
        <f>""</f>
        <v/>
      </c>
      <c r="B1394" t="str">
        <f>""</f>
        <v/>
      </c>
      <c r="G1394" t="str">
        <f>""</f>
        <v/>
      </c>
      <c r="H1394" t="str">
        <f>""</f>
        <v/>
      </c>
      <c r="J1394" t="str">
        <f t="shared" si="39"/>
        <v>GUARDIAN</v>
      </c>
    </row>
    <row r="1395" spans="1:10" x14ac:dyDescent="0.3">
      <c r="A1395" t="str">
        <f>""</f>
        <v/>
      </c>
      <c r="B1395" t="str">
        <f>""</f>
        <v/>
      </c>
      <c r="G1395" t="str">
        <f>""</f>
        <v/>
      </c>
      <c r="H1395" t="str">
        <f>""</f>
        <v/>
      </c>
      <c r="J1395" t="str">
        <f t="shared" si="39"/>
        <v>GUARDIAN</v>
      </c>
    </row>
    <row r="1396" spans="1:10" x14ac:dyDescent="0.3">
      <c r="A1396" t="str">
        <f>""</f>
        <v/>
      </c>
      <c r="B1396" t="str">
        <f>""</f>
        <v/>
      </c>
      <c r="G1396" t="str">
        <f>""</f>
        <v/>
      </c>
      <c r="H1396" t="str">
        <f>""</f>
        <v/>
      </c>
      <c r="J1396" t="str">
        <f t="shared" si="39"/>
        <v>GUARDIAN</v>
      </c>
    </row>
    <row r="1397" spans="1:10" x14ac:dyDescent="0.3">
      <c r="A1397" t="str">
        <f>""</f>
        <v/>
      </c>
      <c r="B1397" t="str">
        <f>""</f>
        <v/>
      </c>
      <c r="G1397" t="str">
        <f>"GDS201801248228"</f>
        <v>GDS201801248228</v>
      </c>
      <c r="H1397" t="str">
        <f>"GUARDIAN"</f>
        <v>GUARDIAN</v>
      </c>
      <c r="I1397" s="2">
        <v>1789.2</v>
      </c>
      <c r="J1397" t="str">
        <f t="shared" si="39"/>
        <v>GUARDIAN</v>
      </c>
    </row>
    <row r="1398" spans="1:10" x14ac:dyDescent="0.3">
      <c r="A1398" t="str">
        <f>""</f>
        <v/>
      </c>
      <c r="B1398" t="str">
        <f>""</f>
        <v/>
      </c>
      <c r="G1398" t="str">
        <f>""</f>
        <v/>
      </c>
      <c r="H1398" t="str">
        <f>""</f>
        <v/>
      </c>
      <c r="J1398" t="str">
        <f t="shared" si="39"/>
        <v>GUARDIAN</v>
      </c>
    </row>
    <row r="1399" spans="1:10" x14ac:dyDescent="0.3">
      <c r="A1399" t="str">
        <f>""</f>
        <v/>
      </c>
      <c r="B1399" t="str">
        <f>""</f>
        <v/>
      </c>
      <c r="G1399" t="str">
        <f>""</f>
        <v/>
      </c>
      <c r="H1399" t="str">
        <f>""</f>
        <v/>
      </c>
      <c r="J1399" t="str">
        <f t="shared" si="39"/>
        <v>GUARDIAN</v>
      </c>
    </row>
    <row r="1400" spans="1:10" x14ac:dyDescent="0.3">
      <c r="A1400" t="str">
        <f>""</f>
        <v/>
      </c>
      <c r="B1400" t="str">
        <f>""</f>
        <v/>
      </c>
      <c r="G1400" t="str">
        <f>""</f>
        <v/>
      </c>
      <c r="H1400" t="str">
        <f>""</f>
        <v/>
      </c>
      <c r="J1400" t="str">
        <f t="shared" si="39"/>
        <v>GUARDIAN</v>
      </c>
    </row>
    <row r="1401" spans="1:10" x14ac:dyDescent="0.3">
      <c r="A1401" t="str">
        <f>""</f>
        <v/>
      </c>
      <c r="B1401" t="str">
        <f>""</f>
        <v/>
      </c>
      <c r="G1401" t="str">
        <f>""</f>
        <v/>
      </c>
      <c r="H1401" t="str">
        <f>""</f>
        <v/>
      </c>
      <c r="J1401" t="str">
        <f t="shared" si="39"/>
        <v>GUARDIAN</v>
      </c>
    </row>
    <row r="1402" spans="1:10" x14ac:dyDescent="0.3">
      <c r="A1402" t="str">
        <f>""</f>
        <v/>
      </c>
      <c r="B1402" t="str">
        <f>""</f>
        <v/>
      </c>
      <c r="G1402" t="str">
        <f>""</f>
        <v/>
      </c>
      <c r="H1402" t="str">
        <f>""</f>
        <v/>
      </c>
      <c r="J1402" t="str">
        <f t="shared" si="39"/>
        <v>GUARDIAN</v>
      </c>
    </row>
    <row r="1403" spans="1:10" x14ac:dyDescent="0.3">
      <c r="A1403" t="str">
        <f>""</f>
        <v/>
      </c>
      <c r="B1403" t="str">
        <f>""</f>
        <v/>
      </c>
      <c r="G1403" t="str">
        <f>""</f>
        <v/>
      </c>
      <c r="H1403" t="str">
        <f>""</f>
        <v/>
      </c>
      <c r="J1403" t="str">
        <f t="shared" si="39"/>
        <v>GUARDIAN</v>
      </c>
    </row>
    <row r="1404" spans="1:10" x14ac:dyDescent="0.3">
      <c r="A1404" t="str">
        <f>""</f>
        <v/>
      </c>
      <c r="B1404" t="str">
        <f>""</f>
        <v/>
      </c>
      <c r="G1404" t="str">
        <f>""</f>
        <v/>
      </c>
      <c r="H1404" t="str">
        <f>""</f>
        <v/>
      </c>
      <c r="J1404" t="str">
        <f t="shared" si="39"/>
        <v>GUARDIAN</v>
      </c>
    </row>
    <row r="1405" spans="1:10" x14ac:dyDescent="0.3">
      <c r="A1405" t="str">
        <f>""</f>
        <v/>
      </c>
      <c r="B1405" t="str">
        <f>""</f>
        <v/>
      </c>
      <c r="G1405" t="str">
        <f>""</f>
        <v/>
      </c>
      <c r="H1405" t="str">
        <f>""</f>
        <v/>
      </c>
      <c r="J1405" t="str">
        <f t="shared" si="39"/>
        <v>GUARDIAN</v>
      </c>
    </row>
    <row r="1406" spans="1:10" x14ac:dyDescent="0.3">
      <c r="A1406" t="str">
        <f>""</f>
        <v/>
      </c>
      <c r="B1406" t="str">
        <f>""</f>
        <v/>
      </c>
      <c r="G1406" t="str">
        <f>""</f>
        <v/>
      </c>
      <c r="H1406" t="str">
        <f>""</f>
        <v/>
      </c>
      <c r="J1406" t="str">
        <f t="shared" si="39"/>
        <v>GUARDIAN</v>
      </c>
    </row>
    <row r="1407" spans="1:10" x14ac:dyDescent="0.3">
      <c r="A1407" t="str">
        <f>""</f>
        <v/>
      </c>
      <c r="B1407" t="str">
        <f>""</f>
        <v/>
      </c>
      <c r="G1407" t="str">
        <f>""</f>
        <v/>
      </c>
      <c r="H1407" t="str">
        <f>""</f>
        <v/>
      </c>
      <c r="J1407" t="str">
        <f t="shared" si="39"/>
        <v>GUARDIAN</v>
      </c>
    </row>
    <row r="1408" spans="1:10" x14ac:dyDescent="0.3">
      <c r="A1408" t="str">
        <f>""</f>
        <v/>
      </c>
      <c r="B1408" t="str">
        <f>""</f>
        <v/>
      </c>
      <c r="G1408" t="str">
        <f>""</f>
        <v/>
      </c>
      <c r="H1408" t="str">
        <f>""</f>
        <v/>
      </c>
      <c r="J1408" t="str">
        <f t="shared" si="39"/>
        <v>GUARDIAN</v>
      </c>
    </row>
    <row r="1409" spans="1:10" x14ac:dyDescent="0.3">
      <c r="A1409" t="str">
        <f>""</f>
        <v/>
      </c>
      <c r="B1409" t="str">
        <f>""</f>
        <v/>
      </c>
      <c r="G1409" t="str">
        <f>""</f>
        <v/>
      </c>
      <c r="H1409" t="str">
        <f>""</f>
        <v/>
      </c>
      <c r="J1409" t="str">
        <f t="shared" si="39"/>
        <v>GUARDIAN</v>
      </c>
    </row>
    <row r="1410" spans="1:10" x14ac:dyDescent="0.3">
      <c r="A1410" t="str">
        <f>""</f>
        <v/>
      </c>
      <c r="B1410" t="str">
        <f>""</f>
        <v/>
      </c>
      <c r="G1410" t="str">
        <f>""</f>
        <v/>
      </c>
      <c r="H1410" t="str">
        <f>""</f>
        <v/>
      </c>
      <c r="J1410" t="str">
        <f t="shared" si="39"/>
        <v>GUARDIAN</v>
      </c>
    </row>
    <row r="1411" spans="1:10" x14ac:dyDescent="0.3">
      <c r="A1411" t="str">
        <f>""</f>
        <v/>
      </c>
      <c r="B1411" t="str">
        <f>""</f>
        <v/>
      </c>
      <c r="G1411" t="str">
        <f>""</f>
        <v/>
      </c>
      <c r="H1411" t="str">
        <f>""</f>
        <v/>
      </c>
      <c r="J1411" t="str">
        <f t="shared" si="39"/>
        <v>GUARDIAN</v>
      </c>
    </row>
    <row r="1412" spans="1:10" x14ac:dyDescent="0.3">
      <c r="A1412" t="str">
        <f>""</f>
        <v/>
      </c>
      <c r="B1412" t="str">
        <f>""</f>
        <v/>
      </c>
      <c r="G1412" t="str">
        <f>""</f>
        <v/>
      </c>
      <c r="H1412" t="str">
        <f>""</f>
        <v/>
      </c>
      <c r="J1412" t="str">
        <f t="shared" si="39"/>
        <v>GUARDIAN</v>
      </c>
    </row>
    <row r="1413" spans="1:10" x14ac:dyDescent="0.3">
      <c r="A1413" t="str">
        <f>""</f>
        <v/>
      </c>
      <c r="B1413" t="str">
        <f>""</f>
        <v/>
      </c>
      <c r="G1413" t="str">
        <f>""</f>
        <v/>
      </c>
      <c r="H1413" t="str">
        <f>""</f>
        <v/>
      </c>
      <c r="J1413" t="str">
        <f t="shared" si="39"/>
        <v>GUARDIAN</v>
      </c>
    </row>
    <row r="1414" spans="1:10" x14ac:dyDescent="0.3">
      <c r="A1414" t="str">
        <f>""</f>
        <v/>
      </c>
      <c r="B1414" t="str">
        <f>""</f>
        <v/>
      </c>
      <c r="G1414" t="str">
        <f>""</f>
        <v/>
      </c>
      <c r="H1414" t="str">
        <f>""</f>
        <v/>
      </c>
      <c r="J1414" t="str">
        <f t="shared" si="39"/>
        <v>GUARDIAN</v>
      </c>
    </row>
    <row r="1415" spans="1:10" x14ac:dyDescent="0.3">
      <c r="A1415" t="str">
        <f>""</f>
        <v/>
      </c>
      <c r="B1415" t="str">
        <f>""</f>
        <v/>
      </c>
      <c r="G1415" t="str">
        <f>""</f>
        <v/>
      </c>
      <c r="H1415" t="str">
        <f>""</f>
        <v/>
      </c>
      <c r="J1415" t="str">
        <f t="shared" ref="J1415:J1424" si="40">"GUARDIAN"</f>
        <v>GUARDIAN</v>
      </c>
    </row>
    <row r="1416" spans="1:10" x14ac:dyDescent="0.3">
      <c r="A1416" t="str">
        <f>""</f>
        <v/>
      </c>
      <c r="B1416" t="str">
        <f>""</f>
        <v/>
      </c>
      <c r="G1416" t="str">
        <f>""</f>
        <v/>
      </c>
      <c r="H1416" t="str">
        <f>""</f>
        <v/>
      </c>
      <c r="J1416" t="str">
        <f t="shared" si="40"/>
        <v>GUARDIAN</v>
      </c>
    </row>
    <row r="1417" spans="1:10" x14ac:dyDescent="0.3">
      <c r="A1417" t="str">
        <f>""</f>
        <v/>
      </c>
      <c r="B1417" t="str">
        <f>""</f>
        <v/>
      </c>
      <c r="G1417" t="str">
        <f>""</f>
        <v/>
      </c>
      <c r="H1417" t="str">
        <f>""</f>
        <v/>
      </c>
      <c r="J1417" t="str">
        <f t="shared" si="40"/>
        <v>GUARDIAN</v>
      </c>
    </row>
    <row r="1418" spans="1:10" x14ac:dyDescent="0.3">
      <c r="A1418" t="str">
        <f>""</f>
        <v/>
      </c>
      <c r="B1418" t="str">
        <f>""</f>
        <v/>
      </c>
      <c r="G1418" t="str">
        <f>""</f>
        <v/>
      </c>
      <c r="H1418" t="str">
        <f>""</f>
        <v/>
      </c>
      <c r="J1418" t="str">
        <f t="shared" si="40"/>
        <v>GUARDIAN</v>
      </c>
    </row>
    <row r="1419" spans="1:10" x14ac:dyDescent="0.3">
      <c r="A1419" t="str">
        <f>""</f>
        <v/>
      </c>
      <c r="B1419" t="str">
        <f>""</f>
        <v/>
      </c>
      <c r="G1419" t="str">
        <f>""</f>
        <v/>
      </c>
      <c r="H1419" t="str">
        <f>""</f>
        <v/>
      </c>
      <c r="J1419" t="str">
        <f t="shared" si="40"/>
        <v>GUARDIAN</v>
      </c>
    </row>
    <row r="1420" spans="1:10" x14ac:dyDescent="0.3">
      <c r="A1420" t="str">
        <f>""</f>
        <v/>
      </c>
      <c r="B1420" t="str">
        <f>""</f>
        <v/>
      </c>
      <c r="G1420" t="str">
        <f>""</f>
        <v/>
      </c>
      <c r="H1420" t="str">
        <f>""</f>
        <v/>
      </c>
      <c r="J1420" t="str">
        <f t="shared" si="40"/>
        <v>GUARDIAN</v>
      </c>
    </row>
    <row r="1421" spans="1:10" x14ac:dyDescent="0.3">
      <c r="A1421" t="str">
        <f>""</f>
        <v/>
      </c>
      <c r="B1421" t="str">
        <f>""</f>
        <v/>
      </c>
      <c r="G1421" t="str">
        <f>""</f>
        <v/>
      </c>
      <c r="H1421" t="str">
        <f>""</f>
        <v/>
      </c>
      <c r="J1421" t="str">
        <f t="shared" si="40"/>
        <v>GUARDIAN</v>
      </c>
    </row>
    <row r="1422" spans="1:10" x14ac:dyDescent="0.3">
      <c r="A1422" t="str">
        <f>""</f>
        <v/>
      </c>
      <c r="B1422" t="str">
        <f>""</f>
        <v/>
      </c>
      <c r="G1422" t="str">
        <f>""</f>
        <v/>
      </c>
      <c r="H1422" t="str">
        <f>""</f>
        <v/>
      </c>
      <c r="J1422" t="str">
        <f t="shared" si="40"/>
        <v>GUARDIAN</v>
      </c>
    </row>
    <row r="1423" spans="1:10" x14ac:dyDescent="0.3">
      <c r="A1423" t="str">
        <f>""</f>
        <v/>
      </c>
      <c r="B1423" t="str">
        <f>""</f>
        <v/>
      </c>
      <c r="G1423" t="str">
        <f>""</f>
        <v/>
      </c>
      <c r="H1423" t="str">
        <f>""</f>
        <v/>
      </c>
      <c r="J1423" t="str">
        <f t="shared" si="40"/>
        <v>GUARDIAN</v>
      </c>
    </row>
    <row r="1424" spans="1:10" x14ac:dyDescent="0.3">
      <c r="A1424" t="str">
        <f>""</f>
        <v/>
      </c>
      <c r="B1424" t="str">
        <f>""</f>
        <v/>
      </c>
      <c r="G1424" t="str">
        <f>""</f>
        <v/>
      </c>
      <c r="H1424" t="str">
        <f>""</f>
        <v/>
      </c>
      <c r="J1424" t="str">
        <f t="shared" si="40"/>
        <v>GUARDIAN</v>
      </c>
    </row>
    <row r="1425" spans="1:10" x14ac:dyDescent="0.3">
      <c r="A1425" t="str">
        <f>""</f>
        <v/>
      </c>
      <c r="B1425" t="str">
        <f>""</f>
        <v/>
      </c>
      <c r="G1425" t="str">
        <f>"GV1201801118129"</f>
        <v>GV1201801118129</v>
      </c>
      <c r="H1425" t="str">
        <f>"GUARDIAN VISION"</f>
        <v>GUARDIAN VISION</v>
      </c>
      <c r="I1425" s="2">
        <v>369.6</v>
      </c>
      <c r="J1425" t="str">
        <f>"GUARDIAN VISION"</f>
        <v>GUARDIAN VISION</v>
      </c>
    </row>
    <row r="1426" spans="1:10" x14ac:dyDescent="0.3">
      <c r="A1426" t="str">
        <f>""</f>
        <v/>
      </c>
      <c r="B1426" t="str">
        <f>""</f>
        <v/>
      </c>
      <c r="G1426" t="str">
        <f>"GV1201801248228"</f>
        <v>GV1201801248228</v>
      </c>
      <c r="H1426" t="str">
        <f>"GUARDIAN VISION"</f>
        <v>GUARDIAN VISION</v>
      </c>
      <c r="I1426" s="2">
        <v>369.6</v>
      </c>
      <c r="J1426" t="str">
        <f>"GUARDIAN VISION"</f>
        <v>GUARDIAN VISION</v>
      </c>
    </row>
    <row r="1427" spans="1:10" x14ac:dyDescent="0.3">
      <c r="A1427" t="str">
        <f>""</f>
        <v/>
      </c>
      <c r="B1427" t="str">
        <f>""</f>
        <v/>
      </c>
      <c r="G1427" t="str">
        <f>"GVE201801118129"</f>
        <v>GVE201801118129</v>
      </c>
      <c r="H1427" t="str">
        <f>"GUARDIAN VISION VENDOR"</f>
        <v>GUARDIAN VISION VENDOR</v>
      </c>
      <c r="I1427" s="2">
        <v>538.74</v>
      </c>
      <c r="J1427" t="str">
        <f>"GUARDIAN VISION VENDOR"</f>
        <v>GUARDIAN VISION VENDOR</v>
      </c>
    </row>
    <row r="1428" spans="1:10" x14ac:dyDescent="0.3">
      <c r="A1428" t="str">
        <f>""</f>
        <v/>
      </c>
      <c r="B1428" t="str">
        <f>""</f>
        <v/>
      </c>
      <c r="G1428" t="str">
        <f>"GVE201801118130"</f>
        <v>GVE201801118130</v>
      </c>
      <c r="H1428" t="str">
        <f>"GUARDIAN VISION VENDOR"</f>
        <v>GUARDIAN VISION VENDOR</v>
      </c>
      <c r="I1428" s="2">
        <v>25.83</v>
      </c>
      <c r="J1428" t="str">
        <f>"GUARDIAN VISION VENDOR"</f>
        <v>GUARDIAN VISION VENDOR</v>
      </c>
    </row>
    <row r="1429" spans="1:10" x14ac:dyDescent="0.3">
      <c r="A1429" t="str">
        <f>""</f>
        <v/>
      </c>
      <c r="B1429" t="str">
        <f>""</f>
        <v/>
      </c>
      <c r="G1429" t="str">
        <f>"GVE201801248226"</f>
        <v>GVE201801248226</v>
      </c>
      <c r="H1429" t="str">
        <f>"GUARDIAN VISION VENDOR"</f>
        <v>GUARDIAN VISION VENDOR</v>
      </c>
      <c r="I1429" s="2">
        <v>25.83</v>
      </c>
      <c r="J1429" t="str">
        <f>"GUARDIAN VISION VENDOR"</f>
        <v>GUARDIAN VISION VENDOR</v>
      </c>
    </row>
    <row r="1430" spans="1:10" x14ac:dyDescent="0.3">
      <c r="A1430" t="str">
        <f>""</f>
        <v/>
      </c>
      <c r="B1430" t="str">
        <f>""</f>
        <v/>
      </c>
      <c r="G1430" t="str">
        <f>"GVE201801248228"</f>
        <v>GVE201801248228</v>
      </c>
      <c r="H1430" t="str">
        <f>"GUARDIAN VISION VENDOR"</f>
        <v>GUARDIAN VISION VENDOR</v>
      </c>
      <c r="I1430" s="2">
        <v>538.74</v>
      </c>
      <c r="J1430" t="str">
        <f>"GUARDIAN VISION VENDOR"</f>
        <v>GUARDIAN VISION VENDOR</v>
      </c>
    </row>
    <row r="1431" spans="1:10" x14ac:dyDescent="0.3">
      <c r="A1431" t="str">
        <f>""</f>
        <v/>
      </c>
      <c r="B1431" t="str">
        <f>""</f>
        <v/>
      </c>
      <c r="G1431" t="str">
        <f>"GVF201801118129"</f>
        <v>GVF201801118129</v>
      </c>
      <c r="H1431" t="str">
        <f>"GUARDIAN VISION"</f>
        <v>GUARDIAN VISION</v>
      </c>
      <c r="I1431" s="2">
        <v>443.25</v>
      </c>
      <c r="J1431" t="str">
        <f>"GUARDIAN VISION"</f>
        <v>GUARDIAN VISION</v>
      </c>
    </row>
    <row r="1432" spans="1:10" x14ac:dyDescent="0.3">
      <c r="A1432" t="str">
        <f>""</f>
        <v/>
      </c>
      <c r="B1432" t="str">
        <f>""</f>
        <v/>
      </c>
      <c r="G1432" t="str">
        <f>"GVF201801118130"</f>
        <v>GVF201801118130</v>
      </c>
      <c r="H1432" t="str">
        <f>"GUARDIAN VISION VENDOR"</f>
        <v>GUARDIAN VISION VENDOR</v>
      </c>
      <c r="I1432" s="2">
        <v>29.55</v>
      </c>
      <c r="J1432" t="str">
        <f>"GUARDIAN VISION VENDOR"</f>
        <v>GUARDIAN VISION VENDOR</v>
      </c>
    </row>
    <row r="1433" spans="1:10" x14ac:dyDescent="0.3">
      <c r="A1433" t="str">
        <f>""</f>
        <v/>
      </c>
      <c r="B1433" t="str">
        <f>""</f>
        <v/>
      </c>
      <c r="G1433" t="str">
        <f>"GVF201801248226"</f>
        <v>GVF201801248226</v>
      </c>
      <c r="H1433" t="str">
        <f>"GUARDIAN VISION VENDOR"</f>
        <v>GUARDIAN VISION VENDOR</v>
      </c>
      <c r="I1433" s="2">
        <v>29.55</v>
      </c>
      <c r="J1433" t="str">
        <f>"GUARDIAN VISION VENDOR"</f>
        <v>GUARDIAN VISION VENDOR</v>
      </c>
    </row>
    <row r="1434" spans="1:10" x14ac:dyDescent="0.3">
      <c r="A1434" t="str">
        <f>""</f>
        <v/>
      </c>
      <c r="B1434" t="str">
        <f>""</f>
        <v/>
      </c>
      <c r="G1434" t="str">
        <f>"GVF201801248228"</f>
        <v>GVF201801248228</v>
      </c>
      <c r="H1434" t="str">
        <f>"GUARDIAN VISION"</f>
        <v>GUARDIAN VISION</v>
      </c>
      <c r="I1434" s="2">
        <v>443.25</v>
      </c>
      <c r="J1434" t="str">
        <f>"GUARDIAN VISION"</f>
        <v>GUARDIAN VISION</v>
      </c>
    </row>
    <row r="1435" spans="1:10" x14ac:dyDescent="0.3">
      <c r="A1435" t="str">
        <f>""</f>
        <v/>
      </c>
      <c r="B1435" t="str">
        <f>""</f>
        <v/>
      </c>
      <c r="G1435" t="str">
        <f>"LIA201801118129"</f>
        <v>LIA201801118129</v>
      </c>
      <c r="H1435" t="str">
        <f>"GUARDIAN"</f>
        <v>GUARDIAN</v>
      </c>
      <c r="I1435" s="2">
        <v>131.97999999999999</v>
      </c>
      <c r="J1435" t="str">
        <f t="shared" ref="J1435:J1466" si="41">"GUARDIAN"</f>
        <v>GUARDIAN</v>
      </c>
    </row>
    <row r="1436" spans="1:10" x14ac:dyDescent="0.3">
      <c r="A1436" t="str">
        <f>""</f>
        <v/>
      </c>
      <c r="B1436" t="str">
        <f>""</f>
        <v/>
      </c>
      <c r="G1436" t="str">
        <f>""</f>
        <v/>
      </c>
      <c r="H1436" t="str">
        <f>""</f>
        <v/>
      </c>
      <c r="J1436" t="str">
        <f t="shared" si="41"/>
        <v>GUARDIAN</v>
      </c>
    </row>
    <row r="1437" spans="1:10" x14ac:dyDescent="0.3">
      <c r="A1437" t="str">
        <f>""</f>
        <v/>
      </c>
      <c r="B1437" t="str">
        <f>""</f>
        <v/>
      </c>
      <c r="G1437" t="str">
        <f>""</f>
        <v/>
      </c>
      <c r="H1437" t="str">
        <f>""</f>
        <v/>
      </c>
      <c r="J1437" t="str">
        <f t="shared" si="41"/>
        <v>GUARDIAN</v>
      </c>
    </row>
    <row r="1438" spans="1:10" x14ac:dyDescent="0.3">
      <c r="A1438" t="str">
        <f>""</f>
        <v/>
      </c>
      <c r="B1438" t="str">
        <f>""</f>
        <v/>
      </c>
      <c r="G1438" t="str">
        <f>""</f>
        <v/>
      </c>
      <c r="H1438" t="str">
        <f>""</f>
        <v/>
      </c>
      <c r="J1438" t="str">
        <f t="shared" si="41"/>
        <v>GUARDIAN</v>
      </c>
    </row>
    <row r="1439" spans="1:10" x14ac:dyDescent="0.3">
      <c r="A1439" t="str">
        <f>""</f>
        <v/>
      </c>
      <c r="B1439" t="str">
        <f>""</f>
        <v/>
      </c>
      <c r="G1439" t="str">
        <f>""</f>
        <v/>
      </c>
      <c r="H1439" t="str">
        <f>""</f>
        <v/>
      </c>
      <c r="J1439" t="str">
        <f t="shared" si="41"/>
        <v>GUARDIAN</v>
      </c>
    </row>
    <row r="1440" spans="1:10" x14ac:dyDescent="0.3">
      <c r="A1440" t="str">
        <f>""</f>
        <v/>
      </c>
      <c r="B1440" t="str">
        <f>""</f>
        <v/>
      </c>
      <c r="G1440" t="str">
        <f>""</f>
        <v/>
      </c>
      <c r="H1440" t="str">
        <f>""</f>
        <v/>
      </c>
      <c r="J1440" t="str">
        <f t="shared" si="41"/>
        <v>GUARDIAN</v>
      </c>
    </row>
    <row r="1441" spans="1:10" x14ac:dyDescent="0.3">
      <c r="A1441" t="str">
        <f>""</f>
        <v/>
      </c>
      <c r="B1441" t="str">
        <f>""</f>
        <v/>
      </c>
      <c r="G1441" t="str">
        <f>""</f>
        <v/>
      </c>
      <c r="H1441" t="str">
        <f>""</f>
        <v/>
      </c>
      <c r="J1441" t="str">
        <f t="shared" si="41"/>
        <v>GUARDIAN</v>
      </c>
    </row>
    <row r="1442" spans="1:10" x14ac:dyDescent="0.3">
      <c r="A1442" t="str">
        <f>""</f>
        <v/>
      </c>
      <c r="B1442" t="str">
        <f>""</f>
        <v/>
      </c>
      <c r="G1442" t="str">
        <f>""</f>
        <v/>
      </c>
      <c r="H1442" t="str">
        <f>""</f>
        <v/>
      </c>
      <c r="J1442" t="str">
        <f t="shared" si="41"/>
        <v>GUARDIAN</v>
      </c>
    </row>
    <row r="1443" spans="1:10" x14ac:dyDescent="0.3">
      <c r="A1443" t="str">
        <f>""</f>
        <v/>
      </c>
      <c r="B1443" t="str">
        <f>""</f>
        <v/>
      </c>
      <c r="G1443" t="str">
        <f>""</f>
        <v/>
      </c>
      <c r="H1443" t="str">
        <f>""</f>
        <v/>
      </c>
      <c r="J1443" t="str">
        <f t="shared" si="41"/>
        <v>GUARDIAN</v>
      </c>
    </row>
    <row r="1444" spans="1:10" x14ac:dyDescent="0.3">
      <c r="A1444" t="str">
        <f>""</f>
        <v/>
      </c>
      <c r="B1444" t="str">
        <f>""</f>
        <v/>
      </c>
      <c r="G1444" t="str">
        <f>""</f>
        <v/>
      </c>
      <c r="H1444" t="str">
        <f>""</f>
        <v/>
      </c>
      <c r="J1444" t="str">
        <f t="shared" si="41"/>
        <v>GUARDIAN</v>
      </c>
    </row>
    <row r="1445" spans="1:10" x14ac:dyDescent="0.3">
      <c r="A1445" t="str">
        <f>""</f>
        <v/>
      </c>
      <c r="B1445" t="str">
        <f>""</f>
        <v/>
      </c>
      <c r="G1445" t="str">
        <f>""</f>
        <v/>
      </c>
      <c r="H1445" t="str">
        <f>""</f>
        <v/>
      </c>
      <c r="J1445" t="str">
        <f t="shared" si="41"/>
        <v>GUARDIAN</v>
      </c>
    </row>
    <row r="1446" spans="1:10" x14ac:dyDescent="0.3">
      <c r="A1446" t="str">
        <f>""</f>
        <v/>
      </c>
      <c r="B1446" t="str">
        <f>""</f>
        <v/>
      </c>
      <c r="G1446" t="str">
        <f>""</f>
        <v/>
      </c>
      <c r="H1446" t="str">
        <f>""</f>
        <v/>
      </c>
      <c r="J1446" t="str">
        <f t="shared" si="41"/>
        <v>GUARDIAN</v>
      </c>
    </row>
    <row r="1447" spans="1:10" x14ac:dyDescent="0.3">
      <c r="A1447" t="str">
        <f>""</f>
        <v/>
      </c>
      <c r="B1447" t="str">
        <f>""</f>
        <v/>
      </c>
      <c r="G1447" t="str">
        <f>""</f>
        <v/>
      </c>
      <c r="H1447" t="str">
        <f>""</f>
        <v/>
      </c>
      <c r="J1447" t="str">
        <f t="shared" si="41"/>
        <v>GUARDIAN</v>
      </c>
    </row>
    <row r="1448" spans="1:10" x14ac:dyDescent="0.3">
      <c r="A1448" t="str">
        <f>""</f>
        <v/>
      </c>
      <c r="B1448" t="str">
        <f>""</f>
        <v/>
      </c>
      <c r="G1448" t="str">
        <f>""</f>
        <v/>
      </c>
      <c r="H1448" t="str">
        <f>""</f>
        <v/>
      </c>
      <c r="J1448" t="str">
        <f t="shared" si="41"/>
        <v>GUARDIAN</v>
      </c>
    </row>
    <row r="1449" spans="1:10" x14ac:dyDescent="0.3">
      <c r="A1449" t="str">
        <f>""</f>
        <v/>
      </c>
      <c r="B1449" t="str">
        <f>""</f>
        <v/>
      </c>
      <c r="G1449" t="str">
        <f>""</f>
        <v/>
      </c>
      <c r="H1449" t="str">
        <f>""</f>
        <v/>
      </c>
      <c r="J1449" t="str">
        <f t="shared" si="41"/>
        <v>GUARDIAN</v>
      </c>
    </row>
    <row r="1450" spans="1:10" x14ac:dyDescent="0.3">
      <c r="A1450" t="str">
        <f>""</f>
        <v/>
      </c>
      <c r="B1450" t="str">
        <f>""</f>
        <v/>
      </c>
      <c r="G1450" t="str">
        <f>""</f>
        <v/>
      </c>
      <c r="H1450" t="str">
        <f>""</f>
        <v/>
      </c>
      <c r="J1450" t="str">
        <f t="shared" si="41"/>
        <v>GUARDIAN</v>
      </c>
    </row>
    <row r="1451" spans="1:10" x14ac:dyDescent="0.3">
      <c r="A1451" t="str">
        <f>""</f>
        <v/>
      </c>
      <c r="B1451" t="str">
        <f>""</f>
        <v/>
      </c>
      <c r="G1451" t="str">
        <f>""</f>
        <v/>
      </c>
      <c r="H1451" t="str">
        <f>""</f>
        <v/>
      </c>
      <c r="J1451" t="str">
        <f t="shared" si="41"/>
        <v>GUARDIAN</v>
      </c>
    </row>
    <row r="1452" spans="1:10" x14ac:dyDescent="0.3">
      <c r="A1452" t="str">
        <f>""</f>
        <v/>
      </c>
      <c r="B1452" t="str">
        <f>""</f>
        <v/>
      </c>
      <c r="G1452" t="str">
        <f>""</f>
        <v/>
      </c>
      <c r="H1452" t="str">
        <f>""</f>
        <v/>
      </c>
      <c r="J1452" t="str">
        <f t="shared" si="41"/>
        <v>GUARDIAN</v>
      </c>
    </row>
    <row r="1453" spans="1:10" x14ac:dyDescent="0.3">
      <c r="A1453" t="str">
        <f>""</f>
        <v/>
      </c>
      <c r="B1453" t="str">
        <f>""</f>
        <v/>
      </c>
      <c r="G1453" t="str">
        <f>""</f>
        <v/>
      </c>
      <c r="H1453" t="str">
        <f>""</f>
        <v/>
      </c>
      <c r="J1453" t="str">
        <f t="shared" si="41"/>
        <v>GUARDIAN</v>
      </c>
    </row>
    <row r="1454" spans="1:10" x14ac:dyDescent="0.3">
      <c r="A1454" t="str">
        <f>""</f>
        <v/>
      </c>
      <c r="B1454" t="str">
        <f>""</f>
        <v/>
      </c>
      <c r="G1454" t="str">
        <f>""</f>
        <v/>
      </c>
      <c r="H1454" t="str">
        <f>""</f>
        <v/>
      </c>
      <c r="J1454" t="str">
        <f t="shared" si="41"/>
        <v>GUARDIAN</v>
      </c>
    </row>
    <row r="1455" spans="1:10" x14ac:dyDescent="0.3">
      <c r="A1455" t="str">
        <f>""</f>
        <v/>
      </c>
      <c r="B1455" t="str">
        <f>""</f>
        <v/>
      </c>
      <c r="G1455" t="str">
        <f>""</f>
        <v/>
      </c>
      <c r="H1455" t="str">
        <f>""</f>
        <v/>
      </c>
      <c r="J1455" t="str">
        <f t="shared" si="41"/>
        <v>GUARDIAN</v>
      </c>
    </row>
    <row r="1456" spans="1:10" x14ac:dyDescent="0.3">
      <c r="A1456" t="str">
        <f>""</f>
        <v/>
      </c>
      <c r="B1456" t="str">
        <f>""</f>
        <v/>
      </c>
      <c r="G1456" t="str">
        <f>""</f>
        <v/>
      </c>
      <c r="H1456" t="str">
        <f>""</f>
        <v/>
      </c>
      <c r="J1456" t="str">
        <f t="shared" si="41"/>
        <v>GUARDIAN</v>
      </c>
    </row>
    <row r="1457" spans="1:10" x14ac:dyDescent="0.3">
      <c r="A1457" t="str">
        <f>""</f>
        <v/>
      </c>
      <c r="B1457" t="str">
        <f>""</f>
        <v/>
      </c>
      <c r="G1457" t="str">
        <f>"LIA201801248228"</f>
        <v>LIA201801248228</v>
      </c>
      <c r="H1457" t="str">
        <f>"GUARDIAN"</f>
        <v>GUARDIAN</v>
      </c>
      <c r="I1457" s="2">
        <v>131.97999999999999</v>
      </c>
      <c r="J1457" t="str">
        <f t="shared" si="41"/>
        <v>GUARDIAN</v>
      </c>
    </row>
    <row r="1458" spans="1:10" x14ac:dyDescent="0.3">
      <c r="A1458" t="str">
        <f>""</f>
        <v/>
      </c>
      <c r="B1458" t="str">
        <f>""</f>
        <v/>
      </c>
      <c r="G1458" t="str">
        <f>""</f>
        <v/>
      </c>
      <c r="H1458" t="str">
        <f>""</f>
        <v/>
      </c>
      <c r="J1458" t="str">
        <f t="shared" si="41"/>
        <v>GUARDIAN</v>
      </c>
    </row>
    <row r="1459" spans="1:10" x14ac:dyDescent="0.3">
      <c r="A1459" t="str">
        <f>""</f>
        <v/>
      </c>
      <c r="B1459" t="str">
        <f>""</f>
        <v/>
      </c>
      <c r="G1459" t="str">
        <f>""</f>
        <v/>
      </c>
      <c r="H1459" t="str">
        <f>""</f>
        <v/>
      </c>
      <c r="J1459" t="str">
        <f t="shared" si="41"/>
        <v>GUARDIAN</v>
      </c>
    </row>
    <row r="1460" spans="1:10" x14ac:dyDescent="0.3">
      <c r="A1460" t="str">
        <f>""</f>
        <v/>
      </c>
      <c r="B1460" t="str">
        <f>""</f>
        <v/>
      </c>
      <c r="G1460" t="str">
        <f>""</f>
        <v/>
      </c>
      <c r="H1460" t="str">
        <f>""</f>
        <v/>
      </c>
      <c r="J1460" t="str">
        <f t="shared" si="41"/>
        <v>GUARDIAN</v>
      </c>
    </row>
    <row r="1461" spans="1:10" x14ac:dyDescent="0.3">
      <c r="A1461" t="str">
        <f>""</f>
        <v/>
      </c>
      <c r="B1461" t="str">
        <f>""</f>
        <v/>
      </c>
      <c r="G1461" t="str">
        <f>""</f>
        <v/>
      </c>
      <c r="H1461" t="str">
        <f>""</f>
        <v/>
      </c>
      <c r="J1461" t="str">
        <f t="shared" si="41"/>
        <v>GUARDIAN</v>
      </c>
    </row>
    <row r="1462" spans="1:10" x14ac:dyDescent="0.3">
      <c r="A1462" t="str">
        <f>""</f>
        <v/>
      </c>
      <c r="B1462" t="str">
        <f>""</f>
        <v/>
      </c>
      <c r="G1462" t="str">
        <f>""</f>
        <v/>
      </c>
      <c r="H1462" t="str">
        <f>""</f>
        <v/>
      </c>
      <c r="J1462" t="str">
        <f t="shared" si="41"/>
        <v>GUARDIAN</v>
      </c>
    </row>
    <row r="1463" spans="1:10" x14ac:dyDescent="0.3">
      <c r="A1463" t="str">
        <f>""</f>
        <v/>
      </c>
      <c r="B1463" t="str">
        <f>""</f>
        <v/>
      </c>
      <c r="G1463" t="str">
        <f>""</f>
        <v/>
      </c>
      <c r="H1463" t="str">
        <f>""</f>
        <v/>
      </c>
      <c r="J1463" t="str">
        <f t="shared" si="41"/>
        <v>GUARDIAN</v>
      </c>
    </row>
    <row r="1464" spans="1:10" x14ac:dyDescent="0.3">
      <c r="A1464" t="str">
        <f>""</f>
        <v/>
      </c>
      <c r="B1464" t="str">
        <f>""</f>
        <v/>
      </c>
      <c r="G1464" t="str">
        <f>""</f>
        <v/>
      </c>
      <c r="H1464" t="str">
        <f>""</f>
        <v/>
      </c>
      <c r="J1464" t="str">
        <f t="shared" si="41"/>
        <v>GUARDIAN</v>
      </c>
    </row>
    <row r="1465" spans="1:10" x14ac:dyDescent="0.3">
      <c r="A1465" t="str">
        <f>""</f>
        <v/>
      </c>
      <c r="B1465" t="str">
        <f>""</f>
        <v/>
      </c>
      <c r="G1465" t="str">
        <f>""</f>
        <v/>
      </c>
      <c r="H1465" t="str">
        <f>""</f>
        <v/>
      </c>
      <c r="J1465" t="str">
        <f t="shared" si="41"/>
        <v>GUARDIAN</v>
      </c>
    </row>
    <row r="1466" spans="1:10" x14ac:dyDescent="0.3">
      <c r="A1466" t="str">
        <f>""</f>
        <v/>
      </c>
      <c r="B1466" t="str">
        <f>""</f>
        <v/>
      </c>
      <c r="G1466" t="str">
        <f>""</f>
        <v/>
      </c>
      <c r="H1466" t="str">
        <f>""</f>
        <v/>
      </c>
      <c r="J1466" t="str">
        <f t="shared" si="41"/>
        <v>GUARDIAN</v>
      </c>
    </row>
    <row r="1467" spans="1:10" x14ac:dyDescent="0.3">
      <c r="A1467" t="str">
        <f>""</f>
        <v/>
      </c>
      <c r="B1467" t="str">
        <f>""</f>
        <v/>
      </c>
      <c r="G1467" t="str">
        <f>""</f>
        <v/>
      </c>
      <c r="H1467" t="str">
        <f>""</f>
        <v/>
      </c>
      <c r="J1467" t="str">
        <f t="shared" ref="J1467:J1498" si="42">"GUARDIAN"</f>
        <v>GUARDIAN</v>
      </c>
    </row>
    <row r="1468" spans="1:10" x14ac:dyDescent="0.3">
      <c r="A1468" t="str">
        <f>""</f>
        <v/>
      </c>
      <c r="B1468" t="str">
        <f>""</f>
        <v/>
      </c>
      <c r="G1468" t="str">
        <f>""</f>
        <v/>
      </c>
      <c r="H1468" t="str">
        <f>""</f>
        <v/>
      </c>
      <c r="J1468" t="str">
        <f t="shared" si="42"/>
        <v>GUARDIAN</v>
      </c>
    </row>
    <row r="1469" spans="1:10" x14ac:dyDescent="0.3">
      <c r="A1469" t="str">
        <f>""</f>
        <v/>
      </c>
      <c r="B1469" t="str">
        <f>""</f>
        <v/>
      </c>
      <c r="G1469" t="str">
        <f>""</f>
        <v/>
      </c>
      <c r="H1469" t="str">
        <f>""</f>
        <v/>
      </c>
      <c r="J1469" t="str">
        <f t="shared" si="42"/>
        <v>GUARDIAN</v>
      </c>
    </row>
    <row r="1470" spans="1:10" x14ac:dyDescent="0.3">
      <c r="A1470" t="str">
        <f>""</f>
        <v/>
      </c>
      <c r="B1470" t="str">
        <f>""</f>
        <v/>
      </c>
      <c r="G1470" t="str">
        <f>""</f>
        <v/>
      </c>
      <c r="H1470" t="str">
        <f>""</f>
        <v/>
      </c>
      <c r="J1470" t="str">
        <f t="shared" si="42"/>
        <v>GUARDIAN</v>
      </c>
    </row>
    <row r="1471" spans="1:10" x14ac:dyDescent="0.3">
      <c r="A1471" t="str">
        <f>""</f>
        <v/>
      </c>
      <c r="B1471" t="str">
        <f>""</f>
        <v/>
      </c>
      <c r="G1471" t="str">
        <f>""</f>
        <v/>
      </c>
      <c r="H1471" t="str">
        <f>""</f>
        <v/>
      </c>
      <c r="J1471" t="str">
        <f t="shared" si="42"/>
        <v>GUARDIAN</v>
      </c>
    </row>
    <row r="1472" spans="1:10" x14ac:dyDescent="0.3">
      <c r="A1472" t="str">
        <f>""</f>
        <v/>
      </c>
      <c r="B1472" t="str">
        <f>""</f>
        <v/>
      </c>
      <c r="G1472" t="str">
        <f>""</f>
        <v/>
      </c>
      <c r="H1472" t="str">
        <f>""</f>
        <v/>
      </c>
      <c r="J1472" t="str">
        <f t="shared" si="42"/>
        <v>GUARDIAN</v>
      </c>
    </row>
    <row r="1473" spans="1:10" x14ac:dyDescent="0.3">
      <c r="A1473" t="str">
        <f>""</f>
        <v/>
      </c>
      <c r="B1473" t="str">
        <f>""</f>
        <v/>
      </c>
      <c r="G1473" t="str">
        <f>""</f>
        <v/>
      </c>
      <c r="H1473" t="str">
        <f>""</f>
        <v/>
      </c>
      <c r="J1473" t="str">
        <f t="shared" si="42"/>
        <v>GUARDIAN</v>
      </c>
    </row>
    <row r="1474" spans="1:10" x14ac:dyDescent="0.3">
      <c r="A1474" t="str">
        <f>""</f>
        <v/>
      </c>
      <c r="B1474" t="str">
        <f>""</f>
        <v/>
      </c>
      <c r="G1474" t="str">
        <f>""</f>
        <v/>
      </c>
      <c r="H1474" t="str">
        <f>""</f>
        <v/>
      </c>
      <c r="J1474" t="str">
        <f t="shared" si="42"/>
        <v>GUARDIAN</v>
      </c>
    </row>
    <row r="1475" spans="1:10" x14ac:dyDescent="0.3">
      <c r="A1475" t="str">
        <f>""</f>
        <v/>
      </c>
      <c r="B1475" t="str">
        <f>""</f>
        <v/>
      </c>
      <c r="G1475" t="str">
        <f>""</f>
        <v/>
      </c>
      <c r="H1475" t="str">
        <f>""</f>
        <v/>
      </c>
      <c r="J1475" t="str">
        <f t="shared" si="42"/>
        <v>GUARDIAN</v>
      </c>
    </row>
    <row r="1476" spans="1:10" x14ac:dyDescent="0.3">
      <c r="A1476" t="str">
        <f>""</f>
        <v/>
      </c>
      <c r="B1476" t="str">
        <f>""</f>
        <v/>
      </c>
      <c r="G1476" t="str">
        <f>""</f>
        <v/>
      </c>
      <c r="H1476" t="str">
        <f>""</f>
        <v/>
      </c>
      <c r="J1476" t="str">
        <f t="shared" si="42"/>
        <v>GUARDIAN</v>
      </c>
    </row>
    <row r="1477" spans="1:10" x14ac:dyDescent="0.3">
      <c r="A1477" t="str">
        <f>""</f>
        <v/>
      </c>
      <c r="B1477" t="str">
        <f>""</f>
        <v/>
      </c>
      <c r="G1477" t="str">
        <f>""</f>
        <v/>
      </c>
      <c r="H1477" t="str">
        <f>""</f>
        <v/>
      </c>
      <c r="J1477" t="str">
        <f t="shared" si="42"/>
        <v>GUARDIAN</v>
      </c>
    </row>
    <row r="1478" spans="1:10" x14ac:dyDescent="0.3">
      <c r="A1478" t="str">
        <f>""</f>
        <v/>
      </c>
      <c r="B1478" t="str">
        <f>""</f>
        <v/>
      </c>
      <c r="G1478" t="str">
        <f>""</f>
        <v/>
      </c>
      <c r="H1478" t="str">
        <f>""</f>
        <v/>
      </c>
      <c r="J1478" t="str">
        <f t="shared" si="42"/>
        <v>GUARDIAN</v>
      </c>
    </row>
    <row r="1479" spans="1:10" x14ac:dyDescent="0.3">
      <c r="A1479" t="str">
        <f>""</f>
        <v/>
      </c>
      <c r="B1479" t="str">
        <f>""</f>
        <v/>
      </c>
      <c r="G1479" t="str">
        <f>"LIC201801118129"</f>
        <v>LIC201801118129</v>
      </c>
      <c r="H1479" t="str">
        <f>"GUARDIAN"</f>
        <v>GUARDIAN</v>
      </c>
      <c r="I1479" s="2">
        <v>34.6</v>
      </c>
      <c r="J1479" t="str">
        <f t="shared" si="42"/>
        <v>GUARDIAN</v>
      </c>
    </row>
    <row r="1480" spans="1:10" x14ac:dyDescent="0.3">
      <c r="A1480" t="str">
        <f>""</f>
        <v/>
      </c>
      <c r="B1480" t="str">
        <f>""</f>
        <v/>
      </c>
      <c r="G1480" t="str">
        <f>"LIC201801118130"</f>
        <v>LIC201801118130</v>
      </c>
      <c r="H1480" t="str">
        <f>"GUARDIAN"</f>
        <v>GUARDIAN</v>
      </c>
      <c r="I1480" s="2">
        <v>1.05</v>
      </c>
      <c r="J1480" t="str">
        <f t="shared" si="42"/>
        <v>GUARDIAN</v>
      </c>
    </row>
    <row r="1481" spans="1:10" x14ac:dyDescent="0.3">
      <c r="A1481" t="str">
        <f>""</f>
        <v/>
      </c>
      <c r="B1481" t="str">
        <f>""</f>
        <v/>
      </c>
      <c r="G1481" t="str">
        <f>"LIC201801248226"</f>
        <v>LIC201801248226</v>
      </c>
      <c r="H1481" t="str">
        <f>"GUARDIAN"</f>
        <v>GUARDIAN</v>
      </c>
      <c r="I1481" s="2">
        <v>1.05</v>
      </c>
      <c r="J1481" t="str">
        <f t="shared" si="42"/>
        <v>GUARDIAN</v>
      </c>
    </row>
    <row r="1482" spans="1:10" x14ac:dyDescent="0.3">
      <c r="A1482" t="str">
        <f>""</f>
        <v/>
      </c>
      <c r="B1482" t="str">
        <f>""</f>
        <v/>
      </c>
      <c r="G1482" t="str">
        <f>"LIC201801248228"</f>
        <v>LIC201801248228</v>
      </c>
      <c r="H1482" t="str">
        <f>"GUARDIAN"</f>
        <v>GUARDIAN</v>
      </c>
      <c r="I1482" s="2">
        <v>34.6</v>
      </c>
      <c r="J1482" t="str">
        <f t="shared" si="42"/>
        <v>GUARDIAN</v>
      </c>
    </row>
    <row r="1483" spans="1:10" x14ac:dyDescent="0.3">
      <c r="A1483" t="str">
        <f>""</f>
        <v/>
      </c>
      <c r="B1483" t="str">
        <f>""</f>
        <v/>
      </c>
      <c r="G1483" t="str">
        <f>"LIE201801118129"</f>
        <v>LIE201801118129</v>
      </c>
      <c r="H1483" t="str">
        <f>"GUARDIAN"</f>
        <v>GUARDIAN</v>
      </c>
      <c r="I1483" s="2">
        <v>3176.75</v>
      </c>
      <c r="J1483" t="str">
        <f t="shared" si="42"/>
        <v>GUARDIAN</v>
      </c>
    </row>
    <row r="1484" spans="1:10" x14ac:dyDescent="0.3">
      <c r="A1484" t="str">
        <f>""</f>
        <v/>
      </c>
      <c r="B1484" t="str">
        <f>""</f>
        <v/>
      </c>
      <c r="G1484" t="str">
        <f>""</f>
        <v/>
      </c>
      <c r="H1484" t="str">
        <f>""</f>
        <v/>
      </c>
      <c r="J1484" t="str">
        <f t="shared" si="42"/>
        <v>GUARDIAN</v>
      </c>
    </row>
    <row r="1485" spans="1:10" x14ac:dyDescent="0.3">
      <c r="A1485" t="str">
        <f>""</f>
        <v/>
      </c>
      <c r="B1485" t="str">
        <f>""</f>
        <v/>
      </c>
      <c r="G1485" t="str">
        <f>""</f>
        <v/>
      </c>
      <c r="H1485" t="str">
        <f>""</f>
        <v/>
      </c>
      <c r="J1485" t="str">
        <f t="shared" si="42"/>
        <v>GUARDIAN</v>
      </c>
    </row>
    <row r="1486" spans="1:10" x14ac:dyDescent="0.3">
      <c r="A1486" t="str">
        <f>""</f>
        <v/>
      </c>
      <c r="B1486" t="str">
        <f>""</f>
        <v/>
      </c>
      <c r="G1486" t="str">
        <f>""</f>
        <v/>
      </c>
      <c r="H1486" t="str">
        <f>""</f>
        <v/>
      </c>
      <c r="J1486" t="str">
        <f t="shared" si="42"/>
        <v>GUARDIAN</v>
      </c>
    </row>
    <row r="1487" spans="1:10" x14ac:dyDescent="0.3">
      <c r="A1487" t="str">
        <f>""</f>
        <v/>
      </c>
      <c r="B1487" t="str">
        <f>""</f>
        <v/>
      </c>
      <c r="G1487" t="str">
        <f>""</f>
        <v/>
      </c>
      <c r="H1487" t="str">
        <f>""</f>
        <v/>
      </c>
      <c r="J1487" t="str">
        <f t="shared" si="42"/>
        <v>GUARDIAN</v>
      </c>
    </row>
    <row r="1488" spans="1:10" x14ac:dyDescent="0.3">
      <c r="A1488" t="str">
        <f>""</f>
        <v/>
      </c>
      <c r="B1488" t="str">
        <f>""</f>
        <v/>
      </c>
      <c r="G1488" t="str">
        <f>""</f>
        <v/>
      </c>
      <c r="H1488" t="str">
        <f>""</f>
        <v/>
      </c>
      <c r="J1488" t="str">
        <f t="shared" si="42"/>
        <v>GUARDIAN</v>
      </c>
    </row>
    <row r="1489" spans="1:10" x14ac:dyDescent="0.3">
      <c r="A1489" t="str">
        <f>""</f>
        <v/>
      </c>
      <c r="B1489" t="str">
        <f>""</f>
        <v/>
      </c>
      <c r="G1489" t="str">
        <f>""</f>
        <v/>
      </c>
      <c r="H1489" t="str">
        <f>""</f>
        <v/>
      </c>
      <c r="J1489" t="str">
        <f t="shared" si="42"/>
        <v>GUARDIAN</v>
      </c>
    </row>
    <row r="1490" spans="1:10" x14ac:dyDescent="0.3">
      <c r="A1490" t="str">
        <f>""</f>
        <v/>
      </c>
      <c r="B1490" t="str">
        <f>""</f>
        <v/>
      </c>
      <c r="G1490" t="str">
        <f>""</f>
        <v/>
      </c>
      <c r="H1490" t="str">
        <f>""</f>
        <v/>
      </c>
      <c r="J1490" t="str">
        <f t="shared" si="42"/>
        <v>GUARDIAN</v>
      </c>
    </row>
    <row r="1491" spans="1:10" x14ac:dyDescent="0.3">
      <c r="A1491" t="str">
        <f>""</f>
        <v/>
      </c>
      <c r="B1491" t="str">
        <f>""</f>
        <v/>
      </c>
      <c r="G1491" t="str">
        <f>""</f>
        <v/>
      </c>
      <c r="H1491" t="str">
        <f>""</f>
        <v/>
      </c>
      <c r="J1491" t="str">
        <f t="shared" si="42"/>
        <v>GUARDIAN</v>
      </c>
    </row>
    <row r="1492" spans="1:10" x14ac:dyDescent="0.3">
      <c r="A1492" t="str">
        <f>""</f>
        <v/>
      </c>
      <c r="B1492" t="str">
        <f>""</f>
        <v/>
      </c>
      <c r="G1492" t="str">
        <f>""</f>
        <v/>
      </c>
      <c r="H1492" t="str">
        <f>""</f>
        <v/>
      </c>
      <c r="J1492" t="str">
        <f t="shared" si="42"/>
        <v>GUARDIAN</v>
      </c>
    </row>
    <row r="1493" spans="1:10" x14ac:dyDescent="0.3">
      <c r="A1493" t="str">
        <f>""</f>
        <v/>
      </c>
      <c r="B1493" t="str">
        <f>""</f>
        <v/>
      </c>
      <c r="G1493" t="str">
        <f>""</f>
        <v/>
      </c>
      <c r="H1493" t="str">
        <f>""</f>
        <v/>
      </c>
      <c r="J1493" t="str">
        <f t="shared" si="42"/>
        <v>GUARDIAN</v>
      </c>
    </row>
    <row r="1494" spans="1:10" x14ac:dyDescent="0.3">
      <c r="A1494" t="str">
        <f>""</f>
        <v/>
      </c>
      <c r="B1494" t="str">
        <f>""</f>
        <v/>
      </c>
      <c r="G1494" t="str">
        <f>""</f>
        <v/>
      </c>
      <c r="H1494" t="str">
        <f>""</f>
        <v/>
      </c>
      <c r="J1494" t="str">
        <f t="shared" si="42"/>
        <v>GUARDIAN</v>
      </c>
    </row>
    <row r="1495" spans="1:10" x14ac:dyDescent="0.3">
      <c r="A1495" t="str">
        <f>""</f>
        <v/>
      </c>
      <c r="B1495" t="str">
        <f>""</f>
        <v/>
      </c>
      <c r="G1495" t="str">
        <f>""</f>
        <v/>
      </c>
      <c r="H1495" t="str">
        <f>""</f>
        <v/>
      </c>
      <c r="J1495" t="str">
        <f t="shared" si="42"/>
        <v>GUARDIAN</v>
      </c>
    </row>
    <row r="1496" spans="1:10" x14ac:dyDescent="0.3">
      <c r="A1496" t="str">
        <f>""</f>
        <v/>
      </c>
      <c r="B1496" t="str">
        <f>""</f>
        <v/>
      </c>
      <c r="G1496" t="str">
        <f>""</f>
        <v/>
      </c>
      <c r="H1496" t="str">
        <f>""</f>
        <v/>
      </c>
      <c r="J1496" t="str">
        <f t="shared" si="42"/>
        <v>GUARDIAN</v>
      </c>
    </row>
    <row r="1497" spans="1:10" x14ac:dyDescent="0.3">
      <c r="A1497" t="str">
        <f>""</f>
        <v/>
      </c>
      <c r="B1497" t="str">
        <f>""</f>
        <v/>
      </c>
      <c r="G1497" t="str">
        <f>""</f>
        <v/>
      </c>
      <c r="H1497" t="str">
        <f>""</f>
        <v/>
      </c>
      <c r="J1497" t="str">
        <f t="shared" si="42"/>
        <v>GUARDIAN</v>
      </c>
    </row>
    <row r="1498" spans="1:10" x14ac:dyDescent="0.3">
      <c r="A1498" t="str">
        <f>""</f>
        <v/>
      </c>
      <c r="B1498" t="str">
        <f>""</f>
        <v/>
      </c>
      <c r="G1498" t="str">
        <f>""</f>
        <v/>
      </c>
      <c r="H1498" t="str">
        <f>""</f>
        <v/>
      </c>
      <c r="J1498" t="str">
        <f t="shared" si="42"/>
        <v>GUARDIAN</v>
      </c>
    </row>
    <row r="1499" spans="1:10" x14ac:dyDescent="0.3">
      <c r="A1499" t="str">
        <f>""</f>
        <v/>
      </c>
      <c r="B1499" t="str">
        <f>""</f>
        <v/>
      </c>
      <c r="G1499" t="str">
        <f>""</f>
        <v/>
      </c>
      <c r="H1499" t="str">
        <f>""</f>
        <v/>
      </c>
      <c r="J1499" t="str">
        <f t="shared" ref="J1499:J1530" si="43">"GUARDIAN"</f>
        <v>GUARDIAN</v>
      </c>
    </row>
    <row r="1500" spans="1:10" x14ac:dyDescent="0.3">
      <c r="A1500" t="str">
        <f>""</f>
        <v/>
      </c>
      <c r="B1500" t="str">
        <f>""</f>
        <v/>
      </c>
      <c r="G1500" t="str">
        <f>""</f>
        <v/>
      </c>
      <c r="H1500" t="str">
        <f>""</f>
        <v/>
      </c>
      <c r="J1500" t="str">
        <f t="shared" si="43"/>
        <v>GUARDIAN</v>
      </c>
    </row>
    <row r="1501" spans="1:10" x14ac:dyDescent="0.3">
      <c r="A1501" t="str">
        <f>""</f>
        <v/>
      </c>
      <c r="B1501" t="str">
        <f>""</f>
        <v/>
      </c>
      <c r="G1501" t="str">
        <f>""</f>
        <v/>
      </c>
      <c r="H1501" t="str">
        <f>""</f>
        <v/>
      </c>
      <c r="J1501" t="str">
        <f t="shared" si="43"/>
        <v>GUARDIAN</v>
      </c>
    </row>
    <row r="1502" spans="1:10" x14ac:dyDescent="0.3">
      <c r="A1502" t="str">
        <f>""</f>
        <v/>
      </c>
      <c r="B1502" t="str">
        <f>""</f>
        <v/>
      </c>
      <c r="G1502" t="str">
        <f>""</f>
        <v/>
      </c>
      <c r="H1502" t="str">
        <f>""</f>
        <v/>
      </c>
      <c r="J1502" t="str">
        <f t="shared" si="43"/>
        <v>GUARDIAN</v>
      </c>
    </row>
    <row r="1503" spans="1:10" x14ac:dyDescent="0.3">
      <c r="A1503" t="str">
        <f>""</f>
        <v/>
      </c>
      <c r="B1503" t="str">
        <f>""</f>
        <v/>
      </c>
      <c r="G1503" t="str">
        <f>""</f>
        <v/>
      </c>
      <c r="H1503" t="str">
        <f>""</f>
        <v/>
      </c>
      <c r="J1503" t="str">
        <f t="shared" si="43"/>
        <v>GUARDIAN</v>
      </c>
    </row>
    <row r="1504" spans="1:10" x14ac:dyDescent="0.3">
      <c r="A1504" t="str">
        <f>""</f>
        <v/>
      </c>
      <c r="B1504" t="str">
        <f>""</f>
        <v/>
      </c>
      <c r="G1504" t="str">
        <f>""</f>
        <v/>
      </c>
      <c r="H1504" t="str">
        <f>""</f>
        <v/>
      </c>
      <c r="J1504" t="str">
        <f t="shared" si="43"/>
        <v>GUARDIAN</v>
      </c>
    </row>
    <row r="1505" spans="1:10" x14ac:dyDescent="0.3">
      <c r="A1505" t="str">
        <f>""</f>
        <v/>
      </c>
      <c r="B1505" t="str">
        <f>""</f>
        <v/>
      </c>
      <c r="G1505" t="str">
        <f>""</f>
        <v/>
      </c>
      <c r="H1505" t="str">
        <f>""</f>
        <v/>
      </c>
      <c r="J1505" t="str">
        <f t="shared" si="43"/>
        <v>GUARDIAN</v>
      </c>
    </row>
    <row r="1506" spans="1:10" x14ac:dyDescent="0.3">
      <c r="A1506" t="str">
        <f>""</f>
        <v/>
      </c>
      <c r="B1506" t="str">
        <f>""</f>
        <v/>
      </c>
      <c r="G1506" t="str">
        <f>""</f>
        <v/>
      </c>
      <c r="H1506" t="str">
        <f>""</f>
        <v/>
      </c>
      <c r="J1506" t="str">
        <f t="shared" si="43"/>
        <v>GUARDIAN</v>
      </c>
    </row>
    <row r="1507" spans="1:10" x14ac:dyDescent="0.3">
      <c r="A1507" t="str">
        <f>""</f>
        <v/>
      </c>
      <c r="B1507" t="str">
        <f>""</f>
        <v/>
      </c>
      <c r="G1507" t="str">
        <f>""</f>
        <v/>
      </c>
      <c r="H1507" t="str">
        <f>""</f>
        <v/>
      </c>
      <c r="J1507" t="str">
        <f t="shared" si="43"/>
        <v>GUARDIAN</v>
      </c>
    </row>
    <row r="1508" spans="1:10" x14ac:dyDescent="0.3">
      <c r="A1508" t="str">
        <f>""</f>
        <v/>
      </c>
      <c r="B1508" t="str">
        <f>""</f>
        <v/>
      </c>
      <c r="G1508" t="str">
        <f>""</f>
        <v/>
      </c>
      <c r="H1508" t="str">
        <f>""</f>
        <v/>
      </c>
      <c r="J1508" t="str">
        <f t="shared" si="43"/>
        <v>GUARDIAN</v>
      </c>
    </row>
    <row r="1509" spans="1:10" x14ac:dyDescent="0.3">
      <c r="A1509" t="str">
        <f>""</f>
        <v/>
      </c>
      <c r="B1509" t="str">
        <f>""</f>
        <v/>
      </c>
      <c r="G1509" t="str">
        <f>""</f>
        <v/>
      </c>
      <c r="H1509" t="str">
        <f>""</f>
        <v/>
      </c>
      <c r="J1509" t="str">
        <f t="shared" si="43"/>
        <v>GUARDIAN</v>
      </c>
    </row>
    <row r="1510" spans="1:10" x14ac:dyDescent="0.3">
      <c r="A1510" t="str">
        <f>""</f>
        <v/>
      </c>
      <c r="B1510" t="str">
        <f>""</f>
        <v/>
      </c>
      <c r="G1510" t="str">
        <f>""</f>
        <v/>
      </c>
      <c r="H1510" t="str">
        <f>""</f>
        <v/>
      </c>
      <c r="J1510" t="str">
        <f t="shared" si="43"/>
        <v>GUARDIAN</v>
      </c>
    </row>
    <row r="1511" spans="1:10" x14ac:dyDescent="0.3">
      <c r="A1511" t="str">
        <f>""</f>
        <v/>
      </c>
      <c r="B1511" t="str">
        <f>""</f>
        <v/>
      </c>
      <c r="G1511" t="str">
        <f>""</f>
        <v/>
      </c>
      <c r="H1511" t="str">
        <f>""</f>
        <v/>
      </c>
      <c r="J1511" t="str">
        <f t="shared" si="43"/>
        <v>GUARDIAN</v>
      </c>
    </row>
    <row r="1512" spans="1:10" x14ac:dyDescent="0.3">
      <c r="A1512" t="str">
        <f>""</f>
        <v/>
      </c>
      <c r="B1512" t="str">
        <f>""</f>
        <v/>
      </c>
      <c r="G1512" t="str">
        <f>""</f>
        <v/>
      </c>
      <c r="H1512" t="str">
        <f>""</f>
        <v/>
      </c>
      <c r="J1512" t="str">
        <f t="shared" si="43"/>
        <v>GUARDIAN</v>
      </c>
    </row>
    <row r="1513" spans="1:10" x14ac:dyDescent="0.3">
      <c r="A1513" t="str">
        <f>""</f>
        <v/>
      </c>
      <c r="B1513" t="str">
        <f>""</f>
        <v/>
      </c>
      <c r="G1513" t="str">
        <f>""</f>
        <v/>
      </c>
      <c r="H1513" t="str">
        <f>""</f>
        <v/>
      </c>
      <c r="J1513" t="str">
        <f t="shared" si="43"/>
        <v>GUARDIAN</v>
      </c>
    </row>
    <row r="1514" spans="1:10" x14ac:dyDescent="0.3">
      <c r="A1514" t="str">
        <f>""</f>
        <v/>
      </c>
      <c r="B1514" t="str">
        <f>""</f>
        <v/>
      </c>
      <c r="G1514" t="str">
        <f>""</f>
        <v/>
      </c>
      <c r="H1514" t="str">
        <f>""</f>
        <v/>
      </c>
      <c r="J1514" t="str">
        <f t="shared" si="43"/>
        <v>GUARDIAN</v>
      </c>
    </row>
    <row r="1515" spans="1:10" x14ac:dyDescent="0.3">
      <c r="A1515" t="str">
        <f>""</f>
        <v/>
      </c>
      <c r="B1515" t="str">
        <f>""</f>
        <v/>
      </c>
      <c r="G1515" t="str">
        <f>""</f>
        <v/>
      </c>
      <c r="H1515" t="str">
        <f>""</f>
        <v/>
      </c>
      <c r="J1515" t="str">
        <f t="shared" si="43"/>
        <v>GUARDIAN</v>
      </c>
    </row>
    <row r="1516" spans="1:10" x14ac:dyDescent="0.3">
      <c r="A1516" t="str">
        <f>""</f>
        <v/>
      </c>
      <c r="B1516" t="str">
        <f>""</f>
        <v/>
      </c>
      <c r="G1516" t="str">
        <f>""</f>
        <v/>
      </c>
      <c r="H1516" t="str">
        <f>""</f>
        <v/>
      </c>
      <c r="J1516" t="str">
        <f t="shared" si="43"/>
        <v>GUARDIAN</v>
      </c>
    </row>
    <row r="1517" spans="1:10" x14ac:dyDescent="0.3">
      <c r="A1517" t="str">
        <f>""</f>
        <v/>
      </c>
      <c r="B1517" t="str">
        <f>""</f>
        <v/>
      </c>
      <c r="G1517" t="str">
        <f>""</f>
        <v/>
      </c>
      <c r="H1517" t="str">
        <f>""</f>
        <v/>
      </c>
      <c r="J1517" t="str">
        <f t="shared" si="43"/>
        <v>GUARDIAN</v>
      </c>
    </row>
    <row r="1518" spans="1:10" x14ac:dyDescent="0.3">
      <c r="A1518" t="str">
        <f>""</f>
        <v/>
      </c>
      <c r="B1518" t="str">
        <f>""</f>
        <v/>
      </c>
      <c r="G1518" t="str">
        <f>""</f>
        <v/>
      </c>
      <c r="H1518" t="str">
        <f>""</f>
        <v/>
      </c>
      <c r="J1518" t="str">
        <f t="shared" si="43"/>
        <v>GUARDIAN</v>
      </c>
    </row>
    <row r="1519" spans="1:10" x14ac:dyDescent="0.3">
      <c r="A1519" t="str">
        <f>""</f>
        <v/>
      </c>
      <c r="B1519" t="str">
        <f>""</f>
        <v/>
      </c>
      <c r="G1519" t="str">
        <f>""</f>
        <v/>
      </c>
      <c r="H1519" t="str">
        <f>""</f>
        <v/>
      </c>
      <c r="J1519" t="str">
        <f t="shared" si="43"/>
        <v>GUARDIAN</v>
      </c>
    </row>
    <row r="1520" spans="1:10" x14ac:dyDescent="0.3">
      <c r="A1520" t="str">
        <f>""</f>
        <v/>
      </c>
      <c r="B1520" t="str">
        <f>""</f>
        <v/>
      </c>
      <c r="G1520" t="str">
        <f>""</f>
        <v/>
      </c>
      <c r="H1520" t="str">
        <f>""</f>
        <v/>
      </c>
      <c r="J1520" t="str">
        <f t="shared" si="43"/>
        <v>GUARDIAN</v>
      </c>
    </row>
    <row r="1521" spans="1:10" x14ac:dyDescent="0.3">
      <c r="A1521" t="str">
        <f>""</f>
        <v/>
      </c>
      <c r="B1521" t="str">
        <f>""</f>
        <v/>
      </c>
      <c r="G1521" t="str">
        <f>""</f>
        <v/>
      </c>
      <c r="H1521" t="str">
        <f>""</f>
        <v/>
      </c>
      <c r="J1521" t="str">
        <f t="shared" si="43"/>
        <v>GUARDIAN</v>
      </c>
    </row>
    <row r="1522" spans="1:10" x14ac:dyDescent="0.3">
      <c r="A1522" t="str">
        <f>""</f>
        <v/>
      </c>
      <c r="B1522" t="str">
        <f>""</f>
        <v/>
      </c>
      <c r="G1522" t="str">
        <f>""</f>
        <v/>
      </c>
      <c r="H1522" t="str">
        <f>""</f>
        <v/>
      </c>
      <c r="J1522" t="str">
        <f t="shared" si="43"/>
        <v>GUARDIAN</v>
      </c>
    </row>
    <row r="1523" spans="1:10" x14ac:dyDescent="0.3">
      <c r="A1523" t="str">
        <f>""</f>
        <v/>
      </c>
      <c r="B1523" t="str">
        <f>""</f>
        <v/>
      </c>
      <c r="G1523" t="str">
        <f>""</f>
        <v/>
      </c>
      <c r="H1523" t="str">
        <f>""</f>
        <v/>
      </c>
      <c r="J1523" t="str">
        <f t="shared" si="43"/>
        <v>GUARDIAN</v>
      </c>
    </row>
    <row r="1524" spans="1:10" x14ac:dyDescent="0.3">
      <c r="A1524" t="str">
        <f>""</f>
        <v/>
      </c>
      <c r="B1524" t="str">
        <f>""</f>
        <v/>
      </c>
      <c r="G1524" t="str">
        <f>""</f>
        <v/>
      </c>
      <c r="H1524" t="str">
        <f>""</f>
        <v/>
      </c>
      <c r="J1524" t="str">
        <f t="shared" si="43"/>
        <v>GUARDIAN</v>
      </c>
    </row>
    <row r="1525" spans="1:10" x14ac:dyDescent="0.3">
      <c r="A1525" t="str">
        <f>""</f>
        <v/>
      </c>
      <c r="B1525" t="str">
        <f>""</f>
        <v/>
      </c>
      <c r="G1525" t="str">
        <f>""</f>
        <v/>
      </c>
      <c r="H1525" t="str">
        <f>""</f>
        <v/>
      </c>
      <c r="J1525" t="str">
        <f t="shared" si="43"/>
        <v>GUARDIAN</v>
      </c>
    </row>
    <row r="1526" spans="1:10" x14ac:dyDescent="0.3">
      <c r="A1526" t="str">
        <f>""</f>
        <v/>
      </c>
      <c r="B1526" t="str">
        <f>""</f>
        <v/>
      </c>
      <c r="G1526" t="str">
        <f>""</f>
        <v/>
      </c>
      <c r="H1526" t="str">
        <f>""</f>
        <v/>
      </c>
      <c r="J1526" t="str">
        <f t="shared" si="43"/>
        <v>GUARDIAN</v>
      </c>
    </row>
    <row r="1527" spans="1:10" x14ac:dyDescent="0.3">
      <c r="A1527" t="str">
        <f>""</f>
        <v/>
      </c>
      <c r="B1527" t="str">
        <f>""</f>
        <v/>
      </c>
      <c r="G1527" t="str">
        <f>""</f>
        <v/>
      </c>
      <c r="H1527" t="str">
        <f>""</f>
        <v/>
      </c>
      <c r="J1527" t="str">
        <f t="shared" si="43"/>
        <v>GUARDIAN</v>
      </c>
    </row>
    <row r="1528" spans="1:10" x14ac:dyDescent="0.3">
      <c r="A1528" t="str">
        <f>""</f>
        <v/>
      </c>
      <c r="B1528" t="str">
        <f>""</f>
        <v/>
      </c>
      <c r="G1528" t="str">
        <f>""</f>
        <v/>
      </c>
      <c r="H1528" t="str">
        <f>""</f>
        <v/>
      </c>
      <c r="J1528" t="str">
        <f t="shared" si="43"/>
        <v>GUARDIAN</v>
      </c>
    </row>
    <row r="1529" spans="1:10" x14ac:dyDescent="0.3">
      <c r="A1529" t="str">
        <f>""</f>
        <v/>
      </c>
      <c r="B1529" t="str">
        <f>""</f>
        <v/>
      </c>
      <c r="G1529" t="str">
        <f>""</f>
        <v/>
      </c>
      <c r="H1529" t="str">
        <f>""</f>
        <v/>
      </c>
      <c r="J1529" t="str">
        <f t="shared" si="43"/>
        <v>GUARDIAN</v>
      </c>
    </row>
    <row r="1530" spans="1:10" x14ac:dyDescent="0.3">
      <c r="A1530" t="str">
        <f>""</f>
        <v/>
      </c>
      <c r="B1530" t="str">
        <f>""</f>
        <v/>
      </c>
      <c r="G1530" t="str">
        <f>""</f>
        <v/>
      </c>
      <c r="H1530" t="str">
        <f>""</f>
        <v/>
      </c>
      <c r="J1530" t="str">
        <f t="shared" si="43"/>
        <v>GUARDIAN</v>
      </c>
    </row>
    <row r="1531" spans="1:10" x14ac:dyDescent="0.3">
      <c r="A1531" t="str">
        <f>""</f>
        <v/>
      </c>
      <c r="B1531" t="str">
        <f>""</f>
        <v/>
      </c>
      <c r="G1531" t="str">
        <f>""</f>
        <v/>
      </c>
      <c r="H1531" t="str">
        <f>""</f>
        <v/>
      </c>
      <c r="J1531" t="str">
        <f t="shared" ref="J1531:J1562" si="44">"GUARDIAN"</f>
        <v>GUARDIAN</v>
      </c>
    </row>
    <row r="1532" spans="1:10" x14ac:dyDescent="0.3">
      <c r="A1532" t="str">
        <f>""</f>
        <v/>
      </c>
      <c r="B1532" t="str">
        <f>""</f>
        <v/>
      </c>
      <c r="G1532" t="str">
        <f>"LIE201801118130"</f>
        <v>LIE201801118130</v>
      </c>
      <c r="H1532" t="str">
        <f>"GUARDIAN"</f>
        <v>GUARDIAN</v>
      </c>
      <c r="I1532" s="2">
        <v>135.15</v>
      </c>
      <c r="J1532" t="str">
        <f t="shared" si="44"/>
        <v>GUARDIAN</v>
      </c>
    </row>
    <row r="1533" spans="1:10" x14ac:dyDescent="0.3">
      <c r="A1533" t="str">
        <f>""</f>
        <v/>
      </c>
      <c r="B1533" t="str">
        <f>""</f>
        <v/>
      </c>
      <c r="G1533" t="str">
        <f>""</f>
        <v/>
      </c>
      <c r="H1533" t="str">
        <f>""</f>
        <v/>
      </c>
      <c r="J1533" t="str">
        <f t="shared" si="44"/>
        <v>GUARDIAN</v>
      </c>
    </row>
    <row r="1534" spans="1:10" x14ac:dyDescent="0.3">
      <c r="A1534" t="str">
        <f>""</f>
        <v/>
      </c>
      <c r="B1534" t="str">
        <f>""</f>
        <v/>
      </c>
      <c r="G1534" t="str">
        <f>"LIE201801248226"</f>
        <v>LIE201801248226</v>
      </c>
      <c r="H1534" t="str">
        <f>"GUARDIAN"</f>
        <v>GUARDIAN</v>
      </c>
      <c r="I1534" s="2">
        <v>135.15</v>
      </c>
      <c r="J1534" t="str">
        <f t="shared" si="44"/>
        <v>GUARDIAN</v>
      </c>
    </row>
    <row r="1535" spans="1:10" x14ac:dyDescent="0.3">
      <c r="A1535" t="str">
        <f>""</f>
        <v/>
      </c>
      <c r="B1535" t="str">
        <f>""</f>
        <v/>
      </c>
      <c r="G1535" t="str">
        <f>""</f>
        <v/>
      </c>
      <c r="H1535" t="str">
        <f>""</f>
        <v/>
      </c>
      <c r="J1535" t="str">
        <f t="shared" si="44"/>
        <v>GUARDIAN</v>
      </c>
    </row>
    <row r="1536" spans="1:10" x14ac:dyDescent="0.3">
      <c r="A1536" t="str">
        <f>""</f>
        <v/>
      </c>
      <c r="B1536" t="str">
        <f>""</f>
        <v/>
      </c>
      <c r="G1536" t="str">
        <f>"LIE201801248228"</f>
        <v>LIE201801248228</v>
      </c>
      <c r="H1536" t="str">
        <f>"GUARDIAN"</f>
        <v>GUARDIAN</v>
      </c>
      <c r="I1536" s="2">
        <v>3176.75</v>
      </c>
      <c r="J1536" t="str">
        <f t="shared" si="44"/>
        <v>GUARDIAN</v>
      </c>
    </row>
    <row r="1537" spans="1:10" x14ac:dyDescent="0.3">
      <c r="A1537" t="str">
        <f>""</f>
        <v/>
      </c>
      <c r="B1537" t="str">
        <f>""</f>
        <v/>
      </c>
      <c r="G1537" t="str">
        <f>""</f>
        <v/>
      </c>
      <c r="H1537" t="str">
        <f>""</f>
        <v/>
      </c>
      <c r="J1537" t="str">
        <f t="shared" si="44"/>
        <v>GUARDIAN</v>
      </c>
    </row>
    <row r="1538" spans="1:10" x14ac:dyDescent="0.3">
      <c r="A1538" t="str">
        <f>""</f>
        <v/>
      </c>
      <c r="B1538" t="str">
        <f>""</f>
        <v/>
      </c>
      <c r="G1538" t="str">
        <f>""</f>
        <v/>
      </c>
      <c r="H1538" t="str">
        <f>""</f>
        <v/>
      </c>
      <c r="J1538" t="str">
        <f t="shared" si="44"/>
        <v>GUARDIAN</v>
      </c>
    </row>
    <row r="1539" spans="1:10" x14ac:dyDescent="0.3">
      <c r="A1539" t="str">
        <f>""</f>
        <v/>
      </c>
      <c r="B1539" t="str">
        <f>""</f>
        <v/>
      </c>
      <c r="G1539" t="str">
        <f>""</f>
        <v/>
      </c>
      <c r="H1539" t="str">
        <f>""</f>
        <v/>
      </c>
      <c r="J1539" t="str">
        <f t="shared" si="44"/>
        <v>GUARDIAN</v>
      </c>
    </row>
    <row r="1540" spans="1:10" x14ac:dyDescent="0.3">
      <c r="A1540" t="str">
        <f>""</f>
        <v/>
      </c>
      <c r="B1540" t="str">
        <f>""</f>
        <v/>
      </c>
      <c r="G1540" t="str">
        <f>""</f>
        <v/>
      </c>
      <c r="H1540" t="str">
        <f>""</f>
        <v/>
      </c>
      <c r="J1540" t="str">
        <f t="shared" si="44"/>
        <v>GUARDIAN</v>
      </c>
    </row>
    <row r="1541" spans="1:10" x14ac:dyDescent="0.3">
      <c r="A1541" t="str">
        <f>""</f>
        <v/>
      </c>
      <c r="B1541" t="str">
        <f>""</f>
        <v/>
      </c>
      <c r="G1541" t="str">
        <f>""</f>
        <v/>
      </c>
      <c r="H1541" t="str">
        <f>""</f>
        <v/>
      </c>
      <c r="J1541" t="str">
        <f t="shared" si="44"/>
        <v>GUARDIAN</v>
      </c>
    </row>
    <row r="1542" spans="1:10" x14ac:dyDescent="0.3">
      <c r="A1542" t="str">
        <f>""</f>
        <v/>
      </c>
      <c r="B1542" t="str">
        <f>""</f>
        <v/>
      </c>
      <c r="G1542" t="str">
        <f>""</f>
        <v/>
      </c>
      <c r="H1542" t="str">
        <f>""</f>
        <v/>
      </c>
      <c r="J1542" t="str">
        <f t="shared" si="44"/>
        <v>GUARDIAN</v>
      </c>
    </row>
    <row r="1543" spans="1:10" x14ac:dyDescent="0.3">
      <c r="A1543" t="str">
        <f>""</f>
        <v/>
      </c>
      <c r="B1543" t="str">
        <f>""</f>
        <v/>
      </c>
      <c r="G1543" t="str">
        <f>""</f>
        <v/>
      </c>
      <c r="H1543" t="str">
        <f>""</f>
        <v/>
      </c>
      <c r="J1543" t="str">
        <f t="shared" si="44"/>
        <v>GUARDIAN</v>
      </c>
    </row>
    <row r="1544" spans="1:10" x14ac:dyDescent="0.3">
      <c r="A1544" t="str">
        <f>""</f>
        <v/>
      </c>
      <c r="B1544" t="str">
        <f>""</f>
        <v/>
      </c>
      <c r="G1544" t="str">
        <f>""</f>
        <v/>
      </c>
      <c r="H1544" t="str">
        <f>""</f>
        <v/>
      </c>
      <c r="J1544" t="str">
        <f t="shared" si="44"/>
        <v>GUARDIAN</v>
      </c>
    </row>
    <row r="1545" spans="1:10" x14ac:dyDescent="0.3">
      <c r="A1545" t="str">
        <f>""</f>
        <v/>
      </c>
      <c r="B1545" t="str">
        <f>""</f>
        <v/>
      </c>
      <c r="G1545" t="str">
        <f>""</f>
        <v/>
      </c>
      <c r="H1545" t="str">
        <f>""</f>
        <v/>
      </c>
      <c r="J1545" t="str">
        <f t="shared" si="44"/>
        <v>GUARDIAN</v>
      </c>
    </row>
    <row r="1546" spans="1:10" x14ac:dyDescent="0.3">
      <c r="A1546" t="str">
        <f>""</f>
        <v/>
      </c>
      <c r="B1546" t="str">
        <f>""</f>
        <v/>
      </c>
      <c r="G1546" t="str">
        <f>""</f>
        <v/>
      </c>
      <c r="H1546" t="str">
        <f>""</f>
        <v/>
      </c>
      <c r="J1546" t="str">
        <f t="shared" si="44"/>
        <v>GUARDIAN</v>
      </c>
    </row>
    <row r="1547" spans="1:10" x14ac:dyDescent="0.3">
      <c r="A1547" t="str">
        <f>""</f>
        <v/>
      </c>
      <c r="B1547" t="str">
        <f>""</f>
        <v/>
      </c>
      <c r="G1547" t="str">
        <f>""</f>
        <v/>
      </c>
      <c r="H1547" t="str">
        <f>""</f>
        <v/>
      </c>
      <c r="J1547" t="str">
        <f t="shared" si="44"/>
        <v>GUARDIAN</v>
      </c>
    </row>
    <row r="1548" spans="1:10" x14ac:dyDescent="0.3">
      <c r="A1548" t="str">
        <f>""</f>
        <v/>
      </c>
      <c r="B1548" t="str">
        <f>""</f>
        <v/>
      </c>
      <c r="G1548" t="str">
        <f>""</f>
        <v/>
      </c>
      <c r="H1548" t="str">
        <f>""</f>
        <v/>
      </c>
      <c r="J1548" t="str">
        <f t="shared" si="44"/>
        <v>GUARDIAN</v>
      </c>
    </row>
    <row r="1549" spans="1:10" x14ac:dyDescent="0.3">
      <c r="A1549" t="str">
        <f>""</f>
        <v/>
      </c>
      <c r="B1549" t="str">
        <f>""</f>
        <v/>
      </c>
      <c r="G1549" t="str">
        <f>""</f>
        <v/>
      </c>
      <c r="H1549" t="str">
        <f>""</f>
        <v/>
      </c>
      <c r="J1549" t="str">
        <f t="shared" si="44"/>
        <v>GUARDIAN</v>
      </c>
    </row>
    <row r="1550" spans="1:10" x14ac:dyDescent="0.3">
      <c r="A1550" t="str">
        <f>""</f>
        <v/>
      </c>
      <c r="B1550" t="str">
        <f>""</f>
        <v/>
      </c>
      <c r="G1550" t="str">
        <f>""</f>
        <v/>
      </c>
      <c r="H1550" t="str">
        <f>""</f>
        <v/>
      </c>
      <c r="J1550" t="str">
        <f t="shared" si="44"/>
        <v>GUARDIAN</v>
      </c>
    </row>
    <row r="1551" spans="1:10" x14ac:dyDescent="0.3">
      <c r="A1551" t="str">
        <f>""</f>
        <v/>
      </c>
      <c r="B1551" t="str">
        <f>""</f>
        <v/>
      </c>
      <c r="G1551" t="str">
        <f>""</f>
        <v/>
      </c>
      <c r="H1551" t="str">
        <f>""</f>
        <v/>
      </c>
      <c r="J1551" t="str">
        <f t="shared" si="44"/>
        <v>GUARDIAN</v>
      </c>
    </row>
    <row r="1552" spans="1:10" x14ac:dyDescent="0.3">
      <c r="A1552" t="str">
        <f>""</f>
        <v/>
      </c>
      <c r="B1552" t="str">
        <f>""</f>
        <v/>
      </c>
      <c r="G1552" t="str">
        <f>""</f>
        <v/>
      </c>
      <c r="H1552" t="str">
        <f>""</f>
        <v/>
      </c>
      <c r="J1552" t="str">
        <f t="shared" si="44"/>
        <v>GUARDIAN</v>
      </c>
    </row>
    <row r="1553" spans="1:10" x14ac:dyDescent="0.3">
      <c r="A1553" t="str">
        <f>""</f>
        <v/>
      </c>
      <c r="B1553" t="str">
        <f>""</f>
        <v/>
      </c>
      <c r="G1553" t="str">
        <f>""</f>
        <v/>
      </c>
      <c r="H1553" t="str">
        <f>""</f>
        <v/>
      </c>
      <c r="J1553" t="str">
        <f t="shared" si="44"/>
        <v>GUARDIAN</v>
      </c>
    </row>
    <row r="1554" spans="1:10" x14ac:dyDescent="0.3">
      <c r="A1554" t="str">
        <f>""</f>
        <v/>
      </c>
      <c r="B1554" t="str">
        <f>""</f>
        <v/>
      </c>
      <c r="G1554" t="str">
        <f>""</f>
        <v/>
      </c>
      <c r="H1554" t="str">
        <f>""</f>
        <v/>
      </c>
      <c r="J1554" t="str">
        <f t="shared" si="44"/>
        <v>GUARDIAN</v>
      </c>
    </row>
    <row r="1555" spans="1:10" x14ac:dyDescent="0.3">
      <c r="A1555" t="str">
        <f>""</f>
        <v/>
      </c>
      <c r="B1555" t="str">
        <f>""</f>
        <v/>
      </c>
      <c r="G1555" t="str">
        <f>""</f>
        <v/>
      </c>
      <c r="H1555" t="str">
        <f>""</f>
        <v/>
      </c>
      <c r="J1555" t="str">
        <f t="shared" si="44"/>
        <v>GUARDIAN</v>
      </c>
    </row>
    <row r="1556" spans="1:10" x14ac:dyDescent="0.3">
      <c r="A1556" t="str">
        <f>""</f>
        <v/>
      </c>
      <c r="B1556" t="str">
        <f>""</f>
        <v/>
      </c>
      <c r="G1556" t="str">
        <f>""</f>
        <v/>
      </c>
      <c r="H1556" t="str">
        <f>""</f>
        <v/>
      </c>
      <c r="J1556" t="str">
        <f t="shared" si="44"/>
        <v>GUARDIAN</v>
      </c>
    </row>
    <row r="1557" spans="1:10" x14ac:dyDescent="0.3">
      <c r="A1557" t="str">
        <f>""</f>
        <v/>
      </c>
      <c r="B1557" t="str">
        <f>""</f>
        <v/>
      </c>
      <c r="G1557" t="str">
        <f>""</f>
        <v/>
      </c>
      <c r="H1557" t="str">
        <f>""</f>
        <v/>
      </c>
      <c r="J1557" t="str">
        <f t="shared" si="44"/>
        <v>GUARDIAN</v>
      </c>
    </row>
    <row r="1558" spans="1:10" x14ac:dyDescent="0.3">
      <c r="A1558" t="str">
        <f>""</f>
        <v/>
      </c>
      <c r="B1558" t="str">
        <f>""</f>
        <v/>
      </c>
      <c r="G1558" t="str">
        <f>""</f>
        <v/>
      </c>
      <c r="H1558" t="str">
        <f>""</f>
        <v/>
      </c>
      <c r="J1558" t="str">
        <f t="shared" si="44"/>
        <v>GUARDIAN</v>
      </c>
    </row>
    <row r="1559" spans="1:10" x14ac:dyDescent="0.3">
      <c r="A1559" t="str">
        <f>""</f>
        <v/>
      </c>
      <c r="B1559" t="str">
        <f>""</f>
        <v/>
      </c>
      <c r="G1559" t="str">
        <f>""</f>
        <v/>
      </c>
      <c r="H1559" t="str">
        <f>""</f>
        <v/>
      </c>
      <c r="J1559" t="str">
        <f t="shared" si="44"/>
        <v>GUARDIAN</v>
      </c>
    </row>
    <row r="1560" spans="1:10" x14ac:dyDescent="0.3">
      <c r="A1560" t="str">
        <f>""</f>
        <v/>
      </c>
      <c r="B1560" t="str">
        <f>""</f>
        <v/>
      </c>
      <c r="G1560" t="str">
        <f>""</f>
        <v/>
      </c>
      <c r="H1560" t="str">
        <f>""</f>
        <v/>
      </c>
      <c r="J1560" t="str">
        <f t="shared" si="44"/>
        <v>GUARDIAN</v>
      </c>
    </row>
    <row r="1561" spans="1:10" x14ac:dyDescent="0.3">
      <c r="A1561" t="str">
        <f>""</f>
        <v/>
      </c>
      <c r="B1561" t="str">
        <f>""</f>
        <v/>
      </c>
      <c r="G1561" t="str">
        <f>""</f>
        <v/>
      </c>
      <c r="H1561" t="str">
        <f>""</f>
        <v/>
      </c>
      <c r="J1561" t="str">
        <f t="shared" si="44"/>
        <v>GUARDIAN</v>
      </c>
    </row>
    <row r="1562" spans="1:10" x14ac:dyDescent="0.3">
      <c r="A1562" t="str">
        <f>""</f>
        <v/>
      </c>
      <c r="B1562" t="str">
        <f>""</f>
        <v/>
      </c>
      <c r="G1562" t="str">
        <f>""</f>
        <v/>
      </c>
      <c r="H1562" t="str">
        <f>""</f>
        <v/>
      </c>
      <c r="J1562" t="str">
        <f t="shared" si="44"/>
        <v>GUARDIAN</v>
      </c>
    </row>
    <row r="1563" spans="1:10" x14ac:dyDescent="0.3">
      <c r="A1563" t="str">
        <f>""</f>
        <v/>
      </c>
      <c r="B1563" t="str">
        <f>""</f>
        <v/>
      </c>
      <c r="G1563" t="str">
        <f>""</f>
        <v/>
      </c>
      <c r="H1563" t="str">
        <f>""</f>
        <v/>
      </c>
      <c r="J1563" t="str">
        <f t="shared" ref="J1563:J1594" si="45">"GUARDIAN"</f>
        <v>GUARDIAN</v>
      </c>
    </row>
    <row r="1564" spans="1:10" x14ac:dyDescent="0.3">
      <c r="A1564" t="str">
        <f>""</f>
        <v/>
      </c>
      <c r="B1564" t="str">
        <f>""</f>
        <v/>
      </c>
      <c r="G1564" t="str">
        <f>""</f>
        <v/>
      </c>
      <c r="H1564" t="str">
        <f>""</f>
        <v/>
      </c>
      <c r="J1564" t="str">
        <f t="shared" si="45"/>
        <v>GUARDIAN</v>
      </c>
    </row>
    <row r="1565" spans="1:10" x14ac:dyDescent="0.3">
      <c r="A1565" t="str">
        <f>""</f>
        <v/>
      </c>
      <c r="B1565" t="str">
        <f>""</f>
        <v/>
      </c>
      <c r="G1565" t="str">
        <f>""</f>
        <v/>
      </c>
      <c r="H1565" t="str">
        <f>""</f>
        <v/>
      </c>
      <c r="J1565" t="str">
        <f t="shared" si="45"/>
        <v>GUARDIAN</v>
      </c>
    </row>
    <row r="1566" spans="1:10" x14ac:dyDescent="0.3">
      <c r="A1566" t="str">
        <f>""</f>
        <v/>
      </c>
      <c r="B1566" t="str">
        <f>""</f>
        <v/>
      </c>
      <c r="G1566" t="str">
        <f>""</f>
        <v/>
      </c>
      <c r="H1566" t="str">
        <f>""</f>
        <v/>
      </c>
      <c r="J1566" t="str">
        <f t="shared" si="45"/>
        <v>GUARDIAN</v>
      </c>
    </row>
    <row r="1567" spans="1:10" x14ac:dyDescent="0.3">
      <c r="A1567" t="str">
        <f>""</f>
        <v/>
      </c>
      <c r="B1567" t="str">
        <f>""</f>
        <v/>
      </c>
      <c r="G1567" t="str">
        <f>""</f>
        <v/>
      </c>
      <c r="H1567" t="str">
        <f>""</f>
        <v/>
      </c>
      <c r="J1567" t="str">
        <f t="shared" si="45"/>
        <v>GUARDIAN</v>
      </c>
    </row>
    <row r="1568" spans="1:10" x14ac:dyDescent="0.3">
      <c r="A1568" t="str">
        <f>""</f>
        <v/>
      </c>
      <c r="B1568" t="str">
        <f>""</f>
        <v/>
      </c>
      <c r="G1568" t="str">
        <f>""</f>
        <v/>
      </c>
      <c r="H1568" t="str">
        <f>""</f>
        <v/>
      </c>
      <c r="J1568" t="str">
        <f t="shared" si="45"/>
        <v>GUARDIAN</v>
      </c>
    </row>
    <row r="1569" spans="1:10" x14ac:dyDescent="0.3">
      <c r="A1569" t="str">
        <f>""</f>
        <v/>
      </c>
      <c r="B1569" t="str">
        <f>""</f>
        <v/>
      </c>
      <c r="G1569" t="str">
        <f>""</f>
        <v/>
      </c>
      <c r="H1569" t="str">
        <f>""</f>
        <v/>
      </c>
      <c r="J1569" t="str">
        <f t="shared" si="45"/>
        <v>GUARDIAN</v>
      </c>
    </row>
    <row r="1570" spans="1:10" x14ac:dyDescent="0.3">
      <c r="A1570" t="str">
        <f>""</f>
        <v/>
      </c>
      <c r="B1570" t="str">
        <f>""</f>
        <v/>
      </c>
      <c r="G1570" t="str">
        <f>""</f>
        <v/>
      </c>
      <c r="H1570" t="str">
        <f>""</f>
        <v/>
      </c>
      <c r="J1570" t="str">
        <f t="shared" si="45"/>
        <v>GUARDIAN</v>
      </c>
    </row>
    <row r="1571" spans="1:10" x14ac:dyDescent="0.3">
      <c r="A1571" t="str">
        <f>""</f>
        <v/>
      </c>
      <c r="B1571" t="str">
        <f>""</f>
        <v/>
      </c>
      <c r="G1571" t="str">
        <f>""</f>
        <v/>
      </c>
      <c r="H1571" t="str">
        <f>""</f>
        <v/>
      </c>
      <c r="J1571" t="str">
        <f t="shared" si="45"/>
        <v>GUARDIAN</v>
      </c>
    </row>
    <row r="1572" spans="1:10" x14ac:dyDescent="0.3">
      <c r="A1572" t="str">
        <f>""</f>
        <v/>
      </c>
      <c r="B1572" t="str">
        <f>""</f>
        <v/>
      </c>
      <c r="G1572" t="str">
        <f>""</f>
        <v/>
      </c>
      <c r="H1572" t="str">
        <f>""</f>
        <v/>
      </c>
      <c r="J1572" t="str">
        <f t="shared" si="45"/>
        <v>GUARDIAN</v>
      </c>
    </row>
    <row r="1573" spans="1:10" x14ac:dyDescent="0.3">
      <c r="A1573" t="str">
        <f>""</f>
        <v/>
      </c>
      <c r="B1573" t="str">
        <f>""</f>
        <v/>
      </c>
      <c r="G1573" t="str">
        <f>""</f>
        <v/>
      </c>
      <c r="H1573" t="str">
        <f>""</f>
        <v/>
      </c>
      <c r="J1573" t="str">
        <f t="shared" si="45"/>
        <v>GUARDIAN</v>
      </c>
    </row>
    <row r="1574" spans="1:10" x14ac:dyDescent="0.3">
      <c r="A1574" t="str">
        <f>""</f>
        <v/>
      </c>
      <c r="B1574" t="str">
        <f>""</f>
        <v/>
      </c>
      <c r="G1574" t="str">
        <f>""</f>
        <v/>
      </c>
      <c r="H1574" t="str">
        <f>""</f>
        <v/>
      </c>
      <c r="J1574" t="str">
        <f t="shared" si="45"/>
        <v>GUARDIAN</v>
      </c>
    </row>
    <row r="1575" spans="1:10" x14ac:dyDescent="0.3">
      <c r="A1575" t="str">
        <f>""</f>
        <v/>
      </c>
      <c r="B1575" t="str">
        <f>""</f>
        <v/>
      </c>
      <c r="G1575" t="str">
        <f>""</f>
        <v/>
      </c>
      <c r="H1575" t="str">
        <f>""</f>
        <v/>
      </c>
      <c r="J1575" t="str">
        <f t="shared" si="45"/>
        <v>GUARDIAN</v>
      </c>
    </row>
    <row r="1576" spans="1:10" x14ac:dyDescent="0.3">
      <c r="A1576" t="str">
        <f>""</f>
        <v/>
      </c>
      <c r="B1576" t="str">
        <f>""</f>
        <v/>
      </c>
      <c r="G1576" t="str">
        <f>""</f>
        <v/>
      </c>
      <c r="H1576" t="str">
        <f>""</f>
        <v/>
      </c>
      <c r="J1576" t="str">
        <f t="shared" si="45"/>
        <v>GUARDIAN</v>
      </c>
    </row>
    <row r="1577" spans="1:10" x14ac:dyDescent="0.3">
      <c r="A1577" t="str">
        <f>""</f>
        <v/>
      </c>
      <c r="B1577" t="str">
        <f>""</f>
        <v/>
      </c>
      <c r="G1577" t="str">
        <f>""</f>
        <v/>
      </c>
      <c r="H1577" t="str">
        <f>""</f>
        <v/>
      </c>
      <c r="J1577" t="str">
        <f t="shared" si="45"/>
        <v>GUARDIAN</v>
      </c>
    </row>
    <row r="1578" spans="1:10" x14ac:dyDescent="0.3">
      <c r="A1578" t="str">
        <f>""</f>
        <v/>
      </c>
      <c r="B1578" t="str">
        <f>""</f>
        <v/>
      </c>
      <c r="G1578" t="str">
        <f>""</f>
        <v/>
      </c>
      <c r="H1578" t="str">
        <f>""</f>
        <v/>
      </c>
      <c r="J1578" t="str">
        <f t="shared" si="45"/>
        <v>GUARDIAN</v>
      </c>
    </row>
    <row r="1579" spans="1:10" x14ac:dyDescent="0.3">
      <c r="A1579" t="str">
        <f>""</f>
        <v/>
      </c>
      <c r="B1579" t="str">
        <f>""</f>
        <v/>
      </c>
      <c r="G1579" t="str">
        <f>""</f>
        <v/>
      </c>
      <c r="H1579" t="str">
        <f>""</f>
        <v/>
      </c>
      <c r="J1579" t="str">
        <f t="shared" si="45"/>
        <v>GUARDIAN</v>
      </c>
    </row>
    <row r="1580" spans="1:10" x14ac:dyDescent="0.3">
      <c r="A1580" t="str">
        <f>""</f>
        <v/>
      </c>
      <c r="B1580" t="str">
        <f>""</f>
        <v/>
      </c>
      <c r="G1580" t="str">
        <f>""</f>
        <v/>
      </c>
      <c r="H1580" t="str">
        <f>""</f>
        <v/>
      </c>
      <c r="J1580" t="str">
        <f t="shared" si="45"/>
        <v>GUARDIAN</v>
      </c>
    </row>
    <row r="1581" spans="1:10" x14ac:dyDescent="0.3">
      <c r="A1581" t="str">
        <f>""</f>
        <v/>
      </c>
      <c r="B1581" t="str">
        <f>""</f>
        <v/>
      </c>
      <c r="G1581" t="str">
        <f>""</f>
        <v/>
      </c>
      <c r="H1581" t="str">
        <f>""</f>
        <v/>
      </c>
      <c r="J1581" t="str">
        <f t="shared" si="45"/>
        <v>GUARDIAN</v>
      </c>
    </row>
    <row r="1582" spans="1:10" x14ac:dyDescent="0.3">
      <c r="A1582" t="str">
        <f>""</f>
        <v/>
      </c>
      <c r="B1582" t="str">
        <f>""</f>
        <v/>
      </c>
      <c r="G1582" t="str">
        <f>""</f>
        <v/>
      </c>
      <c r="H1582" t="str">
        <f>""</f>
        <v/>
      </c>
      <c r="J1582" t="str">
        <f t="shared" si="45"/>
        <v>GUARDIAN</v>
      </c>
    </row>
    <row r="1583" spans="1:10" x14ac:dyDescent="0.3">
      <c r="A1583" t="str">
        <f>""</f>
        <v/>
      </c>
      <c r="B1583" t="str">
        <f>""</f>
        <v/>
      </c>
      <c r="G1583" t="str">
        <f>""</f>
        <v/>
      </c>
      <c r="H1583" t="str">
        <f>""</f>
        <v/>
      </c>
      <c r="J1583" t="str">
        <f t="shared" si="45"/>
        <v>GUARDIAN</v>
      </c>
    </row>
    <row r="1584" spans="1:10" x14ac:dyDescent="0.3">
      <c r="A1584" t="str">
        <f>""</f>
        <v/>
      </c>
      <c r="B1584" t="str">
        <f>""</f>
        <v/>
      </c>
      <c r="G1584" t="str">
        <f>""</f>
        <v/>
      </c>
      <c r="H1584" t="str">
        <f>""</f>
        <v/>
      </c>
      <c r="J1584" t="str">
        <f t="shared" si="45"/>
        <v>GUARDIAN</v>
      </c>
    </row>
    <row r="1585" spans="1:10" x14ac:dyDescent="0.3">
      <c r="A1585" t="str">
        <f>""</f>
        <v/>
      </c>
      <c r="B1585" t="str">
        <f>""</f>
        <v/>
      </c>
      <c r="G1585" t="str">
        <f>"LIS201801118129"</f>
        <v>LIS201801118129</v>
      </c>
      <c r="H1585" t="str">
        <f t="shared" ref="H1585:H1594" si="46">"GUARDIAN"</f>
        <v>GUARDIAN</v>
      </c>
      <c r="I1585" s="2">
        <v>402.24</v>
      </c>
      <c r="J1585" t="str">
        <f t="shared" si="45"/>
        <v>GUARDIAN</v>
      </c>
    </row>
    <row r="1586" spans="1:10" x14ac:dyDescent="0.3">
      <c r="A1586" t="str">
        <f>""</f>
        <v/>
      </c>
      <c r="B1586" t="str">
        <f>""</f>
        <v/>
      </c>
      <c r="G1586" t="str">
        <f>"LIS201801118130"</f>
        <v>LIS201801118130</v>
      </c>
      <c r="H1586" t="str">
        <f t="shared" si="46"/>
        <v>GUARDIAN</v>
      </c>
      <c r="I1586" s="2">
        <v>36.700000000000003</v>
      </c>
      <c r="J1586" t="str">
        <f t="shared" si="45"/>
        <v>GUARDIAN</v>
      </c>
    </row>
    <row r="1587" spans="1:10" x14ac:dyDescent="0.3">
      <c r="A1587" t="str">
        <f>""</f>
        <v/>
      </c>
      <c r="B1587" t="str">
        <f>""</f>
        <v/>
      </c>
      <c r="G1587" t="str">
        <f>"LIS201801248226"</f>
        <v>LIS201801248226</v>
      </c>
      <c r="H1587" t="str">
        <f t="shared" si="46"/>
        <v>GUARDIAN</v>
      </c>
      <c r="I1587" s="2">
        <v>36.700000000000003</v>
      </c>
      <c r="J1587" t="str">
        <f t="shared" si="45"/>
        <v>GUARDIAN</v>
      </c>
    </row>
    <row r="1588" spans="1:10" x14ac:dyDescent="0.3">
      <c r="A1588" t="str">
        <f>""</f>
        <v/>
      </c>
      <c r="B1588" t="str">
        <f>""</f>
        <v/>
      </c>
      <c r="G1588" t="str">
        <f>"LIS201801248228"</f>
        <v>LIS201801248228</v>
      </c>
      <c r="H1588" t="str">
        <f t="shared" si="46"/>
        <v>GUARDIAN</v>
      </c>
      <c r="I1588" s="2">
        <v>402.24</v>
      </c>
      <c r="J1588" t="str">
        <f t="shared" si="45"/>
        <v>GUARDIAN</v>
      </c>
    </row>
    <row r="1589" spans="1:10" x14ac:dyDescent="0.3">
      <c r="A1589" t="str">
        <f>""</f>
        <v/>
      </c>
      <c r="B1589" t="str">
        <f>""</f>
        <v/>
      </c>
      <c r="G1589" t="str">
        <f>"LTD201801118129"</f>
        <v>LTD201801118129</v>
      </c>
      <c r="H1589" t="str">
        <f t="shared" si="46"/>
        <v>GUARDIAN</v>
      </c>
      <c r="I1589" s="2">
        <v>711.78</v>
      </c>
      <c r="J1589" t="str">
        <f t="shared" si="45"/>
        <v>GUARDIAN</v>
      </c>
    </row>
    <row r="1590" spans="1:10" x14ac:dyDescent="0.3">
      <c r="A1590" t="str">
        <f>""</f>
        <v/>
      </c>
      <c r="B1590" t="str">
        <f>""</f>
        <v/>
      </c>
      <c r="G1590" t="str">
        <f>"LTD201801248228"</f>
        <v>LTD201801248228</v>
      </c>
      <c r="H1590" t="str">
        <f t="shared" si="46"/>
        <v>GUARDIAN</v>
      </c>
      <c r="I1590" s="2">
        <v>711.78</v>
      </c>
      <c r="J1590" t="str">
        <f t="shared" si="45"/>
        <v>GUARDIAN</v>
      </c>
    </row>
    <row r="1591" spans="1:10" x14ac:dyDescent="0.3">
      <c r="A1591" t="str">
        <f>"01"</f>
        <v>01</v>
      </c>
      <c r="B1591" t="str">
        <f>"GUARDI"</f>
        <v>GUARDI</v>
      </c>
      <c r="C1591" t="s">
        <v>399</v>
      </c>
      <c r="D1591">
        <v>0</v>
      </c>
      <c r="E1591" s="2">
        <v>112.44</v>
      </c>
      <c r="F1591" s="1">
        <v>43131</v>
      </c>
      <c r="G1591" t="str">
        <f>"AEG201801118129"</f>
        <v>AEG201801118129</v>
      </c>
      <c r="H1591" t="str">
        <f t="shared" si="46"/>
        <v>GUARDIAN</v>
      </c>
      <c r="I1591" s="2">
        <v>6.66</v>
      </c>
      <c r="J1591" t="str">
        <f t="shared" si="45"/>
        <v>GUARDIAN</v>
      </c>
    </row>
    <row r="1592" spans="1:10" x14ac:dyDescent="0.3">
      <c r="A1592" t="str">
        <f>""</f>
        <v/>
      </c>
      <c r="B1592" t="str">
        <f>""</f>
        <v/>
      </c>
      <c r="G1592" t="str">
        <f>"AEG201801248228"</f>
        <v>AEG201801248228</v>
      </c>
      <c r="H1592" t="str">
        <f t="shared" si="46"/>
        <v>GUARDIAN</v>
      </c>
      <c r="I1592" s="2">
        <v>6.66</v>
      </c>
      <c r="J1592" t="str">
        <f t="shared" si="45"/>
        <v>GUARDIAN</v>
      </c>
    </row>
    <row r="1593" spans="1:10" x14ac:dyDescent="0.3">
      <c r="A1593" t="str">
        <f>""</f>
        <v/>
      </c>
      <c r="B1593" t="str">
        <f>""</f>
        <v/>
      </c>
      <c r="G1593" t="str">
        <f>"AFG201801118129"</f>
        <v>AFG201801118129</v>
      </c>
      <c r="H1593" t="str">
        <f t="shared" si="46"/>
        <v>GUARDIAN</v>
      </c>
      <c r="I1593" s="2">
        <v>49.56</v>
      </c>
      <c r="J1593" t="str">
        <f t="shared" si="45"/>
        <v>GUARDIAN</v>
      </c>
    </row>
    <row r="1594" spans="1:10" x14ac:dyDescent="0.3">
      <c r="A1594" t="str">
        <f>""</f>
        <v/>
      </c>
      <c r="B1594" t="str">
        <f>""</f>
        <v/>
      </c>
      <c r="G1594" t="str">
        <f>"AFG201801248228"</f>
        <v>AFG201801248228</v>
      </c>
      <c r="H1594" t="str">
        <f t="shared" si="46"/>
        <v>GUARDIAN</v>
      </c>
      <c r="I1594" s="2">
        <v>49.56</v>
      </c>
      <c r="J1594" t="str">
        <f t="shared" si="45"/>
        <v>GUARDIAN</v>
      </c>
    </row>
    <row r="1595" spans="1:10" x14ac:dyDescent="0.3">
      <c r="A1595" t="str">
        <f>"01"</f>
        <v>01</v>
      </c>
      <c r="B1595" t="str">
        <f>"IRSACS"</f>
        <v>IRSACS</v>
      </c>
      <c r="C1595" t="s">
        <v>400</v>
      </c>
      <c r="D1595">
        <v>46105</v>
      </c>
      <c r="E1595" s="2">
        <v>238.43</v>
      </c>
      <c r="F1595" s="1">
        <v>43112</v>
      </c>
      <c r="G1595" t="str">
        <f>"IJ2201801118129"</f>
        <v>IJ2201801118129</v>
      </c>
      <c r="H1595" t="str">
        <f>"LISA JACKSON 2 IRS LEVY"</f>
        <v>LISA JACKSON 2 IRS LEVY</v>
      </c>
      <c r="I1595" s="2">
        <v>238.43</v>
      </c>
      <c r="J1595" t="str">
        <f>"LISA JACKSON 2 IRS LEVY"</f>
        <v>LISA JACKSON 2 IRS LEVY</v>
      </c>
    </row>
    <row r="1596" spans="1:10" x14ac:dyDescent="0.3">
      <c r="A1596" t="str">
        <f>"01"</f>
        <v>01</v>
      </c>
      <c r="B1596" t="str">
        <f>"IRSACS"</f>
        <v>IRSACS</v>
      </c>
      <c r="C1596" t="s">
        <v>400</v>
      </c>
      <c r="D1596">
        <v>46130</v>
      </c>
      <c r="E1596" s="2">
        <v>238.43</v>
      </c>
      <c r="F1596" s="1">
        <v>43126</v>
      </c>
      <c r="G1596" t="str">
        <f>"IJ2201801248228"</f>
        <v>IJ2201801248228</v>
      </c>
      <c r="H1596" t="str">
        <f>"LISA JACKSON 2 IRS LEVY"</f>
        <v>LISA JACKSON 2 IRS LEVY</v>
      </c>
      <c r="I1596" s="2">
        <v>238.43</v>
      </c>
      <c r="J1596" t="str">
        <f>"LISA JACKSON 2 IRS LEVY"</f>
        <v>LISA JACKSON 2 IRS LEVY</v>
      </c>
    </row>
    <row r="1597" spans="1:10" x14ac:dyDescent="0.3">
      <c r="A1597" t="str">
        <f>"01"</f>
        <v>01</v>
      </c>
      <c r="B1597" t="str">
        <f>"IRSPY"</f>
        <v>IRSPY</v>
      </c>
      <c r="C1597" t="s">
        <v>401</v>
      </c>
      <c r="D1597">
        <v>0</v>
      </c>
      <c r="E1597" s="2">
        <v>222027.39</v>
      </c>
      <c r="F1597" s="1">
        <v>43112</v>
      </c>
      <c r="G1597" t="str">
        <f>"T1 201801118129"</f>
        <v>T1 201801118129</v>
      </c>
      <c r="H1597" t="str">
        <f>"FEDERAL WITHHOLDING"</f>
        <v>FEDERAL WITHHOLDING</v>
      </c>
      <c r="I1597" s="2">
        <v>80624.58</v>
      </c>
      <c r="J1597" t="str">
        <f>"FEDERAL WITHHOLDING"</f>
        <v>FEDERAL WITHHOLDING</v>
      </c>
    </row>
    <row r="1598" spans="1:10" x14ac:dyDescent="0.3">
      <c r="A1598" t="str">
        <f>""</f>
        <v/>
      </c>
      <c r="B1598" t="str">
        <f>""</f>
        <v/>
      </c>
      <c r="G1598" t="str">
        <f>"T1 201801118130"</f>
        <v>T1 201801118130</v>
      </c>
      <c r="H1598" t="str">
        <f>"FEDERAL WITHHOLDING"</f>
        <v>FEDERAL WITHHOLDING</v>
      </c>
      <c r="I1598" s="2">
        <v>3442.43</v>
      </c>
      <c r="J1598" t="str">
        <f>"FEDERAL WITHHOLDING"</f>
        <v>FEDERAL WITHHOLDING</v>
      </c>
    </row>
    <row r="1599" spans="1:10" x14ac:dyDescent="0.3">
      <c r="A1599" t="str">
        <f>""</f>
        <v/>
      </c>
      <c r="B1599" t="str">
        <f>""</f>
        <v/>
      </c>
      <c r="G1599" t="str">
        <f>"T1 201801118131"</f>
        <v>T1 201801118131</v>
      </c>
      <c r="H1599" t="str">
        <f>"FEDERAL WITHHOLDING"</f>
        <v>FEDERAL WITHHOLDING</v>
      </c>
      <c r="I1599" s="2">
        <v>4501.9399999999996</v>
      </c>
      <c r="J1599" t="str">
        <f>"FEDERAL WITHHOLDING"</f>
        <v>FEDERAL WITHHOLDING</v>
      </c>
    </row>
    <row r="1600" spans="1:10" x14ac:dyDescent="0.3">
      <c r="A1600" t="str">
        <f>""</f>
        <v/>
      </c>
      <c r="B1600" t="str">
        <f>""</f>
        <v/>
      </c>
      <c r="G1600" t="str">
        <f>"T3 201801118129"</f>
        <v>T3 201801118129</v>
      </c>
      <c r="H1600" t="str">
        <f>"SOCIAL SECURITY TAXES"</f>
        <v>SOCIAL SECURITY TAXES</v>
      </c>
      <c r="I1600" s="2">
        <v>98627.48</v>
      </c>
      <c r="J1600" t="str">
        <f t="shared" ref="J1600:J1631" si="47">"SOCIAL SECURITY TAXES"</f>
        <v>SOCIAL SECURITY TAXES</v>
      </c>
    </row>
    <row r="1601" spans="1:10" x14ac:dyDescent="0.3">
      <c r="A1601" t="str">
        <f>""</f>
        <v/>
      </c>
      <c r="B1601" t="str">
        <f>""</f>
        <v/>
      </c>
      <c r="G1601" t="str">
        <f>""</f>
        <v/>
      </c>
      <c r="H1601" t="str">
        <f>""</f>
        <v/>
      </c>
      <c r="J1601" t="str">
        <f t="shared" si="47"/>
        <v>SOCIAL SECURITY TAXES</v>
      </c>
    </row>
    <row r="1602" spans="1:10" x14ac:dyDescent="0.3">
      <c r="A1602" t="str">
        <f>""</f>
        <v/>
      </c>
      <c r="B1602" t="str">
        <f>""</f>
        <v/>
      </c>
      <c r="G1602" t="str">
        <f>""</f>
        <v/>
      </c>
      <c r="H1602" t="str">
        <f>""</f>
        <v/>
      </c>
      <c r="J1602" t="str">
        <f t="shared" si="47"/>
        <v>SOCIAL SECURITY TAXES</v>
      </c>
    </row>
    <row r="1603" spans="1:10" x14ac:dyDescent="0.3">
      <c r="A1603" t="str">
        <f>""</f>
        <v/>
      </c>
      <c r="B1603" t="str">
        <f>""</f>
        <v/>
      </c>
      <c r="G1603" t="str">
        <f>""</f>
        <v/>
      </c>
      <c r="H1603" t="str">
        <f>""</f>
        <v/>
      </c>
      <c r="J1603" t="str">
        <f t="shared" si="47"/>
        <v>SOCIAL SECURITY TAXES</v>
      </c>
    </row>
    <row r="1604" spans="1:10" x14ac:dyDescent="0.3">
      <c r="A1604" t="str">
        <f>""</f>
        <v/>
      </c>
      <c r="B1604" t="str">
        <f>""</f>
        <v/>
      </c>
      <c r="G1604" t="str">
        <f>""</f>
        <v/>
      </c>
      <c r="H1604" t="str">
        <f>""</f>
        <v/>
      </c>
      <c r="J1604" t="str">
        <f t="shared" si="47"/>
        <v>SOCIAL SECURITY TAXES</v>
      </c>
    </row>
    <row r="1605" spans="1:10" x14ac:dyDescent="0.3">
      <c r="A1605" t="str">
        <f>""</f>
        <v/>
      </c>
      <c r="B1605" t="str">
        <f>""</f>
        <v/>
      </c>
      <c r="G1605" t="str">
        <f>""</f>
        <v/>
      </c>
      <c r="H1605" t="str">
        <f>""</f>
        <v/>
      </c>
      <c r="J1605" t="str">
        <f t="shared" si="47"/>
        <v>SOCIAL SECURITY TAXES</v>
      </c>
    </row>
    <row r="1606" spans="1:10" x14ac:dyDescent="0.3">
      <c r="A1606" t="str">
        <f>""</f>
        <v/>
      </c>
      <c r="B1606" t="str">
        <f>""</f>
        <v/>
      </c>
      <c r="G1606" t="str">
        <f>""</f>
        <v/>
      </c>
      <c r="H1606" t="str">
        <f>""</f>
        <v/>
      </c>
      <c r="J1606" t="str">
        <f t="shared" si="47"/>
        <v>SOCIAL SECURITY TAXES</v>
      </c>
    </row>
    <row r="1607" spans="1:10" x14ac:dyDescent="0.3">
      <c r="A1607" t="str">
        <f>""</f>
        <v/>
      </c>
      <c r="B1607" t="str">
        <f>""</f>
        <v/>
      </c>
      <c r="G1607" t="str">
        <f>""</f>
        <v/>
      </c>
      <c r="H1607" t="str">
        <f>""</f>
        <v/>
      </c>
      <c r="J1607" t="str">
        <f t="shared" si="47"/>
        <v>SOCIAL SECURITY TAXES</v>
      </c>
    </row>
    <row r="1608" spans="1:10" x14ac:dyDescent="0.3">
      <c r="A1608" t="str">
        <f>""</f>
        <v/>
      </c>
      <c r="B1608" t="str">
        <f>""</f>
        <v/>
      </c>
      <c r="G1608" t="str">
        <f>""</f>
        <v/>
      </c>
      <c r="H1608" t="str">
        <f>""</f>
        <v/>
      </c>
      <c r="J1608" t="str">
        <f t="shared" si="47"/>
        <v>SOCIAL SECURITY TAXES</v>
      </c>
    </row>
    <row r="1609" spans="1:10" x14ac:dyDescent="0.3">
      <c r="A1609" t="str">
        <f>""</f>
        <v/>
      </c>
      <c r="B1609" t="str">
        <f>""</f>
        <v/>
      </c>
      <c r="G1609" t="str">
        <f>""</f>
        <v/>
      </c>
      <c r="H1609" t="str">
        <f>""</f>
        <v/>
      </c>
      <c r="J1609" t="str">
        <f t="shared" si="47"/>
        <v>SOCIAL SECURITY TAXES</v>
      </c>
    </row>
    <row r="1610" spans="1:10" x14ac:dyDescent="0.3">
      <c r="A1610" t="str">
        <f>""</f>
        <v/>
      </c>
      <c r="B1610" t="str">
        <f>""</f>
        <v/>
      </c>
      <c r="G1610" t="str">
        <f>""</f>
        <v/>
      </c>
      <c r="H1610" t="str">
        <f>""</f>
        <v/>
      </c>
      <c r="J1610" t="str">
        <f t="shared" si="47"/>
        <v>SOCIAL SECURITY TAXES</v>
      </c>
    </row>
    <row r="1611" spans="1:10" x14ac:dyDescent="0.3">
      <c r="A1611" t="str">
        <f>""</f>
        <v/>
      </c>
      <c r="B1611" t="str">
        <f>""</f>
        <v/>
      </c>
      <c r="G1611" t="str">
        <f>""</f>
        <v/>
      </c>
      <c r="H1611" t="str">
        <f>""</f>
        <v/>
      </c>
      <c r="J1611" t="str">
        <f t="shared" si="47"/>
        <v>SOCIAL SECURITY TAXES</v>
      </c>
    </row>
    <row r="1612" spans="1:10" x14ac:dyDescent="0.3">
      <c r="A1612" t="str">
        <f>""</f>
        <v/>
      </c>
      <c r="B1612" t="str">
        <f>""</f>
        <v/>
      </c>
      <c r="G1612" t="str">
        <f>""</f>
        <v/>
      </c>
      <c r="H1612" t="str">
        <f>""</f>
        <v/>
      </c>
      <c r="J1612" t="str">
        <f t="shared" si="47"/>
        <v>SOCIAL SECURITY TAXES</v>
      </c>
    </row>
    <row r="1613" spans="1:10" x14ac:dyDescent="0.3">
      <c r="A1613" t="str">
        <f>""</f>
        <v/>
      </c>
      <c r="B1613" t="str">
        <f>""</f>
        <v/>
      </c>
      <c r="G1613" t="str">
        <f>""</f>
        <v/>
      </c>
      <c r="H1613" t="str">
        <f>""</f>
        <v/>
      </c>
      <c r="J1613" t="str">
        <f t="shared" si="47"/>
        <v>SOCIAL SECURITY TAXES</v>
      </c>
    </row>
    <row r="1614" spans="1:10" x14ac:dyDescent="0.3">
      <c r="A1614" t="str">
        <f>""</f>
        <v/>
      </c>
      <c r="B1614" t="str">
        <f>""</f>
        <v/>
      </c>
      <c r="G1614" t="str">
        <f>""</f>
        <v/>
      </c>
      <c r="H1614" t="str">
        <f>""</f>
        <v/>
      </c>
      <c r="J1614" t="str">
        <f t="shared" si="47"/>
        <v>SOCIAL SECURITY TAXES</v>
      </c>
    </row>
    <row r="1615" spans="1:10" x14ac:dyDescent="0.3">
      <c r="A1615" t="str">
        <f>""</f>
        <v/>
      </c>
      <c r="B1615" t="str">
        <f>""</f>
        <v/>
      </c>
      <c r="G1615" t="str">
        <f>""</f>
        <v/>
      </c>
      <c r="H1615" t="str">
        <f>""</f>
        <v/>
      </c>
      <c r="J1615" t="str">
        <f t="shared" si="47"/>
        <v>SOCIAL SECURITY TAXES</v>
      </c>
    </row>
    <row r="1616" spans="1:10" x14ac:dyDescent="0.3">
      <c r="A1616" t="str">
        <f>""</f>
        <v/>
      </c>
      <c r="B1616" t="str">
        <f>""</f>
        <v/>
      </c>
      <c r="G1616" t="str">
        <f>""</f>
        <v/>
      </c>
      <c r="H1616" t="str">
        <f>""</f>
        <v/>
      </c>
      <c r="J1616" t="str">
        <f t="shared" si="47"/>
        <v>SOCIAL SECURITY TAXES</v>
      </c>
    </row>
    <row r="1617" spans="1:10" x14ac:dyDescent="0.3">
      <c r="A1617" t="str">
        <f>""</f>
        <v/>
      </c>
      <c r="B1617" t="str">
        <f>""</f>
        <v/>
      </c>
      <c r="G1617" t="str">
        <f>""</f>
        <v/>
      </c>
      <c r="H1617" t="str">
        <f>""</f>
        <v/>
      </c>
      <c r="J1617" t="str">
        <f t="shared" si="47"/>
        <v>SOCIAL SECURITY TAXES</v>
      </c>
    </row>
    <row r="1618" spans="1:10" x14ac:dyDescent="0.3">
      <c r="A1618" t="str">
        <f>""</f>
        <v/>
      </c>
      <c r="B1618" t="str">
        <f>""</f>
        <v/>
      </c>
      <c r="G1618" t="str">
        <f>""</f>
        <v/>
      </c>
      <c r="H1618" t="str">
        <f>""</f>
        <v/>
      </c>
      <c r="J1618" t="str">
        <f t="shared" si="47"/>
        <v>SOCIAL SECURITY TAXES</v>
      </c>
    </row>
    <row r="1619" spans="1:10" x14ac:dyDescent="0.3">
      <c r="A1619" t="str">
        <f>""</f>
        <v/>
      </c>
      <c r="B1619" t="str">
        <f>""</f>
        <v/>
      </c>
      <c r="G1619" t="str">
        <f>""</f>
        <v/>
      </c>
      <c r="H1619" t="str">
        <f>""</f>
        <v/>
      </c>
      <c r="J1619" t="str">
        <f t="shared" si="47"/>
        <v>SOCIAL SECURITY TAXES</v>
      </c>
    </row>
    <row r="1620" spans="1:10" x14ac:dyDescent="0.3">
      <c r="A1620" t="str">
        <f>""</f>
        <v/>
      </c>
      <c r="B1620" t="str">
        <f>""</f>
        <v/>
      </c>
      <c r="G1620" t="str">
        <f>""</f>
        <v/>
      </c>
      <c r="H1620" t="str">
        <f>""</f>
        <v/>
      </c>
      <c r="J1620" t="str">
        <f t="shared" si="47"/>
        <v>SOCIAL SECURITY TAXES</v>
      </c>
    </row>
    <row r="1621" spans="1:10" x14ac:dyDescent="0.3">
      <c r="A1621" t="str">
        <f>""</f>
        <v/>
      </c>
      <c r="B1621" t="str">
        <f>""</f>
        <v/>
      </c>
      <c r="G1621" t="str">
        <f>""</f>
        <v/>
      </c>
      <c r="H1621" t="str">
        <f>""</f>
        <v/>
      </c>
      <c r="J1621" t="str">
        <f t="shared" si="47"/>
        <v>SOCIAL SECURITY TAXES</v>
      </c>
    </row>
    <row r="1622" spans="1:10" x14ac:dyDescent="0.3">
      <c r="A1622" t="str">
        <f>""</f>
        <v/>
      </c>
      <c r="B1622" t="str">
        <f>""</f>
        <v/>
      </c>
      <c r="G1622" t="str">
        <f>""</f>
        <v/>
      </c>
      <c r="H1622" t="str">
        <f>""</f>
        <v/>
      </c>
      <c r="J1622" t="str">
        <f t="shared" si="47"/>
        <v>SOCIAL SECURITY TAXES</v>
      </c>
    </row>
    <row r="1623" spans="1:10" x14ac:dyDescent="0.3">
      <c r="A1623" t="str">
        <f>""</f>
        <v/>
      </c>
      <c r="B1623" t="str">
        <f>""</f>
        <v/>
      </c>
      <c r="G1623" t="str">
        <f>""</f>
        <v/>
      </c>
      <c r="H1623" t="str">
        <f>""</f>
        <v/>
      </c>
      <c r="J1623" t="str">
        <f t="shared" si="47"/>
        <v>SOCIAL SECURITY TAXES</v>
      </c>
    </row>
    <row r="1624" spans="1:10" x14ac:dyDescent="0.3">
      <c r="A1624" t="str">
        <f>""</f>
        <v/>
      </c>
      <c r="B1624" t="str">
        <f>""</f>
        <v/>
      </c>
      <c r="G1624" t="str">
        <f>""</f>
        <v/>
      </c>
      <c r="H1624" t="str">
        <f>""</f>
        <v/>
      </c>
      <c r="J1624" t="str">
        <f t="shared" si="47"/>
        <v>SOCIAL SECURITY TAXES</v>
      </c>
    </row>
    <row r="1625" spans="1:10" x14ac:dyDescent="0.3">
      <c r="A1625" t="str">
        <f>""</f>
        <v/>
      </c>
      <c r="B1625" t="str">
        <f>""</f>
        <v/>
      </c>
      <c r="G1625" t="str">
        <f>""</f>
        <v/>
      </c>
      <c r="H1625" t="str">
        <f>""</f>
        <v/>
      </c>
      <c r="J1625" t="str">
        <f t="shared" si="47"/>
        <v>SOCIAL SECURITY TAXES</v>
      </c>
    </row>
    <row r="1626" spans="1:10" x14ac:dyDescent="0.3">
      <c r="A1626" t="str">
        <f>""</f>
        <v/>
      </c>
      <c r="B1626" t="str">
        <f>""</f>
        <v/>
      </c>
      <c r="G1626" t="str">
        <f>""</f>
        <v/>
      </c>
      <c r="H1626" t="str">
        <f>""</f>
        <v/>
      </c>
      <c r="J1626" t="str">
        <f t="shared" si="47"/>
        <v>SOCIAL SECURITY TAXES</v>
      </c>
    </row>
    <row r="1627" spans="1:10" x14ac:dyDescent="0.3">
      <c r="A1627" t="str">
        <f>""</f>
        <v/>
      </c>
      <c r="B1627" t="str">
        <f>""</f>
        <v/>
      </c>
      <c r="G1627" t="str">
        <f>""</f>
        <v/>
      </c>
      <c r="H1627" t="str">
        <f>""</f>
        <v/>
      </c>
      <c r="J1627" t="str">
        <f t="shared" si="47"/>
        <v>SOCIAL SECURITY TAXES</v>
      </c>
    </row>
    <row r="1628" spans="1:10" x14ac:dyDescent="0.3">
      <c r="A1628" t="str">
        <f>""</f>
        <v/>
      </c>
      <c r="B1628" t="str">
        <f>""</f>
        <v/>
      </c>
      <c r="G1628" t="str">
        <f>""</f>
        <v/>
      </c>
      <c r="H1628" t="str">
        <f>""</f>
        <v/>
      </c>
      <c r="J1628" t="str">
        <f t="shared" si="47"/>
        <v>SOCIAL SECURITY TAXES</v>
      </c>
    </row>
    <row r="1629" spans="1:10" x14ac:dyDescent="0.3">
      <c r="A1629" t="str">
        <f>""</f>
        <v/>
      </c>
      <c r="B1629" t="str">
        <f>""</f>
        <v/>
      </c>
      <c r="G1629" t="str">
        <f>""</f>
        <v/>
      </c>
      <c r="H1629" t="str">
        <f>""</f>
        <v/>
      </c>
      <c r="J1629" t="str">
        <f t="shared" si="47"/>
        <v>SOCIAL SECURITY TAXES</v>
      </c>
    </row>
    <row r="1630" spans="1:10" x14ac:dyDescent="0.3">
      <c r="A1630" t="str">
        <f>""</f>
        <v/>
      </c>
      <c r="B1630" t="str">
        <f>""</f>
        <v/>
      </c>
      <c r="G1630" t="str">
        <f>""</f>
        <v/>
      </c>
      <c r="H1630" t="str">
        <f>""</f>
        <v/>
      </c>
      <c r="J1630" t="str">
        <f t="shared" si="47"/>
        <v>SOCIAL SECURITY TAXES</v>
      </c>
    </row>
    <row r="1631" spans="1:10" x14ac:dyDescent="0.3">
      <c r="A1631" t="str">
        <f>""</f>
        <v/>
      </c>
      <c r="B1631" t="str">
        <f>""</f>
        <v/>
      </c>
      <c r="G1631" t="str">
        <f>""</f>
        <v/>
      </c>
      <c r="H1631" t="str">
        <f>""</f>
        <v/>
      </c>
      <c r="J1631" t="str">
        <f t="shared" si="47"/>
        <v>SOCIAL SECURITY TAXES</v>
      </c>
    </row>
    <row r="1632" spans="1:10" x14ac:dyDescent="0.3">
      <c r="A1632" t="str">
        <f>""</f>
        <v/>
      </c>
      <c r="B1632" t="str">
        <f>""</f>
        <v/>
      </c>
      <c r="G1632" t="str">
        <f>""</f>
        <v/>
      </c>
      <c r="H1632" t="str">
        <f>""</f>
        <v/>
      </c>
      <c r="J1632" t="str">
        <f t="shared" ref="J1632:J1655" si="48">"SOCIAL SECURITY TAXES"</f>
        <v>SOCIAL SECURITY TAXES</v>
      </c>
    </row>
    <row r="1633" spans="1:10" x14ac:dyDescent="0.3">
      <c r="A1633" t="str">
        <f>""</f>
        <v/>
      </c>
      <c r="B1633" t="str">
        <f>""</f>
        <v/>
      </c>
      <c r="G1633" t="str">
        <f>""</f>
        <v/>
      </c>
      <c r="H1633" t="str">
        <f>""</f>
        <v/>
      </c>
      <c r="J1633" t="str">
        <f t="shared" si="48"/>
        <v>SOCIAL SECURITY TAXES</v>
      </c>
    </row>
    <row r="1634" spans="1:10" x14ac:dyDescent="0.3">
      <c r="A1634" t="str">
        <f>""</f>
        <v/>
      </c>
      <c r="B1634" t="str">
        <f>""</f>
        <v/>
      </c>
      <c r="G1634" t="str">
        <f>""</f>
        <v/>
      </c>
      <c r="H1634" t="str">
        <f>""</f>
        <v/>
      </c>
      <c r="J1634" t="str">
        <f t="shared" si="48"/>
        <v>SOCIAL SECURITY TAXES</v>
      </c>
    </row>
    <row r="1635" spans="1:10" x14ac:dyDescent="0.3">
      <c r="A1635" t="str">
        <f>""</f>
        <v/>
      </c>
      <c r="B1635" t="str">
        <f>""</f>
        <v/>
      </c>
      <c r="G1635" t="str">
        <f>""</f>
        <v/>
      </c>
      <c r="H1635" t="str">
        <f>""</f>
        <v/>
      </c>
      <c r="J1635" t="str">
        <f t="shared" si="48"/>
        <v>SOCIAL SECURITY TAXES</v>
      </c>
    </row>
    <row r="1636" spans="1:10" x14ac:dyDescent="0.3">
      <c r="A1636" t="str">
        <f>""</f>
        <v/>
      </c>
      <c r="B1636" t="str">
        <f>""</f>
        <v/>
      </c>
      <c r="G1636" t="str">
        <f>""</f>
        <v/>
      </c>
      <c r="H1636" t="str">
        <f>""</f>
        <v/>
      </c>
      <c r="J1636" t="str">
        <f t="shared" si="48"/>
        <v>SOCIAL SECURITY TAXES</v>
      </c>
    </row>
    <row r="1637" spans="1:10" x14ac:dyDescent="0.3">
      <c r="A1637" t="str">
        <f>""</f>
        <v/>
      </c>
      <c r="B1637" t="str">
        <f>""</f>
        <v/>
      </c>
      <c r="G1637" t="str">
        <f>""</f>
        <v/>
      </c>
      <c r="H1637" t="str">
        <f>""</f>
        <v/>
      </c>
      <c r="J1637" t="str">
        <f t="shared" si="48"/>
        <v>SOCIAL SECURITY TAXES</v>
      </c>
    </row>
    <row r="1638" spans="1:10" x14ac:dyDescent="0.3">
      <c r="A1638" t="str">
        <f>""</f>
        <v/>
      </c>
      <c r="B1638" t="str">
        <f>""</f>
        <v/>
      </c>
      <c r="G1638" t="str">
        <f>""</f>
        <v/>
      </c>
      <c r="H1638" t="str">
        <f>""</f>
        <v/>
      </c>
      <c r="J1638" t="str">
        <f t="shared" si="48"/>
        <v>SOCIAL SECURITY TAXES</v>
      </c>
    </row>
    <row r="1639" spans="1:10" x14ac:dyDescent="0.3">
      <c r="A1639" t="str">
        <f>""</f>
        <v/>
      </c>
      <c r="B1639" t="str">
        <f>""</f>
        <v/>
      </c>
      <c r="G1639" t="str">
        <f>""</f>
        <v/>
      </c>
      <c r="H1639" t="str">
        <f>""</f>
        <v/>
      </c>
      <c r="J1639" t="str">
        <f t="shared" si="48"/>
        <v>SOCIAL SECURITY TAXES</v>
      </c>
    </row>
    <row r="1640" spans="1:10" x14ac:dyDescent="0.3">
      <c r="A1640" t="str">
        <f>""</f>
        <v/>
      </c>
      <c r="B1640" t="str">
        <f>""</f>
        <v/>
      </c>
      <c r="G1640" t="str">
        <f>""</f>
        <v/>
      </c>
      <c r="H1640" t="str">
        <f>""</f>
        <v/>
      </c>
      <c r="J1640" t="str">
        <f t="shared" si="48"/>
        <v>SOCIAL SECURITY TAXES</v>
      </c>
    </row>
    <row r="1641" spans="1:10" x14ac:dyDescent="0.3">
      <c r="A1641" t="str">
        <f>""</f>
        <v/>
      </c>
      <c r="B1641" t="str">
        <f>""</f>
        <v/>
      </c>
      <c r="G1641" t="str">
        <f>""</f>
        <v/>
      </c>
      <c r="H1641" t="str">
        <f>""</f>
        <v/>
      </c>
      <c r="J1641" t="str">
        <f t="shared" si="48"/>
        <v>SOCIAL SECURITY TAXES</v>
      </c>
    </row>
    <row r="1642" spans="1:10" x14ac:dyDescent="0.3">
      <c r="A1642" t="str">
        <f>""</f>
        <v/>
      </c>
      <c r="B1642" t="str">
        <f>""</f>
        <v/>
      </c>
      <c r="G1642" t="str">
        <f>""</f>
        <v/>
      </c>
      <c r="H1642" t="str">
        <f>""</f>
        <v/>
      </c>
      <c r="J1642" t="str">
        <f t="shared" si="48"/>
        <v>SOCIAL SECURITY TAXES</v>
      </c>
    </row>
    <row r="1643" spans="1:10" x14ac:dyDescent="0.3">
      <c r="A1643" t="str">
        <f>""</f>
        <v/>
      </c>
      <c r="B1643" t="str">
        <f>""</f>
        <v/>
      </c>
      <c r="G1643" t="str">
        <f>""</f>
        <v/>
      </c>
      <c r="H1643" t="str">
        <f>""</f>
        <v/>
      </c>
      <c r="J1643" t="str">
        <f t="shared" si="48"/>
        <v>SOCIAL SECURITY TAXES</v>
      </c>
    </row>
    <row r="1644" spans="1:10" x14ac:dyDescent="0.3">
      <c r="A1644" t="str">
        <f>""</f>
        <v/>
      </c>
      <c r="B1644" t="str">
        <f>""</f>
        <v/>
      </c>
      <c r="G1644" t="str">
        <f>""</f>
        <v/>
      </c>
      <c r="H1644" t="str">
        <f>""</f>
        <v/>
      </c>
      <c r="J1644" t="str">
        <f t="shared" si="48"/>
        <v>SOCIAL SECURITY TAXES</v>
      </c>
    </row>
    <row r="1645" spans="1:10" x14ac:dyDescent="0.3">
      <c r="A1645" t="str">
        <f>""</f>
        <v/>
      </c>
      <c r="B1645" t="str">
        <f>""</f>
        <v/>
      </c>
      <c r="G1645" t="str">
        <f>""</f>
        <v/>
      </c>
      <c r="H1645" t="str">
        <f>""</f>
        <v/>
      </c>
      <c r="J1645" t="str">
        <f t="shared" si="48"/>
        <v>SOCIAL SECURITY TAXES</v>
      </c>
    </row>
    <row r="1646" spans="1:10" x14ac:dyDescent="0.3">
      <c r="A1646" t="str">
        <f>""</f>
        <v/>
      </c>
      <c r="B1646" t="str">
        <f>""</f>
        <v/>
      </c>
      <c r="G1646" t="str">
        <f>""</f>
        <v/>
      </c>
      <c r="H1646" t="str">
        <f>""</f>
        <v/>
      </c>
      <c r="J1646" t="str">
        <f t="shared" si="48"/>
        <v>SOCIAL SECURITY TAXES</v>
      </c>
    </row>
    <row r="1647" spans="1:10" x14ac:dyDescent="0.3">
      <c r="A1647" t="str">
        <f>""</f>
        <v/>
      </c>
      <c r="B1647" t="str">
        <f>""</f>
        <v/>
      </c>
      <c r="G1647" t="str">
        <f>""</f>
        <v/>
      </c>
      <c r="H1647" t="str">
        <f>""</f>
        <v/>
      </c>
      <c r="J1647" t="str">
        <f t="shared" si="48"/>
        <v>SOCIAL SECURITY TAXES</v>
      </c>
    </row>
    <row r="1648" spans="1:10" x14ac:dyDescent="0.3">
      <c r="A1648" t="str">
        <f>""</f>
        <v/>
      </c>
      <c r="B1648" t="str">
        <f>""</f>
        <v/>
      </c>
      <c r="G1648" t="str">
        <f>""</f>
        <v/>
      </c>
      <c r="H1648" t="str">
        <f>""</f>
        <v/>
      </c>
      <c r="J1648" t="str">
        <f t="shared" si="48"/>
        <v>SOCIAL SECURITY TAXES</v>
      </c>
    </row>
    <row r="1649" spans="1:10" x14ac:dyDescent="0.3">
      <c r="A1649" t="str">
        <f>""</f>
        <v/>
      </c>
      <c r="B1649" t="str">
        <f>""</f>
        <v/>
      </c>
      <c r="G1649" t="str">
        <f>""</f>
        <v/>
      </c>
      <c r="H1649" t="str">
        <f>""</f>
        <v/>
      </c>
      <c r="J1649" t="str">
        <f t="shared" si="48"/>
        <v>SOCIAL SECURITY TAXES</v>
      </c>
    </row>
    <row r="1650" spans="1:10" x14ac:dyDescent="0.3">
      <c r="A1650" t="str">
        <f>""</f>
        <v/>
      </c>
      <c r="B1650" t="str">
        <f>""</f>
        <v/>
      </c>
      <c r="G1650" t="str">
        <f>""</f>
        <v/>
      </c>
      <c r="H1650" t="str">
        <f>""</f>
        <v/>
      </c>
      <c r="J1650" t="str">
        <f t="shared" si="48"/>
        <v>SOCIAL SECURITY TAXES</v>
      </c>
    </row>
    <row r="1651" spans="1:10" x14ac:dyDescent="0.3">
      <c r="A1651" t="str">
        <f>""</f>
        <v/>
      </c>
      <c r="B1651" t="str">
        <f>""</f>
        <v/>
      </c>
      <c r="G1651" t="str">
        <f>""</f>
        <v/>
      </c>
      <c r="H1651" t="str">
        <f>""</f>
        <v/>
      </c>
      <c r="J1651" t="str">
        <f t="shared" si="48"/>
        <v>SOCIAL SECURITY TAXES</v>
      </c>
    </row>
    <row r="1652" spans="1:10" x14ac:dyDescent="0.3">
      <c r="A1652" t="str">
        <f>""</f>
        <v/>
      </c>
      <c r="B1652" t="str">
        <f>""</f>
        <v/>
      </c>
      <c r="G1652" t="str">
        <f>"T3 201801118130"</f>
        <v>T3 201801118130</v>
      </c>
      <c r="H1652" t="str">
        <f>"SOCIAL SECURITY TAXES"</f>
        <v>SOCIAL SECURITY TAXES</v>
      </c>
      <c r="I1652" s="2">
        <v>3979.28</v>
      </c>
      <c r="J1652" t="str">
        <f t="shared" si="48"/>
        <v>SOCIAL SECURITY TAXES</v>
      </c>
    </row>
    <row r="1653" spans="1:10" x14ac:dyDescent="0.3">
      <c r="A1653" t="str">
        <f>""</f>
        <v/>
      </c>
      <c r="B1653" t="str">
        <f>""</f>
        <v/>
      </c>
      <c r="G1653" t="str">
        <f>""</f>
        <v/>
      </c>
      <c r="H1653" t="str">
        <f>""</f>
        <v/>
      </c>
      <c r="J1653" t="str">
        <f t="shared" si="48"/>
        <v>SOCIAL SECURITY TAXES</v>
      </c>
    </row>
    <row r="1654" spans="1:10" x14ac:dyDescent="0.3">
      <c r="A1654" t="str">
        <f>""</f>
        <v/>
      </c>
      <c r="B1654" t="str">
        <f>""</f>
        <v/>
      </c>
      <c r="G1654" t="str">
        <f>"T3 201801118131"</f>
        <v>T3 201801118131</v>
      </c>
      <c r="H1654" t="str">
        <f>"SOCIAL SECURITY TAXES"</f>
        <v>SOCIAL SECURITY TAXES</v>
      </c>
      <c r="I1654" s="2">
        <v>5555.62</v>
      </c>
      <c r="J1654" t="str">
        <f t="shared" si="48"/>
        <v>SOCIAL SECURITY TAXES</v>
      </c>
    </row>
    <row r="1655" spans="1:10" x14ac:dyDescent="0.3">
      <c r="A1655" t="str">
        <f>""</f>
        <v/>
      </c>
      <c r="B1655" t="str">
        <f>""</f>
        <v/>
      </c>
      <c r="G1655" t="str">
        <f>""</f>
        <v/>
      </c>
      <c r="H1655" t="str">
        <f>""</f>
        <v/>
      </c>
      <c r="J1655" t="str">
        <f t="shared" si="48"/>
        <v>SOCIAL SECURITY TAXES</v>
      </c>
    </row>
    <row r="1656" spans="1:10" x14ac:dyDescent="0.3">
      <c r="A1656" t="str">
        <f>""</f>
        <v/>
      </c>
      <c r="B1656" t="str">
        <f>""</f>
        <v/>
      </c>
      <c r="G1656" t="str">
        <f>"T4 201801118129"</f>
        <v>T4 201801118129</v>
      </c>
      <c r="H1656" t="str">
        <f>"MEDICARE TAXES"</f>
        <v>MEDICARE TAXES</v>
      </c>
      <c r="I1656" s="2">
        <v>23066.080000000002</v>
      </c>
      <c r="J1656" t="str">
        <f t="shared" ref="J1656:J1687" si="49">"MEDICARE TAXES"</f>
        <v>MEDICARE TAXES</v>
      </c>
    </row>
    <row r="1657" spans="1:10" x14ac:dyDescent="0.3">
      <c r="A1657" t="str">
        <f>""</f>
        <v/>
      </c>
      <c r="B1657" t="str">
        <f>""</f>
        <v/>
      </c>
      <c r="G1657" t="str">
        <f>""</f>
        <v/>
      </c>
      <c r="H1657" t="str">
        <f>""</f>
        <v/>
      </c>
      <c r="J1657" t="str">
        <f t="shared" si="49"/>
        <v>MEDICARE TAXES</v>
      </c>
    </row>
    <row r="1658" spans="1:10" x14ac:dyDescent="0.3">
      <c r="A1658" t="str">
        <f>""</f>
        <v/>
      </c>
      <c r="B1658" t="str">
        <f>""</f>
        <v/>
      </c>
      <c r="G1658" t="str">
        <f>""</f>
        <v/>
      </c>
      <c r="H1658" t="str">
        <f>""</f>
        <v/>
      </c>
      <c r="J1658" t="str">
        <f t="shared" si="49"/>
        <v>MEDICARE TAXES</v>
      </c>
    </row>
    <row r="1659" spans="1:10" x14ac:dyDescent="0.3">
      <c r="A1659" t="str">
        <f>""</f>
        <v/>
      </c>
      <c r="B1659" t="str">
        <f>""</f>
        <v/>
      </c>
      <c r="G1659" t="str">
        <f>""</f>
        <v/>
      </c>
      <c r="H1659" t="str">
        <f>""</f>
        <v/>
      </c>
      <c r="J1659" t="str">
        <f t="shared" si="49"/>
        <v>MEDICARE TAXES</v>
      </c>
    </row>
    <row r="1660" spans="1:10" x14ac:dyDescent="0.3">
      <c r="A1660" t="str">
        <f>""</f>
        <v/>
      </c>
      <c r="B1660" t="str">
        <f>""</f>
        <v/>
      </c>
      <c r="G1660" t="str">
        <f>""</f>
        <v/>
      </c>
      <c r="H1660" t="str">
        <f>""</f>
        <v/>
      </c>
      <c r="J1660" t="str">
        <f t="shared" si="49"/>
        <v>MEDICARE TAXES</v>
      </c>
    </row>
    <row r="1661" spans="1:10" x14ac:dyDescent="0.3">
      <c r="A1661" t="str">
        <f>""</f>
        <v/>
      </c>
      <c r="B1661" t="str">
        <f>""</f>
        <v/>
      </c>
      <c r="G1661" t="str">
        <f>""</f>
        <v/>
      </c>
      <c r="H1661" t="str">
        <f>""</f>
        <v/>
      </c>
      <c r="J1661" t="str">
        <f t="shared" si="49"/>
        <v>MEDICARE TAXES</v>
      </c>
    </row>
    <row r="1662" spans="1:10" x14ac:dyDescent="0.3">
      <c r="A1662" t="str">
        <f>""</f>
        <v/>
      </c>
      <c r="B1662" t="str">
        <f>""</f>
        <v/>
      </c>
      <c r="G1662" t="str">
        <f>""</f>
        <v/>
      </c>
      <c r="H1662" t="str">
        <f>""</f>
        <v/>
      </c>
      <c r="J1662" t="str">
        <f t="shared" si="49"/>
        <v>MEDICARE TAXES</v>
      </c>
    </row>
    <row r="1663" spans="1:10" x14ac:dyDescent="0.3">
      <c r="A1663" t="str">
        <f>""</f>
        <v/>
      </c>
      <c r="B1663" t="str">
        <f>""</f>
        <v/>
      </c>
      <c r="G1663" t="str">
        <f>""</f>
        <v/>
      </c>
      <c r="H1663" t="str">
        <f>""</f>
        <v/>
      </c>
      <c r="J1663" t="str">
        <f t="shared" si="49"/>
        <v>MEDICARE TAXES</v>
      </c>
    </row>
    <row r="1664" spans="1:10" x14ac:dyDescent="0.3">
      <c r="A1664" t="str">
        <f>""</f>
        <v/>
      </c>
      <c r="B1664" t="str">
        <f>""</f>
        <v/>
      </c>
      <c r="G1664" t="str">
        <f>""</f>
        <v/>
      </c>
      <c r="H1664" t="str">
        <f>""</f>
        <v/>
      </c>
      <c r="J1664" t="str">
        <f t="shared" si="49"/>
        <v>MEDICARE TAXES</v>
      </c>
    </row>
    <row r="1665" spans="1:10" x14ac:dyDescent="0.3">
      <c r="A1665" t="str">
        <f>""</f>
        <v/>
      </c>
      <c r="B1665" t="str">
        <f>""</f>
        <v/>
      </c>
      <c r="G1665" t="str">
        <f>""</f>
        <v/>
      </c>
      <c r="H1665" t="str">
        <f>""</f>
        <v/>
      </c>
      <c r="J1665" t="str">
        <f t="shared" si="49"/>
        <v>MEDICARE TAXES</v>
      </c>
    </row>
    <row r="1666" spans="1:10" x14ac:dyDescent="0.3">
      <c r="A1666" t="str">
        <f>""</f>
        <v/>
      </c>
      <c r="B1666" t="str">
        <f>""</f>
        <v/>
      </c>
      <c r="G1666" t="str">
        <f>""</f>
        <v/>
      </c>
      <c r="H1666" t="str">
        <f>""</f>
        <v/>
      </c>
      <c r="J1666" t="str">
        <f t="shared" si="49"/>
        <v>MEDICARE TAXES</v>
      </c>
    </row>
    <row r="1667" spans="1:10" x14ac:dyDescent="0.3">
      <c r="A1667" t="str">
        <f>""</f>
        <v/>
      </c>
      <c r="B1667" t="str">
        <f>""</f>
        <v/>
      </c>
      <c r="G1667" t="str">
        <f>""</f>
        <v/>
      </c>
      <c r="H1667" t="str">
        <f>""</f>
        <v/>
      </c>
      <c r="J1667" t="str">
        <f t="shared" si="49"/>
        <v>MEDICARE TAXES</v>
      </c>
    </row>
    <row r="1668" spans="1:10" x14ac:dyDescent="0.3">
      <c r="A1668" t="str">
        <f>""</f>
        <v/>
      </c>
      <c r="B1668" t="str">
        <f>""</f>
        <v/>
      </c>
      <c r="G1668" t="str">
        <f>""</f>
        <v/>
      </c>
      <c r="H1668" t="str">
        <f>""</f>
        <v/>
      </c>
      <c r="J1668" t="str">
        <f t="shared" si="49"/>
        <v>MEDICARE TAXES</v>
      </c>
    </row>
    <row r="1669" spans="1:10" x14ac:dyDescent="0.3">
      <c r="A1669" t="str">
        <f>""</f>
        <v/>
      </c>
      <c r="B1669" t="str">
        <f>""</f>
        <v/>
      </c>
      <c r="G1669" t="str">
        <f>""</f>
        <v/>
      </c>
      <c r="H1669" t="str">
        <f>""</f>
        <v/>
      </c>
      <c r="J1669" t="str">
        <f t="shared" si="49"/>
        <v>MEDICARE TAXES</v>
      </c>
    </row>
    <row r="1670" spans="1:10" x14ac:dyDescent="0.3">
      <c r="A1670" t="str">
        <f>""</f>
        <v/>
      </c>
      <c r="B1670" t="str">
        <f>""</f>
        <v/>
      </c>
      <c r="G1670" t="str">
        <f>""</f>
        <v/>
      </c>
      <c r="H1670" t="str">
        <f>""</f>
        <v/>
      </c>
      <c r="J1670" t="str">
        <f t="shared" si="49"/>
        <v>MEDICARE TAXES</v>
      </c>
    </row>
    <row r="1671" spans="1:10" x14ac:dyDescent="0.3">
      <c r="A1671" t="str">
        <f>""</f>
        <v/>
      </c>
      <c r="B1671" t="str">
        <f>""</f>
        <v/>
      </c>
      <c r="G1671" t="str">
        <f>""</f>
        <v/>
      </c>
      <c r="H1671" t="str">
        <f>""</f>
        <v/>
      </c>
      <c r="J1671" t="str">
        <f t="shared" si="49"/>
        <v>MEDICARE TAXES</v>
      </c>
    </row>
    <row r="1672" spans="1:10" x14ac:dyDescent="0.3">
      <c r="A1672" t="str">
        <f>""</f>
        <v/>
      </c>
      <c r="B1672" t="str">
        <f>""</f>
        <v/>
      </c>
      <c r="G1672" t="str">
        <f>""</f>
        <v/>
      </c>
      <c r="H1672" t="str">
        <f>""</f>
        <v/>
      </c>
      <c r="J1672" t="str">
        <f t="shared" si="49"/>
        <v>MEDICARE TAXES</v>
      </c>
    </row>
    <row r="1673" spans="1:10" x14ac:dyDescent="0.3">
      <c r="A1673" t="str">
        <f>""</f>
        <v/>
      </c>
      <c r="B1673" t="str">
        <f>""</f>
        <v/>
      </c>
      <c r="G1673" t="str">
        <f>""</f>
        <v/>
      </c>
      <c r="H1673" t="str">
        <f>""</f>
        <v/>
      </c>
      <c r="J1673" t="str">
        <f t="shared" si="49"/>
        <v>MEDICARE TAXES</v>
      </c>
    </row>
    <row r="1674" spans="1:10" x14ac:dyDescent="0.3">
      <c r="A1674" t="str">
        <f>""</f>
        <v/>
      </c>
      <c r="B1674" t="str">
        <f>""</f>
        <v/>
      </c>
      <c r="G1674" t="str">
        <f>""</f>
        <v/>
      </c>
      <c r="H1674" t="str">
        <f>""</f>
        <v/>
      </c>
      <c r="J1674" t="str">
        <f t="shared" si="49"/>
        <v>MEDICARE TAXES</v>
      </c>
    </row>
    <row r="1675" spans="1:10" x14ac:dyDescent="0.3">
      <c r="A1675" t="str">
        <f>""</f>
        <v/>
      </c>
      <c r="B1675" t="str">
        <f>""</f>
        <v/>
      </c>
      <c r="G1675" t="str">
        <f>""</f>
        <v/>
      </c>
      <c r="H1675" t="str">
        <f>""</f>
        <v/>
      </c>
      <c r="J1675" t="str">
        <f t="shared" si="49"/>
        <v>MEDICARE TAXES</v>
      </c>
    </row>
    <row r="1676" spans="1:10" x14ac:dyDescent="0.3">
      <c r="A1676" t="str">
        <f>""</f>
        <v/>
      </c>
      <c r="B1676" t="str">
        <f>""</f>
        <v/>
      </c>
      <c r="G1676" t="str">
        <f>""</f>
        <v/>
      </c>
      <c r="H1676" t="str">
        <f>""</f>
        <v/>
      </c>
      <c r="J1676" t="str">
        <f t="shared" si="49"/>
        <v>MEDICARE TAXES</v>
      </c>
    </row>
    <row r="1677" spans="1:10" x14ac:dyDescent="0.3">
      <c r="A1677" t="str">
        <f>""</f>
        <v/>
      </c>
      <c r="B1677" t="str">
        <f>""</f>
        <v/>
      </c>
      <c r="G1677" t="str">
        <f>""</f>
        <v/>
      </c>
      <c r="H1677" t="str">
        <f>""</f>
        <v/>
      </c>
      <c r="J1677" t="str">
        <f t="shared" si="49"/>
        <v>MEDICARE TAXES</v>
      </c>
    </row>
    <row r="1678" spans="1:10" x14ac:dyDescent="0.3">
      <c r="A1678" t="str">
        <f>""</f>
        <v/>
      </c>
      <c r="B1678" t="str">
        <f>""</f>
        <v/>
      </c>
      <c r="G1678" t="str">
        <f>""</f>
        <v/>
      </c>
      <c r="H1678" t="str">
        <f>""</f>
        <v/>
      </c>
      <c r="J1678" t="str">
        <f t="shared" si="49"/>
        <v>MEDICARE TAXES</v>
      </c>
    </row>
    <row r="1679" spans="1:10" x14ac:dyDescent="0.3">
      <c r="A1679" t="str">
        <f>""</f>
        <v/>
      </c>
      <c r="B1679" t="str">
        <f>""</f>
        <v/>
      </c>
      <c r="G1679" t="str">
        <f>""</f>
        <v/>
      </c>
      <c r="H1679" t="str">
        <f>""</f>
        <v/>
      </c>
      <c r="J1679" t="str">
        <f t="shared" si="49"/>
        <v>MEDICARE TAXES</v>
      </c>
    </row>
    <row r="1680" spans="1:10" x14ac:dyDescent="0.3">
      <c r="A1680" t="str">
        <f>""</f>
        <v/>
      </c>
      <c r="B1680" t="str">
        <f>""</f>
        <v/>
      </c>
      <c r="G1680" t="str">
        <f>""</f>
        <v/>
      </c>
      <c r="H1680" t="str">
        <f>""</f>
        <v/>
      </c>
      <c r="J1680" t="str">
        <f t="shared" si="49"/>
        <v>MEDICARE TAXES</v>
      </c>
    </row>
    <row r="1681" spans="1:10" x14ac:dyDescent="0.3">
      <c r="A1681" t="str">
        <f>""</f>
        <v/>
      </c>
      <c r="B1681" t="str">
        <f>""</f>
        <v/>
      </c>
      <c r="G1681" t="str">
        <f>""</f>
        <v/>
      </c>
      <c r="H1681" t="str">
        <f>""</f>
        <v/>
      </c>
      <c r="J1681" t="str">
        <f t="shared" si="49"/>
        <v>MEDICARE TAXES</v>
      </c>
    </row>
    <row r="1682" spans="1:10" x14ac:dyDescent="0.3">
      <c r="A1682" t="str">
        <f>""</f>
        <v/>
      </c>
      <c r="B1682" t="str">
        <f>""</f>
        <v/>
      </c>
      <c r="G1682" t="str">
        <f>""</f>
        <v/>
      </c>
      <c r="H1682" t="str">
        <f>""</f>
        <v/>
      </c>
      <c r="J1682" t="str">
        <f t="shared" si="49"/>
        <v>MEDICARE TAXES</v>
      </c>
    </row>
    <row r="1683" spans="1:10" x14ac:dyDescent="0.3">
      <c r="A1683" t="str">
        <f>""</f>
        <v/>
      </c>
      <c r="B1683" t="str">
        <f>""</f>
        <v/>
      </c>
      <c r="G1683" t="str">
        <f>""</f>
        <v/>
      </c>
      <c r="H1683" t="str">
        <f>""</f>
        <v/>
      </c>
      <c r="J1683" t="str">
        <f t="shared" si="49"/>
        <v>MEDICARE TAXES</v>
      </c>
    </row>
    <row r="1684" spans="1:10" x14ac:dyDescent="0.3">
      <c r="A1684" t="str">
        <f>""</f>
        <v/>
      </c>
      <c r="B1684" t="str">
        <f>""</f>
        <v/>
      </c>
      <c r="G1684" t="str">
        <f>""</f>
        <v/>
      </c>
      <c r="H1684" t="str">
        <f>""</f>
        <v/>
      </c>
      <c r="J1684" t="str">
        <f t="shared" si="49"/>
        <v>MEDICARE TAXES</v>
      </c>
    </row>
    <row r="1685" spans="1:10" x14ac:dyDescent="0.3">
      <c r="A1685" t="str">
        <f>""</f>
        <v/>
      </c>
      <c r="B1685" t="str">
        <f>""</f>
        <v/>
      </c>
      <c r="G1685" t="str">
        <f>""</f>
        <v/>
      </c>
      <c r="H1685" t="str">
        <f>""</f>
        <v/>
      </c>
      <c r="J1685" t="str">
        <f t="shared" si="49"/>
        <v>MEDICARE TAXES</v>
      </c>
    </row>
    <row r="1686" spans="1:10" x14ac:dyDescent="0.3">
      <c r="A1686" t="str">
        <f>""</f>
        <v/>
      </c>
      <c r="B1686" t="str">
        <f>""</f>
        <v/>
      </c>
      <c r="G1686" t="str">
        <f>""</f>
        <v/>
      </c>
      <c r="H1686" t="str">
        <f>""</f>
        <v/>
      </c>
      <c r="J1686" t="str">
        <f t="shared" si="49"/>
        <v>MEDICARE TAXES</v>
      </c>
    </row>
    <row r="1687" spans="1:10" x14ac:dyDescent="0.3">
      <c r="A1687" t="str">
        <f>""</f>
        <v/>
      </c>
      <c r="B1687" t="str">
        <f>""</f>
        <v/>
      </c>
      <c r="G1687" t="str">
        <f>""</f>
        <v/>
      </c>
      <c r="H1687" t="str">
        <f>""</f>
        <v/>
      </c>
      <c r="J1687" t="str">
        <f t="shared" si="49"/>
        <v>MEDICARE TAXES</v>
      </c>
    </row>
    <row r="1688" spans="1:10" x14ac:dyDescent="0.3">
      <c r="A1688" t="str">
        <f>""</f>
        <v/>
      </c>
      <c r="B1688" t="str">
        <f>""</f>
        <v/>
      </c>
      <c r="G1688" t="str">
        <f>""</f>
        <v/>
      </c>
      <c r="H1688" t="str">
        <f>""</f>
        <v/>
      </c>
      <c r="J1688" t="str">
        <f t="shared" ref="J1688:J1711" si="50">"MEDICARE TAXES"</f>
        <v>MEDICARE TAXES</v>
      </c>
    </row>
    <row r="1689" spans="1:10" x14ac:dyDescent="0.3">
      <c r="A1689" t="str">
        <f>""</f>
        <v/>
      </c>
      <c r="B1689" t="str">
        <f>""</f>
        <v/>
      </c>
      <c r="G1689" t="str">
        <f>""</f>
        <v/>
      </c>
      <c r="H1689" t="str">
        <f>""</f>
        <v/>
      </c>
      <c r="J1689" t="str">
        <f t="shared" si="50"/>
        <v>MEDICARE TAXES</v>
      </c>
    </row>
    <row r="1690" spans="1:10" x14ac:dyDescent="0.3">
      <c r="A1690" t="str">
        <f>""</f>
        <v/>
      </c>
      <c r="B1690" t="str">
        <f>""</f>
        <v/>
      </c>
      <c r="G1690" t="str">
        <f>""</f>
        <v/>
      </c>
      <c r="H1690" t="str">
        <f>""</f>
        <v/>
      </c>
      <c r="J1690" t="str">
        <f t="shared" si="50"/>
        <v>MEDICARE TAXES</v>
      </c>
    </row>
    <row r="1691" spans="1:10" x14ac:dyDescent="0.3">
      <c r="A1691" t="str">
        <f>""</f>
        <v/>
      </c>
      <c r="B1691" t="str">
        <f>""</f>
        <v/>
      </c>
      <c r="G1691" t="str">
        <f>""</f>
        <v/>
      </c>
      <c r="H1691" t="str">
        <f>""</f>
        <v/>
      </c>
      <c r="J1691" t="str">
        <f t="shared" si="50"/>
        <v>MEDICARE TAXES</v>
      </c>
    </row>
    <row r="1692" spans="1:10" x14ac:dyDescent="0.3">
      <c r="A1692" t="str">
        <f>""</f>
        <v/>
      </c>
      <c r="B1692" t="str">
        <f>""</f>
        <v/>
      </c>
      <c r="G1692" t="str">
        <f>""</f>
        <v/>
      </c>
      <c r="H1692" t="str">
        <f>""</f>
        <v/>
      </c>
      <c r="J1692" t="str">
        <f t="shared" si="50"/>
        <v>MEDICARE TAXES</v>
      </c>
    </row>
    <row r="1693" spans="1:10" x14ac:dyDescent="0.3">
      <c r="A1693" t="str">
        <f>""</f>
        <v/>
      </c>
      <c r="B1693" t="str">
        <f>""</f>
        <v/>
      </c>
      <c r="G1693" t="str">
        <f>""</f>
        <v/>
      </c>
      <c r="H1693" t="str">
        <f>""</f>
        <v/>
      </c>
      <c r="J1693" t="str">
        <f t="shared" si="50"/>
        <v>MEDICARE TAXES</v>
      </c>
    </row>
    <row r="1694" spans="1:10" x14ac:dyDescent="0.3">
      <c r="A1694" t="str">
        <f>""</f>
        <v/>
      </c>
      <c r="B1694" t="str">
        <f>""</f>
        <v/>
      </c>
      <c r="G1694" t="str">
        <f>""</f>
        <v/>
      </c>
      <c r="H1694" t="str">
        <f>""</f>
        <v/>
      </c>
      <c r="J1694" t="str">
        <f t="shared" si="50"/>
        <v>MEDICARE TAXES</v>
      </c>
    </row>
    <row r="1695" spans="1:10" x14ac:dyDescent="0.3">
      <c r="A1695" t="str">
        <f>""</f>
        <v/>
      </c>
      <c r="B1695" t="str">
        <f>""</f>
        <v/>
      </c>
      <c r="G1695" t="str">
        <f>""</f>
        <v/>
      </c>
      <c r="H1695" t="str">
        <f>""</f>
        <v/>
      </c>
      <c r="J1695" t="str">
        <f t="shared" si="50"/>
        <v>MEDICARE TAXES</v>
      </c>
    </row>
    <row r="1696" spans="1:10" x14ac:dyDescent="0.3">
      <c r="A1696" t="str">
        <f>""</f>
        <v/>
      </c>
      <c r="B1696" t="str">
        <f>""</f>
        <v/>
      </c>
      <c r="G1696" t="str">
        <f>""</f>
        <v/>
      </c>
      <c r="H1696" t="str">
        <f>""</f>
        <v/>
      </c>
      <c r="J1696" t="str">
        <f t="shared" si="50"/>
        <v>MEDICARE TAXES</v>
      </c>
    </row>
    <row r="1697" spans="1:10" x14ac:dyDescent="0.3">
      <c r="A1697" t="str">
        <f>""</f>
        <v/>
      </c>
      <c r="B1697" t="str">
        <f>""</f>
        <v/>
      </c>
      <c r="G1697" t="str">
        <f>""</f>
        <v/>
      </c>
      <c r="H1697" t="str">
        <f>""</f>
        <v/>
      </c>
      <c r="J1697" t="str">
        <f t="shared" si="50"/>
        <v>MEDICARE TAXES</v>
      </c>
    </row>
    <row r="1698" spans="1:10" x14ac:dyDescent="0.3">
      <c r="A1698" t="str">
        <f>""</f>
        <v/>
      </c>
      <c r="B1698" t="str">
        <f>""</f>
        <v/>
      </c>
      <c r="G1698" t="str">
        <f>""</f>
        <v/>
      </c>
      <c r="H1698" t="str">
        <f>""</f>
        <v/>
      </c>
      <c r="J1698" t="str">
        <f t="shared" si="50"/>
        <v>MEDICARE TAXES</v>
      </c>
    </row>
    <row r="1699" spans="1:10" x14ac:dyDescent="0.3">
      <c r="A1699" t="str">
        <f>""</f>
        <v/>
      </c>
      <c r="B1699" t="str">
        <f>""</f>
        <v/>
      </c>
      <c r="G1699" t="str">
        <f>""</f>
        <v/>
      </c>
      <c r="H1699" t="str">
        <f>""</f>
        <v/>
      </c>
      <c r="J1699" t="str">
        <f t="shared" si="50"/>
        <v>MEDICARE TAXES</v>
      </c>
    </row>
    <row r="1700" spans="1:10" x14ac:dyDescent="0.3">
      <c r="A1700" t="str">
        <f>""</f>
        <v/>
      </c>
      <c r="B1700" t="str">
        <f>""</f>
        <v/>
      </c>
      <c r="G1700" t="str">
        <f>""</f>
        <v/>
      </c>
      <c r="H1700" t="str">
        <f>""</f>
        <v/>
      </c>
      <c r="J1700" t="str">
        <f t="shared" si="50"/>
        <v>MEDICARE TAXES</v>
      </c>
    </row>
    <row r="1701" spans="1:10" x14ac:dyDescent="0.3">
      <c r="A1701" t="str">
        <f>""</f>
        <v/>
      </c>
      <c r="B1701" t="str">
        <f>""</f>
        <v/>
      </c>
      <c r="G1701" t="str">
        <f>""</f>
        <v/>
      </c>
      <c r="H1701" t="str">
        <f>""</f>
        <v/>
      </c>
      <c r="J1701" t="str">
        <f t="shared" si="50"/>
        <v>MEDICARE TAXES</v>
      </c>
    </row>
    <row r="1702" spans="1:10" x14ac:dyDescent="0.3">
      <c r="A1702" t="str">
        <f>""</f>
        <v/>
      </c>
      <c r="B1702" t="str">
        <f>""</f>
        <v/>
      </c>
      <c r="G1702" t="str">
        <f>""</f>
        <v/>
      </c>
      <c r="H1702" t="str">
        <f>""</f>
        <v/>
      </c>
      <c r="J1702" t="str">
        <f t="shared" si="50"/>
        <v>MEDICARE TAXES</v>
      </c>
    </row>
    <row r="1703" spans="1:10" x14ac:dyDescent="0.3">
      <c r="A1703" t="str">
        <f>""</f>
        <v/>
      </c>
      <c r="B1703" t="str">
        <f>""</f>
        <v/>
      </c>
      <c r="G1703" t="str">
        <f>""</f>
        <v/>
      </c>
      <c r="H1703" t="str">
        <f>""</f>
        <v/>
      </c>
      <c r="J1703" t="str">
        <f t="shared" si="50"/>
        <v>MEDICARE TAXES</v>
      </c>
    </row>
    <row r="1704" spans="1:10" x14ac:dyDescent="0.3">
      <c r="A1704" t="str">
        <f>""</f>
        <v/>
      </c>
      <c r="B1704" t="str">
        <f>""</f>
        <v/>
      </c>
      <c r="G1704" t="str">
        <f>""</f>
        <v/>
      </c>
      <c r="H1704" t="str">
        <f>""</f>
        <v/>
      </c>
      <c r="J1704" t="str">
        <f t="shared" si="50"/>
        <v>MEDICARE TAXES</v>
      </c>
    </row>
    <row r="1705" spans="1:10" x14ac:dyDescent="0.3">
      <c r="A1705" t="str">
        <f>""</f>
        <v/>
      </c>
      <c r="B1705" t="str">
        <f>""</f>
        <v/>
      </c>
      <c r="G1705" t="str">
        <f>""</f>
        <v/>
      </c>
      <c r="H1705" t="str">
        <f>""</f>
        <v/>
      </c>
      <c r="J1705" t="str">
        <f t="shared" si="50"/>
        <v>MEDICARE TAXES</v>
      </c>
    </row>
    <row r="1706" spans="1:10" x14ac:dyDescent="0.3">
      <c r="A1706" t="str">
        <f>""</f>
        <v/>
      </c>
      <c r="B1706" t="str">
        <f>""</f>
        <v/>
      </c>
      <c r="G1706" t="str">
        <f>""</f>
        <v/>
      </c>
      <c r="H1706" t="str">
        <f>""</f>
        <v/>
      </c>
      <c r="J1706" t="str">
        <f t="shared" si="50"/>
        <v>MEDICARE TAXES</v>
      </c>
    </row>
    <row r="1707" spans="1:10" x14ac:dyDescent="0.3">
      <c r="A1707" t="str">
        <f>""</f>
        <v/>
      </c>
      <c r="B1707" t="str">
        <f>""</f>
        <v/>
      </c>
      <c r="G1707" t="str">
        <f>""</f>
        <v/>
      </c>
      <c r="H1707" t="str">
        <f>""</f>
        <v/>
      </c>
      <c r="J1707" t="str">
        <f t="shared" si="50"/>
        <v>MEDICARE TAXES</v>
      </c>
    </row>
    <row r="1708" spans="1:10" x14ac:dyDescent="0.3">
      <c r="A1708" t="str">
        <f>""</f>
        <v/>
      </c>
      <c r="B1708" t="str">
        <f>""</f>
        <v/>
      </c>
      <c r="G1708" t="str">
        <f>"T4 201801118130"</f>
        <v>T4 201801118130</v>
      </c>
      <c r="H1708" t="str">
        <f>"MEDICARE TAXES"</f>
        <v>MEDICARE TAXES</v>
      </c>
      <c r="I1708" s="2">
        <v>930.64</v>
      </c>
      <c r="J1708" t="str">
        <f t="shared" si="50"/>
        <v>MEDICARE TAXES</v>
      </c>
    </row>
    <row r="1709" spans="1:10" x14ac:dyDescent="0.3">
      <c r="A1709" t="str">
        <f>""</f>
        <v/>
      </c>
      <c r="B1709" t="str">
        <f>""</f>
        <v/>
      </c>
      <c r="G1709" t="str">
        <f>""</f>
        <v/>
      </c>
      <c r="H1709" t="str">
        <f>""</f>
        <v/>
      </c>
      <c r="J1709" t="str">
        <f t="shared" si="50"/>
        <v>MEDICARE TAXES</v>
      </c>
    </row>
    <row r="1710" spans="1:10" x14ac:dyDescent="0.3">
      <c r="A1710" t="str">
        <f>""</f>
        <v/>
      </c>
      <c r="B1710" t="str">
        <f>""</f>
        <v/>
      </c>
      <c r="G1710" t="str">
        <f>"T4 201801118131"</f>
        <v>T4 201801118131</v>
      </c>
      <c r="H1710" t="str">
        <f>"MEDICARE TAXES"</f>
        <v>MEDICARE TAXES</v>
      </c>
      <c r="I1710" s="2">
        <v>1299.3399999999999</v>
      </c>
      <c r="J1710" t="str">
        <f t="shared" si="50"/>
        <v>MEDICARE TAXES</v>
      </c>
    </row>
    <row r="1711" spans="1:10" x14ac:dyDescent="0.3">
      <c r="A1711" t="str">
        <f>""</f>
        <v/>
      </c>
      <c r="B1711" t="str">
        <f>""</f>
        <v/>
      </c>
      <c r="G1711" t="str">
        <f>""</f>
        <v/>
      </c>
      <c r="H1711" t="str">
        <f>""</f>
        <v/>
      </c>
      <c r="J1711" t="str">
        <f t="shared" si="50"/>
        <v>MEDICARE TAXES</v>
      </c>
    </row>
    <row r="1712" spans="1:10" x14ac:dyDescent="0.3">
      <c r="A1712" t="str">
        <f>"01"</f>
        <v>01</v>
      </c>
      <c r="B1712" t="str">
        <f>"IRSPY"</f>
        <v>IRSPY</v>
      </c>
      <c r="C1712" t="s">
        <v>401</v>
      </c>
      <c r="D1712">
        <v>0</v>
      </c>
      <c r="E1712" s="2">
        <v>206535.94</v>
      </c>
      <c r="F1712" s="1">
        <v>43126</v>
      </c>
      <c r="G1712" t="str">
        <f>"T1 201801248226"</f>
        <v>T1 201801248226</v>
      </c>
      <c r="H1712" t="str">
        <f>"FEDERAL WITHHOLDING"</f>
        <v>FEDERAL WITHHOLDING</v>
      </c>
      <c r="I1712" s="2">
        <v>2782.79</v>
      </c>
      <c r="J1712" t="str">
        <f>"FEDERAL WITHHOLDING"</f>
        <v>FEDERAL WITHHOLDING</v>
      </c>
    </row>
    <row r="1713" spans="1:10" x14ac:dyDescent="0.3">
      <c r="A1713" t="str">
        <f>""</f>
        <v/>
      </c>
      <c r="B1713" t="str">
        <f>""</f>
        <v/>
      </c>
      <c r="G1713" t="str">
        <f>"T1 201801248227"</f>
        <v>T1 201801248227</v>
      </c>
      <c r="H1713" t="str">
        <f>"FEDERAL WITHHOLDING"</f>
        <v>FEDERAL WITHHOLDING</v>
      </c>
      <c r="I1713" s="2">
        <v>3597.38</v>
      </c>
      <c r="J1713" t="str">
        <f>"FEDERAL WITHHOLDING"</f>
        <v>FEDERAL WITHHOLDING</v>
      </c>
    </row>
    <row r="1714" spans="1:10" x14ac:dyDescent="0.3">
      <c r="A1714" t="str">
        <f>""</f>
        <v/>
      </c>
      <c r="B1714" t="str">
        <f>""</f>
        <v/>
      </c>
      <c r="G1714" t="str">
        <f>"T1 201801248228"</f>
        <v>T1 201801248228</v>
      </c>
      <c r="H1714" t="str">
        <f>"FEDERAL WITHHOLDING"</f>
        <v>FEDERAL WITHHOLDING</v>
      </c>
      <c r="I1714" s="2">
        <v>66028.929999999993</v>
      </c>
      <c r="J1714" t="str">
        <f>"FEDERAL WITHHOLDING"</f>
        <v>FEDERAL WITHHOLDING</v>
      </c>
    </row>
    <row r="1715" spans="1:10" x14ac:dyDescent="0.3">
      <c r="A1715" t="str">
        <f>""</f>
        <v/>
      </c>
      <c r="B1715" t="str">
        <f>""</f>
        <v/>
      </c>
      <c r="G1715" t="str">
        <f>"T3 201801248226"</f>
        <v>T3 201801248226</v>
      </c>
      <c r="H1715" t="str">
        <f>"SOCIAL SECURITY TAXES"</f>
        <v>SOCIAL SECURITY TAXES</v>
      </c>
      <c r="I1715" s="2">
        <v>3972.42</v>
      </c>
      <c r="J1715" t="str">
        <f t="shared" ref="J1715:J1746" si="51">"SOCIAL SECURITY TAXES"</f>
        <v>SOCIAL SECURITY TAXES</v>
      </c>
    </row>
    <row r="1716" spans="1:10" x14ac:dyDescent="0.3">
      <c r="A1716" t="str">
        <f>""</f>
        <v/>
      </c>
      <c r="B1716" t="str">
        <f>""</f>
        <v/>
      </c>
      <c r="G1716" t="str">
        <f>""</f>
        <v/>
      </c>
      <c r="H1716" t="str">
        <f>""</f>
        <v/>
      </c>
      <c r="J1716" t="str">
        <f t="shared" si="51"/>
        <v>SOCIAL SECURITY TAXES</v>
      </c>
    </row>
    <row r="1717" spans="1:10" x14ac:dyDescent="0.3">
      <c r="A1717" t="str">
        <f>""</f>
        <v/>
      </c>
      <c r="B1717" t="str">
        <f>""</f>
        <v/>
      </c>
      <c r="G1717" t="str">
        <f>"T3 201801248227"</f>
        <v>T3 201801248227</v>
      </c>
      <c r="H1717" t="str">
        <f>"SOCIAL SECURITY TAXES"</f>
        <v>SOCIAL SECURITY TAXES</v>
      </c>
      <c r="I1717" s="2">
        <v>5468.18</v>
      </c>
      <c r="J1717" t="str">
        <f t="shared" si="51"/>
        <v>SOCIAL SECURITY TAXES</v>
      </c>
    </row>
    <row r="1718" spans="1:10" x14ac:dyDescent="0.3">
      <c r="A1718" t="str">
        <f>""</f>
        <v/>
      </c>
      <c r="B1718" t="str">
        <f>""</f>
        <v/>
      </c>
      <c r="G1718" t="str">
        <f>""</f>
        <v/>
      </c>
      <c r="H1718" t="str">
        <f>""</f>
        <v/>
      </c>
      <c r="J1718" t="str">
        <f t="shared" si="51"/>
        <v>SOCIAL SECURITY TAXES</v>
      </c>
    </row>
    <row r="1719" spans="1:10" x14ac:dyDescent="0.3">
      <c r="A1719" t="str">
        <f>""</f>
        <v/>
      </c>
      <c r="B1719" t="str">
        <f>""</f>
        <v/>
      </c>
      <c r="G1719" t="str">
        <f>"T3 201801248228"</f>
        <v>T3 201801248228</v>
      </c>
      <c r="H1719" t="str">
        <f>"SOCIAL SECURITY TAXES"</f>
        <v>SOCIAL SECURITY TAXES</v>
      </c>
      <c r="I1719" s="2">
        <v>99263.48</v>
      </c>
      <c r="J1719" t="str">
        <f t="shared" si="51"/>
        <v>SOCIAL SECURITY TAXES</v>
      </c>
    </row>
    <row r="1720" spans="1:10" x14ac:dyDescent="0.3">
      <c r="A1720" t="str">
        <f>""</f>
        <v/>
      </c>
      <c r="B1720" t="str">
        <f>""</f>
        <v/>
      </c>
      <c r="G1720" t="str">
        <f>""</f>
        <v/>
      </c>
      <c r="H1720" t="str">
        <f>""</f>
        <v/>
      </c>
      <c r="J1720" t="str">
        <f t="shared" si="51"/>
        <v>SOCIAL SECURITY TAXES</v>
      </c>
    </row>
    <row r="1721" spans="1:10" x14ac:dyDescent="0.3">
      <c r="A1721" t="str">
        <f>""</f>
        <v/>
      </c>
      <c r="B1721" t="str">
        <f>""</f>
        <v/>
      </c>
      <c r="G1721" t="str">
        <f>""</f>
        <v/>
      </c>
      <c r="H1721" t="str">
        <f>""</f>
        <v/>
      </c>
      <c r="J1721" t="str">
        <f t="shared" si="51"/>
        <v>SOCIAL SECURITY TAXES</v>
      </c>
    </row>
    <row r="1722" spans="1:10" x14ac:dyDescent="0.3">
      <c r="A1722" t="str">
        <f>""</f>
        <v/>
      </c>
      <c r="B1722" t="str">
        <f>""</f>
        <v/>
      </c>
      <c r="G1722" t="str">
        <f>""</f>
        <v/>
      </c>
      <c r="H1722" t="str">
        <f>""</f>
        <v/>
      </c>
      <c r="J1722" t="str">
        <f t="shared" si="51"/>
        <v>SOCIAL SECURITY TAXES</v>
      </c>
    </row>
    <row r="1723" spans="1:10" x14ac:dyDescent="0.3">
      <c r="A1723" t="str">
        <f>""</f>
        <v/>
      </c>
      <c r="B1723" t="str">
        <f>""</f>
        <v/>
      </c>
      <c r="G1723" t="str">
        <f>""</f>
        <v/>
      </c>
      <c r="H1723" t="str">
        <f>""</f>
        <v/>
      </c>
      <c r="J1723" t="str">
        <f t="shared" si="51"/>
        <v>SOCIAL SECURITY TAXES</v>
      </c>
    </row>
    <row r="1724" spans="1:10" x14ac:dyDescent="0.3">
      <c r="A1724" t="str">
        <f>""</f>
        <v/>
      </c>
      <c r="B1724" t="str">
        <f>""</f>
        <v/>
      </c>
      <c r="G1724" t="str">
        <f>""</f>
        <v/>
      </c>
      <c r="H1724" t="str">
        <f>""</f>
        <v/>
      </c>
      <c r="J1724" t="str">
        <f t="shared" si="51"/>
        <v>SOCIAL SECURITY TAXES</v>
      </c>
    </row>
    <row r="1725" spans="1:10" x14ac:dyDescent="0.3">
      <c r="A1725" t="str">
        <f>""</f>
        <v/>
      </c>
      <c r="B1725" t="str">
        <f>""</f>
        <v/>
      </c>
      <c r="G1725" t="str">
        <f>""</f>
        <v/>
      </c>
      <c r="H1725" t="str">
        <f>""</f>
        <v/>
      </c>
      <c r="J1725" t="str">
        <f t="shared" si="51"/>
        <v>SOCIAL SECURITY TAXES</v>
      </c>
    </row>
    <row r="1726" spans="1:10" x14ac:dyDescent="0.3">
      <c r="A1726" t="str">
        <f>""</f>
        <v/>
      </c>
      <c r="B1726" t="str">
        <f>""</f>
        <v/>
      </c>
      <c r="G1726" t="str">
        <f>""</f>
        <v/>
      </c>
      <c r="H1726" t="str">
        <f>""</f>
        <v/>
      </c>
      <c r="J1726" t="str">
        <f t="shared" si="51"/>
        <v>SOCIAL SECURITY TAXES</v>
      </c>
    </row>
    <row r="1727" spans="1:10" x14ac:dyDescent="0.3">
      <c r="A1727" t="str">
        <f>""</f>
        <v/>
      </c>
      <c r="B1727" t="str">
        <f>""</f>
        <v/>
      </c>
      <c r="G1727" t="str">
        <f>""</f>
        <v/>
      </c>
      <c r="H1727" t="str">
        <f>""</f>
        <v/>
      </c>
      <c r="J1727" t="str">
        <f t="shared" si="51"/>
        <v>SOCIAL SECURITY TAXES</v>
      </c>
    </row>
    <row r="1728" spans="1:10" x14ac:dyDescent="0.3">
      <c r="A1728" t="str">
        <f>""</f>
        <v/>
      </c>
      <c r="B1728" t="str">
        <f>""</f>
        <v/>
      </c>
      <c r="G1728" t="str">
        <f>""</f>
        <v/>
      </c>
      <c r="H1728" t="str">
        <f>""</f>
        <v/>
      </c>
      <c r="J1728" t="str">
        <f t="shared" si="51"/>
        <v>SOCIAL SECURITY TAXES</v>
      </c>
    </row>
    <row r="1729" spans="1:10" x14ac:dyDescent="0.3">
      <c r="A1729" t="str">
        <f>""</f>
        <v/>
      </c>
      <c r="B1729" t="str">
        <f>""</f>
        <v/>
      </c>
      <c r="G1729" t="str">
        <f>""</f>
        <v/>
      </c>
      <c r="H1729" t="str">
        <f>""</f>
        <v/>
      </c>
      <c r="J1729" t="str">
        <f t="shared" si="51"/>
        <v>SOCIAL SECURITY TAXES</v>
      </c>
    </row>
    <row r="1730" spans="1:10" x14ac:dyDescent="0.3">
      <c r="A1730" t="str">
        <f>""</f>
        <v/>
      </c>
      <c r="B1730" t="str">
        <f>""</f>
        <v/>
      </c>
      <c r="G1730" t="str">
        <f>""</f>
        <v/>
      </c>
      <c r="H1730" t="str">
        <f>""</f>
        <v/>
      </c>
      <c r="J1730" t="str">
        <f t="shared" si="51"/>
        <v>SOCIAL SECURITY TAXES</v>
      </c>
    </row>
    <row r="1731" spans="1:10" x14ac:dyDescent="0.3">
      <c r="A1731" t="str">
        <f>""</f>
        <v/>
      </c>
      <c r="B1731" t="str">
        <f>""</f>
        <v/>
      </c>
      <c r="G1731" t="str">
        <f>""</f>
        <v/>
      </c>
      <c r="H1731" t="str">
        <f>""</f>
        <v/>
      </c>
      <c r="J1731" t="str">
        <f t="shared" si="51"/>
        <v>SOCIAL SECURITY TAXES</v>
      </c>
    </row>
    <row r="1732" spans="1:10" x14ac:dyDescent="0.3">
      <c r="A1732" t="str">
        <f>""</f>
        <v/>
      </c>
      <c r="B1732" t="str">
        <f>""</f>
        <v/>
      </c>
      <c r="G1732" t="str">
        <f>""</f>
        <v/>
      </c>
      <c r="H1732" t="str">
        <f>""</f>
        <v/>
      </c>
      <c r="J1732" t="str">
        <f t="shared" si="51"/>
        <v>SOCIAL SECURITY TAXES</v>
      </c>
    </row>
    <row r="1733" spans="1:10" x14ac:dyDescent="0.3">
      <c r="A1733" t="str">
        <f>""</f>
        <v/>
      </c>
      <c r="B1733" t="str">
        <f>""</f>
        <v/>
      </c>
      <c r="G1733" t="str">
        <f>""</f>
        <v/>
      </c>
      <c r="H1733" t="str">
        <f>""</f>
        <v/>
      </c>
      <c r="J1733" t="str">
        <f t="shared" si="51"/>
        <v>SOCIAL SECURITY TAXES</v>
      </c>
    </row>
    <row r="1734" spans="1:10" x14ac:dyDescent="0.3">
      <c r="A1734" t="str">
        <f>""</f>
        <v/>
      </c>
      <c r="B1734" t="str">
        <f>""</f>
        <v/>
      </c>
      <c r="G1734" t="str">
        <f>""</f>
        <v/>
      </c>
      <c r="H1734" t="str">
        <f>""</f>
        <v/>
      </c>
      <c r="J1734" t="str">
        <f t="shared" si="51"/>
        <v>SOCIAL SECURITY TAXES</v>
      </c>
    </row>
    <row r="1735" spans="1:10" x14ac:dyDescent="0.3">
      <c r="A1735" t="str">
        <f>""</f>
        <v/>
      </c>
      <c r="B1735" t="str">
        <f>""</f>
        <v/>
      </c>
      <c r="G1735" t="str">
        <f>""</f>
        <v/>
      </c>
      <c r="H1735" t="str">
        <f>""</f>
        <v/>
      </c>
      <c r="J1735" t="str">
        <f t="shared" si="51"/>
        <v>SOCIAL SECURITY TAXES</v>
      </c>
    </row>
    <row r="1736" spans="1:10" x14ac:dyDescent="0.3">
      <c r="A1736" t="str">
        <f>""</f>
        <v/>
      </c>
      <c r="B1736" t="str">
        <f>""</f>
        <v/>
      </c>
      <c r="G1736" t="str">
        <f>""</f>
        <v/>
      </c>
      <c r="H1736" t="str">
        <f>""</f>
        <v/>
      </c>
      <c r="J1736" t="str">
        <f t="shared" si="51"/>
        <v>SOCIAL SECURITY TAXES</v>
      </c>
    </row>
    <row r="1737" spans="1:10" x14ac:dyDescent="0.3">
      <c r="A1737" t="str">
        <f>""</f>
        <v/>
      </c>
      <c r="B1737" t="str">
        <f>""</f>
        <v/>
      </c>
      <c r="G1737" t="str">
        <f>""</f>
        <v/>
      </c>
      <c r="H1737" t="str">
        <f>""</f>
        <v/>
      </c>
      <c r="J1737" t="str">
        <f t="shared" si="51"/>
        <v>SOCIAL SECURITY TAXES</v>
      </c>
    </row>
    <row r="1738" spans="1:10" x14ac:dyDescent="0.3">
      <c r="A1738" t="str">
        <f>""</f>
        <v/>
      </c>
      <c r="B1738" t="str">
        <f>""</f>
        <v/>
      </c>
      <c r="G1738" t="str">
        <f>""</f>
        <v/>
      </c>
      <c r="H1738" t="str">
        <f>""</f>
        <v/>
      </c>
      <c r="J1738" t="str">
        <f t="shared" si="51"/>
        <v>SOCIAL SECURITY TAXES</v>
      </c>
    </row>
    <row r="1739" spans="1:10" x14ac:dyDescent="0.3">
      <c r="A1739" t="str">
        <f>""</f>
        <v/>
      </c>
      <c r="B1739" t="str">
        <f>""</f>
        <v/>
      </c>
      <c r="G1739" t="str">
        <f>""</f>
        <v/>
      </c>
      <c r="H1739" t="str">
        <f>""</f>
        <v/>
      </c>
      <c r="J1739" t="str">
        <f t="shared" si="51"/>
        <v>SOCIAL SECURITY TAXES</v>
      </c>
    </row>
    <row r="1740" spans="1:10" x14ac:dyDescent="0.3">
      <c r="A1740" t="str">
        <f>""</f>
        <v/>
      </c>
      <c r="B1740" t="str">
        <f>""</f>
        <v/>
      </c>
      <c r="G1740" t="str">
        <f>""</f>
        <v/>
      </c>
      <c r="H1740" t="str">
        <f>""</f>
        <v/>
      </c>
      <c r="J1740" t="str">
        <f t="shared" si="51"/>
        <v>SOCIAL SECURITY TAXES</v>
      </c>
    </row>
    <row r="1741" spans="1:10" x14ac:dyDescent="0.3">
      <c r="A1741" t="str">
        <f>""</f>
        <v/>
      </c>
      <c r="B1741" t="str">
        <f>""</f>
        <v/>
      </c>
      <c r="G1741" t="str">
        <f>""</f>
        <v/>
      </c>
      <c r="H1741" t="str">
        <f>""</f>
        <v/>
      </c>
      <c r="J1741" t="str">
        <f t="shared" si="51"/>
        <v>SOCIAL SECURITY TAXES</v>
      </c>
    </row>
    <row r="1742" spans="1:10" x14ac:dyDescent="0.3">
      <c r="A1742" t="str">
        <f>""</f>
        <v/>
      </c>
      <c r="B1742" t="str">
        <f>""</f>
        <v/>
      </c>
      <c r="G1742" t="str">
        <f>""</f>
        <v/>
      </c>
      <c r="H1742" t="str">
        <f>""</f>
        <v/>
      </c>
      <c r="J1742" t="str">
        <f t="shared" si="51"/>
        <v>SOCIAL SECURITY TAXES</v>
      </c>
    </row>
    <row r="1743" spans="1:10" x14ac:dyDescent="0.3">
      <c r="A1743" t="str">
        <f>""</f>
        <v/>
      </c>
      <c r="B1743" t="str">
        <f>""</f>
        <v/>
      </c>
      <c r="G1743" t="str">
        <f>""</f>
        <v/>
      </c>
      <c r="H1743" t="str">
        <f>""</f>
        <v/>
      </c>
      <c r="J1743" t="str">
        <f t="shared" si="51"/>
        <v>SOCIAL SECURITY TAXES</v>
      </c>
    </row>
    <row r="1744" spans="1:10" x14ac:dyDescent="0.3">
      <c r="A1744" t="str">
        <f>""</f>
        <v/>
      </c>
      <c r="B1744" t="str">
        <f>""</f>
        <v/>
      </c>
      <c r="G1744" t="str">
        <f>""</f>
        <v/>
      </c>
      <c r="H1744" t="str">
        <f>""</f>
        <v/>
      </c>
      <c r="J1744" t="str">
        <f t="shared" si="51"/>
        <v>SOCIAL SECURITY TAXES</v>
      </c>
    </row>
    <row r="1745" spans="1:10" x14ac:dyDescent="0.3">
      <c r="A1745" t="str">
        <f>""</f>
        <v/>
      </c>
      <c r="B1745" t="str">
        <f>""</f>
        <v/>
      </c>
      <c r="G1745" t="str">
        <f>""</f>
        <v/>
      </c>
      <c r="H1745" t="str">
        <f>""</f>
        <v/>
      </c>
      <c r="J1745" t="str">
        <f t="shared" si="51"/>
        <v>SOCIAL SECURITY TAXES</v>
      </c>
    </row>
    <row r="1746" spans="1:10" x14ac:dyDescent="0.3">
      <c r="A1746" t="str">
        <f>""</f>
        <v/>
      </c>
      <c r="B1746" t="str">
        <f>""</f>
        <v/>
      </c>
      <c r="G1746" t="str">
        <f>""</f>
        <v/>
      </c>
      <c r="H1746" t="str">
        <f>""</f>
        <v/>
      </c>
      <c r="J1746" t="str">
        <f t="shared" si="51"/>
        <v>SOCIAL SECURITY TAXES</v>
      </c>
    </row>
    <row r="1747" spans="1:10" x14ac:dyDescent="0.3">
      <c r="A1747" t="str">
        <f>""</f>
        <v/>
      </c>
      <c r="B1747" t="str">
        <f>""</f>
        <v/>
      </c>
      <c r="G1747" t="str">
        <f>""</f>
        <v/>
      </c>
      <c r="H1747" t="str">
        <f>""</f>
        <v/>
      </c>
      <c r="J1747" t="str">
        <f t="shared" ref="J1747:J1770" si="52">"SOCIAL SECURITY TAXES"</f>
        <v>SOCIAL SECURITY TAXES</v>
      </c>
    </row>
    <row r="1748" spans="1:10" x14ac:dyDescent="0.3">
      <c r="A1748" t="str">
        <f>""</f>
        <v/>
      </c>
      <c r="B1748" t="str">
        <f>""</f>
        <v/>
      </c>
      <c r="G1748" t="str">
        <f>""</f>
        <v/>
      </c>
      <c r="H1748" t="str">
        <f>""</f>
        <v/>
      </c>
      <c r="J1748" t="str">
        <f t="shared" si="52"/>
        <v>SOCIAL SECURITY TAXES</v>
      </c>
    </row>
    <row r="1749" spans="1:10" x14ac:dyDescent="0.3">
      <c r="A1749" t="str">
        <f>""</f>
        <v/>
      </c>
      <c r="B1749" t="str">
        <f>""</f>
        <v/>
      </c>
      <c r="G1749" t="str">
        <f>""</f>
        <v/>
      </c>
      <c r="H1749" t="str">
        <f>""</f>
        <v/>
      </c>
      <c r="J1749" t="str">
        <f t="shared" si="52"/>
        <v>SOCIAL SECURITY TAXES</v>
      </c>
    </row>
    <row r="1750" spans="1:10" x14ac:dyDescent="0.3">
      <c r="A1750" t="str">
        <f>""</f>
        <v/>
      </c>
      <c r="B1750" t="str">
        <f>""</f>
        <v/>
      </c>
      <c r="G1750" t="str">
        <f>""</f>
        <v/>
      </c>
      <c r="H1750" t="str">
        <f>""</f>
        <v/>
      </c>
      <c r="J1750" t="str">
        <f t="shared" si="52"/>
        <v>SOCIAL SECURITY TAXES</v>
      </c>
    </row>
    <row r="1751" spans="1:10" x14ac:dyDescent="0.3">
      <c r="A1751" t="str">
        <f>""</f>
        <v/>
      </c>
      <c r="B1751" t="str">
        <f>""</f>
        <v/>
      </c>
      <c r="G1751" t="str">
        <f>""</f>
        <v/>
      </c>
      <c r="H1751" t="str">
        <f>""</f>
        <v/>
      </c>
      <c r="J1751" t="str">
        <f t="shared" si="52"/>
        <v>SOCIAL SECURITY TAXES</v>
      </c>
    </row>
    <row r="1752" spans="1:10" x14ac:dyDescent="0.3">
      <c r="A1752" t="str">
        <f>""</f>
        <v/>
      </c>
      <c r="B1752" t="str">
        <f>""</f>
        <v/>
      </c>
      <c r="G1752" t="str">
        <f>""</f>
        <v/>
      </c>
      <c r="H1752" t="str">
        <f>""</f>
        <v/>
      </c>
      <c r="J1752" t="str">
        <f t="shared" si="52"/>
        <v>SOCIAL SECURITY TAXES</v>
      </c>
    </row>
    <row r="1753" spans="1:10" x14ac:dyDescent="0.3">
      <c r="A1753" t="str">
        <f>""</f>
        <v/>
      </c>
      <c r="B1753" t="str">
        <f>""</f>
        <v/>
      </c>
      <c r="G1753" t="str">
        <f>""</f>
        <v/>
      </c>
      <c r="H1753" t="str">
        <f>""</f>
        <v/>
      </c>
      <c r="J1753" t="str">
        <f t="shared" si="52"/>
        <v>SOCIAL SECURITY TAXES</v>
      </c>
    </row>
    <row r="1754" spans="1:10" x14ac:dyDescent="0.3">
      <c r="A1754" t="str">
        <f>""</f>
        <v/>
      </c>
      <c r="B1754" t="str">
        <f>""</f>
        <v/>
      </c>
      <c r="G1754" t="str">
        <f>""</f>
        <v/>
      </c>
      <c r="H1754" t="str">
        <f>""</f>
        <v/>
      </c>
      <c r="J1754" t="str">
        <f t="shared" si="52"/>
        <v>SOCIAL SECURITY TAXES</v>
      </c>
    </row>
    <row r="1755" spans="1:10" x14ac:dyDescent="0.3">
      <c r="A1755" t="str">
        <f>""</f>
        <v/>
      </c>
      <c r="B1755" t="str">
        <f>""</f>
        <v/>
      </c>
      <c r="G1755" t="str">
        <f>""</f>
        <v/>
      </c>
      <c r="H1755" t="str">
        <f>""</f>
        <v/>
      </c>
      <c r="J1755" t="str">
        <f t="shared" si="52"/>
        <v>SOCIAL SECURITY TAXES</v>
      </c>
    </row>
    <row r="1756" spans="1:10" x14ac:dyDescent="0.3">
      <c r="A1756" t="str">
        <f>""</f>
        <v/>
      </c>
      <c r="B1756" t="str">
        <f>""</f>
        <v/>
      </c>
      <c r="G1756" t="str">
        <f>""</f>
        <v/>
      </c>
      <c r="H1756" t="str">
        <f>""</f>
        <v/>
      </c>
      <c r="J1756" t="str">
        <f t="shared" si="52"/>
        <v>SOCIAL SECURITY TAXES</v>
      </c>
    </row>
    <row r="1757" spans="1:10" x14ac:dyDescent="0.3">
      <c r="A1757" t="str">
        <f>""</f>
        <v/>
      </c>
      <c r="B1757" t="str">
        <f>""</f>
        <v/>
      </c>
      <c r="G1757" t="str">
        <f>""</f>
        <v/>
      </c>
      <c r="H1757" t="str">
        <f>""</f>
        <v/>
      </c>
      <c r="J1757" t="str">
        <f t="shared" si="52"/>
        <v>SOCIAL SECURITY TAXES</v>
      </c>
    </row>
    <row r="1758" spans="1:10" x14ac:dyDescent="0.3">
      <c r="A1758" t="str">
        <f>""</f>
        <v/>
      </c>
      <c r="B1758" t="str">
        <f>""</f>
        <v/>
      </c>
      <c r="G1758" t="str">
        <f>""</f>
        <v/>
      </c>
      <c r="H1758" t="str">
        <f>""</f>
        <v/>
      </c>
      <c r="J1758" t="str">
        <f t="shared" si="52"/>
        <v>SOCIAL SECURITY TAXES</v>
      </c>
    </row>
    <row r="1759" spans="1:10" x14ac:dyDescent="0.3">
      <c r="A1759" t="str">
        <f>""</f>
        <v/>
      </c>
      <c r="B1759" t="str">
        <f>""</f>
        <v/>
      </c>
      <c r="G1759" t="str">
        <f>""</f>
        <v/>
      </c>
      <c r="H1759" t="str">
        <f>""</f>
        <v/>
      </c>
      <c r="J1759" t="str">
        <f t="shared" si="52"/>
        <v>SOCIAL SECURITY TAXES</v>
      </c>
    </row>
    <row r="1760" spans="1:10" x14ac:dyDescent="0.3">
      <c r="A1760" t="str">
        <f>""</f>
        <v/>
      </c>
      <c r="B1760" t="str">
        <f>""</f>
        <v/>
      </c>
      <c r="G1760" t="str">
        <f>""</f>
        <v/>
      </c>
      <c r="H1760" t="str">
        <f>""</f>
        <v/>
      </c>
      <c r="J1760" t="str">
        <f t="shared" si="52"/>
        <v>SOCIAL SECURITY TAXES</v>
      </c>
    </row>
    <row r="1761" spans="1:10" x14ac:dyDescent="0.3">
      <c r="A1761" t="str">
        <f>""</f>
        <v/>
      </c>
      <c r="B1761" t="str">
        <f>""</f>
        <v/>
      </c>
      <c r="G1761" t="str">
        <f>""</f>
        <v/>
      </c>
      <c r="H1761" t="str">
        <f>""</f>
        <v/>
      </c>
      <c r="J1761" t="str">
        <f t="shared" si="52"/>
        <v>SOCIAL SECURITY TAXES</v>
      </c>
    </row>
    <row r="1762" spans="1:10" x14ac:dyDescent="0.3">
      <c r="A1762" t="str">
        <f>""</f>
        <v/>
      </c>
      <c r="B1762" t="str">
        <f>""</f>
        <v/>
      </c>
      <c r="G1762" t="str">
        <f>""</f>
        <v/>
      </c>
      <c r="H1762" t="str">
        <f>""</f>
        <v/>
      </c>
      <c r="J1762" t="str">
        <f t="shared" si="52"/>
        <v>SOCIAL SECURITY TAXES</v>
      </c>
    </row>
    <row r="1763" spans="1:10" x14ac:dyDescent="0.3">
      <c r="A1763" t="str">
        <f>""</f>
        <v/>
      </c>
      <c r="B1763" t="str">
        <f>""</f>
        <v/>
      </c>
      <c r="G1763" t="str">
        <f>""</f>
        <v/>
      </c>
      <c r="H1763" t="str">
        <f>""</f>
        <v/>
      </c>
      <c r="J1763" t="str">
        <f t="shared" si="52"/>
        <v>SOCIAL SECURITY TAXES</v>
      </c>
    </row>
    <row r="1764" spans="1:10" x14ac:dyDescent="0.3">
      <c r="A1764" t="str">
        <f>""</f>
        <v/>
      </c>
      <c r="B1764" t="str">
        <f>""</f>
        <v/>
      </c>
      <c r="G1764" t="str">
        <f>""</f>
        <v/>
      </c>
      <c r="H1764" t="str">
        <f>""</f>
        <v/>
      </c>
      <c r="J1764" t="str">
        <f t="shared" si="52"/>
        <v>SOCIAL SECURITY TAXES</v>
      </c>
    </row>
    <row r="1765" spans="1:10" x14ac:dyDescent="0.3">
      <c r="A1765" t="str">
        <f>""</f>
        <v/>
      </c>
      <c r="B1765" t="str">
        <f>""</f>
        <v/>
      </c>
      <c r="G1765" t="str">
        <f>""</f>
        <v/>
      </c>
      <c r="H1765" t="str">
        <f>""</f>
        <v/>
      </c>
      <c r="J1765" t="str">
        <f t="shared" si="52"/>
        <v>SOCIAL SECURITY TAXES</v>
      </c>
    </row>
    <row r="1766" spans="1:10" x14ac:dyDescent="0.3">
      <c r="A1766" t="str">
        <f>""</f>
        <v/>
      </c>
      <c r="B1766" t="str">
        <f>""</f>
        <v/>
      </c>
      <c r="G1766" t="str">
        <f>""</f>
        <v/>
      </c>
      <c r="H1766" t="str">
        <f>""</f>
        <v/>
      </c>
      <c r="J1766" t="str">
        <f t="shared" si="52"/>
        <v>SOCIAL SECURITY TAXES</v>
      </c>
    </row>
    <row r="1767" spans="1:10" x14ac:dyDescent="0.3">
      <c r="A1767" t="str">
        <f>""</f>
        <v/>
      </c>
      <c r="B1767" t="str">
        <f>""</f>
        <v/>
      </c>
      <c r="G1767" t="str">
        <f>""</f>
        <v/>
      </c>
      <c r="H1767" t="str">
        <f>""</f>
        <v/>
      </c>
      <c r="J1767" t="str">
        <f t="shared" si="52"/>
        <v>SOCIAL SECURITY TAXES</v>
      </c>
    </row>
    <row r="1768" spans="1:10" x14ac:dyDescent="0.3">
      <c r="A1768" t="str">
        <f>""</f>
        <v/>
      </c>
      <c r="B1768" t="str">
        <f>""</f>
        <v/>
      </c>
      <c r="G1768" t="str">
        <f>""</f>
        <v/>
      </c>
      <c r="H1768" t="str">
        <f>""</f>
        <v/>
      </c>
      <c r="J1768" t="str">
        <f t="shared" si="52"/>
        <v>SOCIAL SECURITY TAXES</v>
      </c>
    </row>
    <row r="1769" spans="1:10" x14ac:dyDescent="0.3">
      <c r="A1769" t="str">
        <f>""</f>
        <v/>
      </c>
      <c r="B1769" t="str">
        <f>""</f>
        <v/>
      </c>
      <c r="G1769" t="str">
        <f>""</f>
        <v/>
      </c>
      <c r="H1769" t="str">
        <f>""</f>
        <v/>
      </c>
      <c r="J1769" t="str">
        <f t="shared" si="52"/>
        <v>SOCIAL SECURITY TAXES</v>
      </c>
    </row>
    <row r="1770" spans="1:10" x14ac:dyDescent="0.3">
      <c r="A1770" t="str">
        <f>""</f>
        <v/>
      </c>
      <c r="B1770" t="str">
        <f>""</f>
        <v/>
      </c>
      <c r="G1770" t="str">
        <f>""</f>
        <v/>
      </c>
      <c r="H1770" t="str">
        <f>""</f>
        <v/>
      </c>
      <c r="J1770" t="str">
        <f t="shared" si="52"/>
        <v>SOCIAL SECURITY TAXES</v>
      </c>
    </row>
    <row r="1771" spans="1:10" x14ac:dyDescent="0.3">
      <c r="A1771" t="str">
        <f>""</f>
        <v/>
      </c>
      <c r="B1771" t="str">
        <f>""</f>
        <v/>
      </c>
      <c r="G1771" t="str">
        <f>"T4 201801248226"</f>
        <v>T4 201801248226</v>
      </c>
      <c r="H1771" t="str">
        <f>"MEDICARE TAXES"</f>
        <v>MEDICARE TAXES</v>
      </c>
      <c r="I1771" s="2">
        <v>929.04</v>
      </c>
      <c r="J1771" t="str">
        <f t="shared" ref="J1771:J1802" si="53">"MEDICARE TAXES"</f>
        <v>MEDICARE TAXES</v>
      </c>
    </row>
    <row r="1772" spans="1:10" x14ac:dyDescent="0.3">
      <c r="A1772" t="str">
        <f>""</f>
        <v/>
      </c>
      <c r="B1772" t="str">
        <f>""</f>
        <v/>
      </c>
      <c r="G1772" t="str">
        <f>""</f>
        <v/>
      </c>
      <c r="H1772" t="str">
        <f>""</f>
        <v/>
      </c>
      <c r="J1772" t="str">
        <f t="shared" si="53"/>
        <v>MEDICARE TAXES</v>
      </c>
    </row>
    <row r="1773" spans="1:10" x14ac:dyDescent="0.3">
      <c r="A1773" t="str">
        <f>""</f>
        <v/>
      </c>
      <c r="B1773" t="str">
        <f>""</f>
        <v/>
      </c>
      <c r="G1773" t="str">
        <f>"T4 201801248227"</f>
        <v>T4 201801248227</v>
      </c>
      <c r="H1773" t="str">
        <f>"MEDICARE TAXES"</f>
        <v>MEDICARE TAXES</v>
      </c>
      <c r="I1773" s="2">
        <v>1278.8800000000001</v>
      </c>
      <c r="J1773" t="str">
        <f t="shared" si="53"/>
        <v>MEDICARE TAXES</v>
      </c>
    </row>
    <row r="1774" spans="1:10" x14ac:dyDescent="0.3">
      <c r="A1774" t="str">
        <f>""</f>
        <v/>
      </c>
      <c r="B1774" t="str">
        <f>""</f>
        <v/>
      </c>
      <c r="G1774" t="str">
        <f>""</f>
        <v/>
      </c>
      <c r="H1774" t="str">
        <f>""</f>
        <v/>
      </c>
      <c r="J1774" t="str">
        <f t="shared" si="53"/>
        <v>MEDICARE TAXES</v>
      </c>
    </row>
    <row r="1775" spans="1:10" x14ac:dyDescent="0.3">
      <c r="A1775" t="str">
        <f>""</f>
        <v/>
      </c>
      <c r="B1775" t="str">
        <f>""</f>
        <v/>
      </c>
      <c r="G1775" t="str">
        <f>"T4 201801248228"</f>
        <v>T4 201801248228</v>
      </c>
      <c r="H1775" t="str">
        <f>"MEDICARE TAXES"</f>
        <v>MEDICARE TAXES</v>
      </c>
      <c r="I1775" s="2">
        <v>23214.84</v>
      </c>
      <c r="J1775" t="str">
        <f t="shared" si="53"/>
        <v>MEDICARE TAXES</v>
      </c>
    </row>
    <row r="1776" spans="1:10" x14ac:dyDescent="0.3">
      <c r="A1776" t="str">
        <f>""</f>
        <v/>
      </c>
      <c r="B1776" t="str">
        <f>""</f>
        <v/>
      </c>
      <c r="G1776" t="str">
        <f>""</f>
        <v/>
      </c>
      <c r="H1776" t="str">
        <f>""</f>
        <v/>
      </c>
      <c r="J1776" t="str">
        <f t="shared" si="53"/>
        <v>MEDICARE TAXES</v>
      </c>
    </row>
    <row r="1777" spans="1:10" x14ac:dyDescent="0.3">
      <c r="A1777" t="str">
        <f>""</f>
        <v/>
      </c>
      <c r="B1777" t="str">
        <f>""</f>
        <v/>
      </c>
      <c r="G1777" t="str">
        <f>""</f>
        <v/>
      </c>
      <c r="H1777" t="str">
        <f>""</f>
        <v/>
      </c>
      <c r="J1777" t="str">
        <f t="shared" si="53"/>
        <v>MEDICARE TAXES</v>
      </c>
    </row>
    <row r="1778" spans="1:10" x14ac:dyDescent="0.3">
      <c r="A1778" t="str">
        <f>""</f>
        <v/>
      </c>
      <c r="B1778" t="str">
        <f>""</f>
        <v/>
      </c>
      <c r="G1778" t="str">
        <f>""</f>
        <v/>
      </c>
      <c r="H1778" t="str">
        <f>""</f>
        <v/>
      </c>
      <c r="J1778" t="str">
        <f t="shared" si="53"/>
        <v>MEDICARE TAXES</v>
      </c>
    </row>
    <row r="1779" spans="1:10" x14ac:dyDescent="0.3">
      <c r="A1779" t="str">
        <f>""</f>
        <v/>
      </c>
      <c r="B1779" t="str">
        <f>""</f>
        <v/>
      </c>
      <c r="G1779" t="str">
        <f>""</f>
        <v/>
      </c>
      <c r="H1779" t="str">
        <f>""</f>
        <v/>
      </c>
      <c r="J1779" t="str">
        <f t="shared" si="53"/>
        <v>MEDICARE TAXES</v>
      </c>
    </row>
    <row r="1780" spans="1:10" x14ac:dyDescent="0.3">
      <c r="A1780" t="str">
        <f>""</f>
        <v/>
      </c>
      <c r="B1780" t="str">
        <f>""</f>
        <v/>
      </c>
      <c r="G1780" t="str">
        <f>""</f>
        <v/>
      </c>
      <c r="H1780" t="str">
        <f>""</f>
        <v/>
      </c>
      <c r="J1780" t="str">
        <f t="shared" si="53"/>
        <v>MEDICARE TAXES</v>
      </c>
    </row>
    <row r="1781" spans="1:10" x14ac:dyDescent="0.3">
      <c r="A1781" t="str">
        <f>""</f>
        <v/>
      </c>
      <c r="B1781" t="str">
        <f>""</f>
        <v/>
      </c>
      <c r="G1781" t="str">
        <f>""</f>
        <v/>
      </c>
      <c r="H1781" t="str">
        <f>""</f>
        <v/>
      </c>
      <c r="J1781" t="str">
        <f t="shared" si="53"/>
        <v>MEDICARE TAXES</v>
      </c>
    </row>
    <row r="1782" spans="1:10" x14ac:dyDescent="0.3">
      <c r="A1782" t="str">
        <f>""</f>
        <v/>
      </c>
      <c r="B1782" t="str">
        <f>""</f>
        <v/>
      </c>
      <c r="G1782" t="str">
        <f>""</f>
        <v/>
      </c>
      <c r="H1782" t="str">
        <f>""</f>
        <v/>
      </c>
      <c r="J1782" t="str">
        <f t="shared" si="53"/>
        <v>MEDICARE TAXES</v>
      </c>
    </row>
    <row r="1783" spans="1:10" x14ac:dyDescent="0.3">
      <c r="A1783" t="str">
        <f>""</f>
        <v/>
      </c>
      <c r="B1783" t="str">
        <f>""</f>
        <v/>
      </c>
      <c r="G1783" t="str">
        <f>""</f>
        <v/>
      </c>
      <c r="H1783" t="str">
        <f>""</f>
        <v/>
      </c>
      <c r="J1783" t="str">
        <f t="shared" si="53"/>
        <v>MEDICARE TAXES</v>
      </c>
    </row>
    <row r="1784" spans="1:10" x14ac:dyDescent="0.3">
      <c r="A1784" t="str">
        <f>""</f>
        <v/>
      </c>
      <c r="B1784" t="str">
        <f>""</f>
        <v/>
      </c>
      <c r="G1784" t="str">
        <f>""</f>
        <v/>
      </c>
      <c r="H1784" t="str">
        <f>""</f>
        <v/>
      </c>
      <c r="J1784" t="str">
        <f t="shared" si="53"/>
        <v>MEDICARE TAXES</v>
      </c>
    </row>
    <row r="1785" spans="1:10" x14ac:dyDescent="0.3">
      <c r="A1785" t="str">
        <f>""</f>
        <v/>
      </c>
      <c r="B1785" t="str">
        <f>""</f>
        <v/>
      </c>
      <c r="G1785" t="str">
        <f>""</f>
        <v/>
      </c>
      <c r="H1785" t="str">
        <f>""</f>
        <v/>
      </c>
      <c r="J1785" t="str">
        <f t="shared" si="53"/>
        <v>MEDICARE TAXES</v>
      </c>
    </row>
    <row r="1786" spans="1:10" x14ac:dyDescent="0.3">
      <c r="A1786" t="str">
        <f>""</f>
        <v/>
      </c>
      <c r="B1786" t="str">
        <f>""</f>
        <v/>
      </c>
      <c r="G1786" t="str">
        <f>""</f>
        <v/>
      </c>
      <c r="H1786" t="str">
        <f>""</f>
        <v/>
      </c>
      <c r="J1786" t="str">
        <f t="shared" si="53"/>
        <v>MEDICARE TAXES</v>
      </c>
    </row>
    <row r="1787" spans="1:10" x14ac:dyDescent="0.3">
      <c r="A1787" t="str">
        <f>""</f>
        <v/>
      </c>
      <c r="B1787" t="str">
        <f>""</f>
        <v/>
      </c>
      <c r="G1787" t="str">
        <f>""</f>
        <v/>
      </c>
      <c r="H1787" t="str">
        <f>""</f>
        <v/>
      </c>
      <c r="J1787" t="str">
        <f t="shared" si="53"/>
        <v>MEDICARE TAXES</v>
      </c>
    </row>
    <row r="1788" spans="1:10" x14ac:dyDescent="0.3">
      <c r="A1788" t="str">
        <f>""</f>
        <v/>
      </c>
      <c r="B1788" t="str">
        <f>""</f>
        <v/>
      </c>
      <c r="G1788" t="str">
        <f>""</f>
        <v/>
      </c>
      <c r="H1788" t="str">
        <f>""</f>
        <v/>
      </c>
      <c r="J1788" t="str">
        <f t="shared" si="53"/>
        <v>MEDICARE TAXES</v>
      </c>
    </row>
    <row r="1789" spans="1:10" x14ac:dyDescent="0.3">
      <c r="A1789" t="str">
        <f>""</f>
        <v/>
      </c>
      <c r="B1789" t="str">
        <f>""</f>
        <v/>
      </c>
      <c r="G1789" t="str">
        <f>""</f>
        <v/>
      </c>
      <c r="H1789" t="str">
        <f>""</f>
        <v/>
      </c>
      <c r="J1789" t="str">
        <f t="shared" si="53"/>
        <v>MEDICARE TAXES</v>
      </c>
    </row>
    <row r="1790" spans="1:10" x14ac:dyDescent="0.3">
      <c r="A1790" t="str">
        <f>""</f>
        <v/>
      </c>
      <c r="B1790" t="str">
        <f>""</f>
        <v/>
      </c>
      <c r="G1790" t="str">
        <f>""</f>
        <v/>
      </c>
      <c r="H1790" t="str">
        <f>""</f>
        <v/>
      </c>
      <c r="J1790" t="str">
        <f t="shared" si="53"/>
        <v>MEDICARE TAXES</v>
      </c>
    </row>
    <row r="1791" spans="1:10" x14ac:dyDescent="0.3">
      <c r="A1791" t="str">
        <f>""</f>
        <v/>
      </c>
      <c r="B1791" t="str">
        <f>""</f>
        <v/>
      </c>
      <c r="G1791" t="str">
        <f>""</f>
        <v/>
      </c>
      <c r="H1791" t="str">
        <f>""</f>
        <v/>
      </c>
      <c r="J1791" t="str">
        <f t="shared" si="53"/>
        <v>MEDICARE TAXES</v>
      </c>
    </row>
    <row r="1792" spans="1:10" x14ac:dyDescent="0.3">
      <c r="A1792" t="str">
        <f>""</f>
        <v/>
      </c>
      <c r="B1792" t="str">
        <f>""</f>
        <v/>
      </c>
      <c r="G1792" t="str">
        <f>""</f>
        <v/>
      </c>
      <c r="H1792" t="str">
        <f>""</f>
        <v/>
      </c>
      <c r="J1792" t="str">
        <f t="shared" si="53"/>
        <v>MEDICARE TAXES</v>
      </c>
    </row>
    <row r="1793" spans="1:10" x14ac:dyDescent="0.3">
      <c r="A1793" t="str">
        <f>""</f>
        <v/>
      </c>
      <c r="B1793" t="str">
        <f>""</f>
        <v/>
      </c>
      <c r="G1793" t="str">
        <f>""</f>
        <v/>
      </c>
      <c r="H1793" t="str">
        <f>""</f>
        <v/>
      </c>
      <c r="J1793" t="str">
        <f t="shared" si="53"/>
        <v>MEDICARE TAXES</v>
      </c>
    </row>
    <row r="1794" spans="1:10" x14ac:dyDescent="0.3">
      <c r="A1794" t="str">
        <f>""</f>
        <v/>
      </c>
      <c r="B1794" t="str">
        <f>""</f>
        <v/>
      </c>
      <c r="G1794" t="str">
        <f>""</f>
        <v/>
      </c>
      <c r="H1794" t="str">
        <f>""</f>
        <v/>
      </c>
      <c r="J1794" t="str">
        <f t="shared" si="53"/>
        <v>MEDICARE TAXES</v>
      </c>
    </row>
    <row r="1795" spans="1:10" x14ac:dyDescent="0.3">
      <c r="A1795" t="str">
        <f>""</f>
        <v/>
      </c>
      <c r="B1795" t="str">
        <f>""</f>
        <v/>
      </c>
      <c r="G1795" t="str">
        <f>""</f>
        <v/>
      </c>
      <c r="H1795" t="str">
        <f>""</f>
        <v/>
      </c>
      <c r="J1795" t="str">
        <f t="shared" si="53"/>
        <v>MEDICARE TAXES</v>
      </c>
    </row>
    <row r="1796" spans="1:10" x14ac:dyDescent="0.3">
      <c r="A1796" t="str">
        <f>""</f>
        <v/>
      </c>
      <c r="B1796" t="str">
        <f>""</f>
        <v/>
      </c>
      <c r="G1796" t="str">
        <f>""</f>
        <v/>
      </c>
      <c r="H1796" t="str">
        <f>""</f>
        <v/>
      </c>
      <c r="J1796" t="str">
        <f t="shared" si="53"/>
        <v>MEDICARE TAXES</v>
      </c>
    </row>
    <row r="1797" spans="1:10" x14ac:dyDescent="0.3">
      <c r="A1797" t="str">
        <f>""</f>
        <v/>
      </c>
      <c r="B1797" t="str">
        <f>""</f>
        <v/>
      </c>
      <c r="G1797" t="str">
        <f>""</f>
        <v/>
      </c>
      <c r="H1797" t="str">
        <f>""</f>
        <v/>
      </c>
      <c r="J1797" t="str">
        <f t="shared" si="53"/>
        <v>MEDICARE TAXES</v>
      </c>
    </row>
    <row r="1798" spans="1:10" x14ac:dyDescent="0.3">
      <c r="A1798" t="str">
        <f>""</f>
        <v/>
      </c>
      <c r="B1798" t="str">
        <f>""</f>
        <v/>
      </c>
      <c r="G1798" t="str">
        <f>""</f>
        <v/>
      </c>
      <c r="H1798" t="str">
        <f>""</f>
        <v/>
      </c>
      <c r="J1798" t="str">
        <f t="shared" si="53"/>
        <v>MEDICARE TAXES</v>
      </c>
    </row>
    <row r="1799" spans="1:10" x14ac:dyDescent="0.3">
      <c r="A1799" t="str">
        <f>""</f>
        <v/>
      </c>
      <c r="B1799" t="str">
        <f>""</f>
        <v/>
      </c>
      <c r="G1799" t="str">
        <f>""</f>
        <v/>
      </c>
      <c r="H1799" t="str">
        <f>""</f>
        <v/>
      </c>
      <c r="J1799" t="str">
        <f t="shared" si="53"/>
        <v>MEDICARE TAXES</v>
      </c>
    </row>
    <row r="1800" spans="1:10" x14ac:dyDescent="0.3">
      <c r="A1800" t="str">
        <f>""</f>
        <v/>
      </c>
      <c r="B1800" t="str">
        <f>""</f>
        <v/>
      </c>
      <c r="G1800" t="str">
        <f>""</f>
        <v/>
      </c>
      <c r="H1800" t="str">
        <f>""</f>
        <v/>
      </c>
      <c r="J1800" t="str">
        <f t="shared" si="53"/>
        <v>MEDICARE TAXES</v>
      </c>
    </row>
    <row r="1801" spans="1:10" x14ac:dyDescent="0.3">
      <c r="A1801" t="str">
        <f>""</f>
        <v/>
      </c>
      <c r="B1801" t="str">
        <f>""</f>
        <v/>
      </c>
      <c r="G1801" t="str">
        <f>""</f>
        <v/>
      </c>
      <c r="H1801" t="str">
        <f>""</f>
        <v/>
      </c>
      <c r="J1801" t="str">
        <f t="shared" si="53"/>
        <v>MEDICARE TAXES</v>
      </c>
    </row>
    <row r="1802" spans="1:10" x14ac:dyDescent="0.3">
      <c r="A1802" t="str">
        <f>""</f>
        <v/>
      </c>
      <c r="B1802" t="str">
        <f>""</f>
        <v/>
      </c>
      <c r="G1802" t="str">
        <f>""</f>
        <v/>
      </c>
      <c r="H1802" t="str">
        <f>""</f>
        <v/>
      </c>
      <c r="J1802" t="str">
        <f t="shared" si="53"/>
        <v>MEDICARE TAXES</v>
      </c>
    </row>
    <row r="1803" spans="1:10" x14ac:dyDescent="0.3">
      <c r="A1803" t="str">
        <f>""</f>
        <v/>
      </c>
      <c r="B1803" t="str">
        <f>""</f>
        <v/>
      </c>
      <c r="G1803" t="str">
        <f>""</f>
        <v/>
      </c>
      <c r="H1803" t="str">
        <f>""</f>
        <v/>
      </c>
      <c r="J1803" t="str">
        <f t="shared" ref="J1803:J1826" si="54">"MEDICARE TAXES"</f>
        <v>MEDICARE TAXES</v>
      </c>
    </row>
    <row r="1804" spans="1:10" x14ac:dyDescent="0.3">
      <c r="A1804" t="str">
        <f>""</f>
        <v/>
      </c>
      <c r="B1804" t="str">
        <f>""</f>
        <v/>
      </c>
      <c r="G1804" t="str">
        <f>""</f>
        <v/>
      </c>
      <c r="H1804" t="str">
        <f>""</f>
        <v/>
      </c>
      <c r="J1804" t="str">
        <f t="shared" si="54"/>
        <v>MEDICARE TAXES</v>
      </c>
    </row>
    <row r="1805" spans="1:10" x14ac:dyDescent="0.3">
      <c r="A1805" t="str">
        <f>""</f>
        <v/>
      </c>
      <c r="B1805" t="str">
        <f>""</f>
        <v/>
      </c>
      <c r="G1805" t="str">
        <f>""</f>
        <v/>
      </c>
      <c r="H1805" t="str">
        <f>""</f>
        <v/>
      </c>
      <c r="J1805" t="str">
        <f t="shared" si="54"/>
        <v>MEDICARE TAXES</v>
      </c>
    </row>
    <row r="1806" spans="1:10" x14ac:dyDescent="0.3">
      <c r="A1806" t="str">
        <f>""</f>
        <v/>
      </c>
      <c r="B1806" t="str">
        <f>""</f>
        <v/>
      </c>
      <c r="G1806" t="str">
        <f>""</f>
        <v/>
      </c>
      <c r="H1806" t="str">
        <f>""</f>
        <v/>
      </c>
      <c r="J1806" t="str">
        <f t="shared" si="54"/>
        <v>MEDICARE TAXES</v>
      </c>
    </row>
    <row r="1807" spans="1:10" x14ac:dyDescent="0.3">
      <c r="A1807" t="str">
        <f>""</f>
        <v/>
      </c>
      <c r="B1807" t="str">
        <f>""</f>
        <v/>
      </c>
      <c r="G1807" t="str">
        <f>""</f>
        <v/>
      </c>
      <c r="H1807" t="str">
        <f>""</f>
        <v/>
      </c>
      <c r="J1807" t="str">
        <f t="shared" si="54"/>
        <v>MEDICARE TAXES</v>
      </c>
    </row>
    <row r="1808" spans="1:10" x14ac:dyDescent="0.3">
      <c r="A1808" t="str">
        <f>""</f>
        <v/>
      </c>
      <c r="B1808" t="str">
        <f>""</f>
        <v/>
      </c>
      <c r="G1808" t="str">
        <f>""</f>
        <v/>
      </c>
      <c r="H1808" t="str">
        <f>""</f>
        <v/>
      </c>
      <c r="J1808" t="str">
        <f t="shared" si="54"/>
        <v>MEDICARE TAXES</v>
      </c>
    </row>
    <row r="1809" spans="1:10" x14ac:dyDescent="0.3">
      <c r="A1809" t="str">
        <f>""</f>
        <v/>
      </c>
      <c r="B1809" t="str">
        <f>""</f>
        <v/>
      </c>
      <c r="G1809" t="str">
        <f>""</f>
        <v/>
      </c>
      <c r="H1809" t="str">
        <f>""</f>
        <v/>
      </c>
      <c r="J1809" t="str">
        <f t="shared" si="54"/>
        <v>MEDICARE TAXES</v>
      </c>
    </row>
    <row r="1810" spans="1:10" x14ac:dyDescent="0.3">
      <c r="A1810" t="str">
        <f>""</f>
        <v/>
      </c>
      <c r="B1810" t="str">
        <f>""</f>
        <v/>
      </c>
      <c r="G1810" t="str">
        <f>""</f>
        <v/>
      </c>
      <c r="H1810" t="str">
        <f>""</f>
        <v/>
      </c>
      <c r="J1810" t="str">
        <f t="shared" si="54"/>
        <v>MEDICARE TAXES</v>
      </c>
    </row>
    <row r="1811" spans="1:10" x14ac:dyDescent="0.3">
      <c r="A1811" t="str">
        <f>""</f>
        <v/>
      </c>
      <c r="B1811" t="str">
        <f>""</f>
        <v/>
      </c>
      <c r="G1811" t="str">
        <f>""</f>
        <v/>
      </c>
      <c r="H1811" t="str">
        <f>""</f>
        <v/>
      </c>
      <c r="J1811" t="str">
        <f t="shared" si="54"/>
        <v>MEDICARE TAXES</v>
      </c>
    </row>
    <row r="1812" spans="1:10" x14ac:dyDescent="0.3">
      <c r="A1812" t="str">
        <f>""</f>
        <v/>
      </c>
      <c r="B1812" t="str">
        <f>""</f>
        <v/>
      </c>
      <c r="G1812" t="str">
        <f>""</f>
        <v/>
      </c>
      <c r="H1812" t="str">
        <f>""</f>
        <v/>
      </c>
      <c r="J1812" t="str">
        <f t="shared" si="54"/>
        <v>MEDICARE TAXES</v>
      </c>
    </row>
    <row r="1813" spans="1:10" x14ac:dyDescent="0.3">
      <c r="A1813" t="str">
        <f>""</f>
        <v/>
      </c>
      <c r="B1813" t="str">
        <f>""</f>
        <v/>
      </c>
      <c r="G1813" t="str">
        <f>""</f>
        <v/>
      </c>
      <c r="H1813" t="str">
        <f>""</f>
        <v/>
      </c>
      <c r="J1813" t="str">
        <f t="shared" si="54"/>
        <v>MEDICARE TAXES</v>
      </c>
    </row>
    <row r="1814" spans="1:10" x14ac:dyDescent="0.3">
      <c r="A1814" t="str">
        <f>""</f>
        <v/>
      </c>
      <c r="B1814" t="str">
        <f>""</f>
        <v/>
      </c>
      <c r="G1814" t="str">
        <f>""</f>
        <v/>
      </c>
      <c r="H1814" t="str">
        <f>""</f>
        <v/>
      </c>
      <c r="J1814" t="str">
        <f t="shared" si="54"/>
        <v>MEDICARE TAXES</v>
      </c>
    </row>
    <row r="1815" spans="1:10" x14ac:dyDescent="0.3">
      <c r="A1815" t="str">
        <f>""</f>
        <v/>
      </c>
      <c r="B1815" t="str">
        <f>""</f>
        <v/>
      </c>
      <c r="G1815" t="str">
        <f>""</f>
        <v/>
      </c>
      <c r="H1815" t="str">
        <f>""</f>
        <v/>
      </c>
      <c r="J1815" t="str">
        <f t="shared" si="54"/>
        <v>MEDICARE TAXES</v>
      </c>
    </row>
    <row r="1816" spans="1:10" x14ac:dyDescent="0.3">
      <c r="A1816" t="str">
        <f>""</f>
        <v/>
      </c>
      <c r="B1816" t="str">
        <f>""</f>
        <v/>
      </c>
      <c r="G1816" t="str">
        <f>""</f>
        <v/>
      </c>
      <c r="H1816" t="str">
        <f>""</f>
        <v/>
      </c>
      <c r="J1816" t="str">
        <f t="shared" si="54"/>
        <v>MEDICARE TAXES</v>
      </c>
    </row>
    <row r="1817" spans="1:10" x14ac:dyDescent="0.3">
      <c r="A1817" t="str">
        <f>""</f>
        <v/>
      </c>
      <c r="B1817" t="str">
        <f>""</f>
        <v/>
      </c>
      <c r="G1817" t="str">
        <f>""</f>
        <v/>
      </c>
      <c r="H1817" t="str">
        <f>""</f>
        <v/>
      </c>
      <c r="J1817" t="str">
        <f t="shared" si="54"/>
        <v>MEDICARE TAXES</v>
      </c>
    </row>
    <row r="1818" spans="1:10" x14ac:dyDescent="0.3">
      <c r="A1818" t="str">
        <f>""</f>
        <v/>
      </c>
      <c r="B1818" t="str">
        <f>""</f>
        <v/>
      </c>
      <c r="G1818" t="str">
        <f>""</f>
        <v/>
      </c>
      <c r="H1818" t="str">
        <f>""</f>
        <v/>
      </c>
      <c r="J1818" t="str">
        <f t="shared" si="54"/>
        <v>MEDICARE TAXES</v>
      </c>
    </row>
    <row r="1819" spans="1:10" x14ac:dyDescent="0.3">
      <c r="A1819" t="str">
        <f>""</f>
        <v/>
      </c>
      <c r="B1819" t="str">
        <f>""</f>
        <v/>
      </c>
      <c r="G1819" t="str">
        <f>""</f>
        <v/>
      </c>
      <c r="H1819" t="str">
        <f>""</f>
        <v/>
      </c>
      <c r="J1819" t="str">
        <f t="shared" si="54"/>
        <v>MEDICARE TAXES</v>
      </c>
    </row>
    <row r="1820" spans="1:10" x14ac:dyDescent="0.3">
      <c r="A1820" t="str">
        <f>""</f>
        <v/>
      </c>
      <c r="B1820" t="str">
        <f>""</f>
        <v/>
      </c>
      <c r="G1820" t="str">
        <f>""</f>
        <v/>
      </c>
      <c r="H1820" t="str">
        <f>""</f>
        <v/>
      </c>
      <c r="J1820" t="str">
        <f t="shared" si="54"/>
        <v>MEDICARE TAXES</v>
      </c>
    </row>
    <row r="1821" spans="1:10" x14ac:dyDescent="0.3">
      <c r="A1821" t="str">
        <f>""</f>
        <v/>
      </c>
      <c r="B1821" t="str">
        <f>""</f>
        <v/>
      </c>
      <c r="G1821" t="str">
        <f>""</f>
        <v/>
      </c>
      <c r="H1821" t="str">
        <f>""</f>
        <v/>
      </c>
      <c r="J1821" t="str">
        <f t="shared" si="54"/>
        <v>MEDICARE TAXES</v>
      </c>
    </row>
    <row r="1822" spans="1:10" x14ac:dyDescent="0.3">
      <c r="A1822" t="str">
        <f>""</f>
        <v/>
      </c>
      <c r="B1822" t="str">
        <f>""</f>
        <v/>
      </c>
      <c r="G1822" t="str">
        <f>""</f>
        <v/>
      </c>
      <c r="H1822" t="str">
        <f>""</f>
        <v/>
      </c>
      <c r="J1822" t="str">
        <f t="shared" si="54"/>
        <v>MEDICARE TAXES</v>
      </c>
    </row>
    <row r="1823" spans="1:10" x14ac:dyDescent="0.3">
      <c r="A1823" t="str">
        <f>""</f>
        <v/>
      </c>
      <c r="B1823" t="str">
        <f>""</f>
        <v/>
      </c>
      <c r="G1823" t="str">
        <f>""</f>
        <v/>
      </c>
      <c r="H1823" t="str">
        <f>""</f>
        <v/>
      </c>
      <c r="J1823" t="str">
        <f t="shared" si="54"/>
        <v>MEDICARE TAXES</v>
      </c>
    </row>
    <row r="1824" spans="1:10" x14ac:dyDescent="0.3">
      <c r="A1824" t="str">
        <f>""</f>
        <v/>
      </c>
      <c r="B1824" t="str">
        <f>""</f>
        <v/>
      </c>
      <c r="G1824" t="str">
        <f>""</f>
        <v/>
      </c>
      <c r="H1824" t="str">
        <f>""</f>
        <v/>
      </c>
      <c r="J1824" t="str">
        <f t="shared" si="54"/>
        <v>MEDICARE TAXES</v>
      </c>
    </row>
    <row r="1825" spans="1:10" x14ac:dyDescent="0.3">
      <c r="A1825" t="str">
        <f>""</f>
        <v/>
      </c>
      <c r="B1825" t="str">
        <f>""</f>
        <v/>
      </c>
      <c r="G1825" t="str">
        <f>""</f>
        <v/>
      </c>
      <c r="H1825" t="str">
        <f>""</f>
        <v/>
      </c>
      <c r="J1825" t="str">
        <f t="shared" si="54"/>
        <v>MEDICARE TAXES</v>
      </c>
    </row>
    <row r="1826" spans="1:10" x14ac:dyDescent="0.3">
      <c r="A1826" t="str">
        <f>""</f>
        <v/>
      </c>
      <c r="B1826" t="str">
        <f>""</f>
        <v/>
      </c>
      <c r="G1826" t="str">
        <f>""</f>
        <v/>
      </c>
      <c r="H1826" t="str">
        <f>""</f>
        <v/>
      </c>
      <c r="J1826" t="str">
        <f t="shared" si="54"/>
        <v>MEDICARE TAXES</v>
      </c>
    </row>
    <row r="1827" spans="1:10" x14ac:dyDescent="0.3">
      <c r="A1827" t="str">
        <f>"01"</f>
        <v>01</v>
      </c>
      <c r="B1827" t="str">
        <f>"004638"</f>
        <v>004638</v>
      </c>
      <c r="C1827" t="s">
        <v>402</v>
      </c>
      <c r="D1827">
        <v>46104</v>
      </c>
      <c r="E1827" s="2">
        <v>268.74</v>
      </c>
      <c r="F1827" s="1">
        <v>43112</v>
      </c>
      <c r="G1827" t="str">
        <f>"C64201801118129"</f>
        <v>C64201801118129</v>
      </c>
      <c r="H1827" t="str">
        <f>"CASE #912745322"</f>
        <v>CASE #912745322</v>
      </c>
      <c r="I1827" s="2">
        <v>268.74</v>
      </c>
      <c r="J1827" t="str">
        <f>"CASE #912745322"</f>
        <v>CASE #912745322</v>
      </c>
    </row>
    <row r="1828" spans="1:10" x14ac:dyDescent="0.3">
      <c r="A1828" t="str">
        <f>"01"</f>
        <v>01</v>
      </c>
      <c r="B1828" t="str">
        <f>"004638"</f>
        <v>004638</v>
      </c>
      <c r="C1828" t="s">
        <v>402</v>
      </c>
      <c r="D1828">
        <v>46129</v>
      </c>
      <c r="E1828" s="2">
        <v>268.74</v>
      </c>
      <c r="F1828" s="1">
        <v>43126</v>
      </c>
      <c r="G1828" t="str">
        <f>"C64201801248228"</f>
        <v>C64201801248228</v>
      </c>
      <c r="H1828" t="str">
        <f>"CASE #912745322"</f>
        <v>CASE #912745322</v>
      </c>
      <c r="I1828" s="2">
        <v>268.74</v>
      </c>
      <c r="J1828" t="str">
        <f>"CASE #912745322"</f>
        <v>CASE #912745322</v>
      </c>
    </row>
    <row r="1829" spans="1:10" x14ac:dyDescent="0.3">
      <c r="A1829" t="str">
        <f>"01"</f>
        <v>01</v>
      </c>
      <c r="B1829" t="str">
        <f>"001507"</f>
        <v>001507</v>
      </c>
      <c r="C1829" t="s">
        <v>403</v>
      </c>
      <c r="D1829">
        <v>0</v>
      </c>
      <c r="E1829" s="2">
        <v>28366.37</v>
      </c>
      <c r="F1829" s="1">
        <v>43131</v>
      </c>
      <c r="G1829" t="str">
        <f>"201802018376"</f>
        <v>201802018376</v>
      </c>
      <c r="H1829" t="str">
        <f>"MONUMENTAL LIFE INS COJan 2018"</f>
        <v>MONUMENTAL LIFE INS COJan 2018</v>
      </c>
      <c r="I1829" s="2">
        <v>28366.37</v>
      </c>
      <c r="J1829" t="str">
        <f>"MONUMENTAL LIFE INS COJan 2018"</f>
        <v>MONUMENTAL LIFE INS COJan 2018</v>
      </c>
    </row>
    <row r="1830" spans="1:10" x14ac:dyDescent="0.3">
      <c r="A1830" t="str">
        <f>"01"</f>
        <v>01</v>
      </c>
      <c r="B1830" t="str">
        <f>"002456"</f>
        <v>002456</v>
      </c>
      <c r="C1830" t="s">
        <v>404</v>
      </c>
      <c r="D1830">
        <v>0</v>
      </c>
      <c r="E1830" s="2">
        <v>731.02</v>
      </c>
      <c r="F1830" s="1">
        <v>43131</v>
      </c>
      <c r="G1830" t="str">
        <f>"LIX201801118129"</f>
        <v>LIX201801118129</v>
      </c>
      <c r="H1830" t="str">
        <f>"TEXAS LIFE/OLIVO GROUP"</f>
        <v>TEXAS LIFE/OLIVO GROUP</v>
      </c>
      <c r="I1830" s="2">
        <v>365.51</v>
      </c>
      <c r="J1830" t="str">
        <f>"TEXAS LIFE/OLIVO GROUP"</f>
        <v>TEXAS LIFE/OLIVO GROUP</v>
      </c>
    </row>
    <row r="1831" spans="1:10" x14ac:dyDescent="0.3">
      <c r="A1831" t="str">
        <f>""</f>
        <v/>
      </c>
      <c r="B1831" t="str">
        <f>""</f>
        <v/>
      </c>
      <c r="G1831" t="str">
        <f>"LIX201801248228"</f>
        <v>LIX201801248228</v>
      </c>
      <c r="H1831" t="str">
        <f>"TEXAS LIFE/OLIVO GROUP"</f>
        <v>TEXAS LIFE/OLIVO GROUP</v>
      </c>
      <c r="I1831" s="2">
        <v>365.51</v>
      </c>
      <c r="J1831" t="str">
        <f>"TEXAS LIFE/OLIVO GROUP"</f>
        <v>TEXAS LIFE/OLIVO GROUP</v>
      </c>
    </row>
    <row r="1832" spans="1:10" x14ac:dyDescent="0.3">
      <c r="A1832" t="str">
        <f>"01"</f>
        <v>01</v>
      </c>
      <c r="B1832" t="str">
        <f>"TACHEB"</f>
        <v>TACHEB</v>
      </c>
      <c r="C1832" t="s">
        <v>405</v>
      </c>
      <c r="D1832">
        <v>46135</v>
      </c>
      <c r="E1832" s="2">
        <v>331492.94</v>
      </c>
      <c r="F1832" s="1">
        <v>43131</v>
      </c>
      <c r="G1832" t="str">
        <f>"201802018374"</f>
        <v>201802018374</v>
      </c>
      <c r="H1832" t="str">
        <f>"Retiree Jan 2018"</f>
        <v>Retiree Jan 2018</v>
      </c>
      <c r="I1832" s="2">
        <v>15116.16</v>
      </c>
      <c r="J1832" t="str">
        <f>"Retiree Jan 2018"</f>
        <v>Retiree Jan 2018</v>
      </c>
    </row>
    <row r="1833" spans="1:10" x14ac:dyDescent="0.3">
      <c r="A1833" t="str">
        <f>""</f>
        <v/>
      </c>
      <c r="B1833" t="str">
        <f>""</f>
        <v/>
      </c>
      <c r="G1833" t="str">
        <f>"201802018375"</f>
        <v>201802018375</v>
      </c>
      <c r="H1833" t="str">
        <f>"COBRA Sue Cerf"</f>
        <v>COBRA Sue Cerf</v>
      </c>
      <c r="I1833" s="2">
        <v>653.05999999999995</v>
      </c>
      <c r="J1833" t="str">
        <f>"TAC HEALTH BENEFITS POOL"</f>
        <v>TAC HEALTH BENEFITS POOL</v>
      </c>
    </row>
    <row r="1834" spans="1:10" x14ac:dyDescent="0.3">
      <c r="A1834" t="str">
        <f>""</f>
        <v/>
      </c>
      <c r="B1834" t="str">
        <f>""</f>
        <v/>
      </c>
      <c r="G1834" t="str">
        <f>"2EC201801118129"</f>
        <v>2EC201801118129</v>
      </c>
      <c r="H1834" t="str">
        <f>"BCBS PAYABLE"</f>
        <v>BCBS PAYABLE</v>
      </c>
      <c r="I1834" s="2">
        <v>44881</v>
      </c>
      <c r="J1834" t="str">
        <f t="shared" ref="J1834:J1865" si="55">"BCBS PAYABLE"</f>
        <v>BCBS PAYABLE</v>
      </c>
    </row>
    <row r="1835" spans="1:10" x14ac:dyDescent="0.3">
      <c r="A1835" t="str">
        <f>""</f>
        <v/>
      </c>
      <c r="B1835" t="str">
        <f>""</f>
        <v/>
      </c>
      <c r="G1835" t="str">
        <f>""</f>
        <v/>
      </c>
      <c r="H1835" t="str">
        <f>""</f>
        <v/>
      </c>
      <c r="J1835" t="str">
        <f t="shared" si="55"/>
        <v>BCBS PAYABLE</v>
      </c>
    </row>
    <row r="1836" spans="1:10" x14ac:dyDescent="0.3">
      <c r="A1836" t="str">
        <f>""</f>
        <v/>
      </c>
      <c r="B1836" t="str">
        <f>""</f>
        <v/>
      </c>
      <c r="G1836" t="str">
        <f>""</f>
        <v/>
      </c>
      <c r="H1836" t="str">
        <f>""</f>
        <v/>
      </c>
      <c r="J1836" t="str">
        <f t="shared" si="55"/>
        <v>BCBS PAYABLE</v>
      </c>
    </row>
    <row r="1837" spans="1:10" x14ac:dyDescent="0.3">
      <c r="A1837" t="str">
        <f>""</f>
        <v/>
      </c>
      <c r="B1837" t="str">
        <f>""</f>
        <v/>
      </c>
      <c r="G1837" t="str">
        <f>""</f>
        <v/>
      </c>
      <c r="H1837" t="str">
        <f>""</f>
        <v/>
      </c>
      <c r="J1837" t="str">
        <f t="shared" si="55"/>
        <v>BCBS PAYABLE</v>
      </c>
    </row>
    <row r="1838" spans="1:10" x14ac:dyDescent="0.3">
      <c r="A1838" t="str">
        <f>""</f>
        <v/>
      </c>
      <c r="B1838" t="str">
        <f>""</f>
        <v/>
      </c>
      <c r="G1838" t="str">
        <f>""</f>
        <v/>
      </c>
      <c r="H1838" t="str">
        <f>""</f>
        <v/>
      </c>
      <c r="J1838" t="str">
        <f t="shared" si="55"/>
        <v>BCBS PAYABLE</v>
      </c>
    </row>
    <row r="1839" spans="1:10" x14ac:dyDescent="0.3">
      <c r="A1839" t="str">
        <f>""</f>
        <v/>
      </c>
      <c r="B1839" t="str">
        <f>""</f>
        <v/>
      </c>
      <c r="G1839" t="str">
        <f>""</f>
        <v/>
      </c>
      <c r="H1839" t="str">
        <f>""</f>
        <v/>
      </c>
      <c r="J1839" t="str">
        <f t="shared" si="55"/>
        <v>BCBS PAYABLE</v>
      </c>
    </row>
    <row r="1840" spans="1:10" x14ac:dyDescent="0.3">
      <c r="A1840" t="str">
        <f>""</f>
        <v/>
      </c>
      <c r="B1840" t="str">
        <f>""</f>
        <v/>
      </c>
      <c r="G1840" t="str">
        <f>""</f>
        <v/>
      </c>
      <c r="H1840" t="str">
        <f>""</f>
        <v/>
      </c>
      <c r="J1840" t="str">
        <f t="shared" si="55"/>
        <v>BCBS PAYABLE</v>
      </c>
    </row>
    <row r="1841" spans="1:10" x14ac:dyDescent="0.3">
      <c r="A1841" t="str">
        <f>""</f>
        <v/>
      </c>
      <c r="B1841" t="str">
        <f>""</f>
        <v/>
      </c>
      <c r="G1841" t="str">
        <f>""</f>
        <v/>
      </c>
      <c r="H1841" t="str">
        <f>""</f>
        <v/>
      </c>
      <c r="J1841" t="str">
        <f t="shared" si="55"/>
        <v>BCBS PAYABLE</v>
      </c>
    </row>
    <row r="1842" spans="1:10" x14ac:dyDescent="0.3">
      <c r="A1842" t="str">
        <f>""</f>
        <v/>
      </c>
      <c r="B1842" t="str">
        <f>""</f>
        <v/>
      </c>
      <c r="G1842" t="str">
        <f>""</f>
        <v/>
      </c>
      <c r="H1842" t="str">
        <f>""</f>
        <v/>
      </c>
      <c r="J1842" t="str">
        <f t="shared" si="55"/>
        <v>BCBS PAYABLE</v>
      </c>
    </row>
    <row r="1843" spans="1:10" x14ac:dyDescent="0.3">
      <c r="A1843" t="str">
        <f>""</f>
        <v/>
      </c>
      <c r="B1843" t="str">
        <f>""</f>
        <v/>
      </c>
      <c r="G1843" t="str">
        <f>""</f>
        <v/>
      </c>
      <c r="H1843" t="str">
        <f>""</f>
        <v/>
      </c>
      <c r="J1843" t="str">
        <f t="shared" si="55"/>
        <v>BCBS PAYABLE</v>
      </c>
    </row>
    <row r="1844" spans="1:10" x14ac:dyDescent="0.3">
      <c r="A1844" t="str">
        <f>""</f>
        <v/>
      </c>
      <c r="B1844" t="str">
        <f>""</f>
        <v/>
      </c>
      <c r="G1844" t="str">
        <f>""</f>
        <v/>
      </c>
      <c r="H1844" t="str">
        <f>""</f>
        <v/>
      </c>
      <c r="J1844" t="str">
        <f t="shared" si="55"/>
        <v>BCBS PAYABLE</v>
      </c>
    </row>
    <row r="1845" spans="1:10" x14ac:dyDescent="0.3">
      <c r="A1845" t="str">
        <f>""</f>
        <v/>
      </c>
      <c r="B1845" t="str">
        <f>""</f>
        <v/>
      </c>
      <c r="G1845" t="str">
        <f>""</f>
        <v/>
      </c>
      <c r="H1845" t="str">
        <f>""</f>
        <v/>
      </c>
      <c r="J1845" t="str">
        <f t="shared" si="55"/>
        <v>BCBS PAYABLE</v>
      </c>
    </row>
    <row r="1846" spans="1:10" x14ac:dyDescent="0.3">
      <c r="A1846" t="str">
        <f>""</f>
        <v/>
      </c>
      <c r="B1846" t="str">
        <f>""</f>
        <v/>
      </c>
      <c r="G1846" t="str">
        <f>""</f>
        <v/>
      </c>
      <c r="H1846" t="str">
        <f>""</f>
        <v/>
      </c>
      <c r="J1846" t="str">
        <f t="shared" si="55"/>
        <v>BCBS PAYABLE</v>
      </c>
    </row>
    <row r="1847" spans="1:10" x14ac:dyDescent="0.3">
      <c r="A1847" t="str">
        <f>""</f>
        <v/>
      </c>
      <c r="B1847" t="str">
        <f>""</f>
        <v/>
      </c>
      <c r="G1847" t="str">
        <f>""</f>
        <v/>
      </c>
      <c r="H1847" t="str">
        <f>""</f>
        <v/>
      </c>
      <c r="J1847" t="str">
        <f t="shared" si="55"/>
        <v>BCBS PAYABLE</v>
      </c>
    </row>
    <row r="1848" spans="1:10" x14ac:dyDescent="0.3">
      <c r="A1848" t="str">
        <f>""</f>
        <v/>
      </c>
      <c r="B1848" t="str">
        <f>""</f>
        <v/>
      </c>
      <c r="G1848" t="str">
        <f>""</f>
        <v/>
      </c>
      <c r="H1848" t="str">
        <f>""</f>
        <v/>
      </c>
      <c r="J1848" t="str">
        <f t="shared" si="55"/>
        <v>BCBS PAYABLE</v>
      </c>
    </row>
    <row r="1849" spans="1:10" x14ac:dyDescent="0.3">
      <c r="A1849" t="str">
        <f>""</f>
        <v/>
      </c>
      <c r="B1849" t="str">
        <f>""</f>
        <v/>
      </c>
      <c r="G1849" t="str">
        <f>""</f>
        <v/>
      </c>
      <c r="H1849" t="str">
        <f>""</f>
        <v/>
      </c>
      <c r="J1849" t="str">
        <f t="shared" si="55"/>
        <v>BCBS PAYABLE</v>
      </c>
    </row>
    <row r="1850" spans="1:10" x14ac:dyDescent="0.3">
      <c r="A1850" t="str">
        <f>""</f>
        <v/>
      </c>
      <c r="B1850" t="str">
        <f>""</f>
        <v/>
      </c>
      <c r="G1850" t="str">
        <f>""</f>
        <v/>
      </c>
      <c r="H1850" t="str">
        <f>""</f>
        <v/>
      </c>
      <c r="J1850" t="str">
        <f t="shared" si="55"/>
        <v>BCBS PAYABLE</v>
      </c>
    </row>
    <row r="1851" spans="1:10" x14ac:dyDescent="0.3">
      <c r="A1851" t="str">
        <f>""</f>
        <v/>
      </c>
      <c r="B1851" t="str">
        <f>""</f>
        <v/>
      </c>
      <c r="G1851" t="str">
        <f>""</f>
        <v/>
      </c>
      <c r="H1851" t="str">
        <f>""</f>
        <v/>
      </c>
      <c r="J1851" t="str">
        <f t="shared" si="55"/>
        <v>BCBS PAYABLE</v>
      </c>
    </row>
    <row r="1852" spans="1:10" x14ac:dyDescent="0.3">
      <c r="A1852" t="str">
        <f>""</f>
        <v/>
      </c>
      <c r="B1852" t="str">
        <f>""</f>
        <v/>
      </c>
      <c r="G1852" t="str">
        <f>""</f>
        <v/>
      </c>
      <c r="H1852" t="str">
        <f>""</f>
        <v/>
      </c>
      <c r="J1852" t="str">
        <f t="shared" si="55"/>
        <v>BCBS PAYABLE</v>
      </c>
    </row>
    <row r="1853" spans="1:10" x14ac:dyDescent="0.3">
      <c r="A1853" t="str">
        <f>""</f>
        <v/>
      </c>
      <c r="B1853" t="str">
        <f>""</f>
        <v/>
      </c>
      <c r="G1853" t="str">
        <f>""</f>
        <v/>
      </c>
      <c r="H1853" t="str">
        <f>""</f>
        <v/>
      </c>
      <c r="J1853" t="str">
        <f t="shared" si="55"/>
        <v>BCBS PAYABLE</v>
      </c>
    </row>
    <row r="1854" spans="1:10" x14ac:dyDescent="0.3">
      <c r="A1854" t="str">
        <f>""</f>
        <v/>
      </c>
      <c r="B1854" t="str">
        <f>""</f>
        <v/>
      </c>
      <c r="G1854" t="str">
        <f>""</f>
        <v/>
      </c>
      <c r="H1854" t="str">
        <f>""</f>
        <v/>
      </c>
      <c r="J1854" t="str">
        <f t="shared" si="55"/>
        <v>BCBS PAYABLE</v>
      </c>
    </row>
    <row r="1855" spans="1:10" x14ac:dyDescent="0.3">
      <c r="A1855" t="str">
        <f>""</f>
        <v/>
      </c>
      <c r="B1855" t="str">
        <f>""</f>
        <v/>
      </c>
      <c r="G1855" t="str">
        <f>""</f>
        <v/>
      </c>
      <c r="H1855" t="str">
        <f>""</f>
        <v/>
      </c>
      <c r="J1855" t="str">
        <f t="shared" si="55"/>
        <v>BCBS PAYABLE</v>
      </c>
    </row>
    <row r="1856" spans="1:10" x14ac:dyDescent="0.3">
      <c r="A1856" t="str">
        <f>""</f>
        <v/>
      </c>
      <c r="B1856" t="str">
        <f>""</f>
        <v/>
      </c>
      <c r="G1856" t="str">
        <f>""</f>
        <v/>
      </c>
      <c r="H1856" t="str">
        <f>""</f>
        <v/>
      </c>
      <c r="J1856" t="str">
        <f t="shared" si="55"/>
        <v>BCBS PAYABLE</v>
      </c>
    </row>
    <row r="1857" spans="1:10" x14ac:dyDescent="0.3">
      <c r="A1857" t="str">
        <f>""</f>
        <v/>
      </c>
      <c r="B1857" t="str">
        <f>""</f>
        <v/>
      </c>
      <c r="G1857" t="str">
        <f>""</f>
        <v/>
      </c>
      <c r="H1857" t="str">
        <f>""</f>
        <v/>
      </c>
      <c r="J1857" t="str">
        <f t="shared" si="55"/>
        <v>BCBS PAYABLE</v>
      </c>
    </row>
    <row r="1858" spans="1:10" x14ac:dyDescent="0.3">
      <c r="A1858" t="str">
        <f>""</f>
        <v/>
      </c>
      <c r="B1858" t="str">
        <f>""</f>
        <v/>
      </c>
      <c r="G1858" t="str">
        <f>""</f>
        <v/>
      </c>
      <c r="H1858" t="str">
        <f>""</f>
        <v/>
      </c>
      <c r="J1858" t="str">
        <f t="shared" si="55"/>
        <v>BCBS PAYABLE</v>
      </c>
    </row>
    <row r="1859" spans="1:10" x14ac:dyDescent="0.3">
      <c r="A1859" t="str">
        <f>""</f>
        <v/>
      </c>
      <c r="B1859" t="str">
        <f>""</f>
        <v/>
      </c>
      <c r="G1859" t="str">
        <f>""</f>
        <v/>
      </c>
      <c r="H1859" t="str">
        <f>""</f>
        <v/>
      </c>
      <c r="J1859" t="str">
        <f t="shared" si="55"/>
        <v>BCBS PAYABLE</v>
      </c>
    </row>
    <row r="1860" spans="1:10" x14ac:dyDescent="0.3">
      <c r="A1860" t="str">
        <f>""</f>
        <v/>
      </c>
      <c r="B1860" t="str">
        <f>""</f>
        <v/>
      </c>
      <c r="G1860" t="str">
        <f>""</f>
        <v/>
      </c>
      <c r="H1860" t="str">
        <f>""</f>
        <v/>
      </c>
      <c r="J1860" t="str">
        <f t="shared" si="55"/>
        <v>BCBS PAYABLE</v>
      </c>
    </row>
    <row r="1861" spans="1:10" x14ac:dyDescent="0.3">
      <c r="A1861" t="str">
        <f>""</f>
        <v/>
      </c>
      <c r="B1861" t="str">
        <f>""</f>
        <v/>
      </c>
      <c r="G1861" t="str">
        <f>""</f>
        <v/>
      </c>
      <c r="H1861" t="str">
        <f>""</f>
        <v/>
      </c>
      <c r="J1861" t="str">
        <f t="shared" si="55"/>
        <v>BCBS PAYABLE</v>
      </c>
    </row>
    <row r="1862" spans="1:10" x14ac:dyDescent="0.3">
      <c r="A1862" t="str">
        <f>""</f>
        <v/>
      </c>
      <c r="B1862" t="str">
        <f>""</f>
        <v/>
      </c>
      <c r="G1862" t="str">
        <f>""</f>
        <v/>
      </c>
      <c r="H1862" t="str">
        <f>""</f>
        <v/>
      </c>
      <c r="J1862" t="str">
        <f t="shared" si="55"/>
        <v>BCBS PAYABLE</v>
      </c>
    </row>
    <row r="1863" spans="1:10" x14ac:dyDescent="0.3">
      <c r="A1863" t="str">
        <f>""</f>
        <v/>
      </c>
      <c r="B1863" t="str">
        <f>""</f>
        <v/>
      </c>
      <c r="G1863" t="str">
        <f>""</f>
        <v/>
      </c>
      <c r="H1863" t="str">
        <f>""</f>
        <v/>
      </c>
      <c r="J1863" t="str">
        <f t="shared" si="55"/>
        <v>BCBS PAYABLE</v>
      </c>
    </row>
    <row r="1864" spans="1:10" x14ac:dyDescent="0.3">
      <c r="A1864" t="str">
        <f>""</f>
        <v/>
      </c>
      <c r="B1864" t="str">
        <f>""</f>
        <v/>
      </c>
      <c r="G1864" t="str">
        <f>""</f>
        <v/>
      </c>
      <c r="H1864" t="str">
        <f>""</f>
        <v/>
      </c>
      <c r="J1864" t="str">
        <f t="shared" si="55"/>
        <v>BCBS PAYABLE</v>
      </c>
    </row>
    <row r="1865" spans="1:10" x14ac:dyDescent="0.3">
      <c r="A1865" t="str">
        <f>""</f>
        <v/>
      </c>
      <c r="B1865" t="str">
        <f>""</f>
        <v/>
      </c>
      <c r="G1865" t="str">
        <f>""</f>
        <v/>
      </c>
      <c r="H1865" t="str">
        <f>""</f>
        <v/>
      </c>
      <c r="J1865" t="str">
        <f t="shared" si="55"/>
        <v>BCBS PAYABLE</v>
      </c>
    </row>
    <row r="1866" spans="1:10" x14ac:dyDescent="0.3">
      <c r="A1866" t="str">
        <f>""</f>
        <v/>
      </c>
      <c r="B1866" t="str">
        <f>""</f>
        <v/>
      </c>
      <c r="G1866" t="str">
        <f>""</f>
        <v/>
      </c>
      <c r="H1866" t="str">
        <f>""</f>
        <v/>
      </c>
      <c r="J1866" t="str">
        <f t="shared" ref="J1866:J1897" si="56">"BCBS PAYABLE"</f>
        <v>BCBS PAYABLE</v>
      </c>
    </row>
    <row r="1867" spans="1:10" x14ac:dyDescent="0.3">
      <c r="A1867" t="str">
        <f>""</f>
        <v/>
      </c>
      <c r="B1867" t="str">
        <f>""</f>
        <v/>
      </c>
      <c r="G1867" t="str">
        <f>"2EC201801118130"</f>
        <v>2EC201801118130</v>
      </c>
      <c r="H1867" t="str">
        <f>"BCBS PAYABLE"</f>
        <v>BCBS PAYABLE</v>
      </c>
      <c r="I1867" s="2">
        <v>1795.24</v>
      </c>
      <c r="J1867" t="str">
        <f t="shared" si="56"/>
        <v>BCBS PAYABLE</v>
      </c>
    </row>
    <row r="1868" spans="1:10" x14ac:dyDescent="0.3">
      <c r="A1868" t="str">
        <f>""</f>
        <v/>
      </c>
      <c r="B1868" t="str">
        <f>""</f>
        <v/>
      </c>
      <c r="G1868" t="str">
        <f>""</f>
        <v/>
      </c>
      <c r="H1868" t="str">
        <f>""</f>
        <v/>
      </c>
      <c r="J1868" t="str">
        <f t="shared" si="56"/>
        <v>BCBS PAYABLE</v>
      </c>
    </row>
    <row r="1869" spans="1:10" x14ac:dyDescent="0.3">
      <c r="A1869" t="str">
        <f>""</f>
        <v/>
      </c>
      <c r="B1869" t="str">
        <f>""</f>
        <v/>
      </c>
      <c r="G1869" t="str">
        <f>"2EC201801248226"</f>
        <v>2EC201801248226</v>
      </c>
      <c r="H1869" t="str">
        <f>"BCBS PAYABLE"</f>
        <v>BCBS PAYABLE</v>
      </c>
      <c r="I1869" s="2">
        <v>1795.24</v>
      </c>
      <c r="J1869" t="str">
        <f t="shared" si="56"/>
        <v>BCBS PAYABLE</v>
      </c>
    </row>
    <row r="1870" spans="1:10" x14ac:dyDescent="0.3">
      <c r="A1870" t="str">
        <f>""</f>
        <v/>
      </c>
      <c r="B1870" t="str">
        <f>""</f>
        <v/>
      </c>
      <c r="G1870" t="str">
        <f>""</f>
        <v/>
      </c>
      <c r="H1870" t="str">
        <f>""</f>
        <v/>
      </c>
      <c r="J1870" t="str">
        <f t="shared" si="56"/>
        <v>BCBS PAYABLE</v>
      </c>
    </row>
    <row r="1871" spans="1:10" x14ac:dyDescent="0.3">
      <c r="A1871" t="str">
        <f>""</f>
        <v/>
      </c>
      <c r="B1871" t="str">
        <f>""</f>
        <v/>
      </c>
      <c r="G1871" t="str">
        <f>"2EC201801248228"</f>
        <v>2EC201801248228</v>
      </c>
      <c r="H1871" t="str">
        <f>"BCBS PAYABLE"</f>
        <v>BCBS PAYABLE</v>
      </c>
      <c r="I1871" s="2">
        <v>44881</v>
      </c>
      <c r="J1871" t="str">
        <f t="shared" si="56"/>
        <v>BCBS PAYABLE</v>
      </c>
    </row>
    <row r="1872" spans="1:10" x14ac:dyDescent="0.3">
      <c r="A1872" t="str">
        <f>""</f>
        <v/>
      </c>
      <c r="B1872" t="str">
        <f>""</f>
        <v/>
      </c>
      <c r="G1872" t="str">
        <f>""</f>
        <v/>
      </c>
      <c r="H1872" t="str">
        <f>""</f>
        <v/>
      </c>
      <c r="J1872" t="str">
        <f t="shared" si="56"/>
        <v>BCBS PAYABLE</v>
      </c>
    </row>
    <row r="1873" spans="1:10" x14ac:dyDescent="0.3">
      <c r="A1873" t="str">
        <f>""</f>
        <v/>
      </c>
      <c r="B1873" t="str">
        <f>""</f>
        <v/>
      </c>
      <c r="G1873" t="str">
        <f>""</f>
        <v/>
      </c>
      <c r="H1873" t="str">
        <f>""</f>
        <v/>
      </c>
      <c r="J1873" t="str">
        <f t="shared" si="56"/>
        <v>BCBS PAYABLE</v>
      </c>
    </row>
    <row r="1874" spans="1:10" x14ac:dyDescent="0.3">
      <c r="A1874" t="str">
        <f>""</f>
        <v/>
      </c>
      <c r="B1874" t="str">
        <f>""</f>
        <v/>
      </c>
      <c r="G1874" t="str">
        <f>""</f>
        <v/>
      </c>
      <c r="H1874" t="str">
        <f>""</f>
        <v/>
      </c>
      <c r="J1874" t="str">
        <f t="shared" si="56"/>
        <v>BCBS PAYABLE</v>
      </c>
    </row>
    <row r="1875" spans="1:10" x14ac:dyDescent="0.3">
      <c r="A1875" t="str">
        <f>""</f>
        <v/>
      </c>
      <c r="B1875" t="str">
        <f>""</f>
        <v/>
      </c>
      <c r="G1875" t="str">
        <f>""</f>
        <v/>
      </c>
      <c r="H1875" t="str">
        <f>""</f>
        <v/>
      </c>
      <c r="J1875" t="str">
        <f t="shared" si="56"/>
        <v>BCBS PAYABLE</v>
      </c>
    </row>
    <row r="1876" spans="1:10" x14ac:dyDescent="0.3">
      <c r="A1876" t="str">
        <f>""</f>
        <v/>
      </c>
      <c r="B1876" t="str">
        <f>""</f>
        <v/>
      </c>
      <c r="G1876" t="str">
        <f>""</f>
        <v/>
      </c>
      <c r="H1876" t="str">
        <f>""</f>
        <v/>
      </c>
      <c r="J1876" t="str">
        <f t="shared" si="56"/>
        <v>BCBS PAYABLE</v>
      </c>
    </row>
    <row r="1877" spans="1:10" x14ac:dyDescent="0.3">
      <c r="A1877" t="str">
        <f>""</f>
        <v/>
      </c>
      <c r="B1877" t="str">
        <f>""</f>
        <v/>
      </c>
      <c r="G1877" t="str">
        <f>""</f>
        <v/>
      </c>
      <c r="H1877" t="str">
        <f>""</f>
        <v/>
      </c>
      <c r="J1877" t="str">
        <f t="shared" si="56"/>
        <v>BCBS PAYABLE</v>
      </c>
    </row>
    <row r="1878" spans="1:10" x14ac:dyDescent="0.3">
      <c r="A1878" t="str">
        <f>""</f>
        <v/>
      </c>
      <c r="B1878" t="str">
        <f>""</f>
        <v/>
      </c>
      <c r="G1878" t="str">
        <f>""</f>
        <v/>
      </c>
      <c r="H1878" t="str">
        <f>""</f>
        <v/>
      </c>
      <c r="J1878" t="str">
        <f t="shared" si="56"/>
        <v>BCBS PAYABLE</v>
      </c>
    </row>
    <row r="1879" spans="1:10" x14ac:dyDescent="0.3">
      <c r="A1879" t="str">
        <f>""</f>
        <v/>
      </c>
      <c r="B1879" t="str">
        <f>""</f>
        <v/>
      </c>
      <c r="G1879" t="str">
        <f>""</f>
        <v/>
      </c>
      <c r="H1879" t="str">
        <f>""</f>
        <v/>
      </c>
      <c r="J1879" t="str">
        <f t="shared" si="56"/>
        <v>BCBS PAYABLE</v>
      </c>
    </row>
    <row r="1880" spans="1:10" x14ac:dyDescent="0.3">
      <c r="A1880" t="str">
        <f>""</f>
        <v/>
      </c>
      <c r="B1880" t="str">
        <f>""</f>
        <v/>
      </c>
      <c r="G1880" t="str">
        <f>""</f>
        <v/>
      </c>
      <c r="H1880" t="str">
        <f>""</f>
        <v/>
      </c>
      <c r="J1880" t="str">
        <f t="shared" si="56"/>
        <v>BCBS PAYABLE</v>
      </c>
    </row>
    <row r="1881" spans="1:10" x14ac:dyDescent="0.3">
      <c r="A1881" t="str">
        <f>""</f>
        <v/>
      </c>
      <c r="B1881" t="str">
        <f>""</f>
        <v/>
      </c>
      <c r="G1881" t="str">
        <f>""</f>
        <v/>
      </c>
      <c r="H1881" t="str">
        <f>""</f>
        <v/>
      </c>
      <c r="J1881" t="str">
        <f t="shared" si="56"/>
        <v>BCBS PAYABLE</v>
      </c>
    </row>
    <row r="1882" spans="1:10" x14ac:dyDescent="0.3">
      <c r="A1882" t="str">
        <f>""</f>
        <v/>
      </c>
      <c r="B1882" t="str">
        <f>""</f>
        <v/>
      </c>
      <c r="G1882" t="str">
        <f>""</f>
        <v/>
      </c>
      <c r="H1882" t="str">
        <f>""</f>
        <v/>
      </c>
      <c r="J1882" t="str">
        <f t="shared" si="56"/>
        <v>BCBS PAYABLE</v>
      </c>
    </row>
    <row r="1883" spans="1:10" x14ac:dyDescent="0.3">
      <c r="A1883" t="str">
        <f>""</f>
        <v/>
      </c>
      <c r="B1883" t="str">
        <f>""</f>
        <v/>
      </c>
      <c r="G1883" t="str">
        <f>""</f>
        <v/>
      </c>
      <c r="H1883" t="str">
        <f>""</f>
        <v/>
      </c>
      <c r="J1883" t="str">
        <f t="shared" si="56"/>
        <v>BCBS PAYABLE</v>
      </c>
    </row>
    <row r="1884" spans="1:10" x14ac:dyDescent="0.3">
      <c r="A1884" t="str">
        <f>""</f>
        <v/>
      </c>
      <c r="B1884" t="str">
        <f>""</f>
        <v/>
      </c>
      <c r="G1884" t="str">
        <f>""</f>
        <v/>
      </c>
      <c r="H1884" t="str">
        <f>""</f>
        <v/>
      </c>
      <c r="J1884" t="str">
        <f t="shared" si="56"/>
        <v>BCBS PAYABLE</v>
      </c>
    </row>
    <row r="1885" spans="1:10" x14ac:dyDescent="0.3">
      <c r="A1885" t="str">
        <f>""</f>
        <v/>
      </c>
      <c r="B1885" t="str">
        <f>""</f>
        <v/>
      </c>
      <c r="G1885" t="str">
        <f>""</f>
        <v/>
      </c>
      <c r="H1885" t="str">
        <f>""</f>
        <v/>
      </c>
      <c r="J1885" t="str">
        <f t="shared" si="56"/>
        <v>BCBS PAYABLE</v>
      </c>
    </row>
    <row r="1886" spans="1:10" x14ac:dyDescent="0.3">
      <c r="A1886" t="str">
        <f>""</f>
        <v/>
      </c>
      <c r="B1886" t="str">
        <f>""</f>
        <v/>
      </c>
      <c r="G1886" t="str">
        <f>""</f>
        <v/>
      </c>
      <c r="H1886" t="str">
        <f>""</f>
        <v/>
      </c>
      <c r="J1886" t="str">
        <f t="shared" si="56"/>
        <v>BCBS PAYABLE</v>
      </c>
    </row>
    <row r="1887" spans="1:10" x14ac:dyDescent="0.3">
      <c r="A1887" t="str">
        <f>""</f>
        <v/>
      </c>
      <c r="B1887" t="str">
        <f>""</f>
        <v/>
      </c>
      <c r="G1887" t="str">
        <f>""</f>
        <v/>
      </c>
      <c r="H1887" t="str">
        <f>""</f>
        <v/>
      </c>
      <c r="J1887" t="str">
        <f t="shared" si="56"/>
        <v>BCBS PAYABLE</v>
      </c>
    </row>
    <row r="1888" spans="1:10" x14ac:dyDescent="0.3">
      <c r="A1888" t="str">
        <f>""</f>
        <v/>
      </c>
      <c r="B1888" t="str">
        <f>""</f>
        <v/>
      </c>
      <c r="G1888" t="str">
        <f>""</f>
        <v/>
      </c>
      <c r="H1888" t="str">
        <f>""</f>
        <v/>
      </c>
      <c r="J1888" t="str">
        <f t="shared" si="56"/>
        <v>BCBS PAYABLE</v>
      </c>
    </row>
    <row r="1889" spans="1:10" x14ac:dyDescent="0.3">
      <c r="A1889" t="str">
        <f>""</f>
        <v/>
      </c>
      <c r="B1889" t="str">
        <f>""</f>
        <v/>
      </c>
      <c r="G1889" t="str">
        <f>""</f>
        <v/>
      </c>
      <c r="H1889" t="str">
        <f>""</f>
        <v/>
      </c>
      <c r="J1889" t="str">
        <f t="shared" si="56"/>
        <v>BCBS PAYABLE</v>
      </c>
    </row>
    <row r="1890" spans="1:10" x14ac:dyDescent="0.3">
      <c r="A1890" t="str">
        <f>""</f>
        <v/>
      </c>
      <c r="B1890" t="str">
        <f>""</f>
        <v/>
      </c>
      <c r="G1890" t="str">
        <f>""</f>
        <v/>
      </c>
      <c r="H1890" t="str">
        <f>""</f>
        <v/>
      </c>
      <c r="J1890" t="str">
        <f t="shared" si="56"/>
        <v>BCBS PAYABLE</v>
      </c>
    </row>
    <row r="1891" spans="1:10" x14ac:dyDescent="0.3">
      <c r="A1891" t="str">
        <f>""</f>
        <v/>
      </c>
      <c r="B1891" t="str">
        <f>""</f>
        <v/>
      </c>
      <c r="G1891" t="str">
        <f>""</f>
        <v/>
      </c>
      <c r="H1891" t="str">
        <f>""</f>
        <v/>
      </c>
      <c r="J1891" t="str">
        <f t="shared" si="56"/>
        <v>BCBS PAYABLE</v>
      </c>
    </row>
    <row r="1892" spans="1:10" x14ac:dyDescent="0.3">
      <c r="A1892" t="str">
        <f>""</f>
        <v/>
      </c>
      <c r="B1892" t="str">
        <f>""</f>
        <v/>
      </c>
      <c r="G1892" t="str">
        <f>""</f>
        <v/>
      </c>
      <c r="H1892" t="str">
        <f>""</f>
        <v/>
      </c>
      <c r="J1892" t="str">
        <f t="shared" si="56"/>
        <v>BCBS PAYABLE</v>
      </c>
    </row>
    <row r="1893" spans="1:10" x14ac:dyDescent="0.3">
      <c r="A1893" t="str">
        <f>""</f>
        <v/>
      </c>
      <c r="B1893" t="str">
        <f>""</f>
        <v/>
      </c>
      <c r="G1893" t="str">
        <f>""</f>
        <v/>
      </c>
      <c r="H1893" t="str">
        <f>""</f>
        <v/>
      </c>
      <c r="J1893" t="str">
        <f t="shared" si="56"/>
        <v>BCBS PAYABLE</v>
      </c>
    </row>
    <row r="1894" spans="1:10" x14ac:dyDescent="0.3">
      <c r="A1894" t="str">
        <f>""</f>
        <v/>
      </c>
      <c r="B1894" t="str">
        <f>""</f>
        <v/>
      </c>
      <c r="G1894" t="str">
        <f>""</f>
        <v/>
      </c>
      <c r="H1894" t="str">
        <f>""</f>
        <v/>
      </c>
      <c r="J1894" t="str">
        <f t="shared" si="56"/>
        <v>BCBS PAYABLE</v>
      </c>
    </row>
    <row r="1895" spans="1:10" x14ac:dyDescent="0.3">
      <c r="A1895" t="str">
        <f>""</f>
        <v/>
      </c>
      <c r="B1895" t="str">
        <f>""</f>
        <v/>
      </c>
      <c r="G1895" t="str">
        <f>""</f>
        <v/>
      </c>
      <c r="H1895" t="str">
        <f>""</f>
        <v/>
      </c>
      <c r="J1895" t="str">
        <f t="shared" si="56"/>
        <v>BCBS PAYABLE</v>
      </c>
    </row>
    <row r="1896" spans="1:10" x14ac:dyDescent="0.3">
      <c r="A1896" t="str">
        <f>""</f>
        <v/>
      </c>
      <c r="B1896" t="str">
        <f>""</f>
        <v/>
      </c>
      <c r="G1896" t="str">
        <f>""</f>
        <v/>
      </c>
      <c r="H1896" t="str">
        <f>""</f>
        <v/>
      </c>
      <c r="J1896" t="str">
        <f t="shared" si="56"/>
        <v>BCBS PAYABLE</v>
      </c>
    </row>
    <row r="1897" spans="1:10" x14ac:dyDescent="0.3">
      <c r="A1897" t="str">
        <f>""</f>
        <v/>
      </c>
      <c r="B1897" t="str">
        <f>""</f>
        <v/>
      </c>
      <c r="G1897" t="str">
        <f>""</f>
        <v/>
      </c>
      <c r="H1897" t="str">
        <f>""</f>
        <v/>
      </c>
      <c r="J1897" t="str">
        <f t="shared" si="56"/>
        <v>BCBS PAYABLE</v>
      </c>
    </row>
    <row r="1898" spans="1:10" x14ac:dyDescent="0.3">
      <c r="A1898" t="str">
        <f>""</f>
        <v/>
      </c>
      <c r="B1898" t="str">
        <f>""</f>
        <v/>
      </c>
      <c r="G1898" t="str">
        <f>""</f>
        <v/>
      </c>
      <c r="H1898" t="str">
        <f>""</f>
        <v/>
      </c>
      <c r="J1898" t="str">
        <f t="shared" ref="J1898:J1929" si="57">"BCBS PAYABLE"</f>
        <v>BCBS PAYABLE</v>
      </c>
    </row>
    <row r="1899" spans="1:10" x14ac:dyDescent="0.3">
      <c r="A1899" t="str">
        <f>""</f>
        <v/>
      </c>
      <c r="B1899" t="str">
        <f>""</f>
        <v/>
      </c>
      <c r="G1899" t="str">
        <f>""</f>
        <v/>
      </c>
      <c r="H1899" t="str">
        <f>""</f>
        <v/>
      </c>
      <c r="J1899" t="str">
        <f t="shared" si="57"/>
        <v>BCBS PAYABLE</v>
      </c>
    </row>
    <row r="1900" spans="1:10" x14ac:dyDescent="0.3">
      <c r="A1900" t="str">
        <f>""</f>
        <v/>
      </c>
      <c r="B1900" t="str">
        <f>""</f>
        <v/>
      </c>
      <c r="G1900" t="str">
        <f>""</f>
        <v/>
      </c>
      <c r="H1900" t="str">
        <f>""</f>
        <v/>
      </c>
      <c r="J1900" t="str">
        <f t="shared" si="57"/>
        <v>BCBS PAYABLE</v>
      </c>
    </row>
    <row r="1901" spans="1:10" x14ac:dyDescent="0.3">
      <c r="A1901" t="str">
        <f>""</f>
        <v/>
      </c>
      <c r="B1901" t="str">
        <f>""</f>
        <v/>
      </c>
      <c r="G1901" t="str">
        <f>""</f>
        <v/>
      </c>
      <c r="H1901" t="str">
        <f>""</f>
        <v/>
      </c>
      <c r="J1901" t="str">
        <f t="shared" si="57"/>
        <v>BCBS PAYABLE</v>
      </c>
    </row>
    <row r="1902" spans="1:10" x14ac:dyDescent="0.3">
      <c r="A1902" t="str">
        <f>""</f>
        <v/>
      </c>
      <c r="B1902" t="str">
        <f>""</f>
        <v/>
      </c>
      <c r="G1902" t="str">
        <f>""</f>
        <v/>
      </c>
      <c r="H1902" t="str">
        <f>""</f>
        <v/>
      </c>
      <c r="J1902" t="str">
        <f t="shared" si="57"/>
        <v>BCBS PAYABLE</v>
      </c>
    </row>
    <row r="1903" spans="1:10" x14ac:dyDescent="0.3">
      <c r="A1903" t="str">
        <f>""</f>
        <v/>
      </c>
      <c r="B1903" t="str">
        <f>""</f>
        <v/>
      </c>
      <c r="G1903" t="str">
        <f>""</f>
        <v/>
      </c>
      <c r="H1903" t="str">
        <f>""</f>
        <v/>
      </c>
      <c r="J1903" t="str">
        <f t="shared" si="57"/>
        <v>BCBS PAYABLE</v>
      </c>
    </row>
    <row r="1904" spans="1:10" x14ac:dyDescent="0.3">
      <c r="A1904" t="str">
        <f>""</f>
        <v/>
      </c>
      <c r="B1904" t="str">
        <f>""</f>
        <v/>
      </c>
      <c r="G1904" t="str">
        <f>"2EF201801118129"</f>
        <v>2EF201801118129</v>
      </c>
      <c r="H1904" t="str">
        <f>"BCBS PAYABLE"</f>
        <v>BCBS PAYABLE</v>
      </c>
      <c r="I1904" s="2">
        <v>2675.61</v>
      </c>
      <c r="J1904" t="str">
        <f t="shared" si="57"/>
        <v>BCBS PAYABLE</v>
      </c>
    </row>
    <row r="1905" spans="1:10" x14ac:dyDescent="0.3">
      <c r="A1905" t="str">
        <f>""</f>
        <v/>
      </c>
      <c r="B1905" t="str">
        <f>""</f>
        <v/>
      </c>
      <c r="G1905" t="str">
        <f>""</f>
        <v/>
      </c>
      <c r="H1905" t="str">
        <f>""</f>
        <v/>
      </c>
      <c r="J1905" t="str">
        <f t="shared" si="57"/>
        <v>BCBS PAYABLE</v>
      </c>
    </row>
    <row r="1906" spans="1:10" x14ac:dyDescent="0.3">
      <c r="A1906" t="str">
        <f>""</f>
        <v/>
      </c>
      <c r="B1906" t="str">
        <f>""</f>
        <v/>
      </c>
      <c r="G1906" t="str">
        <f>""</f>
        <v/>
      </c>
      <c r="H1906" t="str">
        <f>""</f>
        <v/>
      </c>
      <c r="J1906" t="str">
        <f t="shared" si="57"/>
        <v>BCBS PAYABLE</v>
      </c>
    </row>
    <row r="1907" spans="1:10" x14ac:dyDescent="0.3">
      <c r="A1907" t="str">
        <f>""</f>
        <v/>
      </c>
      <c r="B1907" t="str">
        <f>""</f>
        <v/>
      </c>
      <c r="G1907" t="str">
        <f>""</f>
        <v/>
      </c>
      <c r="H1907" t="str">
        <f>""</f>
        <v/>
      </c>
      <c r="J1907" t="str">
        <f t="shared" si="57"/>
        <v>BCBS PAYABLE</v>
      </c>
    </row>
    <row r="1908" spans="1:10" x14ac:dyDescent="0.3">
      <c r="A1908" t="str">
        <f>""</f>
        <v/>
      </c>
      <c r="B1908" t="str">
        <f>""</f>
        <v/>
      </c>
      <c r="G1908" t="str">
        <f>"2EF201801248228"</f>
        <v>2EF201801248228</v>
      </c>
      <c r="H1908" t="str">
        <f>"BCBS PAYABLE"</f>
        <v>BCBS PAYABLE</v>
      </c>
      <c r="I1908" s="2">
        <v>2675.61</v>
      </c>
      <c r="J1908" t="str">
        <f t="shared" si="57"/>
        <v>BCBS PAYABLE</v>
      </c>
    </row>
    <row r="1909" spans="1:10" x14ac:dyDescent="0.3">
      <c r="A1909" t="str">
        <f>""</f>
        <v/>
      </c>
      <c r="B1909" t="str">
        <f>""</f>
        <v/>
      </c>
      <c r="G1909" t="str">
        <f>""</f>
        <v/>
      </c>
      <c r="H1909" t="str">
        <f>""</f>
        <v/>
      </c>
      <c r="J1909" t="str">
        <f t="shared" si="57"/>
        <v>BCBS PAYABLE</v>
      </c>
    </row>
    <row r="1910" spans="1:10" x14ac:dyDescent="0.3">
      <c r="A1910" t="str">
        <f>""</f>
        <v/>
      </c>
      <c r="B1910" t="str">
        <f>""</f>
        <v/>
      </c>
      <c r="G1910" t="str">
        <f>""</f>
        <v/>
      </c>
      <c r="H1910" t="str">
        <f>""</f>
        <v/>
      </c>
      <c r="J1910" t="str">
        <f t="shared" si="57"/>
        <v>BCBS PAYABLE</v>
      </c>
    </row>
    <row r="1911" spans="1:10" x14ac:dyDescent="0.3">
      <c r="A1911" t="str">
        <f>""</f>
        <v/>
      </c>
      <c r="B1911" t="str">
        <f>""</f>
        <v/>
      </c>
      <c r="G1911" t="str">
        <f>""</f>
        <v/>
      </c>
      <c r="H1911" t="str">
        <f>""</f>
        <v/>
      </c>
      <c r="J1911" t="str">
        <f t="shared" si="57"/>
        <v>BCBS PAYABLE</v>
      </c>
    </row>
    <row r="1912" spans="1:10" x14ac:dyDescent="0.3">
      <c r="A1912" t="str">
        <f>""</f>
        <v/>
      </c>
      <c r="B1912" t="str">
        <f>""</f>
        <v/>
      </c>
      <c r="G1912" t="str">
        <f>"2EO201801118129"</f>
        <v>2EO201801118129</v>
      </c>
      <c r="H1912" t="str">
        <f>"BCBS PAYABLE"</f>
        <v>BCBS PAYABLE</v>
      </c>
      <c r="I1912" s="2">
        <v>88489.63</v>
      </c>
      <c r="J1912" t="str">
        <f t="shared" si="57"/>
        <v>BCBS PAYABLE</v>
      </c>
    </row>
    <row r="1913" spans="1:10" x14ac:dyDescent="0.3">
      <c r="A1913" t="str">
        <f>""</f>
        <v/>
      </c>
      <c r="B1913" t="str">
        <f>""</f>
        <v/>
      </c>
      <c r="G1913" t="str">
        <f>""</f>
        <v/>
      </c>
      <c r="H1913" t="str">
        <f>""</f>
        <v/>
      </c>
      <c r="J1913" t="str">
        <f t="shared" si="57"/>
        <v>BCBS PAYABLE</v>
      </c>
    </row>
    <row r="1914" spans="1:10" x14ac:dyDescent="0.3">
      <c r="A1914" t="str">
        <f>""</f>
        <v/>
      </c>
      <c r="B1914" t="str">
        <f>""</f>
        <v/>
      </c>
      <c r="G1914" t="str">
        <f>""</f>
        <v/>
      </c>
      <c r="H1914" t="str">
        <f>""</f>
        <v/>
      </c>
      <c r="J1914" t="str">
        <f t="shared" si="57"/>
        <v>BCBS PAYABLE</v>
      </c>
    </row>
    <row r="1915" spans="1:10" x14ac:dyDescent="0.3">
      <c r="A1915" t="str">
        <f>""</f>
        <v/>
      </c>
      <c r="B1915" t="str">
        <f>""</f>
        <v/>
      </c>
      <c r="G1915" t="str">
        <f>""</f>
        <v/>
      </c>
      <c r="H1915" t="str">
        <f>""</f>
        <v/>
      </c>
      <c r="J1915" t="str">
        <f t="shared" si="57"/>
        <v>BCBS PAYABLE</v>
      </c>
    </row>
    <row r="1916" spans="1:10" x14ac:dyDescent="0.3">
      <c r="A1916" t="str">
        <f>""</f>
        <v/>
      </c>
      <c r="B1916" t="str">
        <f>""</f>
        <v/>
      </c>
      <c r="G1916" t="str">
        <f>""</f>
        <v/>
      </c>
      <c r="H1916" t="str">
        <f>""</f>
        <v/>
      </c>
      <c r="J1916" t="str">
        <f t="shared" si="57"/>
        <v>BCBS PAYABLE</v>
      </c>
    </row>
    <row r="1917" spans="1:10" x14ac:dyDescent="0.3">
      <c r="A1917" t="str">
        <f>""</f>
        <v/>
      </c>
      <c r="B1917" t="str">
        <f>""</f>
        <v/>
      </c>
      <c r="G1917" t="str">
        <f>""</f>
        <v/>
      </c>
      <c r="H1917" t="str">
        <f>""</f>
        <v/>
      </c>
      <c r="J1917" t="str">
        <f t="shared" si="57"/>
        <v>BCBS PAYABLE</v>
      </c>
    </row>
    <row r="1918" spans="1:10" x14ac:dyDescent="0.3">
      <c r="A1918" t="str">
        <f>""</f>
        <v/>
      </c>
      <c r="B1918" t="str">
        <f>""</f>
        <v/>
      </c>
      <c r="G1918" t="str">
        <f>""</f>
        <v/>
      </c>
      <c r="H1918" t="str">
        <f>""</f>
        <v/>
      </c>
      <c r="J1918" t="str">
        <f t="shared" si="57"/>
        <v>BCBS PAYABLE</v>
      </c>
    </row>
    <row r="1919" spans="1:10" x14ac:dyDescent="0.3">
      <c r="A1919" t="str">
        <f>""</f>
        <v/>
      </c>
      <c r="B1919" t="str">
        <f>""</f>
        <v/>
      </c>
      <c r="G1919" t="str">
        <f>""</f>
        <v/>
      </c>
      <c r="H1919" t="str">
        <f>""</f>
        <v/>
      </c>
      <c r="J1919" t="str">
        <f t="shared" si="57"/>
        <v>BCBS PAYABLE</v>
      </c>
    </row>
    <row r="1920" spans="1:10" x14ac:dyDescent="0.3">
      <c r="A1920" t="str">
        <f>""</f>
        <v/>
      </c>
      <c r="B1920" t="str">
        <f>""</f>
        <v/>
      </c>
      <c r="G1920" t="str">
        <f>""</f>
        <v/>
      </c>
      <c r="H1920" t="str">
        <f>""</f>
        <v/>
      </c>
      <c r="J1920" t="str">
        <f t="shared" si="57"/>
        <v>BCBS PAYABLE</v>
      </c>
    </row>
    <row r="1921" spans="1:10" x14ac:dyDescent="0.3">
      <c r="A1921" t="str">
        <f>""</f>
        <v/>
      </c>
      <c r="B1921" t="str">
        <f>""</f>
        <v/>
      </c>
      <c r="G1921" t="str">
        <f>""</f>
        <v/>
      </c>
      <c r="H1921" t="str">
        <f>""</f>
        <v/>
      </c>
      <c r="J1921" t="str">
        <f t="shared" si="57"/>
        <v>BCBS PAYABLE</v>
      </c>
    </row>
    <row r="1922" spans="1:10" x14ac:dyDescent="0.3">
      <c r="A1922" t="str">
        <f>""</f>
        <v/>
      </c>
      <c r="B1922" t="str">
        <f>""</f>
        <v/>
      </c>
      <c r="G1922" t="str">
        <f>""</f>
        <v/>
      </c>
      <c r="H1922" t="str">
        <f>""</f>
        <v/>
      </c>
      <c r="J1922" t="str">
        <f t="shared" si="57"/>
        <v>BCBS PAYABLE</v>
      </c>
    </row>
    <row r="1923" spans="1:10" x14ac:dyDescent="0.3">
      <c r="A1923" t="str">
        <f>""</f>
        <v/>
      </c>
      <c r="B1923" t="str">
        <f>""</f>
        <v/>
      </c>
      <c r="G1923" t="str">
        <f>""</f>
        <v/>
      </c>
      <c r="H1923" t="str">
        <f>""</f>
        <v/>
      </c>
      <c r="J1923" t="str">
        <f t="shared" si="57"/>
        <v>BCBS PAYABLE</v>
      </c>
    </row>
    <row r="1924" spans="1:10" x14ac:dyDescent="0.3">
      <c r="A1924" t="str">
        <f>""</f>
        <v/>
      </c>
      <c r="B1924" t="str">
        <f>""</f>
        <v/>
      </c>
      <c r="G1924" t="str">
        <f>""</f>
        <v/>
      </c>
      <c r="H1924" t="str">
        <f>""</f>
        <v/>
      </c>
      <c r="J1924" t="str">
        <f t="shared" si="57"/>
        <v>BCBS PAYABLE</v>
      </c>
    </row>
    <row r="1925" spans="1:10" x14ac:dyDescent="0.3">
      <c r="A1925" t="str">
        <f>""</f>
        <v/>
      </c>
      <c r="B1925" t="str">
        <f>""</f>
        <v/>
      </c>
      <c r="G1925" t="str">
        <f>""</f>
        <v/>
      </c>
      <c r="H1925" t="str">
        <f>""</f>
        <v/>
      </c>
      <c r="J1925" t="str">
        <f t="shared" si="57"/>
        <v>BCBS PAYABLE</v>
      </c>
    </row>
    <row r="1926" spans="1:10" x14ac:dyDescent="0.3">
      <c r="A1926" t="str">
        <f>""</f>
        <v/>
      </c>
      <c r="B1926" t="str">
        <f>""</f>
        <v/>
      </c>
      <c r="G1926" t="str">
        <f>""</f>
        <v/>
      </c>
      <c r="H1926" t="str">
        <f>""</f>
        <v/>
      </c>
      <c r="J1926" t="str">
        <f t="shared" si="57"/>
        <v>BCBS PAYABLE</v>
      </c>
    </row>
    <row r="1927" spans="1:10" x14ac:dyDescent="0.3">
      <c r="A1927" t="str">
        <f>""</f>
        <v/>
      </c>
      <c r="B1927" t="str">
        <f>""</f>
        <v/>
      </c>
      <c r="G1927" t="str">
        <f>""</f>
        <v/>
      </c>
      <c r="H1927" t="str">
        <f>""</f>
        <v/>
      </c>
      <c r="J1927" t="str">
        <f t="shared" si="57"/>
        <v>BCBS PAYABLE</v>
      </c>
    </row>
    <row r="1928" spans="1:10" x14ac:dyDescent="0.3">
      <c r="A1928" t="str">
        <f>""</f>
        <v/>
      </c>
      <c r="B1928" t="str">
        <f>""</f>
        <v/>
      </c>
      <c r="G1928" t="str">
        <f>""</f>
        <v/>
      </c>
      <c r="H1928" t="str">
        <f>""</f>
        <v/>
      </c>
      <c r="J1928" t="str">
        <f t="shared" si="57"/>
        <v>BCBS PAYABLE</v>
      </c>
    </row>
    <row r="1929" spans="1:10" x14ac:dyDescent="0.3">
      <c r="A1929" t="str">
        <f>""</f>
        <v/>
      </c>
      <c r="B1929" t="str">
        <f>""</f>
        <v/>
      </c>
      <c r="G1929" t="str">
        <f>""</f>
        <v/>
      </c>
      <c r="H1929" t="str">
        <f>""</f>
        <v/>
      </c>
      <c r="J1929" t="str">
        <f t="shared" si="57"/>
        <v>BCBS PAYABLE</v>
      </c>
    </row>
    <row r="1930" spans="1:10" x14ac:dyDescent="0.3">
      <c r="A1930" t="str">
        <f>""</f>
        <v/>
      </c>
      <c r="B1930" t="str">
        <f>""</f>
        <v/>
      </c>
      <c r="G1930" t="str">
        <f>""</f>
        <v/>
      </c>
      <c r="H1930" t="str">
        <f>""</f>
        <v/>
      </c>
      <c r="J1930" t="str">
        <f t="shared" ref="J1930:J1961" si="58">"BCBS PAYABLE"</f>
        <v>BCBS PAYABLE</v>
      </c>
    </row>
    <row r="1931" spans="1:10" x14ac:dyDescent="0.3">
      <c r="A1931" t="str">
        <f>""</f>
        <v/>
      </c>
      <c r="B1931" t="str">
        <f>""</f>
        <v/>
      </c>
      <c r="G1931" t="str">
        <f>""</f>
        <v/>
      </c>
      <c r="H1931" t="str">
        <f>""</f>
        <v/>
      </c>
      <c r="J1931" t="str">
        <f t="shared" si="58"/>
        <v>BCBS PAYABLE</v>
      </c>
    </row>
    <row r="1932" spans="1:10" x14ac:dyDescent="0.3">
      <c r="A1932" t="str">
        <f>""</f>
        <v/>
      </c>
      <c r="B1932" t="str">
        <f>""</f>
        <v/>
      </c>
      <c r="G1932" t="str">
        <f>""</f>
        <v/>
      </c>
      <c r="H1932" t="str">
        <f>""</f>
        <v/>
      </c>
      <c r="J1932" t="str">
        <f t="shared" si="58"/>
        <v>BCBS PAYABLE</v>
      </c>
    </row>
    <row r="1933" spans="1:10" x14ac:dyDescent="0.3">
      <c r="A1933" t="str">
        <f>""</f>
        <v/>
      </c>
      <c r="B1933" t="str">
        <f>""</f>
        <v/>
      </c>
      <c r="G1933" t="str">
        <f>""</f>
        <v/>
      </c>
      <c r="H1933" t="str">
        <f>""</f>
        <v/>
      </c>
      <c r="J1933" t="str">
        <f t="shared" si="58"/>
        <v>BCBS PAYABLE</v>
      </c>
    </row>
    <row r="1934" spans="1:10" x14ac:dyDescent="0.3">
      <c r="A1934" t="str">
        <f>""</f>
        <v/>
      </c>
      <c r="B1934" t="str">
        <f>""</f>
        <v/>
      </c>
      <c r="G1934" t="str">
        <f>""</f>
        <v/>
      </c>
      <c r="H1934" t="str">
        <f>""</f>
        <v/>
      </c>
      <c r="J1934" t="str">
        <f t="shared" si="58"/>
        <v>BCBS PAYABLE</v>
      </c>
    </row>
    <row r="1935" spans="1:10" x14ac:dyDescent="0.3">
      <c r="A1935" t="str">
        <f>""</f>
        <v/>
      </c>
      <c r="B1935" t="str">
        <f>""</f>
        <v/>
      </c>
      <c r="G1935" t="str">
        <f>""</f>
        <v/>
      </c>
      <c r="H1935" t="str">
        <f>""</f>
        <v/>
      </c>
      <c r="J1935" t="str">
        <f t="shared" si="58"/>
        <v>BCBS PAYABLE</v>
      </c>
    </row>
    <row r="1936" spans="1:10" x14ac:dyDescent="0.3">
      <c r="A1936" t="str">
        <f>""</f>
        <v/>
      </c>
      <c r="B1936" t="str">
        <f>""</f>
        <v/>
      </c>
      <c r="G1936" t="str">
        <f>""</f>
        <v/>
      </c>
      <c r="H1936" t="str">
        <f>""</f>
        <v/>
      </c>
      <c r="J1936" t="str">
        <f t="shared" si="58"/>
        <v>BCBS PAYABLE</v>
      </c>
    </row>
    <row r="1937" spans="1:10" x14ac:dyDescent="0.3">
      <c r="A1937" t="str">
        <f>""</f>
        <v/>
      </c>
      <c r="B1937" t="str">
        <f>""</f>
        <v/>
      </c>
      <c r="G1937" t="str">
        <f>""</f>
        <v/>
      </c>
      <c r="H1937" t="str">
        <f>""</f>
        <v/>
      </c>
      <c r="J1937" t="str">
        <f t="shared" si="58"/>
        <v>BCBS PAYABLE</v>
      </c>
    </row>
    <row r="1938" spans="1:10" x14ac:dyDescent="0.3">
      <c r="A1938" t="str">
        <f>""</f>
        <v/>
      </c>
      <c r="B1938" t="str">
        <f>""</f>
        <v/>
      </c>
      <c r="G1938" t="str">
        <f>""</f>
        <v/>
      </c>
      <c r="H1938" t="str">
        <f>""</f>
        <v/>
      </c>
      <c r="J1938" t="str">
        <f t="shared" si="58"/>
        <v>BCBS PAYABLE</v>
      </c>
    </row>
    <row r="1939" spans="1:10" x14ac:dyDescent="0.3">
      <c r="A1939" t="str">
        <f>""</f>
        <v/>
      </c>
      <c r="B1939" t="str">
        <f>""</f>
        <v/>
      </c>
      <c r="G1939" t="str">
        <f>""</f>
        <v/>
      </c>
      <c r="H1939" t="str">
        <f>""</f>
        <v/>
      </c>
      <c r="J1939" t="str">
        <f t="shared" si="58"/>
        <v>BCBS PAYABLE</v>
      </c>
    </row>
    <row r="1940" spans="1:10" x14ac:dyDescent="0.3">
      <c r="A1940" t="str">
        <f>""</f>
        <v/>
      </c>
      <c r="B1940" t="str">
        <f>""</f>
        <v/>
      </c>
      <c r="G1940" t="str">
        <f>""</f>
        <v/>
      </c>
      <c r="H1940" t="str">
        <f>""</f>
        <v/>
      </c>
      <c r="J1940" t="str">
        <f t="shared" si="58"/>
        <v>BCBS PAYABLE</v>
      </c>
    </row>
    <row r="1941" spans="1:10" x14ac:dyDescent="0.3">
      <c r="A1941" t="str">
        <f>""</f>
        <v/>
      </c>
      <c r="B1941" t="str">
        <f>""</f>
        <v/>
      </c>
      <c r="G1941" t="str">
        <f>""</f>
        <v/>
      </c>
      <c r="H1941" t="str">
        <f>""</f>
        <v/>
      </c>
      <c r="J1941" t="str">
        <f t="shared" si="58"/>
        <v>BCBS PAYABLE</v>
      </c>
    </row>
    <row r="1942" spans="1:10" x14ac:dyDescent="0.3">
      <c r="A1942" t="str">
        <f>""</f>
        <v/>
      </c>
      <c r="B1942" t="str">
        <f>""</f>
        <v/>
      </c>
      <c r="G1942" t="str">
        <f>""</f>
        <v/>
      </c>
      <c r="H1942" t="str">
        <f>""</f>
        <v/>
      </c>
      <c r="J1942" t="str">
        <f t="shared" si="58"/>
        <v>BCBS PAYABLE</v>
      </c>
    </row>
    <row r="1943" spans="1:10" x14ac:dyDescent="0.3">
      <c r="A1943" t="str">
        <f>""</f>
        <v/>
      </c>
      <c r="B1943" t="str">
        <f>""</f>
        <v/>
      </c>
      <c r="G1943" t="str">
        <f>""</f>
        <v/>
      </c>
      <c r="H1943" t="str">
        <f>""</f>
        <v/>
      </c>
      <c r="J1943" t="str">
        <f t="shared" si="58"/>
        <v>BCBS PAYABLE</v>
      </c>
    </row>
    <row r="1944" spans="1:10" x14ac:dyDescent="0.3">
      <c r="A1944" t="str">
        <f>""</f>
        <v/>
      </c>
      <c r="B1944" t="str">
        <f>""</f>
        <v/>
      </c>
      <c r="G1944" t="str">
        <f>""</f>
        <v/>
      </c>
      <c r="H1944" t="str">
        <f>""</f>
        <v/>
      </c>
      <c r="J1944" t="str">
        <f t="shared" si="58"/>
        <v>BCBS PAYABLE</v>
      </c>
    </row>
    <row r="1945" spans="1:10" x14ac:dyDescent="0.3">
      <c r="A1945" t="str">
        <f>""</f>
        <v/>
      </c>
      <c r="B1945" t="str">
        <f>""</f>
        <v/>
      </c>
      <c r="G1945" t="str">
        <f>""</f>
        <v/>
      </c>
      <c r="H1945" t="str">
        <f>""</f>
        <v/>
      </c>
      <c r="J1945" t="str">
        <f t="shared" si="58"/>
        <v>BCBS PAYABLE</v>
      </c>
    </row>
    <row r="1946" spans="1:10" x14ac:dyDescent="0.3">
      <c r="A1946" t="str">
        <f>""</f>
        <v/>
      </c>
      <c r="B1946" t="str">
        <f>""</f>
        <v/>
      </c>
      <c r="G1946" t="str">
        <f>""</f>
        <v/>
      </c>
      <c r="H1946" t="str">
        <f>""</f>
        <v/>
      </c>
      <c r="J1946" t="str">
        <f t="shared" si="58"/>
        <v>BCBS PAYABLE</v>
      </c>
    </row>
    <row r="1947" spans="1:10" x14ac:dyDescent="0.3">
      <c r="A1947" t="str">
        <f>""</f>
        <v/>
      </c>
      <c r="B1947" t="str">
        <f>""</f>
        <v/>
      </c>
      <c r="G1947" t="str">
        <f>""</f>
        <v/>
      </c>
      <c r="H1947" t="str">
        <f>""</f>
        <v/>
      </c>
      <c r="J1947" t="str">
        <f t="shared" si="58"/>
        <v>BCBS PAYABLE</v>
      </c>
    </row>
    <row r="1948" spans="1:10" x14ac:dyDescent="0.3">
      <c r="A1948" t="str">
        <f>""</f>
        <v/>
      </c>
      <c r="B1948" t="str">
        <f>""</f>
        <v/>
      </c>
      <c r="G1948" t="str">
        <f>""</f>
        <v/>
      </c>
      <c r="H1948" t="str">
        <f>""</f>
        <v/>
      </c>
      <c r="J1948" t="str">
        <f t="shared" si="58"/>
        <v>BCBS PAYABLE</v>
      </c>
    </row>
    <row r="1949" spans="1:10" x14ac:dyDescent="0.3">
      <c r="A1949" t="str">
        <f>""</f>
        <v/>
      </c>
      <c r="B1949" t="str">
        <f>""</f>
        <v/>
      </c>
      <c r="G1949" t="str">
        <f>""</f>
        <v/>
      </c>
      <c r="H1949" t="str">
        <f>""</f>
        <v/>
      </c>
      <c r="J1949" t="str">
        <f t="shared" si="58"/>
        <v>BCBS PAYABLE</v>
      </c>
    </row>
    <row r="1950" spans="1:10" x14ac:dyDescent="0.3">
      <c r="A1950" t="str">
        <f>""</f>
        <v/>
      </c>
      <c r="B1950" t="str">
        <f>""</f>
        <v/>
      </c>
      <c r="G1950" t="str">
        <f>""</f>
        <v/>
      </c>
      <c r="H1950" t="str">
        <f>""</f>
        <v/>
      </c>
      <c r="J1950" t="str">
        <f t="shared" si="58"/>
        <v>BCBS PAYABLE</v>
      </c>
    </row>
    <row r="1951" spans="1:10" x14ac:dyDescent="0.3">
      <c r="A1951" t="str">
        <f>""</f>
        <v/>
      </c>
      <c r="B1951" t="str">
        <f>""</f>
        <v/>
      </c>
      <c r="G1951" t="str">
        <f>""</f>
        <v/>
      </c>
      <c r="H1951" t="str">
        <f>""</f>
        <v/>
      </c>
      <c r="J1951" t="str">
        <f t="shared" si="58"/>
        <v>BCBS PAYABLE</v>
      </c>
    </row>
    <row r="1952" spans="1:10" x14ac:dyDescent="0.3">
      <c r="A1952" t="str">
        <f>""</f>
        <v/>
      </c>
      <c r="B1952" t="str">
        <f>""</f>
        <v/>
      </c>
      <c r="G1952" t="str">
        <f>"2EO201801118130"</f>
        <v>2EO201801118130</v>
      </c>
      <c r="H1952" t="str">
        <f>"BCBS PAYABLE"</f>
        <v>BCBS PAYABLE</v>
      </c>
      <c r="I1952" s="2">
        <v>3591.83</v>
      </c>
      <c r="J1952" t="str">
        <f t="shared" si="58"/>
        <v>BCBS PAYABLE</v>
      </c>
    </row>
    <row r="1953" spans="1:10" x14ac:dyDescent="0.3">
      <c r="A1953" t="str">
        <f>""</f>
        <v/>
      </c>
      <c r="B1953" t="str">
        <f>""</f>
        <v/>
      </c>
      <c r="G1953" t="str">
        <f>"2EO201801248226"</f>
        <v>2EO201801248226</v>
      </c>
      <c r="H1953" t="str">
        <f>"BCBS PAYABLE"</f>
        <v>BCBS PAYABLE</v>
      </c>
      <c r="I1953" s="2">
        <v>3591.83</v>
      </c>
      <c r="J1953" t="str">
        <f t="shared" si="58"/>
        <v>BCBS PAYABLE</v>
      </c>
    </row>
    <row r="1954" spans="1:10" x14ac:dyDescent="0.3">
      <c r="A1954" t="str">
        <f>""</f>
        <v/>
      </c>
      <c r="B1954" t="str">
        <f>""</f>
        <v/>
      </c>
      <c r="G1954" t="str">
        <f>"2EO201801248228"</f>
        <v>2EO201801248228</v>
      </c>
      <c r="H1954" t="str">
        <f>"BCBS PAYABLE"</f>
        <v>BCBS PAYABLE</v>
      </c>
      <c r="I1954" s="2">
        <v>88816.16</v>
      </c>
      <c r="J1954" t="str">
        <f t="shared" si="58"/>
        <v>BCBS PAYABLE</v>
      </c>
    </row>
    <row r="1955" spans="1:10" x14ac:dyDescent="0.3">
      <c r="A1955" t="str">
        <f>""</f>
        <v/>
      </c>
      <c r="B1955" t="str">
        <f>""</f>
        <v/>
      </c>
      <c r="G1955" t="str">
        <f>""</f>
        <v/>
      </c>
      <c r="H1955" t="str">
        <f>""</f>
        <v/>
      </c>
      <c r="J1955" t="str">
        <f t="shared" si="58"/>
        <v>BCBS PAYABLE</v>
      </c>
    </row>
    <row r="1956" spans="1:10" x14ac:dyDescent="0.3">
      <c r="A1956" t="str">
        <f>""</f>
        <v/>
      </c>
      <c r="B1956" t="str">
        <f>""</f>
        <v/>
      </c>
      <c r="G1956" t="str">
        <f>""</f>
        <v/>
      </c>
      <c r="H1956" t="str">
        <f>""</f>
        <v/>
      </c>
      <c r="J1956" t="str">
        <f t="shared" si="58"/>
        <v>BCBS PAYABLE</v>
      </c>
    </row>
    <row r="1957" spans="1:10" x14ac:dyDescent="0.3">
      <c r="A1957" t="str">
        <f>""</f>
        <v/>
      </c>
      <c r="B1957" t="str">
        <f>""</f>
        <v/>
      </c>
      <c r="G1957" t="str">
        <f>""</f>
        <v/>
      </c>
      <c r="H1957" t="str">
        <f>""</f>
        <v/>
      </c>
      <c r="J1957" t="str">
        <f t="shared" si="58"/>
        <v>BCBS PAYABLE</v>
      </c>
    </row>
    <row r="1958" spans="1:10" x14ac:dyDescent="0.3">
      <c r="A1958" t="str">
        <f>""</f>
        <v/>
      </c>
      <c r="B1958" t="str">
        <f>""</f>
        <v/>
      </c>
      <c r="G1958" t="str">
        <f>""</f>
        <v/>
      </c>
      <c r="H1958" t="str">
        <f>""</f>
        <v/>
      </c>
      <c r="J1958" t="str">
        <f t="shared" si="58"/>
        <v>BCBS PAYABLE</v>
      </c>
    </row>
    <row r="1959" spans="1:10" x14ac:dyDescent="0.3">
      <c r="A1959" t="str">
        <f>""</f>
        <v/>
      </c>
      <c r="B1959" t="str">
        <f>""</f>
        <v/>
      </c>
      <c r="G1959" t="str">
        <f>""</f>
        <v/>
      </c>
      <c r="H1959" t="str">
        <f>""</f>
        <v/>
      </c>
      <c r="J1959" t="str">
        <f t="shared" si="58"/>
        <v>BCBS PAYABLE</v>
      </c>
    </row>
    <row r="1960" spans="1:10" x14ac:dyDescent="0.3">
      <c r="A1960" t="str">
        <f>""</f>
        <v/>
      </c>
      <c r="B1960" t="str">
        <f>""</f>
        <v/>
      </c>
      <c r="G1960" t="str">
        <f>""</f>
        <v/>
      </c>
      <c r="H1960" t="str">
        <f>""</f>
        <v/>
      </c>
      <c r="J1960" t="str">
        <f t="shared" si="58"/>
        <v>BCBS PAYABLE</v>
      </c>
    </row>
    <row r="1961" spans="1:10" x14ac:dyDescent="0.3">
      <c r="A1961" t="str">
        <f>""</f>
        <v/>
      </c>
      <c r="B1961" t="str">
        <f>""</f>
        <v/>
      </c>
      <c r="G1961" t="str">
        <f>""</f>
        <v/>
      </c>
      <c r="H1961" t="str">
        <f>""</f>
        <v/>
      </c>
      <c r="J1961" t="str">
        <f t="shared" si="58"/>
        <v>BCBS PAYABLE</v>
      </c>
    </row>
    <row r="1962" spans="1:10" x14ac:dyDescent="0.3">
      <c r="A1962" t="str">
        <f>""</f>
        <v/>
      </c>
      <c r="B1962" t="str">
        <f>""</f>
        <v/>
      </c>
      <c r="G1962" t="str">
        <f>""</f>
        <v/>
      </c>
      <c r="H1962" t="str">
        <f>""</f>
        <v/>
      </c>
      <c r="J1962" t="str">
        <f t="shared" ref="J1962:J1993" si="59">"BCBS PAYABLE"</f>
        <v>BCBS PAYABLE</v>
      </c>
    </row>
    <row r="1963" spans="1:10" x14ac:dyDescent="0.3">
      <c r="A1963" t="str">
        <f>""</f>
        <v/>
      </c>
      <c r="B1963" t="str">
        <f>""</f>
        <v/>
      </c>
      <c r="G1963" t="str">
        <f>""</f>
        <v/>
      </c>
      <c r="H1963" t="str">
        <f>""</f>
        <v/>
      </c>
      <c r="J1963" t="str">
        <f t="shared" si="59"/>
        <v>BCBS PAYABLE</v>
      </c>
    </row>
    <row r="1964" spans="1:10" x14ac:dyDescent="0.3">
      <c r="A1964" t="str">
        <f>""</f>
        <v/>
      </c>
      <c r="B1964" t="str">
        <f>""</f>
        <v/>
      </c>
      <c r="G1964" t="str">
        <f>""</f>
        <v/>
      </c>
      <c r="H1964" t="str">
        <f>""</f>
        <v/>
      </c>
      <c r="J1964" t="str">
        <f t="shared" si="59"/>
        <v>BCBS PAYABLE</v>
      </c>
    </row>
    <row r="1965" spans="1:10" x14ac:dyDescent="0.3">
      <c r="A1965" t="str">
        <f>""</f>
        <v/>
      </c>
      <c r="B1965" t="str">
        <f>""</f>
        <v/>
      </c>
      <c r="G1965" t="str">
        <f>""</f>
        <v/>
      </c>
      <c r="H1965" t="str">
        <f>""</f>
        <v/>
      </c>
      <c r="J1965" t="str">
        <f t="shared" si="59"/>
        <v>BCBS PAYABLE</v>
      </c>
    </row>
    <row r="1966" spans="1:10" x14ac:dyDescent="0.3">
      <c r="A1966" t="str">
        <f>""</f>
        <v/>
      </c>
      <c r="B1966" t="str">
        <f>""</f>
        <v/>
      </c>
      <c r="G1966" t="str">
        <f>""</f>
        <v/>
      </c>
      <c r="H1966" t="str">
        <f>""</f>
        <v/>
      </c>
      <c r="J1966" t="str">
        <f t="shared" si="59"/>
        <v>BCBS PAYABLE</v>
      </c>
    </row>
    <row r="1967" spans="1:10" x14ac:dyDescent="0.3">
      <c r="A1967" t="str">
        <f>""</f>
        <v/>
      </c>
      <c r="B1967" t="str">
        <f>""</f>
        <v/>
      </c>
      <c r="G1967" t="str">
        <f>""</f>
        <v/>
      </c>
      <c r="H1967" t="str">
        <f>""</f>
        <v/>
      </c>
      <c r="J1967" t="str">
        <f t="shared" si="59"/>
        <v>BCBS PAYABLE</v>
      </c>
    </row>
    <row r="1968" spans="1:10" x14ac:dyDescent="0.3">
      <c r="A1968" t="str">
        <f>""</f>
        <v/>
      </c>
      <c r="B1968" t="str">
        <f>""</f>
        <v/>
      </c>
      <c r="G1968" t="str">
        <f>""</f>
        <v/>
      </c>
      <c r="H1968" t="str">
        <f>""</f>
        <v/>
      </c>
      <c r="J1968" t="str">
        <f t="shared" si="59"/>
        <v>BCBS PAYABLE</v>
      </c>
    </row>
    <row r="1969" spans="1:10" x14ac:dyDescent="0.3">
      <c r="A1969" t="str">
        <f>""</f>
        <v/>
      </c>
      <c r="B1969" t="str">
        <f>""</f>
        <v/>
      </c>
      <c r="G1969" t="str">
        <f>""</f>
        <v/>
      </c>
      <c r="H1969" t="str">
        <f>""</f>
        <v/>
      </c>
      <c r="J1969" t="str">
        <f t="shared" si="59"/>
        <v>BCBS PAYABLE</v>
      </c>
    </row>
    <row r="1970" spans="1:10" x14ac:dyDescent="0.3">
      <c r="A1970" t="str">
        <f>""</f>
        <v/>
      </c>
      <c r="B1970" t="str">
        <f>""</f>
        <v/>
      </c>
      <c r="G1970" t="str">
        <f>""</f>
        <v/>
      </c>
      <c r="H1970" t="str">
        <f>""</f>
        <v/>
      </c>
      <c r="J1970" t="str">
        <f t="shared" si="59"/>
        <v>BCBS PAYABLE</v>
      </c>
    </row>
    <row r="1971" spans="1:10" x14ac:dyDescent="0.3">
      <c r="A1971" t="str">
        <f>""</f>
        <v/>
      </c>
      <c r="B1971" t="str">
        <f>""</f>
        <v/>
      </c>
      <c r="G1971" t="str">
        <f>""</f>
        <v/>
      </c>
      <c r="H1971" t="str">
        <f>""</f>
        <v/>
      </c>
      <c r="J1971" t="str">
        <f t="shared" si="59"/>
        <v>BCBS PAYABLE</v>
      </c>
    </row>
    <row r="1972" spans="1:10" x14ac:dyDescent="0.3">
      <c r="A1972" t="str">
        <f>""</f>
        <v/>
      </c>
      <c r="B1972" t="str">
        <f>""</f>
        <v/>
      </c>
      <c r="G1972" t="str">
        <f>""</f>
        <v/>
      </c>
      <c r="H1972" t="str">
        <f>""</f>
        <v/>
      </c>
      <c r="J1972" t="str">
        <f t="shared" si="59"/>
        <v>BCBS PAYABLE</v>
      </c>
    </row>
    <row r="1973" spans="1:10" x14ac:dyDescent="0.3">
      <c r="A1973" t="str">
        <f>""</f>
        <v/>
      </c>
      <c r="B1973" t="str">
        <f>""</f>
        <v/>
      </c>
      <c r="G1973" t="str">
        <f>""</f>
        <v/>
      </c>
      <c r="H1973" t="str">
        <f>""</f>
        <v/>
      </c>
      <c r="J1973" t="str">
        <f t="shared" si="59"/>
        <v>BCBS PAYABLE</v>
      </c>
    </row>
    <row r="1974" spans="1:10" x14ac:dyDescent="0.3">
      <c r="A1974" t="str">
        <f>""</f>
        <v/>
      </c>
      <c r="B1974" t="str">
        <f>""</f>
        <v/>
      </c>
      <c r="G1974" t="str">
        <f>""</f>
        <v/>
      </c>
      <c r="H1974" t="str">
        <f>""</f>
        <v/>
      </c>
      <c r="J1974" t="str">
        <f t="shared" si="59"/>
        <v>BCBS PAYABLE</v>
      </c>
    </row>
    <row r="1975" spans="1:10" x14ac:dyDescent="0.3">
      <c r="A1975" t="str">
        <f>""</f>
        <v/>
      </c>
      <c r="B1975" t="str">
        <f>""</f>
        <v/>
      </c>
      <c r="G1975" t="str">
        <f>""</f>
        <v/>
      </c>
      <c r="H1975" t="str">
        <f>""</f>
        <v/>
      </c>
      <c r="J1975" t="str">
        <f t="shared" si="59"/>
        <v>BCBS PAYABLE</v>
      </c>
    </row>
    <row r="1976" spans="1:10" x14ac:dyDescent="0.3">
      <c r="A1976" t="str">
        <f>""</f>
        <v/>
      </c>
      <c r="B1976" t="str">
        <f>""</f>
        <v/>
      </c>
      <c r="G1976" t="str">
        <f>""</f>
        <v/>
      </c>
      <c r="H1976" t="str">
        <f>""</f>
        <v/>
      </c>
      <c r="J1976" t="str">
        <f t="shared" si="59"/>
        <v>BCBS PAYABLE</v>
      </c>
    </row>
    <row r="1977" spans="1:10" x14ac:dyDescent="0.3">
      <c r="A1977" t="str">
        <f>""</f>
        <v/>
      </c>
      <c r="B1977" t="str">
        <f>""</f>
        <v/>
      </c>
      <c r="G1977" t="str">
        <f>""</f>
        <v/>
      </c>
      <c r="H1977" t="str">
        <f>""</f>
        <v/>
      </c>
      <c r="J1977" t="str">
        <f t="shared" si="59"/>
        <v>BCBS PAYABLE</v>
      </c>
    </row>
    <row r="1978" spans="1:10" x14ac:dyDescent="0.3">
      <c r="A1978" t="str">
        <f>""</f>
        <v/>
      </c>
      <c r="B1978" t="str">
        <f>""</f>
        <v/>
      </c>
      <c r="G1978" t="str">
        <f>""</f>
        <v/>
      </c>
      <c r="H1978" t="str">
        <f>""</f>
        <v/>
      </c>
      <c r="J1978" t="str">
        <f t="shared" si="59"/>
        <v>BCBS PAYABLE</v>
      </c>
    </row>
    <row r="1979" spans="1:10" x14ac:dyDescent="0.3">
      <c r="A1979" t="str">
        <f>""</f>
        <v/>
      </c>
      <c r="B1979" t="str">
        <f>""</f>
        <v/>
      </c>
      <c r="G1979" t="str">
        <f>""</f>
        <v/>
      </c>
      <c r="H1979" t="str">
        <f>""</f>
        <v/>
      </c>
      <c r="J1979" t="str">
        <f t="shared" si="59"/>
        <v>BCBS PAYABLE</v>
      </c>
    </row>
    <row r="1980" spans="1:10" x14ac:dyDescent="0.3">
      <c r="A1980" t="str">
        <f>""</f>
        <v/>
      </c>
      <c r="B1980" t="str">
        <f>""</f>
        <v/>
      </c>
      <c r="G1980" t="str">
        <f>""</f>
        <v/>
      </c>
      <c r="H1980" t="str">
        <f>""</f>
        <v/>
      </c>
      <c r="J1980" t="str">
        <f t="shared" si="59"/>
        <v>BCBS PAYABLE</v>
      </c>
    </row>
    <row r="1981" spans="1:10" x14ac:dyDescent="0.3">
      <c r="A1981" t="str">
        <f>""</f>
        <v/>
      </c>
      <c r="B1981" t="str">
        <f>""</f>
        <v/>
      </c>
      <c r="G1981" t="str">
        <f>""</f>
        <v/>
      </c>
      <c r="H1981" t="str">
        <f>""</f>
        <v/>
      </c>
      <c r="J1981" t="str">
        <f t="shared" si="59"/>
        <v>BCBS PAYABLE</v>
      </c>
    </row>
    <row r="1982" spans="1:10" x14ac:dyDescent="0.3">
      <c r="A1982" t="str">
        <f>""</f>
        <v/>
      </c>
      <c r="B1982" t="str">
        <f>""</f>
        <v/>
      </c>
      <c r="G1982" t="str">
        <f>""</f>
        <v/>
      </c>
      <c r="H1982" t="str">
        <f>""</f>
        <v/>
      </c>
      <c r="J1982" t="str">
        <f t="shared" si="59"/>
        <v>BCBS PAYABLE</v>
      </c>
    </row>
    <row r="1983" spans="1:10" x14ac:dyDescent="0.3">
      <c r="A1983" t="str">
        <f>""</f>
        <v/>
      </c>
      <c r="B1983" t="str">
        <f>""</f>
        <v/>
      </c>
      <c r="G1983" t="str">
        <f>""</f>
        <v/>
      </c>
      <c r="H1983" t="str">
        <f>""</f>
        <v/>
      </c>
      <c r="J1983" t="str">
        <f t="shared" si="59"/>
        <v>BCBS PAYABLE</v>
      </c>
    </row>
    <row r="1984" spans="1:10" x14ac:dyDescent="0.3">
      <c r="A1984" t="str">
        <f>""</f>
        <v/>
      </c>
      <c r="B1984" t="str">
        <f>""</f>
        <v/>
      </c>
      <c r="G1984" t="str">
        <f>""</f>
        <v/>
      </c>
      <c r="H1984" t="str">
        <f>""</f>
        <v/>
      </c>
      <c r="J1984" t="str">
        <f t="shared" si="59"/>
        <v>BCBS PAYABLE</v>
      </c>
    </row>
    <row r="1985" spans="1:10" x14ac:dyDescent="0.3">
      <c r="A1985" t="str">
        <f>""</f>
        <v/>
      </c>
      <c r="B1985" t="str">
        <f>""</f>
        <v/>
      </c>
      <c r="G1985" t="str">
        <f>""</f>
        <v/>
      </c>
      <c r="H1985" t="str">
        <f>""</f>
        <v/>
      </c>
      <c r="J1985" t="str">
        <f t="shared" si="59"/>
        <v>BCBS PAYABLE</v>
      </c>
    </row>
    <row r="1986" spans="1:10" x14ac:dyDescent="0.3">
      <c r="A1986" t="str">
        <f>""</f>
        <v/>
      </c>
      <c r="B1986" t="str">
        <f>""</f>
        <v/>
      </c>
      <c r="G1986" t="str">
        <f>""</f>
        <v/>
      </c>
      <c r="H1986" t="str">
        <f>""</f>
        <v/>
      </c>
      <c r="J1986" t="str">
        <f t="shared" si="59"/>
        <v>BCBS PAYABLE</v>
      </c>
    </row>
    <row r="1987" spans="1:10" x14ac:dyDescent="0.3">
      <c r="A1987" t="str">
        <f>""</f>
        <v/>
      </c>
      <c r="B1987" t="str">
        <f>""</f>
        <v/>
      </c>
      <c r="G1987" t="str">
        <f>""</f>
        <v/>
      </c>
      <c r="H1987" t="str">
        <f>""</f>
        <v/>
      </c>
      <c r="J1987" t="str">
        <f t="shared" si="59"/>
        <v>BCBS PAYABLE</v>
      </c>
    </row>
    <row r="1988" spans="1:10" x14ac:dyDescent="0.3">
      <c r="A1988" t="str">
        <f>""</f>
        <v/>
      </c>
      <c r="B1988" t="str">
        <f>""</f>
        <v/>
      </c>
      <c r="G1988" t="str">
        <f>""</f>
        <v/>
      </c>
      <c r="H1988" t="str">
        <f>""</f>
        <v/>
      </c>
      <c r="J1988" t="str">
        <f t="shared" si="59"/>
        <v>BCBS PAYABLE</v>
      </c>
    </row>
    <row r="1989" spans="1:10" x14ac:dyDescent="0.3">
      <c r="A1989" t="str">
        <f>""</f>
        <v/>
      </c>
      <c r="B1989" t="str">
        <f>""</f>
        <v/>
      </c>
      <c r="G1989" t="str">
        <f>""</f>
        <v/>
      </c>
      <c r="H1989" t="str">
        <f>""</f>
        <v/>
      </c>
      <c r="J1989" t="str">
        <f t="shared" si="59"/>
        <v>BCBS PAYABLE</v>
      </c>
    </row>
    <row r="1990" spans="1:10" x14ac:dyDescent="0.3">
      <c r="A1990" t="str">
        <f>""</f>
        <v/>
      </c>
      <c r="B1990" t="str">
        <f>""</f>
        <v/>
      </c>
      <c r="G1990" t="str">
        <f>""</f>
        <v/>
      </c>
      <c r="H1990" t="str">
        <f>""</f>
        <v/>
      </c>
      <c r="J1990" t="str">
        <f t="shared" si="59"/>
        <v>BCBS PAYABLE</v>
      </c>
    </row>
    <row r="1991" spans="1:10" x14ac:dyDescent="0.3">
      <c r="A1991" t="str">
        <f>""</f>
        <v/>
      </c>
      <c r="B1991" t="str">
        <f>""</f>
        <v/>
      </c>
      <c r="G1991" t="str">
        <f>""</f>
        <v/>
      </c>
      <c r="H1991" t="str">
        <f>""</f>
        <v/>
      </c>
      <c r="J1991" t="str">
        <f t="shared" si="59"/>
        <v>BCBS PAYABLE</v>
      </c>
    </row>
    <row r="1992" spans="1:10" x14ac:dyDescent="0.3">
      <c r="A1992" t="str">
        <f>""</f>
        <v/>
      </c>
      <c r="B1992" t="str">
        <f>""</f>
        <v/>
      </c>
      <c r="G1992" t="str">
        <f>""</f>
        <v/>
      </c>
      <c r="H1992" t="str">
        <f>""</f>
        <v/>
      </c>
      <c r="J1992" t="str">
        <f t="shared" si="59"/>
        <v>BCBS PAYABLE</v>
      </c>
    </row>
    <row r="1993" spans="1:10" x14ac:dyDescent="0.3">
      <c r="A1993" t="str">
        <f>""</f>
        <v/>
      </c>
      <c r="B1993" t="str">
        <f>""</f>
        <v/>
      </c>
      <c r="G1993" t="str">
        <f>""</f>
        <v/>
      </c>
      <c r="H1993" t="str">
        <f>""</f>
        <v/>
      </c>
      <c r="J1993" t="str">
        <f t="shared" si="59"/>
        <v>BCBS PAYABLE</v>
      </c>
    </row>
    <row r="1994" spans="1:10" x14ac:dyDescent="0.3">
      <c r="A1994" t="str">
        <f>""</f>
        <v/>
      </c>
      <c r="B1994" t="str">
        <f>""</f>
        <v/>
      </c>
      <c r="G1994" t="str">
        <f>"2ES201801118129"</f>
        <v>2ES201801118129</v>
      </c>
      <c r="H1994" t="str">
        <f>"BCBS PAYABLE"</f>
        <v>BCBS PAYABLE</v>
      </c>
      <c r="I1994" s="2">
        <v>16621.439999999999</v>
      </c>
      <c r="J1994" t="str">
        <f t="shared" ref="J1994:J2029" si="60">"BCBS PAYABLE"</f>
        <v>BCBS PAYABLE</v>
      </c>
    </row>
    <row r="1995" spans="1:10" x14ac:dyDescent="0.3">
      <c r="A1995" t="str">
        <f>""</f>
        <v/>
      </c>
      <c r="B1995" t="str">
        <f>""</f>
        <v/>
      </c>
      <c r="G1995" t="str">
        <f>""</f>
        <v/>
      </c>
      <c r="H1995" t="str">
        <f>""</f>
        <v/>
      </c>
      <c r="J1995" t="str">
        <f t="shared" si="60"/>
        <v>BCBS PAYABLE</v>
      </c>
    </row>
    <row r="1996" spans="1:10" x14ac:dyDescent="0.3">
      <c r="A1996" t="str">
        <f>""</f>
        <v/>
      </c>
      <c r="B1996" t="str">
        <f>""</f>
        <v/>
      </c>
      <c r="G1996" t="str">
        <f>""</f>
        <v/>
      </c>
      <c r="H1996" t="str">
        <f>""</f>
        <v/>
      </c>
      <c r="J1996" t="str">
        <f t="shared" si="60"/>
        <v>BCBS PAYABLE</v>
      </c>
    </row>
    <row r="1997" spans="1:10" x14ac:dyDescent="0.3">
      <c r="A1997" t="str">
        <f>""</f>
        <v/>
      </c>
      <c r="B1997" t="str">
        <f>""</f>
        <v/>
      </c>
      <c r="G1997" t="str">
        <f>""</f>
        <v/>
      </c>
      <c r="H1997" t="str">
        <f>""</f>
        <v/>
      </c>
      <c r="J1997" t="str">
        <f t="shared" si="60"/>
        <v>BCBS PAYABLE</v>
      </c>
    </row>
    <row r="1998" spans="1:10" x14ac:dyDescent="0.3">
      <c r="A1998" t="str">
        <f>""</f>
        <v/>
      </c>
      <c r="B1998" t="str">
        <f>""</f>
        <v/>
      </c>
      <c r="G1998" t="str">
        <f>""</f>
        <v/>
      </c>
      <c r="H1998" t="str">
        <f>""</f>
        <v/>
      </c>
      <c r="J1998" t="str">
        <f t="shared" si="60"/>
        <v>BCBS PAYABLE</v>
      </c>
    </row>
    <row r="1999" spans="1:10" x14ac:dyDescent="0.3">
      <c r="A1999" t="str">
        <f>""</f>
        <v/>
      </c>
      <c r="B1999" t="str">
        <f>""</f>
        <v/>
      </c>
      <c r="G1999" t="str">
        <f>""</f>
        <v/>
      </c>
      <c r="H1999" t="str">
        <f>""</f>
        <v/>
      </c>
      <c r="J1999" t="str">
        <f t="shared" si="60"/>
        <v>BCBS PAYABLE</v>
      </c>
    </row>
    <row r="2000" spans="1:10" x14ac:dyDescent="0.3">
      <c r="A2000" t="str">
        <f>""</f>
        <v/>
      </c>
      <c r="B2000" t="str">
        <f>""</f>
        <v/>
      </c>
      <c r="G2000" t="str">
        <f>""</f>
        <v/>
      </c>
      <c r="H2000" t="str">
        <f>""</f>
        <v/>
      </c>
      <c r="J2000" t="str">
        <f t="shared" si="60"/>
        <v>BCBS PAYABLE</v>
      </c>
    </row>
    <row r="2001" spans="1:10" x14ac:dyDescent="0.3">
      <c r="A2001" t="str">
        <f>""</f>
        <v/>
      </c>
      <c r="B2001" t="str">
        <f>""</f>
        <v/>
      </c>
      <c r="G2001" t="str">
        <f>""</f>
        <v/>
      </c>
      <c r="H2001" t="str">
        <f>""</f>
        <v/>
      </c>
      <c r="J2001" t="str">
        <f t="shared" si="60"/>
        <v>BCBS PAYABLE</v>
      </c>
    </row>
    <row r="2002" spans="1:10" x14ac:dyDescent="0.3">
      <c r="A2002" t="str">
        <f>""</f>
        <v/>
      </c>
      <c r="B2002" t="str">
        <f>""</f>
        <v/>
      </c>
      <c r="G2002" t="str">
        <f>""</f>
        <v/>
      </c>
      <c r="H2002" t="str">
        <f>""</f>
        <v/>
      </c>
      <c r="J2002" t="str">
        <f t="shared" si="60"/>
        <v>BCBS PAYABLE</v>
      </c>
    </row>
    <row r="2003" spans="1:10" x14ac:dyDescent="0.3">
      <c r="A2003" t="str">
        <f>""</f>
        <v/>
      </c>
      <c r="B2003" t="str">
        <f>""</f>
        <v/>
      </c>
      <c r="G2003" t="str">
        <f>""</f>
        <v/>
      </c>
      <c r="H2003" t="str">
        <f>""</f>
        <v/>
      </c>
      <c r="J2003" t="str">
        <f t="shared" si="60"/>
        <v>BCBS PAYABLE</v>
      </c>
    </row>
    <row r="2004" spans="1:10" x14ac:dyDescent="0.3">
      <c r="A2004" t="str">
        <f>""</f>
        <v/>
      </c>
      <c r="B2004" t="str">
        <f>""</f>
        <v/>
      </c>
      <c r="G2004" t="str">
        <f>""</f>
        <v/>
      </c>
      <c r="H2004" t="str">
        <f>""</f>
        <v/>
      </c>
      <c r="J2004" t="str">
        <f t="shared" si="60"/>
        <v>BCBS PAYABLE</v>
      </c>
    </row>
    <row r="2005" spans="1:10" x14ac:dyDescent="0.3">
      <c r="A2005" t="str">
        <f>""</f>
        <v/>
      </c>
      <c r="B2005" t="str">
        <f>""</f>
        <v/>
      </c>
      <c r="G2005" t="str">
        <f>""</f>
        <v/>
      </c>
      <c r="H2005" t="str">
        <f>""</f>
        <v/>
      </c>
      <c r="J2005" t="str">
        <f t="shared" si="60"/>
        <v>BCBS PAYABLE</v>
      </c>
    </row>
    <row r="2006" spans="1:10" x14ac:dyDescent="0.3">
      <c r="A2006" t="str">
        <f>""</f>
        <v/>
      </c>
      <c r="B2006" t="str">
        <f>""</f>
        <v/>
      </c>
      <c r="G2006" t="str">
        <f>""</f>
        <v/>
      </c>
      <c r="H2006" t="str">
        <f>""</f>
        <v/>
      </c>
      <c r="J2006" t="str">
        <f t="shared" si="60"/>
        <v>BCBS PAYABLE</v>
      </c>
    </row>
    <row r="2007" spans="1:10" x14ac:dyDescent="0.3">
      <c r="A2007" t="str">
        <f>""</f>
        <v/>
      </c>
      <c r="B2007" t="str">
        <f>""</f>
        <v/>
      </c>
      <c r="G2007" t="str">
        <f>""</f>
        <v/>
      </c>
      <c r="H2007" t="str">
        <f>""</f>
        <v/>
      </c>
      <c r="J2007" t="str">
        <f t="shared" si="60"/>
        <v>BCBS PAYABLE</v>
      </c>
    </row>
    <row r="2008" spans="1:10" x14ac:dyDescent="0.3">
      <c r="A2008" t="str">
        <f>""</f>
        <v/>
      </c>
      <c r="B2008" t="str">
        <f>""</f>
        <v/>
      </c>
      <c r="G2008" t="str">
        <f>""</f>
        <v/>
      </c>
      <c r="H2008" t="str">
        <f>""</f>
        <v/>
      </c>
      <c r="J2008" t="str">
        <f t="shared" si="60"/>
        <v>BCBS PAYABLE</v>
      </c>
    </row>
    <row r="2009" spans="1:10" x14ac:dyDescent="0.3">
      <c r="A2009" t="str">
        <f>""</f>
        <v/>
      </c>
      <c r="B2009" t="str">
        <f>""</f>
        <v/>
      </c>
      <c r="G2009" t="str">
        <f>""</f>
        <v/>
      </c>
      <c r="H2009" t="str">
        <f>""</f>
        <v/>
      </c>
      <c r="J2009" t="str">
        <f t="shared" si="60"/>
        <v>BCBS PAYABLE</v>
      </c>
    </row>
    <row r="2010" spans="1:10" x14ac:dyDescent="0.3">
      <c r="A2010" t="str">
        <f>""</f>
        <v/>
      </c>
      <c r="B2010" t="str">
        <f>""</f>
        <v/>
      </c>
      <c r="G2010" t="str">
        <f>""</f>
        <v/>
      </c>
      <c r="H2010" t="str">
        <f>""</f>
        <v/>
      </c>
      <c r="J2010" t="str">
        <f t="shared" si="60"/>
        <v>BCBS PAYABLE</v>
      </c>
    </row>
    <row r="2011" spans="1:10" x14ac:dyDescent="0.3">
      <c r="A2011" t="str">
        <f>""</f>
        <v/>
      </c>
      <c r="B2011" t="str">
        <f>""</f>
        <v/>
      </c>
      <c r="G2011" t="str">
        <f>""</f>
        <v/>
      </c>
      <c r="H2011" t="str">
        <f>""</f>
        <v/>
      </c>
      <c r="J2011" t="str">
        <f t="shared" si="60"/>
        <v>BCBS PAYABLE</v>
      </c>
    </row>
    <row r="2012" spans="1:10" x14ac:dyDescent="0.3">
      <c r="A2012" t="str">
        <f>""</f>
        <v/>
      </c>
      <c r="B2012" t="str">
        <f>""</f>
        <v/>
      </c>
      <c r="G2012" t="str">
        <f>"2ES201801248228"</f>
        <v>2ES201801248228</v>
      </c>
      <c r="H2012" t="str">
        <f>"BCBS PAYABLE"</f>
        <v>BCBS PAYABLE</v>
      </c>
      <c r="I2012" s="2">
        <v>15909.13</v>
      </c>
      <c r="J2012" t="str">
        <f t="shared" si="60"/>
        <v>BCBS PAYABLE</v>
      </c>
    </row>
    <row r="2013" spans="1:10" x14ac:dyDescent="0.3">
      <c r="A2013" t="str">
        <f>""</f>
        <v/>
      </c>
      <c r="B2013" t="str">
        <f>""</f>
        <v/>
      </c>
      <c r="G2013" t="str">
        <f>""</f>
        <v/>
      </c>
      <c r="H2013" t="str">
        <f>""</f>
        <v/>
      </c>
      <c r="J2013" t="str">
        <f t="shared" si="60"/>
        <v>BCBS PAYABLE</v>
      </c>
    </row>
    <row r="2014" spans="1:10" x14ac:dyDescent="0.3">
      <c r="A2014" t="str">
        <f>""</f>
        <v/>
      </c>
      <c r="B2014" t="str">
        <f>""</f>
        <v/>
      </c>
      <c r="G2014" t="str">
        <f>""</f>
        <v/>
      </c>
      <c r="H2014" t="str">
        <f>""</f>
        <v/>
      </c>
      <c r="J2014" t="str">
        <f t="shared" si="60"/>
        <v>BCBS PAYABLE</v>
      </c>
    </row>
    <row r="2015" spans="1:10" x14ac:dyDescent="0.3">
      <c r="A2015" t="str">
        <f>""</f>
        <v/>
      </c>
      <c r="B2015" t="str">
        <f>""</f>
        <v/>
      </c>
      <c r="G2015" t="str">
        <f>""</f>
        <v/>
      </c>
      <c r="H2015" t="str">
        <f>""</f>
        <v/>
      </c>
      <c r="J2015" t="str">
        <f t="shared" si="60"/>
        <v>BCBS PAYABLE</v>
      </c>
    </row>
    <row r="2016" spans="1:10" x14ac:dyDescent="0.3">
      <c r="A2016" t="str">
        <f>""</f>
        <v/>
      </c>
      <c r="B2016" t="str">
        <f>""</f>
        <v/>
      </c>
      <c r="G2016" t="str">
        <f>""</f>
        <v/>
      </c>
      <c r="H2016" t="str">
        <f>""</f>
        <v/>
      </c>
      <c r="J2016" t="str">
        <f t="shared" si="60"/>
        <v>BCBS PAYABLE</v>
      </c>
    </row>
    <row r="2017" spans="1:10" x14ac:dyDescent="0.3">
      <c r="A2017" t="str">
        <f>""</f>
        <v/>
      </c>
      <c r="B2017" t="str">
        <f>""</f>
        <v/>
      </c>
      <c r="G2017" t="str">
        <f>""</f>
        <v/>
      </c>
      <c r="H2017" t="str">
        <f>""</f>
        <v/>
      </c>
      <c r="J2017" t="str">
        <f t="shared" si="60"/>
        <v>BCBS PAYABLE</v>
      </c>
    </row>
    <row r="2018" spans="1:10" x14ac:dyDescent="0.3">
      <c r="A2018" t="str">
        <f>""</f>
        <v/>
      </c>
      <c r="B2018" t="str">
        <f>""</f>
        <v/>
      </c>
      <c r="G2018" t="str">
        <f>""</f>
        <v/>
      </c>
      <c r="H2018" t="str">
        <f>""</f>
        <v/>
      </c>
      <c r="J2018" t="str">
        <f t="shared" si="60"/>
        <v>BCBS PAYABLE</v>
      </c>
    </row>
    <row r="2019" spans="1:10" x14ac:dyDescent="0.3">
      <c r="A2019" t="str">
        <f>""</f>
        <v/>
      </c>
      <c r="B2019" t="str">
        <f>""</f>
        <v/>
      </c>
      <c r="G2019" t="str">
        <f>""</f>
        <v/>
      </c>
      <c r="H2019" t="str">
        <f>""</f>
        <v/>
      </c>
      <c r="J2019" t="str">
        <f t="shared" si="60"/>
        <v>BCBS PAYABLE</v>
      </c>
    </row>
    <row r="2020" spans="1:10" x14ac:dyDescent="0.3">
      <c r="A2020" t="str">
        <f>""</f>
        <v/>
      </c>
      <c r="B2020" t="str">
        <f>""</f>
        <v/>
      </c>
      <c r="G2020" t="str">
        <f>""</f>
        <v/>
      </c>
      <c r="H2020" t="str">
        <f>""</f>
        <v/>
      </c>
      <c r="J2020" t="str">
        <f t="shared" si="60"/>
        <v>BCBS PAYABLE</v>
      </c>
    </row>
    <row r="2021" spans="1:10" x14ac:dyDescent="0.3">
      <c r="A2021" t="str">
        <f>""</f>
        <v/>
      </c>
      <c r="B2021" t="str">
        <f>""</f>
        <v/>
      </c>
      <c r="G2021" t="str">
        <f>""</f>
        <v/>
      </c>
      <c r="H2021" t="str">
        <f>""</f>
        <v/>
      </c>
      <c r="J2021" t="str">
        <f t="shared" si="60"/>
        <v>BCBS PAYABLE</v>
      </c>
    </row>
    <row r="2022" spans="1:10" x14ac:dyDescent="0.3">
      <c r="A2022" t="str">
        <f>""</f>
        <v/>
      </c>
      <c r="B2022" t="str">
        <f>""</f>
        <v/>
      </c>
      <c r="G2022" t="str">
        <f>""</f>
        <v/>
      </c>
      <c r="H2022" t="str">
        <f>""</f>
        <v/>
      </c>
      <c r="J2022" t="str">
        <f t="shared" si="60"/>
        <v>BCBS PAYABLE</v>
      </c>
    </row>
    <row r="2023" spans="1:10" x14ac:dyDescent="0.3">
      <c r="A2023" t="str">
        <f>""</f>
        <v/>
      </c>
      <c r="B2023" t="str">
        <f>""</f>
        <v/>
      </c>
      <c r="G2023" t="str">
        <f>""</f>
        <v/>
      </c>
      <c r="H2023" t="str">
        <f>""</f>
        <v/>
      </c>
      <c r="J2023" t="str">
        <f t="shared" si="60"/>
        <v>BCBS PAYABLE</v>
      </c>
    </row>
    <row r="2024" spans="1:10" x14ac:dyDescent="0.3">
      <c r="A2024" t="str">
        <f>""</f>
        <v/>
      </c>
      <c r="B2024" t="str">
        <f>""</f>
        <v/>
      </c>
      <c r="G2024" t="str">
        <f>""</f>
        <v/>
      </c>
      <c r="H2024" t="str">
        <f>""</f>
        <v/>
      </c>
      <c r="J2024" t="str">
        <f t="shared" si="60"/>
        <v>BCBS PAYABLE</v>
      </c>
    </row>
    <row r="2025" spans="1:10" x14ac:dyDescent="0.3">
      <c r="A2025" t="str">
        <f>""</f>
        <v/>
      </c>
      <c r="B2025" t="str">
        <f>""</f>
        <v/>
      </c>
      <c r="G2025" t="str">
        <f>""</f>
        <v/>
      </c>
      <c r="H2025" t="str">
        <f>""</f>
        <v/>
      </c>
      <c r="J2025" t="str">
        <f t="shared" si="60"/>
        <v>BCBS PAYABLE</v>
      </c>
    </row>
    <row r="2026" spans="1:10" x14ac:dyDescent="0.3">
      <c r="A2026" t="str">
        <f>""</f>
        <v/>
      </c>
      <c r="B2026" t="str">
        <f>""</f>
        <v/>
      </c>
      <c r="G2026" t="str">
        <f>""</f>
        <v/>
      </c>
      <c r="H2026" t="str">
        <f>""</f>
        <v/>
      </c>
      <c r="J2026" t="str">
        <f t="shared" si="60"/>
        <v>BCBS PAYABLE</v>
      </c>
    </row>
    <row r="2027" spans="1:10" x14ac:dyDescent="0.3">
      <c r="A2027" t="str">
        <f>""</f>
        <v/>
      </c>
      <c r="B2027" t="str">
        <f>""</f>
        <v/>
      </c>
      <c r="G2027" t="str">
        <f>""</f>
        <v/>
      </c>
      <c r="H2027" t="str">
        <f>""</f>
        <v/>
      </c>
      <c r="J2027" t="str">
        <f t="shared" si="60"/>
        <v>BCBS PAYABLE</v>
      </c>
    </row>
    <row r="2028" spans="1:10" x14ac:dyDescent="0.3">
      <c r="A2028" t="str">
        <f>""</f>
        <v/>
      </c>
      <c r="B2028" t="str">
        <f>""</f>
        <v/>
      </c>
      <c r="G2028" t="str">
        <f>""</f>
        <v/>
      </c>
      <c r="H2028" t="str">
        <f>""</f>
        <v/>
      </c>
      <c r="J2028" t="str">
        <f t="shared" si="60"/>
        <v>BCBS PAYABLE</v>
      </c>
    </row>
    <row r="2029" spans="1:10" x14ac:dyDescent="0.3">
      <c r="A2029" t="str">
        <f>""</f>
        <v/>
      </c>
      <c r="B2029" t="str">
        <f>""</f>
        <v/>
      </c>
      <c r="G2029" t="str">
        <f>""</f>
        <v/>
      </c>
      <c r="H2029" t="str">
        <f>""</f>
        <v/>
      </c>
      <c r="J2029" t="str">
        <f t="shared" si="60"/>
        <v>BCBS PAYABLE</v>
      </c>
    </row>
    <row r="2030" spans="1:10" x14ac:dyDescent="0.3">
      <c r="A2030" t="str">
        <f>"01"</f>
        <v>01</v>
      </c>
      <c r="B2030" t="str">
        <f>"TAGO"</f>
        <v>TAGO</v>
      </c>
      <c r="C2030" t="s">
        <v>406</v>
      </c>
      <c r="D2030">
        <v>0</v>
      </c>
      <c r="E2030" s="2">
        <v>3921.61</v>
      </c>
      <c r="F2030" s="1">
        <v>43112</v>
      </c>
      <c r="G2030" t="str">
        <f>"C18201801118130"</f>
        <v>C18201801118130</v>
      </c>
      <c r="H2030" t="str">
        <f>"CAUSE# 0011635329"</f>
        <v>CAUSE# 0011635329</v>
      </c>
      <c r="I2030" s="2">
        <v>603.23</v>
      </c>
      <c r="J2030" t="str">
        <f>"CAUSE# 0011635329"</f>
        <v>CAUSE# 0011635329</v>
      </c>
    </row>
    <row r="2031" spans="1:10" x14ac:dyDescent="0.3">
      <c r="A2031" t="str">
        <f>""</f>
        <v/>
      </c>
      <c r="B2031" t="str">
        <f>""</f>
        <v/>
      </c>
      <c r="G2031" t="str">
        <f>"C2 201801118130"</f>
        <v>C2 201801118130</v>
      </c>
      <c r="H2031" t="str">
        <f>"0012982132CCL7445"</f>
        <v>0012982132CCL7445</v>
      </c>
      <c r="I2031" s="2">
        <v>692.31</v>
      </c>
      <c r="J2031" t="str">
        <f>"0012982132CCL7445"</f>
        <v>0012982132CCL7445</v>
      </c>
    </row>
    <row r="2032" spans="1:10" x14ac:dyDescent="0.3">
      <c r="A2032" t="str">
        <f>""</f>
        <v/>
      </c>
      <c r="B2032" t="str">
        <f>""</f>
        <v/>
      </c>
      <c r="G2032" t="str">
        <f>"C20201801118129"</f>
        <v>C20201801118129</v>
      </c>
      <c r="H2032" t="str">
        <f>"001003981107-12252"</f>
        <v>001003981107-12252</v>
      </c>
      <c r="I2032" s="2">
        <v>115.39</v>
      </c>
      <c r="J2032" t="str">
        <f>"001003981107-12252"</f>
        <v>001003981107-12252</v>
      </c>
    </row>
    <row r="2033" spans="1:10" x14ac:dyDescent="0.3">
      <c r="A2033" t="str">
        <f>""</f>
        <v/>
      </c>
      <c r="B2033" t="str">
        <f>""</f>
        <v/>
      </c>
      <c r="G2033" t="str">
        <f>"C39201801118129"</f>
        <v>C39201801118129</v>
      </c>
      <c r="H2033" t="str">
        <f>"0012352184423-1520"</f>
        <v>0012352184423-1520</v>
      </c>
      <c r="I2033" s="2">
        <v>273.23</v>
      </c>
      <c r="J2033" t="str">
        <f>"0012352184423-1520"</f>
        <v>0012352184423-1520</v>
      </c>
    </row>
    <row r="2034" spans="1:10" x14ac:dyDescent="0.3">
      <c r="A2034" t="str">
        <f>""</f>
        <v/>
      </c>
      <c r="B2034" t="str">
        <f>""</f>
        <v/>
      </c>
      <c r="G2034" t="str">
        <f>"C42201801118129"</f>
        <v>C42201801118129</v>
      </c>
      <c r="H2034" t="str">
        <f>"001236769211-14410"</f>
        <v>001236769211-14410</v>
      </c>
      <c r="I2034" s="2">
        <v>230.31</v>
      </c>
      <c r="J2034" t="str">
        <f>"001236769211-14410"</f>
        <v>001236769211-14410</v>
      </c>
    </row>
    <row r="2035" spans="1:10" x14ac:dyDescent="0.3">
      <c r="A2035" t="str">
        <f>""</f>
        <v/>
      </c>
      <c r="B2035" t="str">
        <f>""</f>
        <v/>
      </c>
      <c r="G2035" t="str">
        <f>"C46201801118129"</f>
        <v>C46201801118129</v>
      </c>
      <c r="H2035" t="str">
        <f>"CAUSE# 11-14911"</f>
        <v>CAUSE# 11-14911</v>
      </c>
      <c r="I2035" s="2">
        <v>238.62</v>
      </c>
      <c r="J2035" t="str">
        <f>"CAUSE# 11-14911"</f>
        <v>CAUSE# 11-14911</v>
      </c>
    </row>
    <row r="2036" spans="1:10" x14ac:dyDescent="0.3">
      <c r="A2036" t="str">
        <f>""</f>
        <v/>
      </c>
      <c r="B2036" t="str">
        <f>""</f>
        <v/>
      </c>
      <c r="G2036" t="str">
        <f>"C53201801118129"</f>
        <v>C53201801118129</v>
      </c>
      <c r="H2036" t="str">
        <f>"0012453366"</f>
        <v>0012453366</v>
      </c>
      <c r="I2036" s="2">
        <v>207.69</v>
      </c>
      <c r="J2036" t="str">
        <f>"0012453366"</f>
        <v>0012453366</v>
      </c>
    </row>
    <row r="2037" spans="1:10" x14ac:dyDescent="0.3">
      <c r="A2037" t="str">
        <f>""</f>
        <v/>
      </c>
      <c r="B2037" t="str">
        <f>""</f>
        <v/>
      </c>
      <c r="G2037" t="str">
        <f>"C59201801118129"</f>
        <v>C59201801118129</v>
      </c>
      <c r="H2037" t="str">
        <f>"0012936495140043"</f>
        <v>0012936495140043</v>
      </c>
      <c r="I2037" s="2">
        <v>226.15</v>
      </c>
      <c r="J2037" t="str">
        <f>"0012936495140043"</f>
        <v>0012936495140043</v>
      </c>
    </row>
    <row r="2038" spans="1:10" x14ac:dyDescent="0.3">
      <c r="A2038" t="str">
        <f>""</f>
        <v/>
      </c>
      <c r="B2038" t="str">
        <f>""</f>
        <v/>
      </c>
      <c r="G2038" t="str">
        <f>"C60201801118129"</f>
        <v>C60201801118129</v>
      </c>
      <c r="H2038" t="str">
        <f>"00130730762012V300"</f>
        <v>00130730762012V300</v>
      </c>
      <c r="I2038" s="2">
        <v>399.32</v>
      </c>
      <c r="J2038" t="str">
        <f>"00130730762012V300"</f>
        <v>00130730762012V300</v>
      </c>
    </row>
    <row r="2039" spans="1:10" x14ac:dyDescent="0.3">
      <c r="A2039" t="str">
        <f>""</f>
        <v/>
      </c>
      <c r="B2039" t="str">
        <f>""</f>
        <v/>
      </c>
      <c r="G2039" t="str">
        <f>"C61201801118129"</f>
        <v>C61201801118129</v>
      </c>
      <c r="H2039" t="str">
        <f>"001174398213713"</f>
        <v>001174398213713</v>
      </c>
      <c r="I2039" s="2">
        <v>6.42</v>
      </c>
      <c r="J2039" t="str">
        <f>"001174398213713"</f>
        <v>001174398213713</v>
      </c>
    </row>
    <row r="2040" spans="1:10" x14ac:dyDescent="0.3">
      <c r="A2040" t="str">
        <f>""</f>
        <v/>
      </c>
      <c r="B2040" t="str">
        <f>""</f>
        <v/>
      </c>
      <c r="G2040" t="str">
        <f>"C62201801118129"</f>
        <v>C62201801118129</v>
      </c>
      <c r="H2040" t="str">
        <f>"# 0012128865"</f>
        <v># 0012128865</v>
      </c>
      <c r="I2040" s="2">
        <v>243.23</v>
      </c>
      <c r="J2040" t="str">
        <f>"# 0012128865"</f>
        <v># 0012128865</v>
      </c>
    </row>
    <row r="2041" spans="1:10" x14ac:dyDescent="0.3">
      <c r="A2041" t="str">
        <f>""</f>
        <v/>
      </c>
      <c r="B2041" t="str">
        <f>""</f>
        <v/>
      </c>
      <c r="G2041" t="str">
        <f>"C63201801118129"</f>
        <v>C63201801118129</v>
      </c>
      <c r="H2041" t="str">
        <f>"00132751231517246"</f>
        <v>00132751231517246</v>
      </c>
      <c r="I2041" s="2">
        <v>46.15</v>
      </c>
      <c r="J2041" t="str">
        <f>"00132751231517246"</f>
        <v>00132751231517246</v>
      </c>
    </row>
    <row r="2042" spans="1:10" x14ac:dyDescent="0.3">
      <c r="A2042" t="str">
        <f>""</f>
        <v/>
      </c>
      <c r="B2042" t="str">
        <f>""</f>
        <v/>
      </c>
      <c r="G2042" t="str">
        <f>"C65201801118129"</f>
        <v>C65201801118129</v>
      </c>
      <c r="H2042" t="str">
        <f>"12-14956"</f>
        <v>12-14956</v>
      </c>
      <c r="I2042" s="2">
        <v>411.1</v>
      </c>
      <c r="J2042" t="str">
        <f>"12-14956"</f>
        <v>12-14956</v>
      </c>
    </row>
    <row r="2043" spans="1:10" x14ac:dyDescent="0.3">
      <c r="A2043" t="str">
        <f>""</f>
        <v/>
      </c>
      <c r="B2043" t="str">
        <f>""</f>
        <v/>
      </c>
      <c r="G2043" t="str">
        <f>"C66201801118129"</f>
        <v>C66201801118129</v>
      </c>
      <c r="H2043" t="str">
        <f>"# 0012871801"</f>
        <v># 0012871801</v>
      </c>
      <c r="I2043" s="2">
        <v>90</v>
      </c>
      <c r="J2043" t="str">
        <f>"# 0012871801"</f>
        <v># 0012871801</v>
      </c>
    </row>
    <row r="2044" spans="1:10" x14ac:dyDescent="0.3">
      <c r="A2044" t="str">
        <f>""</f>
        <v/>
      </c>
      <c r="B2044" t="str">
        <f>""</f>
        <v/>
      </c>
      <c r="G2044" t="str">
        <f>"C66201801118131"</f>
        <v>C66201801118131</v>
      </c>
      <c r="H2044" t="str">
        <f>"CAUSE#D1FM13007058"</f>
        <v>CAUSE#D1FM13007058</v>
      </c>
      <c r="I2044" s="2">
        <v>138.46</v>
      </c>
      <c r="J2044" t="str">
        <f>"CAUSE#D1FM13007058"</f>
        <v>CAUSE#D1FM13007058</v>
      </c>
    </row>
    <row r="2045" spans="1:10" x14ac:dyDescent="0.3">
      <c r="A2045" t="str">
        <f>"01"</f>
        <v>01</v>
      </c>
      <c r="B2045" t="str">
        <f>"TAGO"</f>
        <v>TAGO</v>
      </c>
      <c r="C2045" t="s">
        <v>406</v>
      </c>
      <c r="D2045">
        <v>0</v>
      </c>
      <c r="E2045" s="2">
        <v>3861.61</v>
      </c>
      <c r="F2045" s="1">
        <v>43126</v>
      </c>
      <c r="G2045" t="str">
        <f>"C18201801248226"</f>
        <v>C18201801248226</v>
      </c>
      <c r="H2045" t="str">
        <f>"CAUSE# 0011635329"</f>
        <v>CAUSE# 0011635329</v>
      </c>
      <c r="I2045" s="2">
        <v>603.23</v>
      </c>
      <c r="J2045" t="str">
        <f>"CAUSE# 0011635329"</f>
        <v>CAUSE# 0011635329</v>
      </c>
    </row>
    <row r="2046" spans="1:10" x14ac:dyDescent="0.3">
      <c r="A2046" t="str">
        <f>""</f>
        <v/>
      </c>
      <c r="B2046" t="str">
        <f>""</f>
        <v/>
      </c>
      <c r="G2046" t="str">
        <f>"C2 201801248226"</f>
        <v>C2 201801248226</v>
      </c>
      <c r="H2046" t="str">
        <f>"0012982132CCL7445"</f>
        <v>0012982132CCL7445</v>
      </c>
      <c r="I2046" s="2">
        <v>692.31</v>
      </c>
      <c r="J2046" t="str">
        <f>"0012982132CCL7445"</f>
        <v>0012982132CCL7445</v>
      </c>
    </row>
    <row r="2047" spans="1:10" x14ac:dyDescent="0.3">
      <c r="A2047" t="str">
        <f>""</f>
        <v/>
      </c>
      <c r="B2047" t="str">
        <f>""</f>
        <v/>
      </c>
      <c r="G2047" t="str">
        <f>"C20201801248228"</f>
        <v>C20201801248228</v>
      </c>
      <c r="H2047" t="str">
        <f>"001003981107-12252"</f>
        <v>001003981107-12252</v>
      </c>
      <c r="I2047" s="2">
        <v>115.39</v>
      </c>
      <c r="J2047" t="str">
        <f>"001003981107-12252"</f>
        <v>001003981107-12252</v>
      </c>
    </row>
    <row r="2048" spans="1:10" x14ac:dyDescent="0.3">
      <c r="A2048" t="str">
        <f>""</f>
        <v/>
      </c>
      <c r="B2048" t="str">
        <f>""</f>
        <v/>
      </c>
      <c r="G2048" t="str">
        <f>"C39201801248228"</f>
        <v>C39201801248228</v>
      </c>
      <c r="H2048" t="str">
        <f>"0012352184423-1520"</f>
        <v>0012352184423-1520</v>
      </c>
      <c r="I2048" s="2">
        <v>273.23</v>
      </c>
      <c r="J2048" t="str">
        <f>"0012352184423-1520"</f>
        <v>0012352184423-1520</v>
      </c>
    </row>
    <row r="2049" spans="1:10" x14ac:dyDescent="0.3">
      <c r="A2049" t="str">
        <f>""</f>
        <v/>
      </c>
      <c r="B2049" t="str">
        <f>""</f>
        <v/>
      </c>
      <c r="G2049" t="str">
        <f>"C42201801248228"</f>
        <v>C42201801248228</v>
      </c>
      <c r="H2049" t="str">
        <f>"001236769211-14410"</f>
        <v>001236769211-14410</v>
      </c>
      <c r="I2049" s="2">
        <v>230.31</v>
      </c>
      <c r="J2049" t="str">
        <f>"001236769211-14410"</f>
        <v>001236769211-14410</v>
      </c>
    </row>
    <row r="2050" spans="1:10" x14ac:dyDescent="0.3">
      <c r="A2050" t="str">
        <f>""</f>
        <v/>
      </c>
      <c r="B2050" t="str">
        <f>""</f>
        <v/>
      </c>
      <c r="G2050" t="str">
        <f>"C46201801248228"</f>
        <v>C46201801248228</v>
      </c>
      <c r="H2050" t="str">
        <f>"CAUSE# 11-14911"</f>
        <v>CAUSE# 11-14911</v>
      </c>
      <c r="I2050" s="2">
        <v>238.62</v>
      </c>
      <c r="J2050" t="str">
        <f>"CAUSE# 11-14911"</f>
        <v>CAUSE# 11-14911</v>
      </c>
    </row>
    <row r="2051" spans="1:10" x14ac:dyDescent="0.3">
      <c r="A2051" t="str">
        <f>""</f>
        <v/>
      </c>
      <c r="B2051" t="str">
        <f>""</f>
        <v/>
      </c>
      <c r="G2051" t="str">
        <f>"C53201801248228"</f>
        <v>C53201801248228</v>
      </c>
      <c r="H2051" t="str">
        <f>"0012453366"</f>
        <v>0012453366</v>
      </c>
      <c r="I2051" s="2">
        <v>207.69</v>
      </c>
      <c r="J2051" t="str">
        <f>"0012453366"</f>
        <v>0012453366</v>
      </c>
    </row>
    <row r="2052" spans="1:10" x14ac:dyDescent="0.3">
      <c r="A2052" t="str">
        <f>""</f>
        <v/>
      </c>
      <c r="B2052" t="str">
        <f>""</f>
        <v/>
      </c>
      <c r="G2052" t="str">
        <f>"C59201801248228"</f>
        <v>C59201801248228</v>
      </c>
      <c r="H2052" t="str">
        <f>"0012936495140043"</f>
        <v>0012936495140043</v>
      </c>
      <c r="I2052" s="2">
        <v>226.15</v>
      </c>
      <c r="J2052" t="str">
        <f>"0012936495140043"</f>
        <v>0012936495140043</v>
      </c>
    </row>
    <row r="2053" spans="1:10" x14ac:dyDescent="0.3">
      <c r="A2053" t="str">
        <f>""</f>
        <v/>
      </c>
      <c r="B2053" t="str">
        <f>""</f>
        <v/>
      </c>
      <c r="G2053" t="str">
        <f>"C60201801248228"</f>
        <v>C60201801248228</v>
      </c>
      <c r="H2053" t="str">
        <f>"00130730762012V300"</f>
        <v>00130730762012V300</v>
      </c>
      <c r="I2053" s="2">
        <v>399.32</v>
      </c>
      <c r="J2053" t="str">
        <f>"00130730762012V300"</f>
        <v>00130730762012V300</v>
      </c>
    </row>
    <row r="2054" spans="1:10" x14ac:dyDescent="0.3">
      <c r="A2054" t="str">
        <f>""</f>
        <v/>
      </c>
      <c r="B2054" t="str">
        <f>""</f>
        <v/>
      </c>
      <c r="G2054" t="str">
        <f>"C61201801248228"</f>
        <v>C61201801248228</v>
      </c>
      <c r="H2054" t="str">
        <f>"001174398213713"</f>
        <v>001174398213713</v>
      </c>
      <c r="I2054" s="2">
        <v>6.42</v>
      </c>
      <c r="J2054" t="str">
        <f>"001174398213713"</f>
        <v>001174398213713</v>
      </c>
    </row>
    <row r="2055" spans="1:10" x14ac:dyDescent="0.3">
      <c r="A2055" t="str">
        <f>""</f>
        <v/>
      </c>
      <c r="B2055" t="str">
        <f>""</f>
        <v/>
      </c>
      <c r="G2055" t="str">
        <f>"C62201801248228"</f>
        <v>C62201801248228</v>
      </c>
      <c r="H2055" t="str">
        <f>"# 0012128865"</f>
        <v># 0012128865</v>
      </c>
      <c r="I2055" s="2">
        <v>243.23</v>
      </c>
      <c r="J2055" t="str">
        <f>"# 0012128865"</f>
        <v># 0012128865</v>
      </c>
    </row>
    <row r="2056" spans="1:10" x14ac:dyDescent="0.3">
      <c r="A2056" t="str">
        <f>""</f>
        <v/>
      </c>
      <c r="B2056" t="str">
        <f>""</f>
        <v/>
      </c>
      <c r="G2056" t="str">
        <f>"C63201801248228"</f>
        <v>C63201801248228</v>
      </c>
      <c r="H2056" t="str">
        <f>"00132751231517246"</f>
        <v>00132751231517246</v>
      </c>
      <c r="I2056" s="2">
        <v>46.15</v>
      </c>
      <c r="J2056" t="str">
        <f>"00132751231517246"</f>
        <v>00132751231517246</v>
      </c>
    </row>
    <row r="2057" spans="1:10" x14ac:dyDescent="0.3">
      <c r="A2057" t="str">
        <f>""</f>
        <v/>
      </c>
      <c r="B2057" t="str">
        <f>""</f>
        <v/>
      </c>
      <c r="G2057" t="str">
        <f>"C65201801248228"</f>
        <v>C65201801248228</v>
      </c>
      <c r="H2057" t="str">
        <f>"12-14956"</f>
        <v>12-14956</v>
      </c>
      <c r="I2057" s="2">
        <v>351.1</v>
      </c>
      <c r="J2057" t="str">
        <f>"12-14956"</f>
        <v>12-14956</v>
      </c>
    </row>
    <row r="2058" spans="1:10" x14ac:dyDescent="0.3">
      <c r="A2058" t="str">
        <f>""</f>
        <v/>
      </c>
      <c r="B2058" t="str">
        <f>""</f>
        <v/>
      </c>
      <c r="G2058" t="str">
        <f>"C66201801248227"</f>
        <v>C66201801248227</v>
      </c>
      <c r="H2058" t="str">
        <f>"CAUSE#D1FM13007058"</f>
        <v>CAUSE#D1FM13007058</v>
      </c>
      <c r="I2058" s="2">
        <v>138.46</v>
      </c>
      <c r="J2058" t="str">
        <f>"CAUSE#D1FM13007058"</f>
        <v>CAUSE#D1FM13007058</v>
      </c>
    </row>
    <row r="2059" spans="1:10" x14ac:dyDescent="0.3">
      <c r="A2059" t="str">
        <f>""</f>
        <v/>
      </c>
      <c r="B2059" t="str">
        <f>""</f>
        <v/>
      </c>
      <c r="G2059" t="str">
        <f>"C66201801248228"</f>
        <v>C66201801248228</v>
      </c>
      <c r="H2059" t="str">
        <f>"# 0012871801"</f>
        <v># 0012871801</v>
      </c>
      <c r="I2059" s="2">
        <v>90</v>
      </c>
      <c r="J2059" t="str">
        <f>"# 0012871801"</f>
        <v># 0012871801</v>
      </c>
    </row>
    <row r="2060" spans="1:10" x14ac:dyDescent="0.3">
      <c r="A2060" t="str">
        <f>"01"</f>
        <v>01</v>
      </c>
      <c r="B2060" t="str">
        <f>"TCDRS"</f>
        <v>TCDRS</v>
      </c>
      <c r="C2060" t="s">
        <v>407</v>
      </c>
      <c r="D2060">
        <v>0</v>
      </c>
      <c r="E2060" s="2">
        <v>318072.62</v>
      </c>
      <c r="F2060" s="1">
        <v>43126</v>
      </c>
      <c r="G2060" t="str">
        <f>"RET201801118129"</f>
        <v>RET201801118129</v>
      </c>
      <c r="H2060" t="str">
        <f>"TEXAS COUNTY &amp; DISTRICT RET"</f>
        <v>TEXAS COUNTY &amp; DISTRICT RET</v>
      </c>
      <c r="I2060" s="2">
        <v>144677.34</v>
      </c>
      <c r="J2060" t="str">
        <f t="shared" ref="J2060:J2091" si="61">"TEXAS COUNTY &amp; DISTRICT RET"</f>
        <v>TEXAS COUNTY &amp; DISTRICT RET</v>
      </c>
    </row>
    <row r="2061" spans="1:10" x14ac:dyDescent="0.3">
      <c r="A2061" t="str">
        <f>""</f>
        <v/>
      </c>
      <c r="B2061" t="str">
        <f>""</f>
        <v/>
      </c>
      <c r="G2061" t="str">
        <f>""</f>
        <v/>
      </c>
      <c r="H2061" t="str">
        <f>""</f>
        <v/>
      </c>
      <c r="J2061" t="str">
        <f t="shared" si="61"/>
        <v>TEXAS COUNTY &amp; DISTRICT RET</v>
      </c>
    </row>
    <row r="2062" spans="1:10" x14ac:dyDescent="0.3">
      <c r="A2062" t="str">
        <f>""</f>
        <v/>
      </c>
      <c r="B2062" t="str">
        <f>""</f>
        <v/>
      </c>
      <c r="G2062" t="str">
        <f>""</f>
        <v/>
      </c>
      <c r="H2062" t="str">
        <f>""</f>
        <v/>
      </c>
      <c r="J2062" t="str">
        <f t="shared" si="61"/>
        <v>TEXAS COUNTY &amp; DISTRICT RET</v>
      </c>
    </row>
    <row r="2063" spans="1:10" x14ac:dyDescent="0.3">
      <c r="A2063" t="str">
        <f>""</f>
        <v/>
      </c>
      <c r="B2063" t="str">
        <f>""</f>
        <v/>
      </c>
      <c r="G2063" t="str">
        <f>""</f>
        <v/>
      </c>
      <c r="H2063" t="str">
        <f>""</f>
        <v/>
      </c>
      <c r="J2063" t="str">
        <f t="shared" si="61"/>
        <v>TEXAS COUNTY &amp; DISTRICT RET</v>
      </c>
    </row>
    <row r="2064" spans="1:10" x14ac:dyDescent="0.3">
      <c r="A2064" t="str">
        <f>""</f>
        <v/>
      </c>
      <c r="B2064" t="str">
        <f>""</f>
        <v/>
      </c>
      <c r="G2064" t="str">
        <f>""</f>
        <v/>
      </c>
      <c r="H2064" t="str">
        <f>""</f>
        <v/>
      </c>
      <c r="J2064" t="str">
        <f t="shared" si="61"/>
        <v>TEXAS COUNTY &amp; DISTRICT RET</v>
      </c>
    </row>
    <row r="2065" spans="1:10" x14ac:dyDescent="0.3">
      <c r="A2065" t="str">
        <f>""</f>
        <v/>
      </c>
      <c r="B2065" t="str">
        <f>""</f>
        <v/>
      </c>
      <c r="G2065" t="str">
        <f>""</f>
        <v/>
      </c>
      <c r="H2065" t="str">
        <f>""</f>
        <v/>
      </c>
      <c r="J2065" t="str">
        <f t="shared" si="61"/>
        <v>TEXAS COUNTY &amp; DISTRICT RET</v>
      </c>
    </row>
    <row r="2066" spans="1:10" x14ac:dyDescent="0.3">
      <c r="A2066" t="str">
        <f>""</f>
        <v/>
      </c>
      <c r="B2066" t="str">
        <f>""</f>
        <v/>
      </c>
      <c r="G2066" t="str">
        <f>""</f>
        <v/>
      </c>
      <c r="H2066" t="str">
        <f>""</f>
        <v/>
      </c>
      <c r="J2066" t="str">
        <f t="shared" si="61"/>
        <v>TEXAS COUNTY &amp; DISTRICT RET</v>
      </c>
    </row>
    <row r="2067" spans="1:10" x14ac:dyDescent="0.3">
      <c r="A2067" t="str">
        <f>""</f>
        <v/>
      </c>
      <c r="B2067" t="str">
        <f>""</f>
        <v/>
      </c>
      <c r="G2067" t="str">
        <f>""</f>
        <v/>
      </c>
      <c r="H2067" t="str">
        <f>""</f>
        <v/>
      </c>
      <c r="J2067" t="str">
        <f t="shared" si="61"/>
        <v>TEXAS COUNTY &amp; DISTRICT RET</v>
      </c>
    </row>
    <row r="2068" spans="1:10" x14ac:dyDescent="0.3">
      <c r="A2068" t="str">
        <f>""</f>
        <v/>
      </c>
      <c r="B2068" t="str">
        <f>""</f>
        <v/>
      </c>
      <c r="G2068" t="str">
        <f>""</f>
        <v/>
      </c>
      <c r="H2068" t="str">
        <f>""</f>
        <v/>
      </c>
      <c r="J2068" t="str">
        <f t="shared" si="61"/>
        <v>TEXAS COUNTY &amp; DISTRICT RET</v>
      </c>
    </row>
    <row r="2069" spans="1:10" x14ac:dyDescent="0.3">
      <c r="A2069" t="str">
        <f>""</f>
        <v/>
      </c>
      <c r="B2069" t="str">
        <f>""</f>
        <v/>
      </c>
      <c r="G2069" t="str">
        <f>""</f>
        <v/>
      </c>
      <c r="H2069" t="str">
        <f>""</f>
        <v/>
      </c>
      <c r="J2069" t="str">
        <f t="shared" si="61"/>
        <v>TEXAS COUNTY &amp; DISTRICT RET</v>
      </c>
    </row>
    <row r="2070" spans="1:10" x14ac:dyDescent="0.3">
      <c r="A2070" t="str">
        <f>""</f>
        <v/>
      </c>
      <c r="B2070" t="str">
        <f>""</f>
        <v/>
      </c>
      <c r="G2070" t="str">
        <f>""</f>
        <v/>
      </c>
      <c r="H2070" t="str">
        <f>""</f>
        <v/>
      </c>
      <c r="J2070" t="str">
        <f t="shared" si="61"/>
        <v>TEXAS COUNTY &amp; DISTRICT RET</v>
      </c>
    </row>
    <row r="2071" spans="1:10" x14ac:dyDescent="0.3">
      <c r="A2071" t="str">
        <f>""</f>
        <v/>
      </c>
      <c r="B2071" t="str">
        <f>""</f>
        <v/>
      </c>
      <c r="G2071" t="str">
        <f>""</f>
        <v/>
      </c>
      <c r="H2071" t="str">
        <f>""</f>
        <v/>
      </c>
      <c r="J2071" t="str">
        <f t="shared" si="61"/>
        <v>TEXAS COUNTY &amp; DISTRICT RET</v>
      </c>
    </row>
    <row r="2072" spans="1:10" x14ac:dyDescent="0.3">
      <c r="A2072" t="str">
        <f>""</f>
        <v/>
      </c>
      <c r="B2072" t="str">
        <f>""</f>
        <v/>
      </c>
      <c r="G2072" t="str">
        <f>""</f>
        <v/>
      </c>
      <c r="H2072" t="str">
        <f>""</f>
        <v/>
      </c>
      <c r="J2072" t="str">
        <f t="shared" si="61"/>
        <v>TEXAS COUNTY &amp; DISTRICT RET</v>
      </c>
    </row>
    <row r="2073" spans="1:10" x14ac:dyDescent="0.3">
      <c r="A2073" t="str">
        <f>""</f>
        <v/>
      </c>
      <c r="B2073" t="str">
        <f>""</f>
        <v/>
      </c>
      <c r="G2073" t="str">
        <f>""</f>
        <v/>
      </c>
      <c r="H2073" t="str">
        <f>""</f>
        <v/>
      </c>
      <c r="J2073" t="str">
        <f t="shared" si="61"/>
        <v>TEXAS COUNTY &amp; DISTRICT RET</v>
      </c>
    </row>
    <row r="2074" spans="1:10" x14ac:dyDescent="0.3">
      <c r="A2074" t="str">
        <f>""</f>
        <v/>
      </c>
      <c r="B2074" t="str">
        <f>""</f>
        <v/>
      </c>
      <c r="G2074" t="str">
        <f>""</f>
        <v/>
      </c>
      <c r="H2074" t="str">
        <f>""</f>
        <v/>
      </c>
      <c r="J2074" t="str">
        <f t="shared" si="61"/>
        <v>TEXAS COUNTY &amp; DISTRICT RET</v>
      </c>
    </row>
    <row r="2075" spans="1:10" x14ac:dyDescent="0.3">
      <c r="A2075" t="str">
        <f>""</f>
        <v/>
      </c>
      <c r="B2075" t="str">
        <f>""</f>
        <v/>
      </c>
      <c r="G2075" t="str">
        <f>""</f>
        <v/>
      </c>
      <c r="H2075" t="str">
        <f>""</f>
        <v/>
      </c>
      <c r="J2075" t="str">
        <f t="shared" si="61"/>
        <v>TEXAS COUNTY &amp; DISTRICT RET</v>
      </c>
    </row>
    <row r="2076" spans="1:10" x14ac:dyDescent="0.3">
      <c r="A2076" t="str">
        <f>""</f>
        <v/>
      </c>
      <c r="B2076" t="str">
        <f>""</f>
        <v/>
      </c>
      <c r="G2076" t="str">
        <f>""</f>
        <v/>
      </c>
      <c r="H2076" t="str">
        <f>""</f>
        <v/>
      </c>
      <c r="J2076" t="str">
        <f t="shared" si="61"/>
        <v>TEXAS COUNTY &amp; DISTRICT RET</v>
      </c>
    </row>
    <row r="2077" spans="1:10" x14ac:dyDescent="0.3">
      <c r="A2077" t="str">
        <f>""</f>
        <v/>
      </c>
      <c r="B2077" t="str">
        <f>""</f>
        <v/>
      </c>
      <c r="G2077" t="str">
        <f>""</f>
        <v/>
      </c>
      <c r="H2077" t="str">
        <f>""</f>
        <v/>
      </c>
      <c r="J2077" t="str">
        <f t="shared" si="61"/>
        <v>TEXAS COUNTY &amp; DISTRICT RET</v>
      </c>
    </row>
    <row r="2078" spans="1:10" x14ac:dyDescent="0.3">
      <c r="A2078" t="str">
        <f>""</f>
        <v/>
      </c>
      <c r="B2078" t="str">
        <f>""</f>
        <v/>
      </c>
      <c r="G2078" t="str">
        <f>""</f>
        <v/>
      </c>
      <c r="H2078" t="str">
        <f>""</f>
        <v/>
      </c>
      <c r="J2078" t="str">
        <f t="shared" si="61"/>
        <v>TEXAS COUNTY &amp; DISTRICT RET</v>
      </c>
    </row>
    <row r="2079" spans="1:10" x14ac:dyDescent="0.3">
      <c r="A2079" t="str">
        <f>""</f>
        <v/>
      </c>
      <c r="B2079" t="str">
        <f>""</f>
        <v/>
      </c>
      <c r="G2079" t="str">
        <f>""</f>
        <v/>
      </c>
      <c r="H2079" t="str">
        <f>""</f>
        <v/>
      </c>
      <c r="J2079" t="str">
        <f t="shared" si="61"/>
        <v>TEXAS COUNTY &amp; DISTRICT RET</v>
      </c>
    </row>
    <row r="2080" spans="1:10" x14ac:dyDescent="0.3">
      <c r="A2080" t="str">
        <f>""</f>
        <v/>
      </c>
      <c r="B2080" t="str">
        <f>""</f>
        <v/>
      </c>
      <c r="G2080" t="str">
        <f>""</f>
        <v/>
      </c>
      <c r="H2080" t="str">
        <f>""</f>
        <v/>
      </c>
      <c r="J2080" t="str">
        <f t="shared" si="61"/>
        <v>TEXAS COUNTY &amp; DISTRICT RET</v>
      </c>
    </row>
    <row r="2081" spans="1:10" x14ac:dyDescent="0.3">
      <c r="A2081" t="str">
        <f>""</f>
        <v/>
      </c>
      <c r="B2081" t="str">
        <f>""</f>
        <v/>
      </c>
      <c r="G2081" t="str">
        <f>""</f>
        <v/>
      </c>
      <c r="H2081" t="str">
        <f>""</f>
        <v/>
      </c>
      <c r="J2081" t="str">
        <f t="shared" si="61"/>
        <v>TEXAS COUNTY &amp; DISTRICT RET</v>
      </c>
    </row>
    <row r="2082" spans="1:10" x14ac:dyDescent="0.3">
      <c r="A2082" t="str">
        <f>""</f>
        <v/>
      </c>
      <c r="B2082" t="str">
        <f>""</f>
        <v/>
      </c>
      <c r="G2082" t="str">
        <f>""</f>
        <v/>
      </c>
      <c r="H2082" t="str">
        <f>""</f>
        <v/>
      </c>
      <c r="J2082" t="str">
        <f t="shared" si="61"/>
        <v>TEXAS COUNTY &amp; DISTRICT RET</v>
      </c>
    </row>
    <row r="2083" spans="1:10" x14ac:dyDescent="0.3">
      <c r="A2083" t="str">
        <f>""</f>
        <v/>
      </c>
      <c r="B2083" t="str">
        <f>""</f>
        <v/>
      </c>
      <c r="G2083" t="str">
        <f>""</f>
        <v/>
      </c>
      <c r="H2083" t="str">
        <f>""</f>
        <v/>
      </c>
      <c r="J2083" t="str">
        <f t="shared" si="61"/>
        <v>TEXAS COUNTY &amp; DISTRICT RET</v>
      </c>
    </row>
    <row r="2084" spans="1:10" x14ac:dyDescent="0.3">
      <c r="A2084" t="str">
        <f>""</f>
        <v/>
      </c>
      <c r="B2084" t="str">
        <f>""</f>
        <v/>
      </c>
      <c r="G2084" t="str">
        <f>""</f>
        <v/>
      </c>
      <c r="H2084" t="str">
        <f>""</f>
        <v/>
      </c>
      <c r="J2084" t="str">
        <f t="shared" si="61"/>
        <v>TEXAS COUNTY &amp; DISTRICT RET</v>
      </c>
    </row>
    <row r="2085" spans="1:10" x14ac:dyDescent="0.3">
      <c r="A2085" t="str">
        <f>""</f>
        <v/>
      </c>
      <c r="B2085" t="str">
        <f>""</f>
        <v/>
      </c>
      <c r="G2085" t="str">
        <f>""</f>
        <v/>
      </c>
      <c r="H2085" t="str">
        <f>""</f>
        <v/>
      </c>
      <c r="J2085" t="str">
        <f t="shared" si="61"/>
        <v>TEXAS COUNTY &amp; DISTRICT RET</v>
      </c>
    </row>
    <row r="2086" spans="1:10" x14ac:dyDescent="0.3">
      <c r="A2086" t="str">
        <f>""</f>
        <v/>
      </c>
      <c r="B2086" t="str">
        <f>""</f>
        <v/>
      </c>
      <c r="G2086" t="str">
        <f>""</f>
        <v/>
      </c>
      <c r="H2086" t="str">
        <f>""</f>
        <v/>
      </c>
      <c r="J2086" t="str">
        <f t="shared" si="61"/>
        <v>TEXAS COUNTY &amp; DISTRICT RET</v>
      </c>
    </row>
    <row r="2087" spans="1:10" x14ac:dyDescent="0.3">
      <c r="A2087" t="str">
        <f>""</f>
        <v/>
      </c>
      <c r="B2087" t="str">
        <f>""</f>
        <v/>
      </c>
      <c r="G2087" t="str">
        <f>""</f>
        <v/>
      </c>
      <c r="H2087" t="str">
        <f>""</f>
        <v/>
      </c>
      <c r="J2087" t="str">
        <f t="shared" si="61"/>
        <v>TEXAS COUNTY &amp; DISTRICT RET</v>
      </c>
    </row>
    <row r="2088" spans="1:10" x14ac:dyDescent="0.3">
      <c r="A2088" t="str">
        <f>""</f>
        <v/>
      </c>
      <c r="B2088" t="str">
        <f>""</f>
        <v/>
      </c>
      <c r="G2088" t="str">
        <f>""</f>
        <v/>
      </c>
      <c r="H2088" t="str">
        <f>""</f>
        <v/>
      </c>
      <c r="J2088" t="str">
        <f t="shared" si="61"/>
        <v>TEXAS COUNTY &amp; DISTRICT RET</v>
      </c>
    </row>
    <row r="2089" spans="1:10" x14ac:dyDescent="0.3">
      <c r="A2089" t="str">
        <f>""</f>
        <v/>
      </c>
      <c r="B2089" t="str">
        <f>""</f>
        <v/>
      </c>
      <c r="G2089" t="str">
        <f>""</f>
        <v/>
      </c>
      <c r="H2089" t="str">
        <f>""</f>
        <v/>
      </c>
      <c r="J2089" t="str">
        <f t="shared" si="61"/>
        <v>TEXAS COUNTY &amp; DISTRICT RET</v>
      </c>
    </row>
    <row r="2090" spans="1:10" x14ac:dyDescent="0.3">
      <c r="A2090" t="str">
        <f>""</f>
        <v/>
      </c>
      <c r="B2090" t="str">
        <f>""</f>
        <v/>
      </c>
      <c r="G2090" t="str">
        <f>""</f>
        <v/>
      </c>
      <c r="H2090" t="str">
        <f>""</f>
        <v/>
      </c>
      <c r="J2090" t="str">
        <f t="shared" si="61"/>
        <v>TEXAS COUNTY &amp; DISTRICT RET</v>
      </c>
    </row>
    <row r="2091" spans="1:10" x14ac:dyDescent="0.3">
      <c r="A2091" t="str">
        <f>""</f>
        <v/>
      </c>
      <c r="B2091" t="str">
        <f>""</f>
        <v/>
      </c>
      <c r="G2091" t="str">
        <f>""</f>
        <v/>
      </c>
      <c r="H2091" t="str">
        <f>""</f>
        <v/>
      </c>
      <c r="J2091" t="str">
        <f t="shared" si="61"/>
        <v>TEXAS COUNTY &amp; DISTRICT RET</v>
      </c>
    </row>
    <row r="2092" spans="1:10" x14ac:dyDescent="0.3">
      <c r="A2092" t="str">
        <f>""</f>
        <v/>
      </c>
      <c r="B2092" t="str">
        <f>""</f>
        <v/>
      </c>
      <c r="G2092" t="str">
        <f>""</f>
        <v/>
      </c>
      <c r="H2092" t="str">
        <f>""</f>
        <v/>
      </c>
      <c r="J2092" t="str">
        <f t="shared" ref="J2092:J2110" si="62">"TEXAS COUNTY &amp; DISTRICT RET"</f>
        <v>TEXAS COUNTY &amp; DISTRICT RET</v>
      </c>
    </row>
    <row r="2093" spans="1:10" x14ac:dyDescent="0.3">
      <c r="A2093" t="str">
        <f>""</f>
        <v/>
      </c>
      <c r="B2093" t="str">
        <f>""</f>
        <v/>
      </c>
      <c r="G2093" t="str">
        <f>""</f>
        <v/>
      </c>
      <c r="H2093" t="str">
        <f>""</f>
        <v/>
      </c>
      <c r="J2093" t="str">
        <f t="shared" si="62"/>
        <v>TEXAS COUNTY &amp; DISTRICT RET</v>
      </c>
    </row>
    <row r="2094" spans="1:10" x14ac:dyDescent="0.3">
      <c r="A2094" t="str">
        <f>""</f>
        <v/>
      </c>
      <c r="B2094" t="str">
        <f>""</f>
        <v/>
      </c>
      <c r="G2094" t="str">
        <f>""</f>
        <v/>
      </c>
      <c r="H2094" t="str">
        <f>""</f>
        <v/>
      </c>
      <c r="J2094" t="str">
        <f t="shared" si="62"/>
        <v>TEXAS COUNTY &amp; DISTRICT RET</v>
      </c>
    </row>
    <row r="2095" spans="1:10" x14ac:dyDescent="0.3">
      <c r="A2095" t="str">
        <f>""</f>
        <v/>
      </c>
      <c r="B2095" t="str">
        <f>""</f>
        <v/>
      </c>
      <c r="G2095" t="str">
        <f>""</f>
        <v/>
      </c>
      <c r="H2095" t="str">
        <f>""</f>
        <v/>
      </c>
      <c r="J2095" t="str">
        <f t="shared" si="62"/>
        <v>TEXAS COUNTY &amp; DISTRICT RET</v>
      </c>
    </row>
    <row r="2096" spans="1:10" x14ac:dyDescent="0.3">
      <c r="A2096" t="str">
        <f>""</f>
        <v/>
      </c>
      <c r="B2096" t="str">
        <f>""</f>
        <v/>
      </c>
      <c r="G2096" t="str">
        <f>""</f>
        <v/>
      </c>
      <c r="H2096" t="str">
        <f>""</f>
        <v/>
      </c>
      <c r="J2096" t="str">
        <f t="shared" si="62"/>
        <v>TEXAS COUNTY &amp; DISTRICT RET</v>
      </c>
    </row>
    <row r="2097" spans="1:10" x14ac:dyDescent="0.3">
      <c r="A2097" t="str">
        <f>""</f>
        <v/>
      </c>
      <c r="B2097" t="str">
        <f>""</f>
        <v/>
      </c>
      <c r="G2097" t="str">
        <f>""</f>
        <v/>
      </c>
      <c r="H2097" t="str">
        <f>""</f>
        <v/>
      </c>
      <c r="J2097" t="str">
        <f t="shared" si="62"/>
        <v>TEXAS COUNTY &amp; DISTRICT RET</v>
      </c>
    </row>
    <row r="2098" spans="1:10" x14ac:dyDescent="0.3">
      <c r="A2098" t="str">
        <f>""</f>
        <v/>
      </c>
      <c r="B2098" t="str">
        <f>""</f>
        <v/>
      </c>
      <c r="G2098" t="str">
        <f>""</f>
        <v/>
      </c>
      <c r="H2098" t="str">
        <f>""</f>
        <v/>
      </c>
      <c r="J2098" t="str">
        <f t="shared" si="62"/>
        <v>TEXAS COUNTY &amp; DISTRICT RET</v>
      </c>
    </row>
    <row r="2099" spans="1:10" x14ac:dyDescent="0.3">
      <c r="A2099" t="str">
        <f>""</f>
        <v/>
      </c>
      <c r="B2099" t="str">
        <f>""</f>
        <v/>
      </c>
      <c r="G2099" t="str">
        <f>""</f>
        <v/>
      </c>
      <c r="H2099" t="str">
        <f>""</f>
        <v/>
      </c>
      <c r="J2099" t="str">
        <f t="shared" si="62"/>
        <v>TEXAS COUNTY &amp; DISTRICT RET</v>
      </c>
    </row>
    <row r="2100" spans="1:10" x14ac:dyDescent="0.3">
      <c r="A2100" t="str">
        <f>""</f>
        <v/>
      </c>
      <c r="B2100" t="str">
        <f>""</f>
        <v/>
      </c>
      <c r="G2100" t="str">
        <f>""</f>
        <v/>
      </c>
      <c r="H2100" t="str">
        <f>""</f>
        <v/>
      </c>
      <c r="J2100" t="str">
        <f t="shared" si="62"/>
        <v>TEXAS COUNTY &amp; DISTRICT RET</v>
      </c>
    </row>
    <row r="2101" spans="1:10" x14ac:dyDescent="0.3">
      <c r="A2101" t="str">
        <f>""</f>
        <v/>
      </c>
      <c r="B2101" t="str">
        <f>""</f>
        <v/>
      </c>
      <c r="G2101" t="str">
        <f>""</f>
        <v/>
      </c>
      <c r="H2101" t="str">
        <f>""</f>
        <v/>
      </c>
      <c r="J2101" t="str">
        <f t="shared" si="62"/>
        <v>TEXAS COUNTY &amp; DISTRICT RET</v>
      </c>
    </row>
    <row r="2102" spans="1:10" x14ac:dyDescent="0.3">
      <c r="A2102" t="str">
        <f>""</f>
        <v/>
      </c>
      <c r="B2102" t="str">
        <f>""</f>
        <v/>
      </c>
      <c r="G2102" t="str">
        <f>""</f>
        <v/>
      </c>
      <c r="H2102" t="str">
        <f>""</f>
        <v/>
      </c>
      <c r="J2102" t="str">
        <f t="shared" si="62"/>
        <v>TEXAS COUNTY &amp; DISTRICT RET</v>
      </c>
    </row>
    <row r="2103" spans="1:10" x14ac:dyDescent="0.3">
      <c r="A2103" t="str">
        <f>""</f>
        <v/>
      </c>
      <c r="B2103" t="str">
        <f>""</f>
        <v/>
      </c>
      <c r="G2103" t="str">
        <f>""</f>
        <v/>
      </c>
      <c r="H2103" t="str">
        <f>""</f>
        <v/>
      </c>
      <c r="J2103" t="str">
        <f t="shared" si="62"/>
        <v>TEXAS COUNTY &amp; DISTRICT RET</v>
      </c>
    </row>
    <row r="2104" spans="1:10" x14ac:dyDescent="0.3">
      <c r="A2104" t="str">
        <f>""</f>
        <v/>
      </c>
      <c r="B2104" t="str">
        <f>""</f>
        <v/>
      </c>
      <c r="G2104" t="str">
        <f>""</f>
        <v/>
      </c>
      <c r="H2104" t="str">
        <f>""</f>
        <v/>
      </c>
      <c r="J2104" t="str">
        <f t="shared" si="62"/>
        <v>TEXAS COUNTY &amp; DISTRICT RET</v>
      </c>
    </row>
    <row r="2105" spans="1:10" x14ac:dyDescent="0.3">
      <c r="A2105" t="str">
        <f>""</f>
        <v/>
      </c>
      <c r="B2105" t="str">
        <f>""</f>
        <v/>
      </c>
      <c r="G2105" t="str">
        <f>""</f>
        <v/>
      </c>
      <c r="H2105" t="str">
        <f>""</f>
        <v/>
      </c>
      <c r="J2105" t="str">
        <f t="shared" si="62"/>
        <v>TEXAS COUNTY &amp; DISTRICT RET</v>
      </c>
    </row>
    <row r="2106" spans="1:10" x14ac:dyDescent="0.3">
      <c r="A2106" t="str">
        <f>""</f>
        <v/>
      </c>
      <c r="B2106" t="str">
        <f>""</f>
        <v/>
      </c>
      <c r="G2106" t="str">
        <f>""</f>
        <v/>
      </c>
      <c r="H2106" t="str">
        <f>""</f>
        <v/>
      </c>
      <c r="J2106" t="str">
        <f t="shared" si="62"/>
        <v>TEXAS COUNTY &amp; DISTRICT RET</v>
      </c>
    </row>
    <row r="2107" spans="1:10" x14ac:dyDescent="0.3">
      <c r="A2107" t="str">
        <f>""</f>
        <v/>
      </c>
      <c r="B2107" t="str">
        <f>""</f>
        <v/>
      </c>
      <c r="G2107" t="str">
        <f>""</f>
        <v/>
      </c>
      <c r="H2107" t="str">
        <f>""</f>
        <v/>
      </c>
      <c r="J2107" t="str">
        <f t="shared" si="62"/>
        <v>TEXAS COUNTY &amp; DISTRICT RET</v>
      </c>
    </row>
    <row r="2108" spans="1:10" x14ac:dyDescent="0.3">
      <c r="A2108" t="str">
        <f>""</f>
        <v/>
      </c>
      <c r="B2108" t="str">
        <f>""</f>
        <v/>
      </c>
      <c r="G2108" t="str">
        <f>""</f>
        <v/>
      </c>
      <c r="H2108" t="str">
        <f>""</f>
        <v/>
      </c>
      <c r="J2108" t="str">
        <f t="shared" si="62"/>
        <v>TEXAS COUNTY &amp; DISTRICT RET</v>
      </c>
    </row>
    <row r="2109" spans="1:10" x14ac:dyDescent="0.3">
      <c r="A2109" t="str">
        <f>""</f>
        <v/>
      </c>
      <c r="B2109" t="str">
        <f>""</f>
        <v/>
      </c>
      <c r="G2109" t="str">
        <f>""</f>
        <v/>
      </c>
      <c r="H2109" t="str">
        <f>""</f>
        <v/>
      </c>
      <c r="J2109" t="str">
        <f t="shared" si="62"/>
        <v>TEXAS COUNTY &amp; DISTRICT RET</v>
      </c>
    </row>
    <row r="2110" spans="1:10" x14ac:dyDescent="0.3">
      <c r="A2110" t="str">
        <f>""</f>
        <v/>
      </c>
      <c r="B2110" t="str">
        <f>""</f>
        <v/>
      </c>
      <c r="G2110" t="str">
        <f>""</f>
        <v/>
      </c>
      <c r="H2110" t="str">
        <f>""</f>
        <v/>
      </c>
      <c r="J2110" t="str">
        <f t="shared" si="62"/>
        <v>TEXAS COUNTY &amp; DISTRICT RET</v>
      </c>
    </row>
    <row r="2111" spans="1:10" x14ac:dyDescent="0.3">
      <c r="A2111" t="str">
        <f>""</f>
        <v/>
      </c>
      <c r="B2111" t="str">
        <f>""</f>
        <v/>
      </c>
      <c r="G2111" t="str">
        <f>"RET201801118130"</f>
        <v>RET201801118130</v>
      </c>
      <c r="H2111" t="str">
        <f>"TEXAS COUNTY  DISTRICT RET"</f>
        <v>TEXAS COUNTY  DISTRICT RET</v>
      </c>
      <c r="I2111" s="2">
        <v>5830.76</v>
      </c>
      <c r="J2111" t="str">
        <f>"TEXAS COUNTY  DISTRICT RET"</f>
        <v>TEXAS COUNTY  DISTRICT RET</v>
      </c>
    </row>
    <row r="2112" spans="1:10" x14ac:dyDescent="0.3">
      <c r="A2112" t="str">
        <f>""</f>
        <v/>
      </c>
      <c r="B2112" t="str">
        <f>""</f>
        <v/>
      </c>
      <c r="G2112" t="str">
        <f>""</f>
        <v/>
      </c>
      <c r="H2112" t="str">
        <f>""</f>
        <v/>
      </c>
      <c r="J2112" t="str">
        <f>"TEXAS COUNTY  DISTRICT RET"</f>
        <v>TEXAS COUNTY  DISTRICT RET</v>
      </c>
    </row>
    <row r="2113" spans="1:10" x14ac:dyDescent="0.3">
      <c r="A2113" t="str">
        <f>""</f>
        <v/>
      </c>
      <c r="B2113" t="str">
        <f>""</f>
        <v/>
      </c>
      <c r="G2113" t="str">
        <f>"RET201801118131"</f>
        <v>RET201801118131</v>
      </c>
      <c r="H2113" t="str">
        <f>"TEXAS COUNTY &amp; DISTRICT RET"</f>
        <v>TEXAS COUNTY &amp; DISTRICT RET</v>
      </c>
      <c r="I2113" s="2">
        <v>8213.52</v>
      </c>
      <c r="J2113" t="str">
        <f>"TEXAS COUNTY &amp; DISTRICT RET"</f>
        <v>TEXAS COUNTY &amp; DISTRICT RET</v>
      </c>
    </row>
    <row r="2114" spans="1:10" x14ac:dyDescent="0.3">
      <c r="A2114" t="str">
        <f>""</f>
        <v/>
      </c>
      <c r="B2114" t="str">
        <f>""</f>
        <v/>
      </c>
      <c r="G2114" t="str">
        <f>""</f>
        <v/>
      </c>
      <c r="H2114" t="str">
        <f>""</f>
        <v/>
      </c>
      <c r="J2114" t="str">
        <f>"TEXAS COUNTY &amp; DISTRICT RET"</f>
        <v>TEXAS COUNTY &amp; DISTRICT RET</v>
      </c>
    </row>
    <row r="2115" spans="1:10" x14ac:dyDescent="0.3">
      <c r="A2115" t="str">
        <f>""</f>
        <v/>
      </c>
      <c r="B2115" t="str">
        <f>""</f>
        <v/>
      </c>
      <c r="G2115" t="str">
        <f>"RET201801248226"</f>
        <v>RET201801248226</v>
      </c>
      <c r="H2115" t="str">
        <f>"TEXAS COUNTY  DISTRICT RET"</f>
        <v>TEXAS COUNTY  DISTRICT RET</v>
      </c>
      <c r="I2115" s="2">
        <v>5821.1</v>
      </c>
      <c r="J2115" t="str">
        <f>"TEXAS COUNTY  DISTRICT RET"</f>
        <v>TEXAS COUNTY  DISTRICT RET</v>
      </c>
    </row>
    <row r="2116" spans="1:10" x14ac:dyDescent="0.3">
      <c r="A2116" t="str">
        <f>""</f>
        <v/>
      </c>
      <c r="B2116" t="str">
        <f>""</f>
        <v/>
      </c>
      <c r="G2116" t="str">
        <f>""</f>
        <v/>
      </c>
      <c r="H2116" t="str">
        <f>""</f>
        <v/>
      </c>
      <c r="J2116" t="str">
        <f>"TEXAS COUNTY  DISTRICT RET"</f>
        <v>TEXAS COUNTY  DISTRICT RET</v>
      </c>
    </row>
    <row r="2117" spans="1:10" x14ac:dyDescent="0.3">
      <c r="A2117" t="str">
        <f>""</f>
        <v/>
      </c>
      <c r="B2117" t="str">
        <f>""</f>
        <v/>
      </c>
      <c r="G2117" t="str">
        <f>"RET201801248227"</f>
        <v>RET201801248227</v>
      </c>
      <c r="H2117" t="str">
        <f>"TEXAS COUNTY &amp; DISTRICT RET"</f>
        <v>TEXAS COUNTY &amp; DISTRICT RET</v>
      </c>
      <c r="I2117" s="2">
        <v>8151.18</v>
      </c>
      <c r="J2117" t="str">
        <f t="shared" ref="J2117:J2148" si="63">"TEXAS COUNTY &amp; DISTRICT RET"</f>
        <v>TEXAS COUNTY &amp; DISTRICT RET</v>
      </c>
    </row>
    <row r="2118" spans="1:10" x14ac:dyDescent="0.3">
      <c r="A2118" t="str">
        <f>""</f>
        <v/>
      </c>
      <c r="B2118" t="str">
        <f>""</f>
        <v/>
      </c>
      <c r="G2118" t="str">
        <f>""</f>
        <v/>
      </c>
      <c r="H2118" t="str">
        <f>""</f>
        <v/>
      </c>
      <c r="J2118" t="str">
        <f t="shared" si="63"/>
        <v>TEXAS COUNTY &amp; DISTRICT RET</v>
      </c>
    </row>
    <row r="2119" spans="1:10" x14ac:dyDescent="0.3">
      <c r="A2119" t="str">
        <f>""</f>
        <v/>
      </c>
      <c r="B2119" t="str">
        <f>""</f>
        <v/>
      </c>
      <c r="G2119" t="str">
        <f>"RET201801248228"</f>
        <v>RET201801248228</v>
      </c>
      <c r="H2119" t="str">
        <f>"TEXAS COUNTY &amp; DISTRICT RET"</f>
        <v>TEXAS COUNTY &amp; DISTRICT RET</v>
      </c>
      <c r="I2119" s="2">
        <v>145378.72</v>
      </c>
      <c r="J2119" t="str">
        <f t="shared" si="63"/>
        <v>TEXAS COUNTY &amp; DISTRICT RET</v>
      </c>
    </row>
    <row r="2120" spans="1:10" x14ac:dyDescent="0.3">
      <c r="A2120" t="str">
        <f>""</f>
        <v/>
      </c>
      <c r="B2120" t="str">
        <f>""</f>
        <v/>
      </c>
      <c r="G2120" t="str">
        <f>""</f>
        <v/>
      </c>
      <c r="H2120" t="str">
        <f>""</f>
        <v/>
      </c>
      <c r="J2120" t="str">
        <f t="shared" si="63"/>
        <v>TEXAS COUNTY &amp; DISTRICT RET</v>
      </c>
    </row>
    <row r="2121" spans="1:10" x14ac:dyDescent="0.3">
      <c r="A2121" t="str">
        <f>""</f>
        <v/>
      </c>
      <c r="B2121" t="str">
        <f>""</f>
        <v/>
      </c>
      <c r="G2121" t="str">
        <f>""</f>
        <v/>
      </c>
      <c r="H2121" t="str">
        <f>""</f>
        <v/>
      </c>
      <c r="J2121" t="str">
        <f t="shared" si="63"/>
        <v>TEXAS COUNTY &amp; DISTRICT RET</v>
      </c>
    </row>
    <row r="2122" spans="1:10" x14ac:dyDescent="0.3">
      <c r="A2122" t="str">
        <f>""</f>
        <v/>
      </c>
      <c r="B2122" t="str">
        <f>""</f>
        <v/>
      </c>
      <c r="G2122" t="str">
        <f>""</f>
        <v/>
      </c>
      <c r="H2122" t="str">
        <f>""</f>
        <v/>
      </c>
      <c r="J2122" t="str">
        <f t="shared" si="63"/>
        <v>TEXAS COUNTY &amp; DISTRICT RET</v>
      </c>
    </row>
    <row r="2123" spans="1:10" x14ac:dyDescent="0.3">
      <c r="A2123" t="str">
        <f>""</f>
        <v/>
      </c>
      <c r="B2123" t="str">
        <f>""</f>
        <v/>
      </c>
      <c r="G2123" t="str">
        <f>""</f>
        <v/>
      </c>
      <c r="H2123" t="str">
        <f>""</f>
        <v/>
      </c>
      <c r="J2123" t="str">
        <f t="shared" si="63"/>
        <v>TEXAS COUNTY &amp; DISTRICT RET</v>
      </c>
    </row>
    <row r="2124" spans="1:10" x14ac:dyDescent="0.3">
      <c r="A2124" t="str">
        <f>""</f>
        <v/>
      </c>
      <c r="B2124" t="str">
        <f>""</f>
        <v/>
      </c>
      <c r="G2124" t="str">
        <f>""</f>
        <v/>
      </c>
      <c r="H2124" t="str">
        <f>""</f>
        <v/>
      </c>
      <c r="J2124" t="str">
        <f t="shared" si="63"/>
        <v>TEXAS COUNTY &amp; DISTRICT RET</v>
      </c>
    </row>
    <row r="2125" spans="1:10" x14ac:dyDescent="0.3">
      <c r="A2125" t="str">
        <f>""</f>
        <v/>
      </c>
      <c r="B2125" t="str">
        <f>""</f>
        <v/>
      </c>
      <c r="G2125" t="str">
        <f>""</f>
        <v/>
      </c>
      <c r="H2125" t="str">
        <f>""</f>
        <v/>
      </c>
      <c r="J2125" t="str">
        <f t="shared" si="63"/>
        <v>TEXAS COUNTY &amp; DISTRICT RET</v>
      </c>
    </row>
    <row r="2126" spans="1:10" x14ac:dyDescent="0.3">
      <c r="A2126" t="str">
        <f>""</f>
        <v/>
      </c>
      <c r="B2126" t="str">
        <f>""</f>
        <v/>
      </c>
      <c r="G2126" t="str">
        <f>""</f>
        <v/>
      </c>
      <c r="H2126" t="str">
        <f>""</f>
        <v/>
      </c>
      <c r="J2126" t="str">
        <f t="shared" si="63"/>
        <v>TEXAS COUNTY &amp; DISTRICT RET</v>
      </c>
    </row>
    <row r="2127" spans="1:10" x14ac:dyDescent="0.3">
      <c r="A2127" t="str">
        <f>""</f>
        <v/>
      </c>
      <c r="B2127" t="str">
        <f>""</f>
        <v/>
      </c>
      <c r="G2127" t="str">
        <f>""</f>
        <v/>
      </c>
      <c r="H2127" t="str">
        <f>""</f>
        <v/>
      </c>
      <c r="J2127" t="str">
        <f t="shared" si="63"/>
        <v>TEXAS COUNTY &amp; DISTRICT RET</v>
      </c>
    </row>
    <row r="2128" spans="1:10" x14ac:dyDescent="0.3">
      <c r="A2128" t="str">
        <f>""</f>
        <v/>
      </c>
      <c r="B2128" t="str">
        <f>""</f>
        <v/>
      </c>
      <c r="G2128" t="str">
        <f>""</f>
        <v/>
      </c>
      <c r="H2128" t="str">
        <f>""</f>
        <v/>
      </c>
      <c r="J2128" t="str">
        <f t="shared" si="63"/>
        <v>TEXAS COUNTY &amp; DISTRICT RET</v>
      </c>
    </row>
    <row r="2129" spans="1:10" x14ac:dyDescent="0.3">
      <c r="A2129" t="str">
        <f>""</f>
        <v/>
      </c>
      <c r="B2129" t="str">
        <f>""</f>
        <v/>
      </c>
      <c r="G2129" t="str">
        <f>""</f>
        <v/>
      </c>
      <c r="H2129" t="str">
        <f>""</f>
        <v/>
      </c>
      <c r="J2129" t="str">
        <f t="shared" si="63"/>
        <v>TEXAS COUNTY &amp; DISTRICT RET</v>
      </c>
    </row>
    <row r="2130" spans="1:10" x14ac:dyDescent="0.3">
      <c r="A2130" t="str">
        <f>""</f>
        <v/>
      </c>
      <c r="B2130" t="str">
        <f>""</f>
        <v/>
      </c>
      <c r="G2130" t="str">
        <f>""</f>
        <v/>
      </c>
      <c r="H2130" t="str">
        <f>""</f>
        <v/>
      </c>
      <c r="J2130" t="str">
        <f t="shared" si="63"/>
        <v>TEXAS COUNTY &amp; DISTRICT RET</v>
      </c>
    </row>
    <row r="2131" spans="1:10" x14ac:dyDescent="0.3">
      <c r="A2131" t="str">
        <f>""</f>
        <v/>
      </c>
      <c r="B2131" t="str">
        <f>""</f>
        <v/>
      </c>
      <c r="G2131" t="str">
        <f>""</f>
        <v/>
      </c>
      <c r="H2131" t="str">
        <f>""</f>
        <v/>
      </c>
      <c r="J2131" t="str">
        <f t="shared" si="63"/>
        <v>TEXAS COUNTY &amp; DISTRICT RET</v>
      </c>
    </row>
    <row r="2132" spans="1:10" x14ac:dyDescent="0.3">
      <c r="A2132" t="str">
        <f>""</f>
        <v/>
      </c>
      <c r="B2132" t="str">
        <f>""</f>
        <v/>
      </c>
      <c r="G2132" t="str">
        <f>""</f>
        <v/>
      </c>
      <c r="H2132" t="str">
        <f>""</f>
        <v/>
      </c>
      <c r="J2132" t="str">
        <f t="shared" si="63"/>
        <v>TEXAS COUNTY &amp; DISTRICT RET</v>
      </c>
    </row>
    <row r="2133" spans="1:10" x14ac:dyDescent="0.3">
      <c r="A2133" t="str">
        <f>""</f>
        <v/>
      </c>
      <c r="B2133" t="str">
        <f>""</f>
        <v/>
      </c>
      <c r="G2133" t="str">
        <f>""</f>
        <v/>
      </c>
      <c r="H2133" t="str">
        <f>""</f>
        <v/>
      </c>
      <c r="J2133" t="str">
        <f t="shared" si="63"/>
        <v>TEXAS COUNTY &amp; DISTRICT RET</v>
      </c>
    </row>
    <row r="2134" spans="1:10" x14ac:dyDescent="0.3">
      <c r="A2134" t="str">
        <f>""</f>
        <v/>
      </c>
      <c r="B2134" t="str">
        <f>""</f>
        <v/>
      </c>
      <c r="G2134" t="str">
        <f>""</f>
        <v/>
      </c>
      <c r="H2134" t="str">
        <f>""</f>
        <v/>
      </c>
      <c r="J2134" t="str">
        <f t="shared" si="63"/>
        <v>TEXAS COUNTY &amp; DISTRICT RET</v>
      </c>
    </row>
    <row r="2135" spans="1:10" x14ac:dyDescent="0.3">
      <c r="A2135" t="str">
        <f>""</f>
        <v/>
      </c>
      <c r="B2135" t="str">
        <f>""</f>
        <v/>
      </c>
      <c r="G2135" t="str">
        <f>""</f>
        <v/>
      </c>
      <c r="H2135" t="str">
        <f>""</f>
        <v/>
      </c>
      <c r="J2135" t="str">
        <f t="shared" si="63"/>
        <v>TEXAS COUNTY &amp; DISTRICT RET</v>
      </c>
    </row>
    <row r="2136" spans="1:10" x14ac:dyDescent="0.3">
      <c r="A2136" t="str">
        <f>""</f>
        <v/>
      </c>
      <c r="B2136" t="str">
        <f>""</f>
        <v/>
      </c>
      <c r="G2136" t="str">
        <f>""</f>
        <v/>
      </c>
      <c r="H2136" t="str">
        <f>""</f>
        <v/>
      </c>
      <c r="J2136" t="str">
        <f t="shared" si="63"/>
        <v>TEXAS COUNTY &amp; DISTRICT RET</v>
      </c>
    </row>
    <row r="2137" spans="1:10" x14ac:dyDescent="0.3">
      <c r="A2137" t="str">
        <f>""</f>
        <v/>
      </c>
      <c r="B2137" t="str">
        <f>""</f>
        <v/>
      </c>
      <c r="G2137" t="str">
        <f>""</f>
        <v/>
      </c>
      <c r="H2137" t="str">
        <f>""</f>
        <v/>
      </c>
      <c r="J2137" t="str">
        <f t="shared" si="63"/>
        <v>TEXAS COUNTY &amp; DISTRICT RET</v>
      </c>
    </row>
    <row r="2138" spans="1:10" x14ac:dyDescent="0.3">
      <c r="A2138" t="str">
        <f>""</f>
        <v/>
      </c>
      <c r="B2138" t="str">
        <f>""</f>
        <v/>
      </c>
      <c r="G2138" t="str">
        <f>""</f>
        <v/>
      </c>
      <c r="H2138" t="str">
        <f>""</f>
        <v/>
      </c>
      <c r="J2138" t="str">
        <f t="shared" si="63"/>
        <v>TEXAS COUNTY &amp; DISTRICT RET</v>
      </c>
    </row>
    <row r="2139" spans="1:10" x14ac:dyDescent="0.3">
      <c r="A2139" t="str">
        <f>""</f>
        <v/>
      </c>
      <c r="B2139" t="str">
        <f>""</f>
        <v/>
      </c>
      <c r="G2139" t="str">
        <f>""</f>
        <v/>
      </c>
      <c r="H2139" t="str">
        <f>""</f>
        <v/>
      </c>
      <c r="J2139" t="str">
        <f t="shared" si="63"/>
        <v>TEXAS COUNTY &amp; DISTRICT RET</v>
      </c>
    </row>
    <row r="2140" spans="1:10" x14ac:dyDescent="0.3">
      <c r="A2140" t="str">
        <f>""</f>
        <v/>
      </c>
      <c r="B2140" t="str">
        <f>""</f>
        <v/>
      </c>
      <c r="G2140" t="str">
        <f>""</f>
        <v/>
      </c>
      <c r="H2140" t="str">
        <f>""</f>
        <v/>
      </c>
      <c r="J2140" t="str">
        <f t="shared" si="63"/>
        <v>TEXAS COUNTY &amp; DISTRICT RET</v>
      </c>
    </row>
    <row r="2141" spans="1:10" x14ac:dyDescent="0.3">
      <c r="A2141" t="str">
        <f>""</f>
        <v/>
      </c>
      <c r="B2141" t="str">
        <f>""</f>
        <v/>
      </c>
      <c r="G2141" t="str">
        <f>""</f>
        <v/>
      </c>
      <c r="H2141" t="str">
        <f>""</f>
        <v/>
      </c>
      <c r="J2141" t="str">
        <f t="shared" si="63"/>
        <v>TEXAS COUNTY &amp; DISTRICT RET</v>
      </c>
    </row>
    <row r="2142" spans="1:10" x14ac:dyDescent="0.3">
      <c r="A2142" t="str">
        <f>""</f>
        <v/>
      </c>
      <c r="B2142" t="str">
        <f>""</f>
        <v/>
      </c>
      <c r="G2142" t="str">
        <f>""</f>
        <v/>
      </c>
      <c r="H2142" t="str">
        <f>""</f>
        <v/>
      </c>
      <c r="J2142" t="str">
        <f t="shared" si="63"/>
        <v>TEXAS COUNTY &amp; DISTRICT RET</v>
      </c>
    </row>
    <row r="2143" spans="1:10" x14ac:dyDescent="0.3">
      <c r="A2143" t="str">
        <f>""</f>
        <v/>
      </c>
      <c r="B2143" t="str">
        <f>""</f>
        <v/>
      </c>
      <c r="G2143" t="str">
        <f>""</f>
        <v/>
      </c>
      <c r="H2143" t="str">
        <f>""</f>
        <v/>
      </c>
      <c r="J2143" t="str">
        <f t="shared" si="63"/>
        <v>TEXAS COUNTY &amp; DISTRICT RET</v>
      </c>
    </row>
    <row r="2144" spans="1:10" x14ac:dyDescent="0.3">
      <c r="A2144" t="str">
        <f>""</f>
        <v/>
      </c>
      <c r="B2144" t="str">
        <f>""</f>
        <v/>
      </c>
      <c r="G2144" t="str">
        <f>""</f>
        <v/>
      </c>
      <c r="H2144" t="str">
        <f>""</f>
        <v/>
      </c>
      <c r="J2144" t="str">
        <f t="shared" si="63"/>
        <v>TEXAS COUNTY &amp; DISTRICT RET</v>
      </c>
    </row>
    <row r="2145" spans="1:10" x14ac:dyDescent="0.3">
      <c r="A2145" t="str">
        <f>""</f>
        <v/>
      </c>
      <c r="B2145" t="str">
        <f>""</f>
        <v/>
      </c>
      <c r="G2145" t="str">
        <f>""</f>
        <v/>
      </c>
      <c r="H2145" t="str">
        <f>""</f>
        <v/>
      </c>
      <c r="J2145" t="str">
        <f t="shared" si="63"/>
        <v>TEXAS COUNTY &amp; DISTRICT RET</v>
      </c>
    </row>
    <row r="2146" spans="1:10" x14ac:dyDescent="0.3">
      <c r="A2146" t="str">
        <f>""</f>
        <v/>
      </c>
      <c r="B2146" t="str">
        <f>""</f>
        <v/>
      </c>
      <c r="G2146" t="str">
        <f>""</f>
        <v/>
      </c>
      <c r="H2146" t="str">
        <f>""</f>
        <v/>
      </c>
      <c r="J2146" t="str">
        <f t="shared" si="63"/>
        <v>TEXAS COUNTY &amp; DISTRICT RET</v>
      </c>
    </row>
    <row r="2147" spans="1:10" x14ac:dyDescent="0.3">
      <c r="A2147" t="str">
        <f>""</f>
        <v/>
      </c>
      <c r="B2147" t="str">
        <f>""</f>
        <v/>
      </c>
      <c r="G2147" t="str">
        <f>""</f>
        <v/>
      </c>
      <c r="H2147" t="str">
        <f>""</f>
        <v/>
      </c>
      <c r="J2147" t="str">
        <f t="shared" si="63"/>
        <v>TEXAS COUNTY &amp; DISTRICT RET</v>
      </c>
    </row>
    <row r="2148" spans="1:10" x14ac:dyDescent="0.3">
      <c r="A2148" t="str">
        <f>""</f>
        <v/>
      </c>
      <c r="B2148" t="str">
        <f>""</f>
        <v/>
      </c>
      <c r="G2148" t="str">
        <f>""</f>
        <v/>
      </c>
      <c r="H2148" t="str">
        <f>""</f>
        <v/>
      </c>
      <c r="J2148" t="str">
        <f t="shared" si="63"/>
        <v>TEXAS COUNTY &amp; DISTRICT RET</v>
      </c>
    </row>
    <row r="2149" spans="1:10" x14ac:dyDescent="0.3">
      <c r="A2149" t="str">
        <f>""</f>
        <v/>
      </c>
      <c r="B2149" t="str">
        <f>""</f>
        <v/>
      </c>
      <c r="G2149" t="str">
        <f>""</f>
        <v/>
      </c>
      <c r="H2149" t="str">
        <f>""</f>
        <v/>
      </c>
      <c r="J2149" t="str">
        <f t="shared" ref="J2149:J2169" si="64">"TEXAS COUNTY &amp; DISTRICT RET"</f>
        <v>TEXAS COUNTY &amp; DISTRICT RET</v>
      </c>
    </row>
    <row r="2150" spans="1:10" x14ac:dyDescent="0.3">
      <c r="A2150" t="str">
        <f>""</f>
        <v/>
      </c>
      <c r="B2150" t="str">
        <f>""</f>
        <v/>
      </c>
      <c r="G2150" t="str">
        <f>""</f>
        <v/>
      </c>
      <c r="H2150" t="str">
        <f>""</f>
        <v/>
      </c>
      <c r="J2150" t="str">
        <f t="shared" si="64"/>
        <v>TEXAS COUNTY &amp; DISTRICT RET</v>
      </c>
    </row>
    <row r="2151" spans="1:10" x14ac:dyDescent="0.3">
      <c r="A2151" t="str">
        <f>""</f>
        <v/>
      </c>
      <c r="B2151" t="str">
        <f>""</f>
        <v/>
      </c>
      <c r="G2151" t="str">
        <f>""</f>
        <v/>
      </c>
      <c r="H2151" t="str">
        <f>""</f>
        <v/>
      </c>
      <c r="J2151" t="str">
        <f t="shared" si="64"/>
        <v>TEXAS COUNTY &amp; DISTRICT RET</v>
      </c>
    </row>
    <row r="2152" spans="1:10" x14ac:dyDescent="0.3">
      <c r="A2152" t="str">
        <f>""</f>
        <v/>
      </c>
      <c r="B2152" t="str">
        <f>""</f>
        <v/>
      </c>
      <c r="G2152" t="str">
        <f>""</f>
        <v/>
      </c>
      <c r="H2152" t="str">
        <f>""</f>
        <v/>
      </c>
      <c r="J2152" t="str">
        <f t="shared" si="64"/>
        <v>TEXAS COUNTY &amp; DISTRICT RET</v>
      </c>
    </row>
    <row r="2153" spans="1:10" x14ac:dyDescent="0.3">
      <c r="A2153" t="str">
        <f>""</f>
        <v/>
      </c>
      <c r="B2153" t="str">
        <f>""</f>
        <v/>
      </c>
      <c r="G2153" t="str">
        <f>""</f>
        <v/>
      </c>
      <c r="H2153" t="str">
        <f>""</f>
        <v/>
      </c>
      <c r="J2153" t="str">
        <f t="shared" si="64"/>
        <v>TEXAS COUNTY &amp; DISTRICT RET</v>
      </c>
    </row>
    <row r="2154" spans="1:10" x14ac:dyDescent="0.3">
      <c r="A2154" t="str">
        <f>""</f>
        <v/>
      </c>
      <c r="B2154" t="str">
        <f>""</f>
        <v/>
      </c>
      <c r="G2154" t="str">
        <f>""</f>
        <v/>
      </c>
      <c r="H2154" t="str">
        <f>""</f>
        <v/>
      </c>
      <c r="J2154" t="str">
        <f t="shared" si="64"/>
        <v>TEXAS COUNTY &amp; DISTRICT RET</v>
      </c>
    </row>
    <row r="2155" spans="1:10" x14ac:dyDescent="0.3">
      <c r="A2155" t="str">
        <f>""</f>
        <v/>
      </c>
      <c r="B2155" t="str">
        <f>""</f>
        <v/>
      </c>
      <c r="G2155" t="str">
        <f>""</f>
        <v/>
      </c>
      <c r="H2155" t="str">
        <f>""</f>
        <v/>
      </c>
      <c r="J2155" t="str">
        <f t="shared" si="64"/>
        <v>TEXAS COUNTY &amp; DISTRICT RET</v>
      </c>
    </row>
    <row r="2156" spans="1:10" x14ac:dyDescent="0.3">
      <c r="A2156" t="str">
        <f>""</f>
        <v/>
      </c>
      <c r="B2156" t="str">
        <f>""</f>
        <v/>
      </c>
      <c r="G2156" t="str">
        <f>""</f>
        <v/>
      </c>
      <c r="H2156" t="str">
        <f>""</f>
        <v/>
      </c>
      <c r="J2156" t="str">
        <f t="shared" si="64"/>
        <v>TEXAS COUNTY &amp; DISTRICT RET</v>
      </c>
    </row>
    <row r="2157" spans="1:10" x14ac:dyDescent="0.3">
      <c r="A2157" t="str">
        <f>""</f>
        <v/>
      </c>
      <c r="B2157" t="str">
        <f>""</f>
        <v/>
      </c>
      <c r="G2157" t="str">
        <f>""</f>
        <v/>
      </c>
      <c r="H2157" t="str">
        <f>""</f>
        <v/>
      </c>
      <c r="J2157" t="str">
        <f t="shared" si="64"/>
        <v>TEXAS COUNTY &amp; DISTRICT RET</v>
      </c>
    </row>
    <row r="2158" spans="1:10" x14ac:dyDescent="0.3">
      <c r="A2158" t="str">
        <f>""</f>
        <v/>
      </c>
      <c r="B2158" t="str">
        <f>""</f>
        <v/>
      </c>
      <c r="G2158" t="str">
        <f>""</f>
        <v/>
      </c>
      <c r="H2158" t="str">
        <f>""</f>
        <v/>
      </c>
      <c r="J2158" t="str">
        <f t="shared" si="64"/>
        <v>TEXAS COUNTY &amp; DISTRICT RET</v>
      </c>
    </row>
    <row r="2159" spans="1:10" x14ac:dyDescent="0.3">
      <c r="A2159" t="str">
        <f>""</f>
        <v/>
      </c>
      <c r="B2159" t="str">
        <f>""</f>
        <v/>
      </c>
      <c r="G2159" t="str">
        <f>""</f>
        <v/>
      </c>
      <c r="H2159" t="str">
        <f>""</f>
        <v/>
      </c>
      <c r="J2159" t="str">
        <f t="shared" si="64"/>
        <v>TEXAS COUNTY &amp; DISTRICT RET</v>
      </c>
    </row>
    <row r="2160" spans="1:10" x14ac:dyDescent="0.3">
      <c r="A2160" t="str">
        <f>""</f>
        <v/>
      </c>
      <c r="B2160" t="str">
        <f>""</f>
        <v/>
      </c>
      <c r="G2160" t="str">
        <f>""</f>
        <v/>
      </c>
      <c r="H2160" t="str">
        <f>""</f>
        <v/>
      </c>
      <c r="J2160" t="str">
        <f t="shared" si="64"/>
        <v>TEXAS COUNTY &amp; DISTRICT RET</v>
      </c>
    </row>
    <row r="2161" spans="1:10" x14ac:dyDescent="0.3">
      <c r="A2161" t="str">
        <f>""</f>
        <v/>
      </c>
      <c r="B2161" t="str">
        <f>""</f>
        <v/>
      </c>
      <c r="G2161" t="str">
        <f>""</f>
        <v/>
      </c>
      <c r="H2161" t="str">
        <f>""</f>
        <v/>
      </c>
      <c r="J2161" t="str">
        <f t="shared" si="64"/>
        <v>TEXAS COUNTY &amp; DISTRICT RET</v>
      </c>
    </row>
    <row r="2162" spans="1:10" x14ac:dyDescent="0.3">
      <c r="A2162" t="str">
        <f>""</f>
        <v/>
      </c>
      <c r="B2162" t="str">
        <f>""</f>
        <v/>
      </c>
      <c r="G2162" t="str">
        <f>""</f>
        <v/>
      </c>
      <c r="H2162" t="str">
        <f>""</f>
        <v/>
      </c>
      <c r="J2162" t="str">
        <f t="shared" si="64"/>
        <v>TEXAS COUNTY &amp; DISTRICT RET</v>
      </c>
    </row>
    <row r="2163" spans="1:10" x14ac:dyDescent="0.3">
      <c r="A2163" t="str">
        <f>""</f>
        <v/>
      </c>
      <c r="B2163" t="str">
        <f>""</f>
        <v/>
      </c>
      <c r="G2163" t="str">
        <f>""</f>
        <v/>
      </c>
      <c r="H2163" t="str">
        <f>""</f>
        <v/>
      </c>
      <c r="J2163" t="str">
        <f t="shared" si="64"/>
        <v>TEXAS COUNTY &amp; DISTRICT RET</v>
      </c>
    </row>
    <row r="2164" spans="1:10" x14ac:dyDescent="0.3">
      <c r="A2164" t="str">
        <f>""</f>
        <v/>
      </c>
      <c r="B2164" t="str">
        <f>""</f>
        <v/>
      </c>
      <c r="G2164" t="str">
        <f>""</f>
        <v/>
      </c>
      <c r="H2164" t="str">
        <f>""</f>
        <v/>
      </c>
      <c r="J2164" t="str">
        <f t="shared" si="64"/>
        <v>TEXAS COUNTY &amp; DISTRICT RET</v>
      </c>
    </row>
    <row r="2165" spans="1:10" x14ac:dyDescent="0.3">
      <c r="A2165" t="str">
        <f>""</f>
        <v/>
      </c>
      <c r="B2165" t="str">
        <f>""</f>
        <v/>
      </c>
      <c r="G2165" t="str">
        <f>""</f>
        <v/>
      </c>
      <c r="H2165" t="str">
        <f>""</f>
        <v/>
      </c>
      <c r="J2165" t="str">
        <f t="shared" si="64"/>
        <v>TEXAS COUNTY &amp; DISTRICT RET</v>
      </c>
    </row>
    <row r="2166" spans="1:10" x14ac:dyDescent="0.3">
      <c r="A2166" t="str">
        <f>""</f>
        <v/>
      </c>
      <c r="B2166" t="str">
        <f>""</f>
        <v/>
      </c>
      <c r="G2166" t="str">
        <f>""</f>
        <v/>
      </c>
      <c r="H2166" t="str">
        <f>""</f>
        <v/>
      </c>
      <c r="J2166" t="str">
        <f t="shared" si="64"/>
        <v>TEXAS COUNTY &amp; DISTRICT RET</v>
      </c>
    </row>
    <row r="2167" spans="1:10" x14ac:dyDescent="0.3">
      <c r="A2167" t="str">
        <f>""</f>
        <v/>
      </c>
      <c r="B2167" t="str">
        <f>""</f>
        <v/>
      </c>
      <c r="G2167" t="str">
        <f>""</f>
        <v/>
      </c>
      <c r="H2167" t="str">
        <f>""</f>
        <v/>
      </c>
      <c r="J2167" t="str">
        <f t="shared" si="64"/>
        <v>TEXAS COUNTY &amp; DISTRICT RET</v>
      </c>
    </row>
    <row r="2168" spans="1:10" x14ac:dyDescent="0.3">
      <c r="A2168" t="str">
        <f>""</f>
        <v/>
      </c>
      <c r="B2168" t="str">
        <f>""</f>
        <v/>
      </c>
      <c r="G2168" t="str">
        <f>""</f>
        <v/>
      </c>
      <c r="H2168" t="str">
        <f>""</f>
        <v/>
      </c>
      <c r="J2168" t="str">
        <f t="shared" si="64"/>
        <v>TEXAS COUNTY &amp; DISTRICT RET</v>
      </c>
    </row>
    <row r="2169" spans="1:10" x14ac:dyDescent="0.3">
      <c r="A2169" t="str">
        <f>""</f>
        <v/>
      </c>
      <c r="B2169" t="str">
        <f>""</f>
        <v/>
      </c>
      <c r="G2169" t="str">
        <f>""</f>
        <v/>
      </c>
      <c r="H2169" t="str">
        <f>""</f>
        <v/>
      </c>
      <c r="J2169" t="str">
        <f t="shared" si="64"/>
        <v>TEXAS COUNTY &amp; DISTRICT RET</v>
      </c>
    </row>
    <row r="2170" spans="1:10" x14ac:dyDescent="0.3">
      <c r="A2170" t="str">
        <f>"01"</f>
        <v>01</v>
      </c>
      <c r="B2170" t="str">
        <f>"002457"</f>
        <v>002457</v>
      </c>
      <c r="C2170" t="s">
        <v>408</v>
      </c>
      <c r="D2170">
        <v>46134</v>
      </c>
      <c r="E2170" s="2">
        <v>1060</v>
      </c>
      <c r="F2170" s="1">
        <v>43131</v>
      </c>
      <c r="G2170" t="str">
        <f>"LEG201801118129"</f>
        <v>LEG201801118129</v>
      </c>
      <c r="H2170" t="str">
        <f>"TEXAS LEGAL PROTECTION PLAN"</f>
        <v>TEXAS LEGAL PROTECTION PLAN</v>
      </c>
      <c r="I2170" s="2">
        <v>530</v>
      </c>
      <c r="J2170" t="str">
        <f>"TEXAS LEGAL PROTECTION PLAN"</f>
        <v>TEXAS LEGAL PROTECTION PLAN</v>
      </c>
    </row>
    <row r="2171" spans="1:10" x14ac:dyDescent="0.3">
      <c r="A2171" t="str">
        <f>""</f>
        <v/>
      </c>
      <c r="B2171" t="str">
        <f>""</f>
        <v/>
      </c>
      <c r="G2171" t="str">
        <f>"LEG201801248228"</f>
        <v>LEG201801248228</v>
      </c>
      <c r="H2171" t="str">
        <f>"TEXAS LEGAL PROTECTION PLAN"</f>
        <v>TEXAS LEGAL PROTECTION PLAN</v>
      </c>
      <c r="I2171" s="2">
        <v>530</v>
      </c>
      <c r="J2171" t="str">
        <f>"TEXAS LEGAL PROTECTION PLAN"</f>
        <v>TEXAS LEGAL PROTECTION PLAN</v>
      </c>
    </row>
    <row r="2172" spans="1:10" x14ac:dyDescent="0.3">
      <c r="A2172" t="str">
        <f>"01"</f>
        <v>01</v>
      </c>
      <c r="B2172" t="str">
        <f>"T14362"</f>
        <v>T14362</v>
      </c>
      <c r="C2172" t="s">
        <v>409</v>
      </c>
      <c r="D2172">
        <v>46108</v>
      </c>
      <c r="E2172" s="2">
        <v>186</v>
      </c>
      <c r="F2172" s="1">
        <v>43112</v>
      </c>
      <c r="G2172" t="str">
        <f>"SL6201801118129"</f>
        <v>SL6201801118129</v>
      </c>
      <c r="H2172" t="str">
        <f>"TG STUDENT LOAN - P CROUCH"</f>
        <v>TG STUDENT LOAN - P CROUCH</v>
      </c>
      <c r="I2172" s="2">
        <v>186</v>
      </c>
      <c r="J2172" t="str">
        <f>"TG STUDENT LOAN - P CROUCH"</f>
        <v>TG STUDENT LOAN - P CROUCH</v>
      </c>
    </row>
    <row r="2173" spans="1:10" x14ac:dyDescent="0.3">
      <c r="A2173" t="str">
        <f>"01"</f>
        <v>01</v>
      </c>
      <c r="B2173" t="str">
        <f>"T14362"</f>
        <v>T14362</v>
      </c>
      <c r="C2173" t="s">
        <v>409</v>
      </c>
      <c r="D2173">
        <v>46133</v>
      </c>
      <c r="E2173" s="2">
        <v>186</v>
      </c>
      <c r="F2173" s="1">
        <v>43126</v>
      </c>
      <c r="G2173" t="str">
        <f>"SL6201801248228"</f>
        <v>SL6201801248228</v>
      </c>
      <c r="H2173" t="str">
        <f>"TG STUDENT LOAN - P CROUCH"</f>
        <v>TG STUDENT LOAN - P CROUCH</v>
      </c>
      <c r="I2173" s="2">
        <v>186</v>
      </c>
      <c r="J2173" t="str">
        <f>"TG STUDENT LOAN - P CROUCH"</f>
        <v>TG STUDENT LOAN - P CROUCH</v>
      </c>
    </row>
    <row r="2174" spans="1:10" x14ac:dyDescent="0.3">
      <c r="A2174" t="str">
        <f>"01"</f>
        <v>01</v>
      </c>
      <c r="B2174" t="str">
        <f>"T10887"</f>
        <v>T10887</v>
      </c>
      <c r="C2174" t="s">
        <v>410</v>
      </c>
      <c r="D2174">
        <v>46107</v>
      </c>
      <c r="E2174" s="2">
        <v>378.02</v>
      </c>
      <c r="F2174" s="1">
        <v>43112</v>
      </c>
      <c r="G2174" t="str">
        <f>"S10201801118129"</f>
        <v>S10201801118129</v>
      </c>
      <c r="H2174" t="str">
        <f>"STUDENT LOAN"</f>
        <v>STUDENT LOAN</v>
      </c>
      <c r="I2174" s="2">
        <v>165.37</v>
      </c>
      <c r="J2174" t="str">
        <f>"STUDENT LOAN"</f>
        <v>STUDENT LOAN</v>
      </c>
    </row>
    <row r="2175" spans="1:10" x14ac:dyDescent="0.3">
      <c r="A2175" t="str">
        <f>""</f>
        <v/>
      </c>
      <c r="B2175" t="str">
        <f>""</f>
        <v/>
      </c>
      <c r="G2175" t="str">
        <f>"SL9201801118129"</f>
        <v>SL9201801118129</v>
      </c>
      <c r="H2175" t="str">
        <f>"STUDENT LOAN"</f>
        <v>STUDENT LOAN</v>
      </c>
      <c r="I2175" s="2">
        <v>212.65</v>
      </c>
      <c r="J2175" t="str">
        <f>"STUDENT LOAN"</f>
        <v>STUDENT LOAN</v>
      </c>
    </row>
    <row r="2176" spans="1:10" x14ac:dyDescent="0.3">
      <c r="A2176" t="str">
        <f>"01"</f>
        <v>01</v>
      </c>
      <c r="B2176" t="str">
        <f>"T10887"</f>
        <v>T10887</v>
      </c>
      <c r="C2176" t="s">
        <v>410</v>
      </c>
      <c r="D2176">
        <v>46132</v>
      </c>
      <c r="E2176" s="2">
        <v>378.02</v>
      </c>
      <c r="F2176" s="1">
        <v>43126</v>
      </c>
      <c r="G2176" t="str">
        <f>"S10201801248228"</f>
        <v>S10201801248228</v>
      </c>
      <c r="H2176" t="str">
        <f>"STUDENT LOAN"</f>
        <v>STUDENT LOAN</v>
      </c>
      <c r="I2176" s="2">
        <v>165.37</v>
      </c>
      <c r="J2176" t="str">
        <f>"STUDENT LOAN"</f>
        <v>STUDENT LOAN</v>
      </c>
    </row>
    <row r="2177" spans="1:10" x14ac:dyDescent="0.3">
      <c r="A2177" t="str">
        <f>""</f>
        <v/>
      </c>
      <c r="B2177" t="str">
        <f>""</f>
        <v/>
      </c>
      <c r="G2177" t="str">
        <f>"SL9201801248228"</f>
        <v>SL9201801248228</v>
      </c>
      <c r="H2177" t="str">
        <f>"STUDENT LOAN"</f>
        <v>STUDENT LOAN</v>
      </c>
      <c r="I2177" s="2">
        <v>212.65</v>
      </c>
      <c r="J2177" t="str">
        <f>"STUDENT LOAN"</f>
        <v>STUDENT LOAN</v>
      </c>
    </row>
    <row r="2178" spans="1:10" x14ac:dyDescent="0.3">
      <c r="A2178" t="str">
        <f>"01"</f>
        <v>01</v>
      </c>
      <c r="B2178" t="str">
        <f>"004767"</f>
        <v>004767</v>
      </c>
      <c r="C2178" t="s">
        <v>411</v>
      </c>
      <c r="D2178">
        <v>0</v>
      </c>
      <c r="E2178" s="2">
        <v>13843.71</v>
      </c>
      <c r="F2178" s="1">
        <v>43112</v>
      </c>
      <c r="G2178" t="str">
        <f>"FSA201801118129"</f>
        <v>FSA201801118129</v>
      </c>
      <c r="H2178" t="str">
        <f>"WAGE WORKS"</f>
        <v>WAGE WORKS</v>
      </c>
      <c r="I2178" s="2">
        <v>8657.17</v>
      </c>
      <c r="J2178" t="str">
        <f t="shared" ref="J2178:J2183" si="65">"WAGE WORKS"</f>
        <v>WAGE WORKS</v>
      </c>
    </row>
    <row r="2179" spans="1:10" x14ac:dyDescent="0.3">
      <c r="A2179" t="str">
        <f>""</f>
        <v/>
      </c>
      <c r="B2179" t="str">
        <f>""</f>
        <v/>
      </c>
      <c r="G2179" t="str">
        <f>"FSA201801118130"</f>
        <v>FSA201801118130</v>
      </c>
      <c r="H2179" t="str">
        <f>"WAGE WORKS"</f>
        <v>WAGE WORKS</v>
      </c>
      <c r="I2179" s="2">
        <v>574</v>
      </c>
      <c r="J2179" t="str">
        <f t="shared" si="65"/>
        <v>WAGE WORKS</v>
      </c>
    </row>
    <row r="2180" spans="1:10" x14ac:dyDescent="0.3">
      <c r="A2180" t="str">
        <f>""</f>
        <v/>
      </c>
      <c r="B2180" t="str">
        <f>""</f>
        <v/>
      </c>
      <c r="G2180" t="str">
        <f>"FSC201801118129"</f>
        <v>FSC201801118129</v>
      </c>
      <c r="H2180" t="str">
        <f>"WAGE WORKS"</f>
        <v>WAGE WORKS</v>
      </c>
      <c r="I2180" s="2">
        <v>1124.1400000000001</v>
      </c>
      <c r="J2180" t="str">
        <f t="shared" si="65"/>
        <v>WAGE WORKS</v>
      </c>
    </row>
    <row r="2181" spans="1:10" x14ac:dyDescent="0.3">
      <c r="A2181" t="str">
        <f>""</f>
        <v/>
      </c>
      <c r="B2181" t="str">
        <f>""</f>
        <v/>
      </c>
      <c r="G2181" t="str">
        <f>""</f>
        <v/>
      </c>
      <c r="H2181" t="str">
        <f>""</f>
        <v/>
      </c>
      <c r="J2181" t="str">
        <f t="shared" si="65"/>
        <v>WAGE WORKS</v>
      </c>
    </row>
    <row r="2182" spans="1:10" x14ac:dyDescent="0.3">
      <c r="A2182" t="str">
        <f>""</f>
        <v/>
      </c>
      <c r="B2182" t="str">
        <f>""</f>
        <v/>
      </c>
      <c r="G2182" t="str">
        <f>""</f>
        <v/>
      </c>
      <c r="H2182" t="str">
        <f>""</f>
        <v/>
      </c>
      <c r="J2182" t="str">
        <f t="shared" si="65"/>
        <v>WAGE WORKS</v>
      </c>
    </row>
    <row r="2183" spans="1:10" x14ac:dyDescent="0.3">
      <c r="A2183" t="str">
        <f>""</f>
        <v/>
      </c>
      <c r="B2183" t="str">
        <f>""</f>
        <v/>
      </c>
      <c r="G2183" t="str">
        <f>""</f>
        <v/>
      </c>
      <c r="H2183" t="str">
        <f>""</f>
        <v/>
      </c>
      <c r="J2183" t="str">
        <f t="shared" si="65"/>
        <v>WAGE WORKS</v>
      </c>
    </row>
    <row r="2184" spans="1:10" x14ac:dyDescent="0.3">
      <c r="A2184" t="str">
        <f>""</f>
        <v/>
      </c>
      <c r="B2184" t="str">
        <f>""</f>
        <v/>
      </c>
      <c r="G2184" t="str">
        <f>"FSF201801118129"</f>
        <v>FSF201801118129</v>
      </c>
      <c r="H2184" t="str">
        <f>"WAGE WORKS - FSA &amp; HRA FEES"</f>
        <v>WAGE WORKS - FSA &amp; HRA FEES</v>
      </c>
      <c r="I2184" s="2">
        <v>552.79</v>
      </c>
      <c r="J2184" t="str">
        <f t="shared" ref="J2184:J2222" si="66">"WAGE WORKS - FSA &amp; HRA FEES"</f>
        <v>WAGE WORKS - FSA &amp; HRA FEES</v>
      </c>
    </row>
    <row r="2185" spans="1:10" x14ac:dyDescent="0.3">
      <c r="A2185" t="str">
        <f>""</f>
        <v/>
      </c>
      <c r="B2185" t="str">
        <f>""</f>
        <v/>
      </c>
      <c r="G2185" t="str">
        <f>""</f>
        <v/>
      </c>
      <c r="H2185" t="str">
        <f>""</f>
        <v/>
      </c>
      <c r="J2185" t="str">
        <f t="shared" si="66"/>
        <v>WAGE WORKS - FSA &amp; HRA FEES</v>
      </c>
    </row>
    <row r="2186" spans="1:10" x14ac:dyDescent="0.3">
      <c r="A2186" t="str">
        <f>""</f>
        <v/>
      </c>
      <c r="B2186" t="str">
        <f>""</f>
        <v/>
      </c>
      <c r="G2186" t="str">
        <f>""</f>
        <v/>
      </c>
      <c r="H2186" t="str">
        <f>""</f>
        <v/>
      </c>
      <c r="J2186" t="str">
        <f t="shared" si="66"/>
        <v>WAGE WORKS - FSA &amp; HRA FEES</v>
      </c>
    </row>
    <row r="2187" spans="1:10" x14ac:dyDescent="0.3">
      <c r="A2187" t="str">
        <f>""</f>
        <v/>
      </c>
      <c r="B2187" t="str">
        <f>""</f>
        <v/>
      </c>
      <c r="G2187" t="str">
        <f>""</f>
        <v/>
      </c>
      <c r="H2187" t="str">
        <f>""</f>
        <v/>
      </c>
      <c r="J2187" t="str">
        <f t="shared" si="66"/>
        <v>WAGE WORKS - FSA &amp; HRA FEES</v>
      </c>
    </row>
    <row r="2188" spans="1:10" x14ac:dyDescent="0.3">
      <c r="A2188" t="str">
        <f>""</f>
        <v/>
      </c>
      <c r="B2188" t="str">
        <f>""</f>
        <v/>
      </c>
      <c r="G2188" t="str">
        <f>""</f>
        <v/>
      </c>
      <c r="H2188" t="str">
        <f>""</f>
        <v/>
      </c>
      <c r="J2188" t="str">
        <f t="shared" si="66"/>
        <v>WAGE WORKS - FSA &amp; HRA FEES</v>
      </c>
    </row>
    <row r="2189" spans="1:10" x14ac:dyDescent="0.3">
      <c r="A2189" t="str">
        <f>""</f>
        <v/>
      </c>
      <c r="B2189" t="str">
        <f>""</f>
        <v/>
      </c>
      <c r="G2189" t="str">
        <f>""</f>
        <v/>
      </c>
      <c r="H2189" t="str">
        <f>""</f>
        <v/>
      </c>
      <c r="J2189" t="str">
        <f t="shared" si="66"/>
        <v>WAGE WORKS - FSA &amp; HRA FEES</v>
      </c>
    </row>
    <row r="2190" spans="1:10" x14ac:dyDescent="0.3">
      <c r="A2190" t="str">
        <f>""</f>
        <v/>
      </c>
      <c r="B2190" t="str">
        <f>""</f>
        <v/>
      </c>
      <c r="G2190" t="str">
        <f>""</f>
        <v/>
      </c>
      <c r="H2190" t="str">
        <f>""</f>
        <v/>
      </c>
      <c r="J2190" t="str">
        <f t="shared" si="66"/>
        <v>WAGE WORKS - FSA &amp; HRA FEES</v>
      </c>
    </row>
    <row r="2191" spans="1:10" x14ac:dyDescent="0.3">
      <c r="A2191" t="str">
        <f>""</f>
        <v/>
      </c>
      <c r="B2191" t="str">
        <f>""</f>
        <v/>
      </c>
      <c r="G2191" t="str">
        <f>""</f>
        <v/>
      </c>
      <c r="H2191" t="str">
        <f>""</f>
        <v/>
      </c>
      <c r="J2191" t="str">
        <f t="shared" si="66"/>
        <v>WAGE WORKS - FSA &amp; HRA FEES</v>
      </c>
    </row>
    <row r="2192" spans="1:10" x14ac:dyDescent="0.3">
      <c r="A2192" t="str">
        <f>""</f>
        <v/>
      </c>
      <c r="B2192" t="str">
        <f>""</f>
        <v/>
      </c>
      <c r="G2192" t="str">
        <f>""</f>
        <v/>
      </c>
      <c r="H2192" t="str">
        <f>""</f>
        <v/>
      </c>
      <c r="J2192" t="str">
        <f t="shared" si="66"/>
        <v>WAGE WORKS - FSA &amp; HRA FEES</v>
      </c>
    </row>
    <row r="2193" spans="1:10" x14ac:dyDescent="0.3">
      <c r="A2193" t="str">
        <f>""</f>
        <v/>
      </c>
      <c r="B2193" t="str">
        <f>""</f>
        <v/>
      </c>
      <c r="G2193" t="str">
        <f>""</f>
        <v/>
      </c>
      <c r="H2193" t="str">
        <f>""</f>
        <v/>
      </c>
      <c r="J2193" t="str">
        <f t="shared" si="66"/>
        <v>WAGE WORKS - FSA &amp; HRA FEES</v>
      </c>
    </row>
    <row r="2194" spans="1:10" x14ac:dyDescent="0.3">
      <c r="A2194" t="str">
        <f>""</f>
        <v/>
      </c>
      <c r="B2194" t="str">
        <f>""</f>
        <v/>
      </c>
      <c r="G2194" t="str">
        <f>""</f>
        <v/>
      </c>
      <c r="H2194" t="str">
        <f>""</f>
        <v/>
      </c>
      <c r="J2194" t="str">
        <f t="shared" si="66"/>
        <v>WAGE WORKS - FSA &amp; HRA FEES</v>
      </c>
    </row>
    <row r="2195" spans="1:10" x14ac:dyDescent="0.3">
      <c r="A2195" t="str">
        <f>""</f>
        <v/>
      </c>
      <c r="B2195" t="str">
        <f>""</f>
        <v/>
      </c>
      <c r="G2195" t="str">
        <f>""</f>
        <v/>
      </c>
      <c r="H2195" t="str">
        <f>""</f>
        <v/>
      </c>
      <c r="J2195" t="str">
        <f t="shared" si="66"/>
        <v>WAGE WORKS - FSA &amp; HRA FEES</v>
      </c>
    </row>
    <row r="2196" spans="1:10" x14ac:dyDescent="0.3">
      <c r="A2196" t="str">
        <f>""</f>
        <v/>
      </c>
      <c r="B2196" t="str">
        <f>""</f>
        <v/>
      </c>
      <c r="G2196" t="str">
        <f>""</f>
        <v/>
      </c>
      <c r="H2196" t="str">
        <f>""</f>
        <v/>
      </c>
      <c r="J2196" t="str">
        <f t="shared" si="66"/>
        <v>WAGE WORKS - FSA &amp; HRA FEES</v>
      </c>
    </row>
    <row r="2197" spans="1:10" x14ac:dyDescent="0.3">
      <c r="A2197" t="str">
        <f>""</f>
        <v/>
      </c>
      <c r="B2197" t="str">
        <f>""</f>
        <v/>
      </c>
      <c r="G2197" t="str">
        <f>""</f>
        <v/>
      </c>
      <c r="H2197" t="str">
        <f>""</f>
        <v/>
      </c>
      <c r="J2197" t="str">
        <f t="shared" si="66"/>
        <v>WAGE WORKS - FSA &amp; HRA FEES</v>
      </c>
    </row>
    <row r="2198" spans="1:10" x14ac:dyDescent="0.3">
      <c r="A2198" t="str">
        <f>""</f>
        <v/>
      </c>
      <c r="B2198" t="str">
        <f>""</f>
        <v/>
      </c>
      <c r="G2198" t="str">
        <f>""</f>
        <v/>
      </c>
      <c r="H2198" t="str">
        <f>""</f>
        <v/>
      </c>
      <c r="J2198" t="str">
        <f t="shared" si="66"/>
        <v>WAGE WORKS - FSA &amp; HRA FEES</v>
      </c>
    </row>
    <row r="2199" spans="1:10" x14ac:dyDescent="0.3">
      <c r="A2199" t="str">
        <f>""</f>
        <v/>
      </c>
      <c r="B2199" t="str">
        <f>""</f>
        <v/>
      </c>
      <c r="G2199" t="str">
        <f>""</f>
        <v/>
      </c>
      <c r="H2199" t="str">
        <f>""</f>
        <v/>
      </c>
      <c r="J2199" t="str">
        <f t="shared" si="66"/>
        <v>WAGE WORKS - FSA &amp; HRA FEES</v>
      </c>
    </row>
    <row r="2200" spans="1:10" x14ac:dyDescent="0.3">
      <c r="A2200" t="str">
        <f>""</f>
        <v/>
      </c>
      <c r="B2200" t="str">
        <f>""</f>
        <v/>
      </c>
      <c r="G2200" t="str">
        <f>""</f>
        <v/>
      </c>
      <c r="H2200" t="str">
        <f>""</f>
        <v/>
      </c>
      <c r="J2200" t="str">
        <f t="shared" si="66"/>
        <v>WAGE WORKS - FSA &amp; HRA FEES</v>
      </c>
    </row>
    <row r="2201" spans="1:10" x14ac:dyDescent="0.3">
      <c r="A2201" t="str">
        <f>""</f>
        <v/>
      </c>
      <c r="B2201" t="str">
        <f>""</f>
        <v/>
      </c>
      <c r="G2201" t="str">
        <f>""</f>
        <v/>
      </c>
      <c r="H2201" t="str">
        <f>""</f>
        <v/>
      </c>
      <c r="J2201" t="str">
        <f t="shared" si="66"/>
        <v>WAGE WORKS - FSA &amp; HRA FEES</v>
      </c>
    </row>
    <row r="2202" spans="1:10" x14ac:dyDescent="0.3">
      <c r="A2202" t="str">
        <f>""</f>
        <v/>
      </c>
      <c r="B2202" t="str">
        <f>""</f>
        <v/>
      </c>
      <c r="G2202" t="str">
        <f>""</f>
        <v/>
      </c>
      <c r="H2202" t="str">
        <f>""</f>
        <v/>
      </c>
      <c r="J2202" t="str">
        <f t="shared" si="66"/>
        <v>WAGE WORKS - FSA &amp; HRA FEES</v>
      </c>
    </row>
    <row r="2203" spans="1:10" x14ac:dyDescent="0.3">
      <c r="A2203" t="str">
        <f>""</f>
        <v/>
      </c>
      <c r="B2203" t="str">
        <f>""</f>
        <v/>
      </c>
      <c r="G2203" t="str">
        <f>""</f>
        <v/>
      </c>
      <c r="H2203" t="str">
        <f>""</f>
        <v/>
      </c>
      <c r="J2203" t="str">
        <f t="shared" si="66"/>
        <v>WAGE WORKS - FSA &amp; HRA FEES</v>
      </c>
    </row>
    <row r="2204" spans="1:10" x14ac:dyDescent="0.3">
      <c r="A2204" t="str">
        <f>""</f>
        <v/>
      </c>
      <c r="B2204" t="str">
        <f>""</f>
        <v/>
      </c>
      <c r="G2204" t="str">
        <f>""</f>
        <v/>
      </c>
      <c r="H2204" t="str">
        <f>""</f>
        <v/>
      </c>
      <c r="J2204" t="str">
        <f t="shared" si="66"/>
        <v>WAGE WORKS - FSA &amp; HRA FEES</v>
      </c>
    </row>
    <row r="2205" spans="1:10" x14ac:dyDescent="0.3">
      <c r="A2205" t="str">
        <f>""</f>
        <v/>
      </c>
      <c r="B2205" t="str">
        <f>""</f>
        <v/>
      </c>
      <c r="G2205" t="str">
        <f>""</f>
        <v/>
      </c>
      <c r="H2205" t="str">
        <f>""</f>
        <v/>
      </c>
      <c r="J2205" t="str">
        <f t="shared" si="66"/>
        <v>WAGE WORKS - FSA &amp; HRA FEES</v>
      </c>
    </row>
    <row r="2206" spans="1:10" x14ac:dyDescent="0.3">
      <c r="A2206" t="str">
        <f>""</f>
        <v/>
      </c>
      <c r="B2206" t="str">
        <f>""</f>
        <v/>
      </c>
      <c r="G2206" t="str">
        <f>""</f>
        <v/>
      </c>
      <c r="H2206" t="str">
        <f>""</f>
        <v/>
      </c>
      <c r="J2206" t="str">
        <f t="shared" si="66"/>
        <v>WAGE WORKS - FSA &amp; HRA FEES</v>
      </c>
    </row>
    <row r="2207" spans="1:10" x14ac:dyDescent="0.3">
      <c r="A2207" t="str">
        <f>""</f>
        <v/>
      </c>
      <c r="B2207" t="str">
        <f>""</f>
        <v/>
      </c>
      <c r="G2207" t="str">
        <f>""</f>
        <v/>
      </c>
      <c r="H2207" t="str">
        <f>""</f>
        <v/>
      </c>
      <c r="J2207" t="str">
        <f t="shared" si="66"/>
        <v>WAGE WORKS - FSA &amp; HRA FEES</v>
      </c>
    </row>
    <row r="2208" spans="1:10" x14ac:dyDescent="0.3">
      <c r="A2208" t="str">
        <f>""</f>
        <v/>
      </c>
      <c r="B2208" t="str">
        <f>""</f>
        <v/>
      </c>
      <c r="G2208" t="str">
        <f>""</f>
        <v/>
      </c>
      <c r="H2208" t="str">
        <f>""</f>
        <v/>
      </c>
      <c r="J2208" t="str">
        <f t="shared" si="66"/>
        <v>WAGE WORKS - FSA &amp; HRA FEES</v>
      </c>
    </row>
    <row r="2209" spans="1:10" x14ac:dyDescent="0.3">
      <c r="A2209" t="str">
        <f>""</f>
        <v/>
      </c>
      <c r="B2209" t="str">
        <f>""</f>
        <v/>
      </c>
      <c r="G2209" t="str">
        <f>""</f>
        <v/>
      </c>
      <c r="H2209" t="str">
        <f>""</f>
        <v/>
      </c>
      <c r="J2209" t="str">
        <f t="shared" si="66"/>
        <v>WAGE WORKS - FSA &amp; HRA FEES</v>
      </c>
    </row>
    <row r="2210" spans="1:10" x14ac:dyDescent="0.3">
      <c r="A2210" t="str">
        <f>""</f>
        <v/>
      </c>
      <c r="B2210" t="str">
        <f>""</f>
        <v/>
      </c>
      <c r="G2210" t="str">
        <f>""</f>
        <v/>
      </c>
      <c r="H2210" t="str">
        <f>""</f>
        <v/>
      </c>
      <c r="J2210" t="str">
        <f t="shared" si="66"/>
        <v>WAGE WORKS - FSA &amp; HRA FEES</v>
      </c>
    </row>
    <row r="2211" spans="1:10" x14ac:dyDescent="0.3">
      <c r="A2211" t="str">
        <f>""</f>
        <v/>
      </c>
      <c r="B2211" t="str">
        <f>""</f>
        <v/>
      </c>
      <c r="G2211" t="str">
        <f>""</f>
        <v/>
      </c>
      <c r="H2211" t="str">
        <f>""</f>
        <v/>
      </c>
      <c r="J2211" t="str">
        <f t="shared" si="66"/>
        <v>WAGE WORKS - FSA &amp; HRA FEES</v>
      </c>
    </row>
    <row r="2212" spans="1:10" x14ac:dyDescent="0.3">
      <c r="A2212" t="str">
        <f>""</f>
        <v/>
      </c>
      <c r="B2212" t="str">
        <f>""</f>
        <v/>
      </c>
      <c r="G2212" t="str">
        <f>""</f>
        <v/>
      </c>
      <c r="H2212" t="str">
        <f>""</f>
        <v/>
      </c>
      <c r="J2212" t="str">
        <f t="shared" si="66"/>
        <v>WAGE WORKS - FSA &amp; HRA FEES</v>
      </c>
    </row>
    <row r="2213" spans="1:10" x14ac:dyDescent="0.3">
      <c r="A2213" t="str">
        <f>""</f>
        <v/>
      </c>
      <c r="B2213" t="str">
        <f>""</f>
        <v/>
      </c>
      <c r="G2213" t="str">
        <f>""</f>
        <v/>
      </c>
      <c r="H2213" t="str">
        <f>""</f>
        <v/>
      </c>
      <c r="J2213" t="str">
        <f t="shared" si="66"/>
        <v>WAGE WORKS - FSA &amp; HRA FEES</v>
      </c>
    </row>
    <row r="2214" spans="1:10" x14ac:dyDescent="0.3">
      <c r="A2214" t="str">
        <f>""</f>
        <v/>
      </c>
      <c r="B2214" t="str">
        <f>""</f>
        <v/>
      </c>
      <c r="G2214" t="str">
        <f>""</f>
        <v/>
      </c>
      <c r="H2214" t="str">
        <f>""</f>
        <v/>
      </c>
      <c r="J2214" t="str">
        <f t="shared" si="66"/>
        <v>WAGE WORKS - FSA &amp; HRA FEES</v>
      </c>
    </row>
    <row r="2215" spans="1:10" x14ac:dyDescent="0.3">
      <c r="A2215" t="str">
        <f>""</f>
        <v/>
      </c>
      <c r="B2215" t="str">
        <f>""</f>
        <v/>
      </c>
      <c r="G2215" t="str">
        <f>""</f>
        <v/>
      </c>
      <c r="H2215" t="str">
        <f>""</f>
        <v/>
      </c>
      <c r="J2215" t="str">
        <f t="shared" si="66"/>
        <v>WAGE WORKS - FSA &amp; HRA FEES</v>
      </c>
    </row>
    <row r="2216" spans="1:10" x14ac:dyDescent="0.3">
      <c r="A2216" t="str">
        <f>""</f>
        <v/>
      </c>
      <c r="B2216" t="str">
        <f>""</f>
        <v/>
      </c>
      <c r="G2216" t="str">
        <f>""</f>
        <v/>
      </c>
      <c r="H2216" t="str">
        <f>""</f>
        <v/>
      </c>
      <c r="J2216" t="str">
        <f t="shared" si="66"/>
        <v>WAGE WORKS - FSA &amp; HRA FEES</v>
      </c>
    </row>
    <row r="2217" spans="1:10" x14ac:dyDescent="0.3">
      <c r="A2217" t="str">
        <f>""</f>
        <v/>
      </c>
      <c r="B2217" t="str">
        <f>""</f>
        <v/>
      </c>
      <c r="G2217" t="str">
        <f>""</f>
        <v/>
      </c>
      <c r="H2217" t="str">
        <f>""</f>
        <v/>
      </c>
      <c r="J2217" t="str">
        <f t="shared" si="66"/>
        <v>WAGE WORKS - FSA &amp; HRA FEES</v>
      </c>
    </row>
    <row r="2218" spans="1:10" x14ac:dyDescent="0.3">
      <c r="A2218" t="str">
        <f>""</f>
        <v/>
      </c>
      <c r="B2218" t="str">
        <f>""</f>
        <v/>
      </c>
      <c r="G2218" t="str">
        <f>""</f>
        <v/>
      </c>
      <c r="H2218" t="str">
        <f>""</f>
        <v/>
      </c>
      <c r="J2218" t="str">
        <f t="shared" si="66"/>
        <v>WAGE WORKS - FSA &amp; HRA FEES</v>
      </c>
    </row>
    <row r="2219" spans="1:10" x14ac:dyDescent="0.3">
      <c r="A2219" t="str">
        <f>""</f>
        <v/>
      </c>
      <c r="B2219" t="str">
        <f>""</f>
        <v/>
      </c>
      <c r="G2219" t="str">
        <f>""</f>
        <v/>
      </c>
      <c r="H2219" t="str">
        <f>""</f>
        <v/>
      </c>
      <c r="J2219" t="str">
        <f t="shared" si="66"/>
        <v>WAGE WORKS - FSA &amp; HRA FEES</v>
      </c>
    </row>
    <row r="2220" spans="1:10" x14ac:dyDescent="0.3">
      <c r="A2220" t="str">
        <f>""</f>
        <v/>
      </c>
      <c r="B2220" t="str">
        <f>""</f>
        <v/>
      </c>
      <c r="G2220" t="str">
        <f>""</f>
        <v/>
      </c>
      <c r="H2220" t="str">
        <f>""</f>
        <v/>
      </c>
      <c r="J2220" t="str">
        <f t="shared" si="66"/>
        <v>WAGE WORKS - FSA &amp; HRA FEES</v>
      </c>
    </row>
    <row r="2221" spans="1:10" x14ac:dyDescent="0.3">
      <c r="A2221" t="str">
        <f>""</f>
        <v/>
      </c>
      <c r="B2221" t="str">
        <f>""</f>
        <v/>
      </c>
      <c r="G2221" t="str">
        <f>""</f>
        <v/>
      </c>
      <c r="H2221" t="str">
        <f>""</f>
        <v/>
      </c>
      <c r="J2221" t="str">
        <f t="shared" si="66"/>
        <v>WAGE WORKS - FSA &amp; HRA FEES</v>
      </c>
    </row>
    <row r="2222" spans="1:10" x14ac:dyDescent="0.3">
      <c r="A2222" t="str">
        <f>""</f>
        <v/>
      </c>
      <c r="B2222" t="str">
        <f>""</f>
        <v/>
      </c>
      <c r="G2222" t="str">
        <f>"FSF201801118130"</f>
        <v>FSF201801118130</v>
      </c>
      <c r="H2222" t="str">
        <f>"WAGE WORKS - FSA &amp; HRA FEES"</f>
        <v>WAGE WORKS - FSA &amp; HRA FEES</v>
      </c>
      <c r="I2222" s="2">
        <v>25.97</v>
      </c>
      <c r="J2222" t="str">
        <f t="shared" si="66"/>
        <v>WAGE WORKS - FSA &amp; HRA FEES</v>
      </c>
    </row>
    <row r="2223" spans="1:10" x14ac:dyDescent="0.3">
      <c r="A2223" t="str">
        <f>""</f>
        <v/>
      </c>
      <c r="B2223" t="str">
        <f>""</f>
        <v/>
      </c>
      <c r="G2223" t="str">
        <f>"FSO201801118129"</f>
        <v>FSO201801118129</v>
      </c>
      <c r="H2223" t="str">
        <f>"WAGE WORKS - FSA FEES"</f>
        <v>WAGE WORKS - FSA FEES</v>
      </c>
      <c r="I2223" s="2">
        <v>13.02</v>
      </c>
      <c r="J2223" t="str">
        <f t="shared" ref="J2223:J2231" si="67">"WAGE WORKS - FSA FEES"</f>
        <v>WAGE WORKS - FSA FEES</v>
      </c>
    </row>
    <row r="2224" spans="1:10" x14ac:dyDescent="0.3">
      <c r="A2224" t="str">
        <f>""</f>
        <v/>
      </c>
      <c r="B2224" t="str">
        <f>""</f>
        <v/>
      </c>
      <c r="G2224" t="str">
        <f>""</f>
        <v/>
      </c>
      <c r="H2224" t="str">
        <f>""</f>
        <v/>
      </c>
      <c r="J2224" t="str">
        <f t="shared" si="67"/>
        <v>WAGE WORKS - FSA FEES</v>
      </c>
    </row>
    <row r="2225" spans="1:10" x14ac:dyDescent="0.3">
      <c r="A2225" t="str">
        <f>""</f>
        <v/>
      </c>
      <c r="B2225" t="str">
        <f>""</f>
        <v/>
      </c>
      <c r="G2225" t="str">
        <f>""</f>
        <v/>
      </c>
      <c r="H2225" t="str">
        <f>""</f>
        <v/>
      </c>
      <c r="J2225" t="str">
        <f t="shared" si="67"/>
        <v>WAGE WORKS - FSA FEES</v>
      </c>
    </row>
    <row r="2226" spans="1:10" x14ac:dyDescent="0.3">
      <c r="A2226" t="str">
        <f>""</f>
        <v/>
      </c>
      <c r="B2226" t="str">
        <f>""</f>
        <v/>
      </c>
      <c r="G2226" t="str">
        <f>""</f>
        <v/>
      </c>
      <c r="H2226" t="str">
        <f>""</f>
        <v/>
      </c>
      <c r="J2226" t="str">
        <f t="shared" si="67"/>
        <v>WAGE WORKS - FSA FEES</v>
      </c>
    </row>
    <row r="2227" spans="1:10" x14ac:dyDescent="0.3">
      <c r="A2227" t="str">
        <f>""</f>
        <v/>
      </c>
      <c r="B2227" t="str">
        <f>""</f>
        <v/>
      </c>
      <c r="G2227" t="str">
        <f>""</f>
        <v/>
      </c>
      <c r="H2227" t="str">
        <f>""</f>
        <v/>
      </c>
      <c r="J2227" t="str">
        <f t="shared" si="67"/>
        <v>WAGE WORKS - FSA FEES</v>
      </c>
    </row>
    <row r="2228" spans="1:10" x14ac:dyDescent="0.3">
      <c r="A2228" t="str">
        <f>""</f>
        <v/>
      </c>
      <c r="B2228" t="str">
        <f>""</f>
        <v/>
      </c>
      <c r="G2228" t="str">
        <f>""</f>
        <v/>
      </c>
      <c r="H2228" t="str">
        <f>""</f>
        <v/>
      </c>
      <c r="J2228" t="str">
        <f t="shared" si="67"/>
        <v>WAGE WORKS - FSA FEES</v>
      </c>
    </row>
    <row r="2229" spans="1:10" x14ac:dyDescent="0.3">
      <c r="A2229" t="str">
        <f>""</f>
        <v/>
      </c>
      <c r="B2229" t="str">
        <f>""</f>
        <v/>
      </c>
      <c r="G2229" t="str">
        <f>""</f>
        <v/>
      </c>
      <c r="H2229" t="str">
        <f>""</f>
        <v/>
      </c>
      <c r="J2229" t="str">
        <f t="shared" si="67"/>
        <v>WAGE WORKS - FSA FEES</v>
      </c>
    </row>
    <row r="2230" spans="1:10" x14ac:dyDescent="0.3">
      <c r="A2230" t="str">
        <f>""</f>
        <v/>
      </c>
      <c r="B2230" t="str">
        <f>""</f>
        <v/>
      </c>
      <c r="G2230" t="str">
        <f>""</f>
        <v/>
      </c>
      <c r="H2230" t="str">
        <f>""</f>
        <v/>
      </c>
      <c r="J2230" t="str">
        <f t="shared" si="67"/>
        <v>WAGE WORKS - FSA FEES</v>
      </c>
    </row>
    <row r="2231" spans="1:10" x14ac:dyDescent="0.3">
      <c r="A2231" t="str">
        <f>""</f>
        <v/>
      </c>
      <c r="B2231" t="str">
        <f>""</f>
        <v/>
      </c>
      <c r="G2231" t="str">
        <f>"FSO201801118130"</f>
        <v>FSO201801118130</v>
      </c>
      <c r="H2231" t="str">
        <f>"WAGE WORKS - FSA FEES"</f>
        <v>WAGE WORKS - FSA FEES</v>
      </c>
      <c r="I2231" s="2">
        <v>1.86</v>
      </c>
      <c r="J2231" t="str">
        <f t="shared" si="67"/>
        <v>WAGE WORKS - FSA FEES</v>
      </c>
    </row>
    <row r="2232" spans="1:10" x14ac:dyDescent="0.3">
      <c r="A2232" t="str">
        <f>""</f>
        <v/>
      </c>
      <c r="B2232" t="str">
        <f>""</f>
        <v/>
      </c>
      <c r="G2232" t="str">
        <f>"HRA201801118129"</f>
        <v>HRA201801118129</v>
      </c>
      <c r="H2232" t="str">
        <f>"WAGE WORKS"</f>
        <v>WAGE WORKS</v>
      </c>
      <c r="I2232" s="2">
        <v>2400</v>
      </c>
      <c r="J2232" t="str">
        <f t="shared" ref="J2232:J2237" si="68">"WAGE WORKS"</f>
        <v>WAGE WORKS</v>
      </c>
    </row>
    <row r="2233" spans="1:10" x14ac:dyDescent="0.3">
      <c r="A2233" t="str">
        <f>""</f>
        <v/>
      </c>
      <c r="B2233" t="str">
        <f>""</f>
        <v/>
      </c>
      <c r="G2233" t="str">
        <f>""</f>
        <v/>
      </c>
      <c r="H2233" t="str">
        <f>""</f>
        <v/>
      </c>
      <c r="J2233" t="str">
        <f t="shared" si="68"/>
        <v>WAGE WORKS</v>
      </c>
    </row>
    <row r="2234" spans="1:10" x14ac:dyDescent="0.3">
      <c r="A2234" t="str">
        <f>""</f>
        <v/>
      </c>
      <c r="B2234" t="str">
        <f>""</f>
        <v/>
      </c>
      <c r="G2234" t="str">
        <f>""</f>
        <v/>
      </c>
      <c r="H2234" t="str">
        <f>""</f>
        <v/>
      </c>
      <c r="J2234" t="str">
        <f t="shared" si="68"/>
        <v>WAGE WORKS</v>
      </c>
    </row>
    <row r="2235" spans="1:10" x14ac:dyDescent="0.3">
      <c r="A2235" t="str">
        <f>""</f>
        <v/>
      </c>
      <c r="B2235" t="str">
        <f>""</f>
        <v/>
      </c>
      <c r="G2235" t="str">
        <f>""</f>
        <v/>
      </c>
      <c r="H2235" t="str">
        <f>""</f>
        <v/>
      </c>
      <c r="J2235" t="str">
        <f t="shared" si="68"/>
        <v>WAGE WORKS</v>
      </c>
    </row>
    <row r="2236" spans="1:10" x14ac:dyDescent="0.3">
      <c r="A2236" t="str">
        <f>""</f>
        <v/>
      </c>
      <c r="B2236" t="str">
        <f>""</f>
        <v/>
      </c>
      <c r="G2236" t="str">
        <f>""</f>
        <v/>
      </c>
      <c r="H2236" t="str">
        <f>""</f>
        <v/>
      </c>
      <c r="J2236" t="str">
        <f t="shared" si="68"/>
        <v>WAGE WORKS</v>
      </c>
    </row>
    <row r="2237" spans="1:10" x14ac:dyDescent="0.3">
      <c r="A2237" t="str">
        <f>""</f>
        <v/>
      </c>
      <c r="B2237" t="str">
        <f>""</f>
        <v/>
      </c>
      <c r="G2237" t="str">
        <f>""</f>
        <v/>
      </c>
      <c r="H2237" t="str">
        <f>""</f>
        <v/>
      </c>
      <c r="J2237" t="str">
        <f t="shared" si="68"/>
        <v>WAGE WORKS</v>
      </c>
    </row>
    <row r="2238" spans="1:10" x14ac:dyDescent="0.3">
      <c r="A2238" t="str">
        <f>""</f>
        <v/>
      </c>
      <c r="B2238" t="str">
        <f>""</f>
        <v/>
      </c>
      <c r="G2238" t="str">
        <f>"HRF201801118129"</f>
        <v>HRF201801118129</v>
      </c>
      <c r="H2238" t="str">
        <f>"WAGE WORKS - HRA FEES"</f>
        <v>WAGE WORKS - HRA FEES</v>
      </c>
      <c r="I2238" s="2">
        <v>479.88</v>
      </c>
      <c r="J2238" t="str">
        <f t="shared" ref="J2238:J2276" si="69">"WAGE WORKS - HRA FEES"</f>
        <v>WAGE WORKS - HRA FEES</v>
      </c>
    </row>
    <row r="2239" spans="1:10" x14ac:dyDescent="0.3">
      <c r="A2239" t="str">
        <f>""</f>
        <v/>
      </c>
      <c r="B2239" t="str">
        <f>""</f>
        <v/>
      </c>
      <c r="G2239" t="str">
        <f>""</f>
        <v/>
      </c>
      <c r="H2239" t="str">
        <f>""</f>
        <v/>
      </c>
      <c r="J2239" t="str">
        <f t="shared" si="69"/>
        <v>WAGE WORKS - HRA FEES</v>
      </c>
    </row>
    <row r="2240" spans="1:10" x14ac:dyDescent="0.3">
      <c r="A2240" t="str">
        <f>""</f>
        <v/>
      </c>
      <c r="B2240" t="str">
        <f>""</f>
        <v/>
      </c>
      <c r="G2240" t="str">
        <f>""</f>
        <v/>
      </c>
      <c r="H2240" t="str">
        <f>""</f>
        <v/>
      </c>
      <c r="J2240" t="str">
        <f t="shared" si="69"/>
        <v>WAGE WORKS - HRA FEES</v>
      </c>
    </row>
    <row r="2241" spans="1:10" x14ac:dyDescent="0.3">
      <c r="A2241" t="str">
        <f>""</f>
        <v/>
      </c>
      <c r="B2241" t="str">
        <f>""</f>
        <v/>
      </c>
      <c r="G2241" t="str">
        <f>""</f>
        <v/>
      </c>
      <c r="H2241" t="str">
        <f>""</f>
        <v/>
      </c>
      <c r="J2241" t="str">
        <f t="shared" si="69"/>
        <v>WAGE WORKS - HRA FEES</v>
      </c>
    </row>
    <row r="2242" spans="1:10" x14ac:dyDescent="0.3">
      <c r="A2242" t="str">
        <f>""</f>
        <v/>
      </c>
      <c r="B2242" t="str">
        <f>""</f>
        <v/>
      </c>
      <c r="G2242" t="str">
        <f>""</f>
        <v/>
      </c>
      <c r="H2242" t="str">
        <f>""</f>
        <v/>
      </c>
      <c r="J2242" t="str">
        <f t="shared" si="69"/>
        <v>WAGE WORKS - HRA FEES</v>
      </c>
    </row>
    <row r="2243" spans="1:10" x14ac:dyDescent="0.3">
      <c r="A2243" t="str">
        <f>""</f>
        <v/>
      </c>
      <c r="B2243" t="str">
        <f>""</f>
        <v/>
      </c>
      <c r="G2243" t="str">
        <f>""</f>
        <v/>
      </c>
      <c r="H2243" t="str">
        <f>""</f>
        <v/>
      </c>
      <c r="J2243" t="str">
        <f t="shared" si="69"/>
        <v>WAGE WORKS - HRA FEES</v>
      </c>
    </row>
    <row r="2244" spans="1:10" x14ac:dyDescent="0.3">
      <c r="A2244" t="str">
        <f>""</f>
        <v/>
      </c>
      <c r="B2244" t="str">
        <f>""</f>
        <v/>
      </c>
      <c r="G2244" t="str">
        <f>""</f>
        <v/>
      </c>
      <c r="H2244" t="str">
        <f>""</f>
        <v/>
      </c>
      <c r="J2244" t="str">
        <f t="shared" si="69"/>
        <v>WAGE WORKS - HRA FEES</v>
      </c>
    </row>
    <row r="2245" spans="1:10" x14ac:dyDescent="0.3">
      <c r="A2245" t="str">
        <f>""</f>
        <v/>
      </c>
      <c r="B2245" t="str">
        <f>""</f>
        <v/>
      </c>
      <c r="G2245" t="str">
        <f>""</f>
        <v/>
      </c>
      <c r="H2245" t="str">
        <f>""</f>
        <v/>
      </c>
      <c r="J2245" t="str">
        <f t="shared" si="69"/>
        <v>WAGE WORKS - HRA FEES</v>
      </c>
    </row>
    <row r="2246" spans="1:10" x14ac:dyDescent="0.3">
      <c r="A2246" t="str">
        <f>""</f>
        <v/>
      </c>
      <c r="B2246" t="str">
        <f>""</f>
        <v/>
      </c>
      <c r="G2246" t="str">
        <f>""</f>
        <v/>
      </c>
      <c r="H2246" t="str">
        <f>""</f>
        <v/>
      </c>
      <c r="J2246" t="str">
        <f t="shared" si="69"/>
        <v>WAGE WORKS - HRA FEES</v>
      </c>
    </row>
    <row r="2247" spans="1:10" x14ac:dyDescent="0.3">
      <c r="A2247" t="str">
        <f>""</f>
        <v/>
      </c>
      <c r="B2247" t="str">
        <f>""</f>
        <v/>
      </c>
      <c r="G2247" t="str">
        <f>""</f>
        <v/>
      </c>
      <c r="H2247" t="str">
        <f>""</f>
        <v/>
      </c>
      <c r="J2247" t="str">
        <f t="shared" si="69"/>
        <v>WAGE WORKS - HRA FEES</v>
      </c>
    </row>
    <row r="2248" spans="1:10" x14ac:dyDescent="0.3">
      <c r="A2248" t="str">
        <f>""</f>
        <v/>
      </c>
      <c r="B2248" t="str">
        <f>""</f>
        <v/>
      </c>
      <c r="G2248" t="str">
        <f>""</f>
        <v/>
      </c>
      <c r="H2248" t="str">
        <f>""</f>
        <v/>
      </c>
      <c r="J2248" t="str">
        <f t="shared" si="69"/>
        <v>WAGE WORKS - HRA FEES</v>
      </c>
    </row>
    <row r="2249" spans="1:10" x14ac:dyDescent="0.3">
      <c r="A2249" t="str">
        <f>""</f>
        <v/>
      </c>
      <c r="B2249" t="str">
        <f>""</f>
        <v/>
      </c>
      <c r="G2249" t="str">
        <f>""</f>
        <v/>
      </c>
      <c r="H2249" t="str">
        <f>""</f>
        <v/>
      </c>
      <c r="J2249" t="str">
        <f t="shared" si="69"/>
        <v>WAGE WORKS - HRA FEES</v>
      </c>
    </row>
    <row r="2250" spans="1:10" x14ac:dyDescent="0.3">
      <c r="A2250" t="str">
        <f>""</f>
        <v/>
      </c>
      <c r="B2250" t="str">
        <f>""</f>
        <v/>
      </c>
      <c r="G2250" t="str">
        <f>""</f>
        <v/>
      </c>
      <c r="H2250" t="str">
        <f>""</f>
        <v/>
      </c>
      <c r="J2250" t="str">
        <f t="shared" si="69"/>
        <v>WAGE WORKS - HRA FEES</v>
      </c>
    </row>
    <row r="2251" spans="1:10" x14ac:dyDescent="0.3">
      <c r="A2251" t="str">
        <f>""</f>
        <v/>
      </c>
      <c r="B2251" t="str">
        <f>""</f>
        <v/>
      </c>
      <c r="G2251" t="str">
        <f>""</f>
        <v/>
      </c>
      <c r="H2251" t="str">
        <f>""</f>
        <v/>
      </c>
      <c r="J2251" t="str">
        <f t="shared" si="69"/>
        <v>WAGE WORKS - HRA FEES</v>
      </c>
    </row>
    <row r="2252" spans="1:10" x14ac:dyDescent="0.3">
      <c r="A2252" t="str">
        <f>""</f>
        <v/>
      </c>
      <c r="B2252" t="str">
        <f>""</f>
        <v/>
      </c>
      <c r="G2252" t="str">
        <f>""</f>
        <v/>
      </c>
      <c r="H2252" t="str">
        <f>""</f>
        <v/>
      </c>
      <c r="J2252" t="str">
        <f t="shared" si="69"/>
        <v>WAGE WORKS - HRA FEES</v>
      </c>
    </row>
    <row r="2253" spans="1:10" x14ac:dyDescent="0.3">
      <c r="A2253" t="str">
        <f>""</f>
        <v/>
      </c>
      <c r="B2253" t="str">
        <f>""</f>
        <v/>
      </c>
      <c r="G2253" t="str">
        <f>""</f>
        <v/>
      </c>
      <c r="H2253" t="str">
        <f>""</f>
        <v/>
      </c>
      <c r="J2253" t="str">
        <f t="shared" si="69"/>
        <v>WAGE WORKS - HRA FEES</v>
      </c>
    </row>
    <row r="2254" spans="1:10" x14ac:dyDescent="0.3">
      <c r="A2254" t="str">
        <f>""</f>
        <v/>
      </c>
      <c r="B2254" t="str">
        <f>""</f>
        <v/>
      </c>
      <c r="G2254" t="str">
        <f>""</f>
        <v/>
      </c>
      <c r="H2254" t="str">
        <f>""</f>
        <v/>
      </c>
      <c r="J2254" t="str">
        <f t="shared" si="69"/>
        <v>WAGE WORKS - HRA FEES</v>
      </c>
    </row>
    <row r="2255" spans="1:10" x14ac:dyDescent="0.3">
      <c r="A2255" t="str">
        <f>""</f>
        <v/>
      </c>
      <c r="B2255" t="str">
        <f>""</f>
        <v/>
      </c>
      <c r="G2255" t="str">
        <f>""</f>
        <v/>
      </c>
      <c r="H2255" t="str">
        <f>""</f>
        <v/>
      </c>
      <c r="J2255" t="str">
        <f t="shared" si="69"/>
        <v>WAGE WORKS - HRA FEES</v>
      </c>
    </row>
    <row r="2256" spans="1:10" x14ac:dyDescent="0.3">
      <c r="A2256" t="str">
        <f>""</f>
        <v/>
      </c>
      <c r="B2256" t="str">
        <f>""</f>
        <v/>
      </c>
      <c r="G2256" t="str">
        <f>""</f>
        <v/>
      </c>
      <c r="H2256" t="str">
        <f>""</f>
        <v/>
      </c>
      <c r="J2256" t="str">
        <f t="shared" si="69"/>
        <v>WAGE WORKS - HRA FEES</v>
      </c>
    </row>
    <row r="2257" spans="1:10" x14ac:dyDescent="0.3">
      <c r="A2257" t="str">
        <f>""</f>
        <v/>
      </c>
      <c r="B2257" t="str">
        <f>""</f>
        <v/>
      </c>
      <c r="G2257" t="str">
        <f>""</f>
        <v/>
      </c>
      <c r="H2257" t="str">
        <f>""</f>
        <v/>
      </c>
      <c r="J2257" t="str">
        <f t="shared" si="69"/>
        <v>WAGE WORKS - HRA FEES</v>
      </c>
    </row>
    <row r="2258" spans="1:10" x14ac:dyDescent="0.3">
      <c r="A2258" t="str">
        <f>""</f>
        <v/>
      </c>
      <c r="B2258" t="str">
        <f>""</f>
        <v/>
      </c>
      <c r="G2258" t="str">
        <f>""</f>
        <v/>
      </c>
      <c r="H2258" t="str">
        <f>""</f>
        <v/>
      </c>
      <c r="J2258" t="str">
        <f t="shared" si="69"/>
        <v>WAGE WORKS - HRA FEES</v>
      </c>
    </row>
    <row r="2259" spans="1:10" x14ac:dyDescent="0.3">
      <c r="A2259" t="str">
        <f>""</f>
        <v/>
      </c>
      <c r="B2259" t="str">
        <f>""</f>
        <v/>
      </c>
      <c r="G2259" t="str">
        <f>""</f>
        <v/>
      </c>
      <c r="H2259" t="str">
        <f>""</f>
        <v/>
      </c>
      <c r="J2259" t="str">
        <f t="shared" si="69"/>
        <v>WAGE WORKS - HRA FEES</v>
      </c>
    </row>
    <row r="2260" spans="1:10" x14ac:dyDescent="0.3">
      <c r="A2260" t="str">
        <f>""</f>
        <v/>
      </c>
      <c r="B2260" t="str">
        <f>""</f>
        <v/>
      </c>
      <c r="G2260" t="str">
        <f>""</f>
        <v/>
      </c>
      <c r="H2260" t="str">
        <f>""</f>
        <v/>
      </c>
      <c r="J2260" t="str">
        <f t="shared" si="69"/>
        <v>WAGE WORKS - HRA FEES</v>
      </c>
    </row>
    <row r="2261" spans="1:10" x14ac:dyDescent="0.3">
      <c r="A2261" t="str">
        <f>""</f>
        <v/>
      </c>
      <c r="B2261" t="str">
        <f>""</f>
        <v/>
      </c>
      <c r="G2261" t="str">
        <f>""</f>
        <v/>
      </c>
      <c r="H2261" t="str">
        <f>""</f>
        <v/>
      </c>
      <c r="J2261" t="str">
        <f t="shared" si="69"/>
        <v>WAGE WORKS - HRA FEES</v>
      </c>
    </row>
    <row r="2262" spans="1:10" x14ac:dyDescent="0.3">
      <c r="A2262" t="str">
        <f>""</f>
        <v/>
      </c>
      <c r="B2262" t="str">
        <f>""</f>
        <v/>
      </c>
      <c r="G2262" t="str">
        <f>""</f>
        <v/>
      </c>
      <c r="H2262" t="str">
        <f>""</f>
        <v/>
      </c>
      <c r="J2262" t="str">
        <f t="shared" si="69"/>
        <v>WAGE WORKS - HRA FEES</v>
      </c>
    </row>
    <row r="2263" spans="1:10" x14ac:dyDescent="0.3">
      <c r="A2263" t="str">
        <f>""</f>
        <v/>
      </c>
      <c r="B2263" t="str">
        <f>""</f>
        <v/>
      </c>
      <c r="G2263" t="str">
        <f>""</f>
        <v/>
      </c>
      <c r="H2263" t="str">
        <f>""</f>
        <v/>
      </c>
      <c r="J2263" t="str">
        <f t="shared" si="69"/>
        <v>WAGE WORKS - HRA FEES</v>
      </c>
    </row>
    <row r="2264" spans="1:10" x14ac:dyDescent="0.3">
      <c r="A2264" t="str">
        <f>""</f>
        <v/>
      </c>
      <c r="B2264" t="str">
        <f>""</f>
        <v/>
      </c>
      <c r="G2264" t="str">
        <f>""</f>
        <v/>
      </c>
      <c r="H2264" t="str">
        <f>""</f>
        <v/>
      </c>
      <c r="J2264" t="str">
        <f t="shared" si="69"/>
        <v>WAGE WORKS - HRA FEES</v>
      </c>
    </row>
    <row r="2265" spans="1:10" x14ac:dyDescent="0.3">
      <c r="A2265" t="str">
        <f>""</f>
        <v/>
      </c>
      <c r="B2265" t="str">
        <f>""</f>
        <v/>
      </c>
      <c r="G2265" t="str">
        <f>""</f>
        <v/>
      </c>
      <c r="H2265" t="str">
        <f>""</f>
        <v/>
      </c>
      <c r="J2265" t="str">
        <f t="shared" si="69"/>
        <v>WAGE WORKS - HRA FEES</v>
      </c>
    </row>
    <row r="2266" spans="1:10" x14ac:dyDescent="0.3">
      <c r="A2266" t="str">
        <f>""</f>
        <v/>
      </c>
      <c r="B2266" t="str">
        <f>""</f>
        <v/>
      </c>
      <c r="G2266" t="str">
        <f>""</f>
        <v/>
      </c>
      <c r="H2266" t="str">
        <f>""</f>
        <v/>
      </c>
      <c r="J2266" t="str">
        <f t="shared" si="69"/>
        <v>WAGE WORKS - HRA FEES</v>
      </c>
    </row>
    <row r="2267" spans="1:10" x14ac:dyDescent="0.3">
      <c r="A2267" t="str">
        <f>""</f>
        <v/>
      </c>
      <c r="B2267" t="str">
        <f>""</f>
        <v/>
      </c>
      <c r="G2267" t="str">
        <f>""</f>
        <v/>
      </c>
      <c r="H2267" t="str">
        <f>""</f>
        <v/>
      </c>
      <c r="J2267" t="str">
        <f t="shared" si="69"/>
        <v>WAGE WORKS - HRA FEES</v>
      </c>
    </row>
    <row r="2268" spans="1:10" x14ac:dyDescent="0.3">
      <c r="A2268" t="str">
        <f>""</f>
        <v/>
      </c>
      <c r="B2268" t="str">
        <f>""</f>
        <v/>
      </c>
      <c r="G2268" t="str">
        <f>""</f>
        <v/>
      </c>
      <c r="H2268" t="str">
        <f>""</f>
        <v/>
      </c>
      <c r="J2268" t="str">
        <f t="shared" si="69"/>
        <v>WAGE WORKS - HRA FEES</v>
      </c>
    </row>
    <row r="2269" spans="1:10" x14ac:dyDescent="0.3">
      <c r="A2269" t="str">
        <f>""</f>
        <v/>
      </c>
      <c r="B2269" t="str">
        <f>""</f>
        <v/>
      </c>
      <c r="G2269" t="str">
        <f>""</f>
        <v/>
      </c>
      <c r="H2269" t="str">
        <f>""</f>
        <v/>
      </c>
      <c r="J2269" t="str">
        <f t="shared" si="69"/>
        <v>WAGE WORKS - HRA FEES</v>
      </c>
    </row>
    <row r="2270" spans="1:10" x14ac:dyDescent="0.3">
      <c r="A2270" t="str">
        <f>""</f>
        <v/>
      </c>
      <c r="B2270" t="str">
        <f>""</f>
        <v/>
      </c>
      <c r="G2270" t="str">
        <f>""</f>
        <v/>
      </c>
      <c r="H2270" t="str">
        <f>""</f>
        <v/>
      </c>
      <c r="J2270" t="str">
        <f t="shared" si="69"/>
        <v>WAGE WORKS - HRA FEES</v>
      </c>
    </row>
    <row r="2271" spans="1:10" x14ac:dyDescent="0.3">
      <c r="A2271" t="str">
        <f>""</f>
        <v/>
      </c>
      <c r="B2271" t="str">
        <f>""</f>
        <v/>
      </c>
      <c r="G2271" t="str">
        <f>""</f>
        <v/>
      </c>
      <c r="H2271" t="str">
        <f>""</f>
        <v/>
      </c>
      <c r="J2271" t="str">
        <f t="shared" si="69"/>
        <v>WAGE WORKS - HRA FEES</v>
      </c>
    </row>
    <row r="2272" spans="1:10" x14ac:dyDescent="0.3">
      <c r="A2272" t="str">
        <f>""</f>
        <v/>
      </c>
      <c r="B2272" t="str">
        <f>""</f>
        <v/>
      </c>
      <c r="G2272" t="str">
        <f>""</f>
        <v/>
      </c>
      <c r="H2272" t="str">
        <f>""</f>
        <v/>
      </c>
      <c r="J2272" t="str">
        <f t="shared" si="69"/>
        <v>WAGE WORKS - HRA FEES</v>
      </c>
    </row>
    <row r="2273" spans="1:10" x14ac:dyDescent="0.3">
      <c r="A2273" t="str">
        <f>""</f>
        <v/>
      </c>
      <c r="B2273" t="str">
        <f>""</f>
        <v/>
      </c>
      <c r="G2273" t="str">
        <f>""</f>
        <v/>
      </c>
      <c r="H2273" t="str">
        <f>""</f>
        <v/>
      </c>
      <c r="J2273" t="str">
        <f t="shared" si="69"/>
        <v>WAGE WORKS - HRA FEES</v>
      </c>
    </row>
    <row r="2274" spans="1:10" x14ac:dyDescent="0.3">
      <c r="A2274" t="str">
        <f>""</f>
        <v/>
      </c>
      <c r="B2274" t="str">
        <f>""</f>
        <v/>
      </c>
      <c r="G2274" t="str">
        <f>""</f>
        <v/>
      </c>
      <c r="H2274" t="str">
        <f>""</f>
        <v/>
      </c>
      <c r="J2274" t="str">
        <f t="shared" si="69"/>
        <v>WAGE WORKS - HRA FEES</v>
      </c>
    </row>
    <row r="2275" spans="1:10" x14ac:dyDescent="0.3">
      <c r="A2275" t="str">
        <f>""</f>
        <v/>
      </c>
      <c r="B2275" t="str">
        <f>""</f>
        <v/>
      </c>
      <c r="G2275" t="str">
        <f>""</f>
        <v/>
      </c>
      <c r="H2275" t="str">
        <f>""</f>
        <v/>
      </c>
      <c r="J2275" t="str">
        <f t="shared" si="69"/>
        <v>WAGE WORKS - HRA FEES</v>
      </c>
    </row>
    <row r="2276" spans="1:10" x14ac:dyDescent="0.3">
      <c r="A2276" t="str">
        <f>""</f>
        <v/>
      </c>
      <c r="B2276" t="str">
        <f>""</f>
        <v/>
      </c>
      <c r="G2276" t="str">
        <f>"HRF201801118130"</f>
        <v>HRF201801118130</v>
      </c>
      <c r="H2276" t="str">
        <f>"WAGE WORKS - HRA FEES"</f>
        <v>WAGE WORKS - HRA FEES</v>
      </c>
      <c r="I2276" s="2">
        <v>14.88</v>
      </c>
      <c r="J2276" t="str">
        <f t="shared" si="69"/>
        <v>WAGE WORKS - HRA FEES</v>
      </c>
    </row>
    <row r="2277" spans="1:10" x14ac:dyDescent="0.3">
      <c r="A2277" t="str">
        <f>"01"</f>
        <v>01</v>
      </c>
      <c r="B2277" t="str">
        <f>"004767"</f>
        <v>004767</v>
      </c>
      <c r="C2277" t="s">
        <v>411</v>
      </c>
      <c r="D2277">
        <v>0</v>
      </c>
      <c r="E2277" s="2">
        <v>11443.71</v>
      </c>
      <c r="F2277" s="1">
        <v>43126</v>
      </c>
      <c r="G2277" t="str">
        <f>"FSA201801248226"</f>
        <v>FSA201801248226</v>
      </c>
      <c r="H2277" t="str">
        <f>"WAGE WORKS"</f>
        <v>WAGE WORKS</v>
      </c>
      <c r="I2277" s="2">
        <v>574</v>
      </c>
      <c r="J2277" t="str">
        <f t="shared" ref="J2277:J2282" si="70">"WAGE WORKS"</f>
        <v>WAGE WORKS</v>
      </c>
    </row>
    <row r="2278" spans="1:10" x14ac:dyDescent="0.3">
      <c r="A2278" t="str">
        <f>""</f>
        <v/>
      </c>
      <c r="B2278" t="str">
        <f>""</f>
        <v/>
      </c>
      <c r="G2278" t="str">
        <f>"FSA201801248228"</f>
        <v>FSA201801248228</v>
      </c>
      <c r="H2278" t="str">
        <f>"WAGE WORKS"</f>
        <v>WAGE WORKS</v>
      </c>
      <c r="I2278" s="2">
        <v>8657.17</v>
      </c>
      <c r="J2278" t="str">
        <f t="shared" si="70"/>
        <v>WAGE WORKS</v>
      </c>
    </row>
    <row r="2279" spans="1:10" x14ac:dyDescent="0.3">
      <c r="A2279" t="str">
        <f>""</f>
        <v/>
      </c>
      <c r="B2279" t="str">
        <f>""</f>
        <v/>
      </c>
      <c r="G2279" t="str">
        <f>"FSC201801248228"</f>
        <v>FSC201801248228</v>
      </c>
      <c r="H2279" t="str">
        <f>"WAGE WORKS"</f>
        <v>WAGE WORKS</v>
      </c>
      <c r="I2279" s="2">
        <v>1124.1400000000001</v>
      </c>
      <c r="J2279" t="str">
        <f t="shared" si="70"/>
        <v>WAGE WORKS</v>
      </c>
    </row>
    <row r="2280" spans="1:10" x14ac:dyDescent="0.3">
      <c r="A2280" t="str">
        <f>""</f>
        <v/>
      </c>
      <c r="B2280" t="str">
        <f>""</f>
        <v/>
      </c>
      <c r="G2280" t="str">
        <f>""</f>
        <v/>
      </c>
      <c r="H2280" t="str">
        <f>""</f>
        <v/>
      </c>
      <c r="J2280" t="str">
        <f t="shared" si="70"/>
        <v>WAGE WORKS</v>
      </c>
    </row>
    <row r="2281" spans="1:10" x14ac:dyDescent="0.3">
      <c r="A2281" t="str">
        <f>""</f>
        <v/>
      </c>
      <c r="B2281" t="str">
        <f>""</f>
        <v/>
      </c>
      <c r="G2281" t="str">
        <f>""</f>
        <v/>
      </c>
      <c r="H2281" t="str">
        <f>""</f>
        <v/>
      </c>
      <c r="J2281" t="str">
        <f t="shared" si="70"/>
        <v>WAGE WORKS</v>
      </c>
    </row>
    <row r="2282" spans="1:10" x14ac:dyDescent="0.3">
      <c r="A2282" t="str">
        <f>""</f>
        <v/>
      </c>
      <c r="B2282" t="str">
        <f>""</f>
        <v/>
      </c>
      <c r="G2282" t="str">
        <f>""</f>
        <v/>
      </c>
      <c r="H2282" t="str">
        <f>""</f>
        <v/>
      </c>
      <c r="J2282" t="str">
        <f t="shared" si="70"/>
        <v>WAGE WORKS</v>
      </c>
    </row>
    <row r="2283" spans="1:10" x14ac:dyDescent="0.3">
      <c r="A2283" t="str">
        <f>""</f>
        <v/>
      </c>
      <c r="B2283" t="str">
        <f>""</f>
        <v/>
      </c>
      <c r="G2283" t="str">
        <f>"FSF201801248226"</f>
        <v>FSF201801248226</v>
      </c>
      <c r="H2283" t="str">
        <f>"WAGE WORKS - FSA &amp; HRA FEES"</f>
        <v>WAGE WORKS - FSA &amp; HRA FEES</v>
      </c>
      <c r="I2283" s="2">
        <v>25.97</v>
      </c>
      <c r="J2283" t="str">
        <f t="shared" ref="J2283:J2322" si="71">"WAGE WORKS - FSA &amp; HRA FEES"</f>
        <v>WAGE WORKS - FSA &amp; HRA FEES</v>
      </c>
    </row>
    <row r="2284" spans="1:10" x14ac:dyDescent="0.3">
      <c r="A2284" t="str">
        <f>""</f>
        <v/>
      </c>
      <c r="B2284" t="str">
        <f>""</f>
        <v/>
      </c>
      <c r="G2284" t="str">
        <f>"FSF201801248228"</f>
        <v>FSF201801248228</v>
      </c>
      <c r="H2284" t="str">
        <f>"WAGE WORKS - FSA &amp; HRA FEES"</f>
        <v>WAGE WORKS - FSA &amp; HRA FEES</v>
      </c>
      <c r="I2284" s="2">
        <v>552.79</v>
      </c>
      <c r="J2284" t="str">
        <f t="shared" si="71"/>
        <v>WAGE WORKS - FSA &amp; HRA FEES</v>
      </c>
    </row>
    <row r="2285" spans="1:10" x14ac:dyDescent="0.3">
      <c r="A2285" t="str">
        <f>""</f>
        <v/>
      </c>
      <c r="B2285" t="str">
        <f>""</f>
        <v/>
      </c>
      <c r="G2285" t="str">
        <f>""</f>
        <v/>
      </c>
      <c r="H2285" t="str">
        <f>""</f>
        <v/>
      </c>
      <c r="J2285" t="str">
        <f t="shared" si="71"/>
        <v>WAGE WORKS - FSA &amp; HRA FEES</v>
      </c>
    </row>
    <row r="2286" spans="1:10" x14ac:dyDescent="0.3">
      <c r="A2286" t="str">
        <f>""</f>
        <v/>
      </c>
      <c r="B2286" t="str">
        <f>""</f>
        <v/>
      </c>
      <c r="G2286" t="str">
        <f>""</f>
        <v/>
      </c>
      <c r="H2286" t="str">
        <f>""</f>
        <v/>
      </c>
      <c r="J2286" t="str">
        <f t="shared" si="71"/>
        <v>WAGE WORKS - FSA &amp; HRA FEES</v>
      </c>
    </row>
    <row r="2287" spans="1:10" x14ac:dyDescent="0.3">
      <c r="A2287" t="str">
        <f>""</f>
        <v/>
      </c>
      <c r="B2287" t="str">
        <f>""</f>
        <v/>
      </c>
      <c r="G2287" t="str">
        <f>""</f>
        <v/>
      </c>
      <c r="H2287" t="str">
        <f>""</f>
        <v/>
      </c>
      <c r="J2287" t="str">
        <f t="shared" si="71"/>
        <v>WAGE WORKS - FSA &amp; HRA FEES</v>
      </c>
    </row>
    <row r="2288" spans="1:10" x14ac:dyDescent="0.3">
      <c r="A2288" t="str">
        <f>""</f>
        <v/>
      </c>
      <c r="B2288" t="str">
        <f>""</f>
        <v/>
      </c>
      <c r="G2288" t="str">
        <f>""</f>
        <v/>
      </c>
      <c r="H2288" t="str">
        <f>""</f>
        <v/>
      </c>
      <c r="J2288" t="str">
        <f t="shared" si="71"/>
        <v>WAGE WORKS - FSA &amp; HRA FEES</v>
      </c>
    </row>
    <row r="2289" spans="1:10" x14ac:dyDescent="0.3">
      <c r="A2289" t="str">
        <f>""</f>
        <v/>
      </c>
      <c r="B2289" t="str">
        <f>""</f>
        <v/>
      </c>
      <c r="G2289" t="str">
        <f>""</f>
        <v/>
      </c>
      <c r="H2289" t="str">
        <f>""</f>
        <v/>
      </c>
      <c r="J2289" t="str">
        <f t="shared" si="71"/>
        <v>WAGE WORKS - FSA &amp; HRA FEES</v>
      </c>
    </row>
    <row r="2290" spans="1:10" x14ac:dyDescent="0.3">
      <c r="A2290" t="str">
        <f>""</f>
        <v/>
      </c>
      <c r="B2290" t="str">
        <f>""</f>
        <v/>
      </c>
      <c r="G2290" t="str">
        <f>""</f>
        <v/>
      </c>
      <c r="H2290" t="str">
        <f>""</f>
        <v/>
      </c>
      <c r="J2290" t="str">
        <f t="shared" si="71"/>
        <v>WAGE WORKS - FSA &amp; HRA FEES</v>
      </c>
    </row>
    <row r="2291" spans="1:10" x14ac:dyDescent="0.3">
      <c r="A2291" t="str">
        <f>""</f>
        <v/>
      </c>
      <c r="B2291" t="str">
        <f>""</f>
        <v/>
      </c>
      <c r="G2291" t="str">
        <f>""</f>
        <v/>
      </c>
      <c r="H2291" t="str">
        <f>""</f>
        <v/>
      </c>
      <c r="J2291" t="str">
        <f t="shared" si="71"/>
        <v>WAGE WORKS - FSA &amp; HRA FEES</v>
      </c>
    </row>
    <row r="2292" spans="1:10" x14ac:dyDescent="0.3">
      <c r="A2292" t="str">
        <f>""</f>
        <v/>
      </c>
      <c r="B2292" t="str">
        <f>""</f>
        <v/>
      </c>
      <c r="G2292" t="str">
        <f>""</f>
        <v/>
      </c>
      <c r="H2292" t="str">
        <f>""</f>
        <v/>
      </c>
      <c r="J2292" t="str">
        <f t="shared" si="71"/>
        <v>WAGE WORKS - FSA &amp; HRA FEES</v>
      </c>
    </row>
    <row r="2293" spans="1:10" x14ac:dyDescent="0.3">
      <c r="A2293" t="str">
        <f>""</f>
        <v/>
      </c>
      <c r="B2293" t="str">
        <f>""</f>
        <v/>
      </c>
      <c r="G2293" t="str">
        <f>""</f>
        <v/>
      </c>
      <c r="H2293" t="str">
        <f>""</f>
        <v/>
      </c>
      <c r="J2293" t="str">
        <f t="shared" si="71"/>
        <v>WAGE WORKS - FSA &amp; HRA FEES</v>
      </c>
    </row>
    <row r="2294" spans="1:10" x14ac:dyDescent="0.3">
      <c r="A2294" t="str">
        <f>""</f>
        <v/>
      </c>
      <c r="B2294" t="str">
        <f>""</f>
        <v/>
      </c>
      <c r="G2294" t="str">
        <f>""</f>
        <v/>
      </c>
      <c r="H2294" t="str">
        <f>""</f>
        <v/>
      </c>
      <c r="J2294" t="str">
        <f t="shared" si="71"/>
        <v>WAGE WORKS - FSA &amp; HRA FEES</v>
      </c>
    </row>
    <row r="2295" spans="1:10" x14ac:dyDescent="0.3">
      <c r="A2295" t="str">
        <f>""</f>
        <v/>
      </c>
      <c r="B2295" t="str">
        <f>""</f>
        <v/>
      </c>
      <c r="G2295" t="str">
        <f>""</f>
        <v/>
      </c>
      <c r="H2295" t="str">
        <f>""</f>
        <v/>
      </c>
      <c r="J2295" t="str">
        <f t="shared" si="71"/>
        <v>WAGE WORKS - FSA &amp; HRA FEES</v>
      </c>
    </row>
    <row r="2296" spans="1:10" x14ac:dyDescent="0.3">
      <c r="A2296" t="str">
        <f>""</f>
        <v/>
      </c>
      <c r="B2296" t="str">
        <f>""</f>
        <v/>
      </c>
      <c r="G2296" t="str">
        <f>""</f>
        <v/>
      </c>
      <c r="H2296" t="str">
        <f>""</f>
        <v/>
      </c>
      <c r="J2296" t="str">
        <f t="shared" si="71"/>
        <v>WAGE WORKS - FSA &amp; HRA FEES</v>
      </c>
    </row>
    <row r="2297" spans="1:10" x14ac:dyDescent="0.3">
      <c r="A2297" t="str">
        <f>""</f>
        <v/>
      </c>
      <c r="B2297" t="str">
        <f>""</f>
        <v/>
      </c>
      <c r="G2297" t="str">
        <f>""</f>
        <v/>
      </c>
      <c r="H2297" t="str">
        <f>""</f>
        <v/>
      </c>
      <c r="J2297" t="str">
        <f t="shared" si="71"/>
        <v>WAGE WORKS - FSA &amp; HRA FEES</v>
      </c>
    </row>
    <row r="2298" spans="1:10" x14ac:dyDescent="0.3">
      <c r="A2298" t="str">
        <f>""</f>
        <v/>
      </c>
      <c r="B2298" t="str">
        <f>""</f>
        <v/>
      </c>
      <c r="G2298" t="str">
        <f>""</f>
        <v/>
      </c>
      <c r="H2298" t="str">
        <f>""</f>
        <v/>
      </c>
      <c r="J2298" t="str">
        <f t="shared" si="71"/>
        <v>WAGE WORKS - FSA &amp; HRA FEES</v>
      </c>
    </row>
    <row r="2299" spans="1:10" x14ac:dyDescent="0.3">
      <c r="A2299" t="str">
        <f>""</f>
        <v/>
      </c>
      <c r="B2299" t="str">
        <f>""</f>
        <v/>
      </c>
      <c r="G2299" t="str">
        <f>""</f>
        <v/>
      </c>
      <c r="H2299" t="str">
        <f>""</f>
        <v/>
      </c>
      <c r="J2299" t="str">
        <f t="shared" si="71"/>
        <v>WAGE WORKS - FSA &amp; HRA FEES</v>
      </c>
    </row>
    <row r="2300" spans="1:10" x14ac:dyDescent="0.3">
      <c r="A2300" t="str">
        <f>""</f>
        <v/>
      </c>
      <c r="B2300" t="str">
        <f>""</f>
        <v/>
      </c>
      <c r="G2300" t="str">
        <f>""</f>
        <v/>
      </c>
      <c r="H2300" t="str">
        <f>""</f>
        <v/>
      </c>
      <c r="J2300" t="str">
        <f t="shared" si="71"/>
        <v>WAGE WORKS - FSA &amp; HRA FEES</v>
      </c>
    </row>
    <row r="2301" spans="1:10" x14ac:dyDescent="0.3">
      <c r="A2301" t="str">
        <f>""</f>
        <v/>
      </c>
      <c r="B2301" t="str">
        <f>""</f>
        <v/>
      </c>
      <c r="G2301" t="str">
        <f>""</f>
        <v/>
      </c>
      <c r="H2301" t="str">
        <f>""</f>
        <v/>
      </c>
      <c r="J2301" t="str">
        <f t="shared" si="71"/>
        <v>WAGE WORKS - FSA &amp; HRA FEES</v>
      </c>
    </row>
    <row r="2302" spans="1:10" x14ac:dyDescent="0.3">
      <c r="A2302" t="str">
        <f>""</f>
        <v/>
      </c>
      <c r="B2302" t="str">
        <f>""</f>
        <v/>
      </c>
      <c r="G2302" t="str">
        <f>""</f>
        <v/>
      </c>
      <c r="H2302" t="str">
        <f>""</f>
        <v/>
      </c>
      <c r="J2302" t="str">
        <f t="shared" si="71"/>
        <v>WAGE WORKS - FSA &amp; HRA FEES</v>
      </c>
    </row>
    <row r="2303" spans="1:10" x14ac:dyDescent="0.3">
      <c r="A2303" t="str">
        <f>""</f>
        <v/>
      </c>
      <c r="B2303" t="str">
        <f>""</f>
        <v/>
      </c>
      <c r="G2303" t="str">
        <f>""</f>
        <v/>
      </c>
      <c r="H2303" t="str">
        <f>""</f>
        <v/>
      </c>
      <c r="J2303" t="str">
        <f t="shared" si="71"/>
        <v>WAGE WORKS - FSA &amp; HRA FEES</v>
      </c>
    </row>
    <row r="2304" spans="1:10" x14ac:dyDescent="0.3">
      <c r="A2304" t="str">
        <f>""</f>
        <v/>
      </c>
      <c r="B2304" t="str">
        <f>""</f>
        <v/>
      </c>
      <c r="G2304" t="str">
        <f>""</f>
        <v/>
      </c>
      <c r="H2304" t="str">
        <f>""</f>
        <v/>
      </c>
      <c r="J2304" t="str">
        <f t="shared" si="71"/>
        <v>WAGE WORKS - FSA &amp; HRA FEES</v>
      </c>
    </row>
    <row r="2305" spans="1:10" x14ac:dyDescent="0.3">
      <c r="A2305" t="str">
        <f>""</f>
        <v/>
      </c>
      <c r="B2305" t="str">
        <f>""</f>
        <v/>
      </c>
      <c r="G2305" t="str">
        <f>""</f>
        <v/>
      </c>
      <c r="H2305" t="str">
        <f>""</f>
        <v/>
      </c>
      <c r="J2305" t="str">
        <f t="shared" si="71"/>
        <v>WAGE WORKS - FSA &amp; HRA FEES</v>
      </c>
    </row>
    <row r="2306" spans="1:10" x14ac:dyDescent="0.3">
      <c r="A2306" t="str">
        <f>""</f>
        <v/>
      </c>
      <c r="B2306" t="str">
        <f>""</f>
        <v/>
      </c>
      <c r="G2306" t="str">
        <f>""</f>
        <v/>
      </c>
      <c r="H2306" t="str">
        <f>""</f>
        <v/>
      </c>
      <c r="J2306" t="str">
        <f t="shared" si="71"/>
        <v>WAGE WORKS - FSA &amp; HRA FEES</v>
      </c>
    </row>
    <row r="2307" spans="1:10" x14ac:dyDescent="0.3">
      <c r="A2307" t="str">
        <f>""</f>
        <v/>
      </c>
      <c r="B2307" t="str">
        <f>""</f>
        <v/>
      </c>
      <c r="G2307" t="str">
        <f>""</f>
        <v/>
      </c>
      <c r="H2307" t="str">
        <f>""</f>
        <v/>
      </c>
      <c r="J2307" t="str">
        <f t="shared" si="71"/>
        <v>WAGE WORKS - FSA &amp; HRA FEES</v>
      </c>
    </row>
    <row r="2308" spans="1:10" x14ac:dyDescent="0.3">
      <c r="A2308" t="str">
        <f>""</f>
        <v/>
      </c>
      <c r="B2308" t="str">
        <f>""</f>
        <v/>
      </c>
      <c r="G2308" t="str">
        <f>""</f>
        <v/>
      </c>
      <c r="H2308" t="str">
        <f>""</f>
        <v/>
      </c>
      <c r="J2308" t="str">
        <f t="shared" si="71"/>
        <v>WAGE WORKS - FSA &amp; HRA FEES</v>
      </c>
    </row>
    <row r="2309" spans="1:10" x14ac:dyDescent="0.3">
      <c r="A2309" t="str">
        <f>""</f>
        <v/>
      </c>
      <c r="B2309" t="str">
        <f>""</f>
        <v/>
      </c>
      <c r="G2309" t="str">
        <f>""</f>
        <v/>
      </c>
      <c r="H2309" t="str">
        <f>""</f>
        <v/>
      </c>
      <c r="J2309" t="str">
        <f t="shared" si="71"/>
        <v>WAGE WORKS - FSA &amp; HRA FEES</v>
      </c>
    </row>
    <row r="2310" spans="1:10" x14ac:dyDescent="0.3">
      <c r="A2310" t="str">
        <f>""</f>
        <v/>
      </c>
      <c r="B2310" t="str">
        <f>""</f>
        <v/>
      </c>
      <c r="G2310" t="str">
        <f>""</f>
        <v/>
      </c>
      <c r="H2310" t="str">
        <f>""</f>
        <v/>
      </c>
      <c r="J2310" t="str">
        <f t="shared" si="71"/>
        <v>WAGE WORKS - FSA &amp; HRA FEES</v>
      </c>
    </row>
    <row r="2311" spans="1:10" x14ac:dyDescent="0.3">
      <c r="A2311" t="str">
        <f>""</f>
        <v/>
      </c>
      <c r="B2311" t="str">
        <f>""</f>
        <v/>
      </c>
      <c r="G2311" t="str">
        <f>""</f>
        <v/>
      </c>
      <c r="H2311" t="str">
        <f>""</f>
        <v/>
      </c>
      <c r="J2311" t="str">
        <f t="shared" si="71"/>
        <v>WAGE WORKS - FSA &amp; HRA FEES</v>
      </c>
    </row>
    <row r="2312" spans="1:10" x14ac:dyDescent="0.3">
      <c r="A2312" t="str">
        <f>""</f>
        <v/>
      </c>
      <c r="B2312" t="str">
        <f>""</f>
        <v/>
      </c>
      <c r="G2312" t="str">
        <f>""</f>
        <v/>
      </c>
      <c r="H2312" t="str">
        <f>""</f>
        <v/>
      </c>
      <c r="J2312" t="str">
        <f t="shared" si="71"/>
        <v>WAGE WORKS - FSA &amp; HRA FEES</v>
      </c>
    </row>
    <row r="2313" spans="1:10" x14ac:dyDescent="0.3">
      <c r="A2313" t="str">
        <f>""</f>
        <v/>
      </c>
      <c r="B2313" t="str">
        <f>""</f>
        <v/>
      </c>
      <c r="G2313" t="str">
        <f>""</f>
        <v/>
      </c>
      <c r="H2313" t="str">
        <f>""</f>
        <v/>
      </c>
      <c r="J2313" t="str">
        <f t="shared" si="71"/>
        <v>WAGE WORKS - FSA &amp; HRA FEES</v>
      </c>
    </row>
    <row r="2314" spans="1:10" x14ac:dyDescent="0.3">
      <c r="A2314" t="str">
        <f>""</f>
        <v/>
      </c>
      <c r="B2314" t="str">
        <f>""</f>
        <v/>
      </c>
      <c r="G2314" t="str">
        <f>""</f>
        <v/>
      </c>
      <c r="H2314" t="str">
        <f>""</f>
        <v/>
      </c>
      <c r="J2314" t="str">
        <f t="shared" si="71"/>
        <v>WAGE WORKS - FSA &amp; HRA FEES</v>
      </c>
    </row>
    <row r="2315" spans="1:10" x14ac:dyDescent="0.3">
      <c r="A2315" t="str">
        <f>""</f>
        <v/>
      </c>
      <c r="B2315" t="str">
        <f>""</f>
        <v/>
      </c>
      <c r="G2315" t="str">
        <f>""</f>
        <v/>
      </c>
      <c r="H2315" t="str">
        <f>""</f>
        <v/>
      </c>
      <c r="J2315" t="str">
        <f t="shared" si="71"/>
        <v>WAGE WORKS - FSA &amp; HRA FEES</v>
      </c>
    </row>
    <row r="2316" spans="1:10" x14ac:dyDescent="0.3">
      <c r="A2316" t="str">
        <f>""</f>
        <v/>
      </c>
      <c r="B2316" t="str">
        <f>""</f>
        <v/>
      </c>
      <c r="G2316" t="str">
        <f>""</f>
        <v/>
      </c>
      <c r="H2316" t="str">
        <f>""</f>
        <v/>
      </c>
      <c r="J2316" t="str">
        <f t="shared" si="71"/>
        <v>WAGE WORKS - FSA &amp; HRA FEES</v>
      </c>
    </row>
    <row r="2317" spans="1:10" x14ac:dyDescent="0.3">
      <c r="A2317" t="str">
        <f>""</f>
        <v/>
      </c>
      <c r="B2317" t="str">
        <f>""</f>
        <v/>
      </c>
      <c r="G2317" t="str">
        <f>""</f>
        <v/>
      </c>
      <c r="H2317" t="str">
        <f>""</f>
        <v/>
      </c>
      <c r="J2317" t="str">
        <f t="shared" si="71"/>
        <v>WAGE WORKS - FSA &amp; HRA FEES</v>
      </c>
    </row>
    <row r="2318" spans="1:10" x14ac:dyDescent="0.3">
      <c r="A2318" t="str">
        <f>""</f>
        <v/>
      </c>
      <c r="B2318" t="str">
        <f>""</f>
        <v/>
      </c>
      <c r="G2318" t="str">
        <f>""</f>
        <v/>
      </c>
      <c r="H2318" t="str">
        <f>""</f>
        <v/>
      </c>
      <c r="J2318" t="str">
        <f t="shared" si="71"/>
        <v>WAGE WORKS - FSA &amp; HRA FEES</v>
      </c>
    </row>
    <row r="2319" spans="1:10" x14ac:dyDescent="0.3">
      <c r="A2319" t="str">
        <f>""</f>
        <v/>
      </c>
      <c r="B2319" t="str">
        <f>""</f>
        <v/>
      </c>
      <c r="G2319" t="str">
        <f>""</f>
        <v/>
      </c>
      <c r="H2319" t="str">
        <f>""</f>
        <v/>
      </c>
      <c r="J2319" t="str">
        <f t="shared" si="71"/>
        <v>WAGE WORKS - FSA &amp; HRA FEES</v>
      </c>
    </row>
    <row r="2320" spans="1:10" x14ac:dyDescent="0.3">
      <c r="A2320" t="str">
        <f>""</f>
        <v/>
      </c>
      <c r="B2320" t="str">
        <f>""</f>
        <v/>
      </c>
      <c r="G2320" t="str">
        <f>""</f>
        <v/>
      </c>
      <c r="H2320" t="str">
        <f>""</f>
        <v/>
      </c>
      <c r="J2320" t="str">
        <f t="shared" si="71"/>
        <v>WAGE WORKS - FSA &amp; HRA FEES</v>
      </c>
    </row>
    <row r="2321" spans="1:10" x14ac:dyDescent="0.3">
      <c r="A2321" t="str">
        <f>""</f>
        <v/>
      </c>
      <c r="B2321" t="str">
        <f>""</f>
        <v/>
      </c>
      <c r="G2321" t="str">
        <f>""</f>
        <v/>
      </c>
      <c r="H2321" t="str">
        <f>""</f>
        <v/>
      </c>
      <c r="J2321" t="str">
        <f t="shared" si="71"/>
        <v>WAGE WORKS - FSA &amp; HRA FEES</v>
      </c>
    </row>
    <row r="2322" spans="1:10" x14ac:dyDescent="0.3">
      <c r="A2322" t="str">
        <f>""</f>
        <v/>
      </c>
      <c r="B2322" t="str">
        <f>""</f>
        <v/>
      </c>
      <c r="G2322" t="str">
        <f>""</f>
        <v/>
      </c>
      <c r="H2322" t="str">
        <f>""</f>
        <v/>
      </c>
      <c r="J2322" t="str">
        <f t="shared" si="71"/>
        <v>WAGE WORKS - FSA &amp; HRA FEES</v>
      </c>
    </row>
    <row r="2323" spans="1:10" x14ac:dyDescent="0.3">
      <c r="A2323" t="str">
        <f>""</f>
        <v/>
      </c>
      <c r="B2323" t="str">
        <f>""</f>
        <v/>
      </c>
      <c r="G2323" t="str">
        <f>"FSO201801248226"</f>
        <v>FSO201801248226</v>
      </c>
      <c r="H2323" t="str">
        <f>"WAGE WORKS - FSA FEES"</f>
        <v>WAGE WORKS - FSA FEES</v>
      </c>
      <c r="I2323" s="2">
        <v>1.86</v>
      </c>
      <c r="J2323" t="str">
        <f t="shared" ref="J2323:J2331" si="72">"WAGE WORKS - FSA FEES"</f>
        <v>WAGE WORKS - FSA FEES</v>
      </c>
    </row>
    <row r="2324" spans="1:10" x14ac:dyDescent="0.3">
      <c r="A2324" t="str">
        <f>""</f>
        <v/>
      </c>
      <c r="B2324" t="str">
        <f>""</f>
        <v/>
      </c>
      <c r="G2324" t="str">
        <f>"FSO201801248228"</f>
        <v>FSO201801248228</v>
      </c>
      <c r="H2324" t="str">
        <f>"WAGE WORKS - FSA FEES"</f>
        <v>WAGE WORKS - FSA FEES</v>
      </c>
      <c r="I2324" s="2">
        <v>13.02</v>
      </c>
      <c r="J2324" t="str">
        <f t="shared" si="72"/>
        <v>WAGE WORKS - FSA FEES</v>
      </c>
    </row>
    <row r="2325" spans="1:10" x14ac:dyDescent="0.3">
      <c r="A2325" t="str">
        <f>""</f>
        <v/>
      </c>
      <c r="B2325" t="str">
        <f>""</f>
        <v/>
      </c>
      <c r="G2325" t="str">
        <f>""</f>
        <v/>
      </c>
      <c r="H2325" t="str">
        <f>""</f>
        <v/>
      </c>
      <c r="J2325" t="str">
        <f t="shared" si="72"/>
        <v>WAGE WORKS - FSA FEES</v>
      </c>
    </row>
    <row r="2326" spans="1:10" x14ac:dyDescent="0.3">
      <c r="A2326" t="str">
        <f>""</f>
        <v/>
      </c>
      <c r="B2326" t="str">
        <f>""</f>
        <v/>
      </c>
      <c r="G2326" t="str">
        <f>""</f>
        <v/>
      </c>
      <c r="H2326" t="str">
        <f>""</f>
        <v/>
      </c>
      <c r="J2326" t="str">
        <f t="shared" si="72"/>
        <v>WAGE WORKS - FSA FEES</v>
      </c>
    </row>
    <row r="2327" spans="1:10" x14ac:dyDescent="0.3">
      <c r="A2327" t="str">
        <f>""</f>
        <v/>
      </c>
      <c r="B2327" t="str">
        <f>""</f>
        <v/>
      </c>
      <c r="G2327" t="str">
        <f>""</f>
        <v/>
      </c>
      <c r="H2327" t="str">
        <f>""</f>
        <v/>
      </c>
      <c r="J2327" t="str">
        <f t="shared" si="72"/>
        <v>WAGE WORKS - FSA FEES</v>
      </c>
    </row>
    <row r="2328" spans="1:10" x14ac:dyDescent="0.3">
      <c r="A2328" t="str">
        <f>""</f>
        <v/>
      </c>
      <c r="B2328" t="str">
        <f>""</f>
        <v/>
      </c>
      <c r="G2328" t="str">
        <f>""</f>
        <v/>
      </c>
      <c r="H2328" t="str">
        <f>""</f>
        <v/>
      </c>
      <c r="J2328" t="str">
        <f t="shared" si="72"/>
        <v>WAGE WORKS - FSA FEES</v>
      </c>
    </row>
    <row r="2329" spans="1:10" x14ac:dyDescent="0.3">
      <c r="A2329" t="str">
        <f>""</f>
        <v/>
      </c>
      <c r="B2329" t="str">
        <f>""</f>
        <v/>
      </c>
      <c r="G2329" t="str">
        <f>""</f>
        <v/>
      </c>
      <c r="H2329" t="str">
        <f>""</f>
        <v/>
      </c>
      <c r="J2329" t="str">
        <f t="shared" si="72"/>
        <v>WAGE WORKS - FSA FEES</v>
      </c>
    </row>
    <row r="2330" spans="1:10" x14ac:dyDescent="0.3">
      <c r="A2330" t="str">
        <f>""</f>
        <v/>
      </c>
      <c r="B2330" t="str">
        <f>""</f>
        <v/>
      </c>
      <c r="G2330" t="str">
        <f>""</f>
        <v/>
      </c>
      <c r="H2330" t="str">
        <f>""</f>
        <v/>
      </c>
      <c r="J2330" t="str">
        <f t="shared" si="72"/>
        <v>WAGE WORKS - FSA FEES</v>
      </c>
    </row>
    <row r="2331" spans="1:10" x14ac:dyDescent="0.3">
      <c r="A2331" t="str">
        <f>""</f>
        <v/>
      </c>
      <c r="B2331" t="str">
        <f>""</f>
        <v/>
      </c>
      <c r="G2331" t="str">
        <f>""</f>
        <v/>
      </c>
      <c r="H2331" t="str">
        <f>""</f>
        <v/>
      </c>
      <c r="J2331" t="str">
        <f t="shared" si="72"/>
        <v>WAGE WORKS - FSA FEES</v>
      </c>
    </row>
    <row r="2332" spans="1:10" x14ac:dyDescent="0.3">
      <c r="A2332" t="str">
        <f>""</f>
        <v/>
      </c>
      <c r="B2332" t="str">
        <f>""</f>
        <v/>
      </c>
      <c r="G2332" t="str">
        <f>"HRF201801248226"</f>
        <v>HRF201801248226</v>
      </c>
      <c r="H2332" t="str">
        <f>"WAGE WORKS - HRA FEES"</f>
        <v>WAGE WORKS - HRA FEES</v>
      </c>
      <c r="I2332" s="2">
        <v>14.88</v>
      </c>
      <c r="J2332" t="str">
        <f t="shared" ref="J2332:J2370" si="73">"WAGE WORKS - HRA FEES"</f>
        <v>WAGE WORKS - HRA FEES</v>
      </c>
    </row>
    <row r="2333" spans="1:10" x14ac:dyDescent="0.3">
      <c r="A2333" t="str">
        <f>""</f>
        <v/>
      </c>
      <c r="B2333" t="str">
        <f>""</f>
        <v/>
      </c>
      <c r="G2333" t="str">
        <f>"HRF201801248228"</f>
        <v>HRF201801248228</v>
      </c>
      <c r="H2333" t="str">
        <f>"WAGE WORKS - HRA FEES"</f>
        <v>WAGE WORKS - HRA FEES</v>
      </c>
      <c r="I2333" s="2">
        <v>479.88</v>
      </c>
      <c r="J2333" t="str">
        <f t="shared" si="73"/>
        <v>WAGE WORKS - HRA FEES</v>
      </c>
    </row>
    <row r="2334" spans="1:10" x14ac:dyDescent="0.3">
      <c r="A2334" t="str">
        <f>""</f>
        <v/>
      </c>
      <c r="B2334" t="str">
        <f>""</f>
        <v/>
      </c>
      <c r="G2334" t="str">
        <f>""</f>
        <v/>
      </c>
      <c r="H2334" t="str">
        <f>""</f>
        <v/>
      </c>
      <c r="J2334" t="str">
        <f t="shared" si="73"/>
        <v>WAGE WORKS - HRA FEES</v>
      </c>
    </row>
    <row r="2335" spans="1:10" x14ac:dyDescent="0.3">
      <c r="A2335" t="str">
        <f>""</f>
        <v/>
      </c>
      <c r="B2335" t="str">
        <f>""</f>
        <v/>
      </c>
      <c r="G2335" t="str">
        <f>""</f>
        <v/>
      </c>
      <c r="H2335" t="str">
        <f>""</f>
        <v/>
      </c>
      <c r="J2335" t="str">
        <f t="shared" si="73"/>
        <v>WAGE WORKS - HRA FEES</v>
      </c>
    </row>
    <row r="2336" spans="1:10" x14ac:dyDescent="0.3">
      <c r="A2336" t="str">
        <f>""</f>
        <v/>
      </c>
      <c r="B2336" t="str">
        <f>""</f>
        <v/>
      </c>
      <c r="G2336" t="str">
        <f>""</f>
        <v/>
      </c>
      <c r="H2336" t="str">
        <f>""</f>
        <v/>
      </c>
      <c r="J2336" t="str">
        <f t="shared" si="73"/>
        <v>WAGE WORKS - HRA FEES</v>
      </c>
    </row>
    <row r="2337" spans="1:10" x14ac:dyDescent="0.3">
      <c r="A2337" t="str">
        <f>""</f>
        <v/>
      </c>
      <c r="B2337" t="str">
        <f>""</f>
        <v/>
      </c>
      <c r="G2337" t="str">
        <f>""</f>
        <v/>
      </c>
      <c r="H2337" t="str">
        <f>""</f>
        <v/>
      </c>
      <c r="J2337" t="str">
        <f t="shared" si="73"/>
        <v>WAGE WORKS - HRA FEES</v>
      </c>
    </row>
    <row r="2338" spans="1:10" x14ac:dyDescent="0.3">
      <c r="A2338" t="str">
        <f>""</f>
        <v/>
      </c>
      <c r="B2338" t="str">
        <f>""</f>
        <v/>
      </c>
      <c r="G2338" t="str">
        <f>""</f>
        <v/>
      </c>
      <c r="H2338" t="str">
        <f>""</f>
        <v/>
      </c>
      <c r="J2338" t="str">
        <f t="shared" si="73"/>
        <v>WAGE WORKS - HRA FEES</v>
      </c>
    </row>
    <row r="2339" spans="1:10" x14ac:dyDescent="0.3">
      <c r="A2339" t="str">
        <f>""</f>
        <v/>
      </c>
      <c r="B2339" t="str">
        <f>""</f>
        <v/>
      </c>
      <c r="G2339" t="str">
        <f>""</f>
        <v/>
      </c>
      <c r="H2339" t="str">
        <f>""</f>
        <v/>
      </c>
      <c r="J2339" t="str">
        <f t="shared" si="73"/>
        <v>WAGE WORKS - HRA FEES</v>
      </c>
    </row>
    <row r="2340" spans="1:10" x14ac:dyDescent="0.3">
      <c r="A2340" t="str">
        <f>""</f>
        <v/>
      </c>
      <c r="B2340" t="str">
        <f>""</f>
        <v/>
      </c>
      <c r="G2340" t="str">
        <f>""</f>
        <v/>
      </c>
      <c r="H2340" t="str">
        <f>""</f>
        <v/>
      </c>
      <c r="J2340" t="str">
        <f t="shared" si="73"/>
        <v>WAGE WORKS - HRA FEES</v>
      </c>
    </row>
    <row r="2341" spans="1:10" x14ac:dyDescent="0.3">
      <c r="A2341" t="str">
        <f>""</f>
        <v/>
      </c>
      <c r="B2341" t="str">
        <f>""</f>
        <v/>
      </c>
      <c r="G2341" t="str">
        <f>""</f>
        <v/>
      </c>
      <c r="H2341" t="str">
        <f>""</f>
        <v/>
      </c>
      <c r="J2341" t="str">
        <f t="shared" si="73"/>
        <v>WAGE WORKS - HRA FEES</v>
      </c>
    </row>
    <row r="2342" spans="1:10" x14ac:dyDescent="0.3">
      <c r="A2342" t="str">
        <f>""</f>
        <v/>
      </c>
      <c r="B2342" t="str">
        <f>""</f>
        <v/>
      </c>
      <c r="G2342" t="str">
        <f>""</f>
        <v/>
      </c>
      <c r="H2342" t="str">
        <f>""</f>
        <v/>
      </c>
      <c r="J2342" t="str">
        <f t="shared" si="73"/>
        <v>WAGE WORKS - HRA FEES</v>
      </c>
    </row>
    <row r="2343" spans="1:10" x14ac:dyDescent="0.3">
      <c r="A2343" t="str">
        <f>""</f>
        <v/>
      </c>
      <c r="B2343" t="str">
        <f>""</f>
        <v/>
      </c>
      <c r="G2343" t="str">
        <f>""</f>
        <v/>
      </c>
      <c r="H2343" t="str">
        <f>""</f>
        <v/>
      </c>
      <c r="J2343" t="str">
        <f t="shared" si="73"/>
        <v>WAGE WORKS - HRA FEES</v>
      </c>
    </row>
    <row r="2344" spans="1:10" x14ac:dyDescent="0.3">
      <c r="A2344" t="str">
        <f>""</f>
        <v/>
      </c>
      <c r="B2344" t="str">
        <f>""</f>
        <v/>
      </c>
      <c r="G2344" t="str">
        <f>""</f>
        <v/>
      </c>
      <c r="H2344" t="str">
        <f>""</f>
        <v/>
      </c>
      <c r="J2344" t="str">
        <f t="shared" si="73"/>
        <v>WAGE WORKS - HRA FEES</v>
      </c>
    </row>
    <row r="2345" spans="1:10" x14ac:dyDescent="0.3">
      <c r="A2345" t="str">
        <f>""</f>
        <v/>
      </c>
      <c r="B2345" t="str">
        <f>""</f>
        <v/>
      </c>
      <c r="G2345" t="str">
        <f>""</f>
        <v/>
      </c>
      <c r="H2345" t="str">
        <f>""</f>
        <v/>
      </c>
      <c r="J2345" t="str">
        <f t="shared" si="73"/>
        <v>WAGE WORKS - HRA FEES</v>
      </c>
    </row>
    <row r="2346" spans="1:10" x14ac:dyDescent="0.3">
      <c r="A2346" t="str">
        <f>""</f>
        <v/>
      </c>
      <c r="B2346" t="str">
        <f>""</f>
        <v/>
      </c>
      <c r="G2346" t="str">
        <f>""</f>
        <v/>
      </c>
      <c r="H2346" t="str">
        <f>""</f>
        <v/>
      </c>
      <c r="J2346" t="str">
        <f t="shared" si="73"/>
        <v>WAGE WORKS - HRA FEES</v>
      </c>
    </row>
    <row r="2347" spans="1:10" x14ac:dyDescent="0.3">
      <c r="A2347" t="str">
        <f>""</f>
        <v/>
      </c>
      <c r="B2347" t="str">
        <f>""</f>
        <v/>
      </c>
      <c r="G2347" t="str">
        <f>""</f>
        <v/>
      </c>
      <c r="H2347" t="str">
        <f>""</f>
        <v/>
      </c>
      <c r="J2347" t="str">
        <f t="shared" si="73"/>
        <v>WAGE WORKS - HRA FEES</v>
      </c>
    </row>
    <row r="2348" spans="1:10" x14ac:dyDescent="0.3">
      <c r="A2348" t="str">
        <f>""</f>
        <v/>
      </c>
      <c r="B2348" t="str">
        <f>""</f>
        <v/>
      </c>
      <c r="G2348" t="str">
        <f>""</f>
        <v/>
      </c>
      <c r="H2348" t="str">
        <f>""</f>
        <v/>
      </c>
      <c r="J2348" t="str">
        <f t="shared" si="73"/>
        <v>WAGE WORKS - HRA FEES</v>
      </c>
    </row>
    <row r="2349" spans="1:10" x14ac:dyDescent="0.3">
      <c r="A2349" t="str">
        <f>""</f>
        <v/>
      </c>
      <c r="B2349" t="str">
        <f>""</f>
        <v/>
      </c>
      <c r="G2349" t="str">
        <f>""</f>
        <v/>
      </c>
      <c r="H2349" t="str">
        <f>""</f>
        <v/>
      </c>
      <c r="J2349" t="str">
        <f t="shared" si="73"/>
        <v>WAGE WORKS - HRA FEES</v>
      </c>
    </row>
    <row r="2350" spans="1:10" x14ac:dyDescent="0.3">
      <c r="A2350" t="str">
        <f>""</f>
        <v/>
      </c>
      <c r="B2350" t="str">
        <f>""</f>
        <v/>
      </c>
      <c r="G2350" t="str">
        <f>""</f>
        <v/>
      </c>
      <c r="H2350" t="str">
        <f>""</f>
        <v/>
      </c>
      <c r="J2350" t="str">
        <f t="shared" si="73"/>
        <v>WAGE WORKS - HRA FEES</v>
      </c>
    </row>
    <row r="2351" spans="1:10" x14ac:dyDescent="0.3">
      <c r="A2351" t="str">
        <f>""</f>
        <v/>
      </c>
      <c r="B2351" t="str">
        <f>""</f>
        <v/>
      </c>
      <c r="G2351" t="str">
        <f>""</f>
        <v/>
      </c>
      <c r="H2351" t="str">
        <f>""</f>
        <v/>
      </c>
      <c r="J2351" t="str">
        <f t="shared" si="73"/>
        <v>WAGE WORKS - HRA FEES</v>
      </c>
    </row>
    <row r="2352" spans="1:10" x14ac:dyDescent="0.3">
      <c r="A2352" t="str">
        <f>""</f>
        <v/>
      </c>
      <c r="B2352" t="str">
        <f>""</f>
        <v/>
      </c>
      <c r="G2352" t="str">
        <f>""</f>
        <v/>
      </c>
      <c r="H2352" t="str">
        <f>""</f>
        <v/>
      </c>
      <c r="J2352" t="str">
        <f t="shared" si="73"/>
        <v>WAGE WORKS - HRA FEES</v>
      </c>
    </row>
    <row r="2353" spans="1:10" x14ac:dyDescent="0.3">
      <c r="A2353" t="str">
        <f>""</f>
        <v/>
      </c>
      <c r="B2353" t="str">
        <f>""</f>
        <v/>
      </c>
      <c r="G2353" t="str">
        <f>""</f>
        <v/>
      </c>
      <c r="H2353" t="str">
        <f>""</f>
        <v/>
      </c>
      <c r="J2353" t="str">
        <f t="shared" si="73"/>
        <v>WAGE WORKS - HRA FEES</v>
      </c>
    </row>
    <row r="2354" spans="1:10" x14ac:dyDescent="0.3">
      <c r="A2354" t="str">
        <f>""</f>
        <v/>
      </c>
      <c r="B2354" t="str">
        <f>""</f>
        <v/>
      </c>
      <c r="G2354" t="str">
        <f>""</f>
        <v/>
      </c>
      <c r="H2354" t="str">
        <f>""</f>
        <v/>
      </c>
      <c r="J2354" t="str">
        <f t="shared" si="73"/>
        <v>WAGE WORKS - HRA FEES</v>
      </c>
    </row>
    <row r="2355" spans="1:10" x14ac:dyDescent="0.3">
      <c r="A2355" t="str">
        <f>""</f>
        <v/>
      </c>
      <c r="B2355" t="str">
        <f>""</f>
        <v/>
      </c>
      <c r="G2355" t="str">
        <f>""</f>
        <v/>
      </c>
      <c r="H2355" t="str">
        <f>""</f>
        <v/>
      </c>
      <c r="J2355" t="str">
        <f t="shared" si="73"/>
        <v>WAGE WORKS - HRA FEES</v>
      </c>
    </row>
    <row r="2356" spans="1:10" x14ac:dyDescent="0.3">
      <c r="A2356" t="str">
        <f>""</f>
        <v/>
      </c>
      <c r="B2356" t="str">
        <f>""</f>
        <v/>
      </c>
      <c r="G2356" t="str">
        <f>""</f>
        <v/>
      </c>
      <c r="H2356" t="str">
        <f>""</f>
        <v/>
      </c>
      <c r="J2356" t="str">
        <f t="shared" si="73"/>
        <v>WAGE WORKS - HRA FEES</v>
      </c>
    </row>
    <row r="2357" spans="1:10" x14ac:dyDescent="0.3">
      <c r="A2357" t="str">
        <f>""</f>
        <v/>
      </c>
      <c r="B2357" t="str">
        <f>""</f>
        <v/>
      </c>
      <c r="G2357" t="str">
        <f>""</f>
        <v/>
      </c>
      <c r="H2357" t="str">
        <f>""</f>
        <v/>
      </c>
      <c r="J2357" t="str">
        <f t="shared" si="73"/>
        <v>WAGE WORKS - HRA FEES</v>
      </c>
    </row>
    <row r="2358" spans="1:10" x14ac:dyDescent="0.3">
      <c r="A2358" t="str">
        <f>""</f>
        <v/>
      </c>
      <c r="B2358" t="str">
        <f>""</f>
        <v/>
      </c>
      <c r="G2358" t="str">
        <f>""</f>
        <v/>
      </c>
      <c r="H2358" t="str">
        <f>""</f>
        <v/>
      </c>
      <c r="J2358" t="str">
        <f t="shared" si="73"/>
        <v>WAGE WORKS - HRA FEES</v>
      </c>
    </row>
    <row r="2359" spans="1:10" x14ac:dyDescent="0.3">
      <c r="A2359" t="str">
        <f>""</f>
        <v/>
      </c>
      <c r="B2359" t="str">
        <f>""</f>
        <v/>
      </c>
      <c r="G2359" t="str">
        <f>""</f>
        <v/>
      </c>
      <c r="H2359" t="str">
        <f>""</f>
        <v/>
      </c>
      <c r="J2359" t="str">
        <f t="shared" si="73"/>
        <v>WAGE WORKS - HRA FEES</v>
      </c>
    </row>
    <row r="2360" spans="1:10" x14ac:dyDescent="0.3">
      <c r="A2360" t="str">
        <f>""</f>
        <v/>
      </c>
      <c r="B2360" t="str">
        <f>""</f>
        <v/>
      </c>
      <c r="G2360" t="str">
        <f>""</f>
        <v/>
      </c>
      <c r="H2360" t="str">
        <f>""</f>
        <v/>
      </c>
      <c r="J2360" t="str">
        <f t="shared" si="73"/>
        <v>WAGE WORKS - HRA FEES</v>
      </c>
    </row>
    <row r="2361" spans="1:10" x14ac:dyDescent="0.3">
      <c r="A2361" t="str">
        <f>""</f>
        <v/>
      </c>
      <c r="B2361" t="str">
        <f>""</f>
        <v/>
      </c>
      <c r="G2361" t="str">
        <f>""</f>
        <v/>
      </c>
      <c r="H2361" t="str">
        <f>""</f>
        <v/>
      </c>
      <c r="J2361" t="str">
        <f t="shared" si="73"/>
        <v>WAGE WORKS - HRA FEES</v>
      </c>
    </row>
    <row r="2362" spans="1:10" x14ac:dyDescent="0.3">
      <c r="A2362" t="str">
        <f>""</f>
        <v/>
      </c>
      <c r="B2362" t="str">
        <f>""</f>
        <v/>
      </c>
      <c r="G2362" t="str">
        <f>""</f>
        <v/>
      </c>
      <c r="H2362" t="str">
        <f>""</f>
        <v/>
      </c>
      <c r="J2362" t="str">
        <f t="shared" si="73"/>
        <v>WAGE WORKS - HRA FEES</v>
      </c>
    </row>
    <row r="2363" spans="1:10" x14ac:dyDescent="0.3">
      <c r="A2363" t="str">
        <f>""</f>
        <v/>
      </c>
      <c r="B2363" t="str">
        <f>""</f>
        <v/>
      </c>
      <c r="G2363" t="str">
        <f>""</f>
        <v/>
      </c>
      <c r="H2363" t="str">
        <f>""</f>
        <v/>
      </c>
      <c r="J2363" t="str">
        <f t="shared" si="73"/>
        <v>WAGE WORKS - HRA FEES</v>
      </c>
    </row>
    <row r="2364" spans="1:10" x14ac:dyDescent="0.3">
      <c r="A2364" t="str">
        <f>""</f>
        <v/>
      </c>
      <c r="B2364" t="str">
        <f>""</f>
        <v/>
      </c>
      <c r="G2364" t="str">
        <f>""</f>
        <v/>
      </c>
      <c r="H2364" t="str">
        <f>""</f>
        <v/>
      </c>
      <c r="J2364" t="str">
        <f t="shared" si="73"/>
        <v>WAGE WORKS - HRA FEES</v>
      </c>
    </row>
    <row r="2365" spans="1:10" x14ac:dyDescent="0.3">
      <c r="A2365" t="str">
        <f>""</f>
        <v/>
      </c>
      <c r="B2365" t="str">
        <f>""</f>
        <v/>
      </c>
      <c r="G2365" t="str">
        <f>""</f>
        <v/>
      </c>
      <c r="H2365" t="str">
        <f>""</f>
        <v/>
      </c>
      <c r="J2365" t="str">
        <f t="shared" si="73"/>
        <v>WAGE WORKS - HRA FEES</v>
      </c>
    </row>
    <row r="2366" spans="1:10" x14ac:dyDescent="0.3">
      <c r="A2366" t="str">
        <f>""</f>
        <v/>
      </c>
      <c r="B2366" t="str">
        <f>""</f>
        <v/>
      </c>
      <c r="G2366" t="str">
        <f>""</f>
        <v/>
      </c>
      <c r="H2366" t="str">
        <f>""</f>
        <v/>
      </c>
      <c r="J2366" t="str">
        <f t="shared" si="73"/>
        <v>WAGE WORKS - HRA FEES</v>
      </c>
    </row>
    <row r="2367" spans="1:10" x14ac:dyDescent="0.3">
      <c r="A2367" t="str">
        <f>""</f>
        <v/>
      </c>
      <c r="B2367" t="str">
        <f>""</f>
        <v/>
      </c>
      <c r="G2367" t="str">
        <f>""</f>
        <v/>
      </c>
      <c r="H2367" t="str">
        <f>""</f>
        <v/>
      </c>
      <c r="J2367" t="str">
        <f t="shared" si="73"/>
        <v>WAGE WORKS - HRA FEES</v>
      </c>
    </row>
    <row r="2368" spans="1:10" x14ac:dyDescent="0.3">
      <c r="A2368" t="str">
        <f>""</f>
        <v/>
      </c>
      <c r="B2368" t="str">
        <f>""</f>
        <v/>
      </c>
      <c r="G2368" t="str">
        <f>""</f>
        <v/>
      </c>
      <c r="H2368" t="str">
        <f>""</f>
        <v/>
      </c>
      <c r="J2368" t="str">
        <f t="shared" si="73"/>
        <v>WAGE WORKS - HRA FEES</v>
      </c>
    </row>
    <row r="2369" spans="1:10" x14ac:dyDescent="0.3">
      <c r="A2369" t="str">
        <f>""</f>
        <v/>
      </c>
      <c r="B2369" t="str">
        <f>""</f>
        <v/>
      </c>
      <c r="G2369" t="str">
        <f>""</f>
        <v/>
      </c>
      <c r="H2369" t="str">
        <f>""</f>
        <v/>
      </c>
      <c r="J2369" t="str">
        <f t="shared" si="73"/>
        <v>WAGE WORKS - HRA FEES</v>
      </c>
    </row>
    <row r="2370" spans="1:10" x14ac:dyDescent="0.3">
      <c r="A2370" t="str">
        <f>""</f>
        <v/>
      </c>
      <c r="B2370" t="str">
        <f>""</f>
        <v/>
      </c>
      <c r="D2370" s="3" t="s">
        <v>412</v>
      </c>
      <c r="E2370" s="2">
        <f>SUM(E2:E2369)</f>
        <v>4126642.3600000003</v>
      </c>
      <c r="G2370" t="str">
        <f>""</f>
        <v/>
      </c>
      <c r="H2370" t="str">
        <f>""</f>
        <v/>
      </c>
      <c r="J2370" t="str">
        <f t="shared" si="73"/>
        <v>WAGE WORKS - HRA FEES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AP-CHK-RPT-20180430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Ingram, Laurie</cp:lastModifiedBy>
  <dcterms:created xsi:type="dcterms:W3CDTF">2018-05-01T02:04:53Z</dcterms:created>
  <dcterms:modified xsi:type="dcterms:W3CDTF">2018-06-28T14:30:53Z</dcterms:modified>
</cp:coreProperties>
</file>