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980" windowHeight="10848"/>
  </bookViews>
  <sheets>
    <sheet name="AP-CHK-RPT-20180702" sheetId="1" r:id="rId1"/>
  </sheets>
  <calcPr calcId="0"/>
</workbook>
</file>

<file path=xl/calcChain.xml><?xml version="1.0" encoding="utf-8"?>
<calcChain xmlns="http://schemas.openxmlformats.org/spreadsheetml/2006/main">
  <c r="D2758" i="1" l="1"/>
  <c r="A2" i="1" l="1"/>
  <c r="F2" i="1"/>
  <c r="G2" i="1"/>
  <c r="I2" i="1"/>
  <c r="A3" i="1"/>
  <c r="F3" i="1"/>
  <c r="G3" i="1"/>
  <c r="I3" i="1"/>
  <c r="A4" i="1"/>
  <c r="F4" i="1"/>
  <c r="G4" i="1"/>
  <c r="I4" i="1"/>
  <c r="A5" i="1"/>
  <c r="F5" i="1"/>
  <c r="G5" i="1"/>
  <c r="I5" i="1"/>
  <c r="A6" i="1"/>
  <c r="F6" i="1"/>
  <c r="G6" i="1"/>
  <c r="I6" i="1"/>
  <c r="A7" i="1"/>
  <c r="F7" i="1"/>
  <c r="G7" i="1"/>
  <c r="I7" i="1"/>
  <c r="A8" i="1"/>
  <c r="F8" i="1"/>
  <c r="G8" i="1"/>
  <c r="I8" i="1"/>
  <c r="A9" i="1"/>
  <c r="F9" i="1"/>
  <c r="G9" i="1"/>
  <c r="I9" i="1"/>
  <c r="A10" i="1"/>
  <c r="F10" i="1"/>
  <c r="G10" i="1"/>
  <c r="I10" i="1"/>
  <c r="A11" i="1"/>
  <c r="F11" i="1"/>
  <c r="G11" i="1"/>
  <c r="I11" i="1"/>
  <c r="A12" i="1"/>
  <c r="F12" i="1"/>
  <c r="G12" i="1"/>
  <c r="I12" i="1"/>
  <c r="A13" i="1"/>
  <c r="F13" i="1"/>
  <c r="G13" i="1"/>
  <c r="I13" i="1"/>
  <c r="A14" i="1"/>
  <c r="F14" i="1"/>
  <c r="G14" i="1"/>
  <c r="I14" i="1"/>
  <c r="A15" i="1"/>
  <c r="F15" i="1"/>
  <c r="G15" i="1"/>
  <c r="I15" i="1"/>
  <c r="A16" i="1"/>
  <c r="F16" i="1"/>
  <c r="G16" i="1"/>
  <c r="I16" i="1"/>
  <c r="A17" i="1"/>
  <c r="F17" i="1"/>
  <c r="G17" i="1"/>
  <c r="I17" i="1"/>
  <c r="A18" i="1"/>
  <c r="F18" i="1"/>
  <c r="G18" i="1"/>
  <c r="I18" i="1"/>
  <c r="A19" i="1"/>
  <c r="F19" i="1"/>
  <c r="G19" i="1"/>
  <c r="I19" i="1"/>
  <c r="A20" i="1"/>
  <c r="F20" i="1"/>
  <c r="G20" i="1"/>
  <c r="I20" i="1"/>
  <c r="A21" i="1"/>
  <c r="F21" i="1"/>
  <c r="G21" i="1"/>
  <c r="I21" i="1"/>
  <c r="A22" i="1"/>
  <c r="F22" i="1"/>
  <c r="G22" i="1"/>
  <c r="I22" i="1"/>
  <c r="A23" i="1"/>
  <c r="F23" i="1"/>
  <c r="G23" i="1"/>
  <c r="I23" i="1"/>
  <c r="A24" i="1"/>
  <c r="F24" i="1"/>
  <c r="G24" i="1"/>
  <c r="I24" i="1"/>
  <c r="A25" i="1"/>
  <c r="F25" i="1"/>
  <c r="G25" i="1"/>
  <c r="I25" i="1"/>
  <c r="A26" i="1"/>
  <c r="F26" i="1"/>
  <c r="G26" i="1"/>
  <c r="I26" i="1"/>
  <c r="A27" i="1"/>
  <c r="F27" i="1"/>
  <c r="G27" i="1"/>
  <c r="I27" i="1"/>
  <c r="A28" i="1"/>
  <c r="F28" i="1"/>
  <c r="G28" i="1"/>
  <c r="I28" i="1"/>
  <c r="A29" i="1"/>
  <c r="F29" i="1"/>
  <c r="G29" i="1"/>
  <c r="I29" i="1"/>
  <c r="A30" i="1"/>
  <c r="F30" i="1"/>
  <c r="G30" i="1"/>
  <c r="I30" i="1"/>
  <c r="A31" i="1"/>
  <c r="F31" i="1"/>
  <c r="G31" i="1"/>
  <c r="I31" i="1"/>
  <c r="A32" i="1"/>
  <c r="F32" i="1"/>
  <c r="G32" i="1"/>
  <c r="I32" i="1"/>
  <c r="A33" i="1"/>
  <c r="F33" i="1"/>
  <c r="G33" i="1"/>
  <c r="I33" i="1"/>
  <c r="A34" i="1"/>
  <c r="F34" i="1"/>
  <c r="G34" i="1"/>
  <c r="I34" i="1"/>
  <c r="A35" i="1"/>
  <c r="F35" i="1"/>
  <c r="G35" i="1"/>
  <c r="I35" i="1"/>
  <c r="A36" i="1"/>
  <c r="F36" i="1"/>
  <c r="G36" i="1"/>
  <c r="I36" i="1"/>
  <c r="A37" i="1"/>
  <c r="F37" i="1"/>
  <c r="G37" i="1"/>
  <c r="I37" i="1"/>
  <c r="A38" i="1"/>
  <c r="F38" i="1"/>
  <c r="G38" i="1"/>
  <c r="I38" i="1"/>
  <c r="A39" i="1"/>
  <c r="F39" i="1"/>
  <c r="G39" i="1"/>
  <c r="I39" i="1"/>
  <c r="A40" i="1"/>
  <c r="F40" i="1"/>
  <c r="G40" i="1"/>
  <c r="I40" i="1"/>
  <c r="A41" i="1"/>
  <c r="F41" i="1"/>
  <c r="G41" i="1"/>
  <c r="I41" i="1"/>
  <c r="A42" i="1"/>
  <c r="F42" i="1"/>
  <c r="G42" i="1"/>
  <c r="I42" i="1"/>
  <c r="A43" i="1"/>
  <c r="F43" i="1"/>
  <c r="G43" i="1"/>
  <c r="I43" i="1"/>
  <c r="A44" i="1"/>
  <c r="F44" i="1"/>
  <c r="G44" i="1"/>
  <c r="I44" i="1"/>
  <c r="A45" i="1"/>
  <c r="F45" i="1"/>
  <c r="G45" i="1"/>
  <c r="I45" i="1"/>
  <c r="A46" i="1"/>
  <c r="F46" i="1"/>
  <c r="G46" i="1"/>
  <c r="I46" i="1"/>
  <c r="A47" i="1"/>
  <c r="F47" i="1"/>
  <c r="G47" i="1"/>
  <c r="I47" i="1"/>
  <c r="A48" i="1"/>
  <c r="F48" i="1"/>
  <c r="G48" i="1"/>
  <c r="I48" i="1"/>
  <c r="A49" i="1"/>
  <c r="F49" i="1"/>
  <c r="G49" i="1"/>
  <c r="I49" i="1"/>
  <c r="A50" i="1"/>
  <c r="F50" i="1"/>
  <c r="G50" i="1"/>
  <c r="I50" i="1"/>
  <c r="A51" i="1"/>
  <c r="F51" i="1"/>
  <c r="G51" i="1"/>
  <c r="I51" i="1"/>
  <c r="A52" i="1"/>
  <c r="F52" i="1"/>
  <c r="G52" i="1"/>
  <c r="I52" i="1"/>
  <c r="A53" i="1"/>
  <c r="F53" i="1"/>
  <c r="G53" i="1"/>
  <c r="I53" i="1"/>
  <c r="A54" i="1"/>
  <c r="F54" i="1"/>
  <c r="G54" i="1"/>
  <c r="I54" i="1"/>
  <c r="A55" i="1"/>
  <c r="H55" i="1"/>
  <c r="I55" i="1"/>
  <c r="J55" i="1"/>
  <c r="A56" i="1"/>
  <c r="F56" i="1"/>
  <c r="G56" i="1"/>
  <c r="I56" i="1"/>
  <c r="A57" i="1"/>
  <c r="F57" i="1"/>
  <c r="G57" i="1"/>
  <c r="I57" i="1"/>
  <c r="A58" i="1"/>
  <c r="F58" i="1"/>
  <c r="G58" i="1"/>
  <c r="I58" i="1"/>
  <c r="A59" i="1"/>
  <c r="F59" i="1"/>
  <c r="G59" i="1"/>
  <c r="I59" i="1"/>
  <c r="A60" i="1"/>
  <c r="F60" i="1"/>
  <c r="G60" i="1"/>
  <c r="I60" i="1"/>
  <c r="A61" i="1"/>
  <c r="F61" i="1"/>
  <c r="G61" i="1"/>
  <c r="I61" i="1"/>
  <c r="A62" i="1"/>
  <c r="F62" i="1"/>
  <c r="G62" i="1"/>
  <c r="I62" i="1"/>
  <c r="A63" i="1"/>
  <c r="F63" i="1"/>
  <c r="G63" i="1"/>
  <c r="I63" i="1"/>
  <c r="A64" i="1"/>
  <c r="F64" i="1"/>
  <c r="G64" i="1"/>
  <c r="I64" i="1"/>
  <c r="A65" i="1"/>
  <c r="F65" i="1"/>
  <c r="G65" i="1"/>
  <c r="I65" i="1"/>
  <c r="A66" i="1"/>
  <c r="F66" i="1"/>
  <c r="G66" i="1"/>
  <c r="I66" i="1"/>
  <c r="A67" i="1"/>
  <c r="F67" i="1"/>
  <c r="G67" i="1"/>
  <c r="I67" i="1"/>
  <c r="A68" i="1"/>
  <c r="F68" i="1"/>
  <c r="G68" i="1"/>
  <c r="I68" i="1"/>
  <c r="A69" i="1"/>
  <c r="F69" i="1"/>
  <c r="G69" i="1"/>
  <c r="I69" i="1"/>
  <c r="A70" i="1"/>
  <c r="F70" i="1"/>
  <c r="G70" i="1"/>
  <c r="I70" i="1"/>
  <c r="A71" i="1"/>
  <c r="F71" i="1"/>
  <c r="G71" i="1"/>
  <c r="I71" i="1"/>
  <c r="A72" i="1"/>
  <c r="F72" i="1"/>
  <c r="G72" i="1"/>
  <c r="I72" i="1"/>
  <c r="A73" i="1"/>
  <c r="F73" i="1"/>
  <c r="G73" i="1"/>
  <c r="I73" i="1"/>
  <c r="A74" i="1"/>
  <c r="F74" i="1"/>
  <c r="G74" i="1"/>
  <c r="I74" i="1"/>
  <c r="A75" i="1"/>
  <c r="F75" i="1"/>
  <c r="G75" i="1"/>
  <c r="I75" i="1"/>
  <c r="A76" i="1"/>
  <c r="F76" i="1"/>
  <c r="G76" i="1"/>
  <c r="I76" i="1"/>
  <c r="A77" i="1"/>
  <c r="F77" i="1"/>
  <c r="G77" i="1"/>
  <c r="I77" i="1"/>
  <c r="A78" i="1"/>
  <c r="F78" i="1"/>
  <c r="G78" i="1"/>
  <c r="I78" i="1"/>
  <c r="A79" i="1"/>
  <c r="F79" i="1"/>
  <c r="G79" i="1"/>
  <c r="I79" i="1"/>
  <c r="A80" i="1"/>
  <c r="F80" i="1"/>
  <c r="G80" i="1"/>
  <c r="I80" i="1"/>
  <c r="A81" i="1"/>
  <c r="F81" i="1"/>
  <c r="G81" i="1"/>
  <c r="I81" i="1"/>
  <c r="A82" i="1"/>
  <c r="F82" i="1"/>
  <c r="G82" i="1"/>
  <c r="I82" i="1"/>
  <c r="A83" i="1"/>
  <c r="F83" i="1"/>
  <c r="G83" i="1"/>
  <c r="I83" i="1"/>
  <c r="A84" i="1"/>
  <c r="F84" i="1"/>
  <c r="G84" i="1"/>
  <c r="I84" i="1"/>
  <c r="A85" i="1"/>
  <c r="F85" i="1"/>
  <c r="G85" i="1"/>
  <c r="I85" i="1"/>
  <c r="A86" i="1"/>
  <c r="F86" i="1"/>
  <c r="G86" i="1"/>
  <c r="I86" i="1"/>
  <c r="A87" i="1"/>
  <c r="F87" i="1"/>
  <c r="G87" i="1"/>
  <c r="I87" i="1"/>
  <c r="A88" i="1"/>
  <c r="F88" i="1"/>
  <c r="G88" i="1"/>
  <c r="I88" i="1"/>
  <c r="A89" i="1"/>
  <c r="F89" i="1"/>
  <c r="G89" i="1"/>
  <c r="I89" i="1"/>
  <c r="A90" i="1"/>
  <c r="F90" i="1"/>
  <c r="G90" i="1"/>
  <c r="I90" i="1"/>
  <c r="A91" i="1"/>
  <c r="F91" i="1"/>
  <c r="G91" i="1"/>
  <c r="I91" i="1"/>
  <c r="A92" i="1"/>
  <c r="F92" i="1"/>
  <c r="G92" i="1"/>
  <c r="I92" i="1"/>
  <c r="A93" i="1"/>
  <c r="F93" i="1"/>
  <c r="G93" i="1"/>
  <c r="I93" i="1"/>
  <c r="A94" i="1"/>
  <c r="F94" i="1"/>
  <c r="G94" i="1"/>
  <c r="I94" i="1"/>
  <c r="A95" i="1"/>
  <c r="F95" i="1"/>
  <c r="G95" i="1"/>
  <c r="I95" i="1"/>
  <c r="A96" i="1"/>
  <c r="F96" i="1"/>
  <c r="G96" i="1"/>
  <c r="I96" i="1"/>
  <c r="A97" i="1"/>
  <c r="F97" i="1"/>
  <c r="G97" i="1"/>
  <c r="I97" i="1"/>
  <c r="A98" i="1"/>
  <c r="F98" i="1"/>
  <c r="G98" i="1"/>
  <c r="I98" i="1"/>
  <c r="A99" i="1"/>
  <c r="F99" i="1"/>
  <c r="G99" i="1"/>
  <c r="I99" i="1"/>
  <c r="A100" i="1"/>
  <c r="F100" i="1"/>
  <c r="G100" i="1"/>
  <c r="I100" i="1"/>
  <c r="A101" i="1"/>
  <c r="F101" i="1"/>
  <c r="G101" i="1"/>
  <c r="I101" i="1"/>
  <c r="A102" i="1"/>
  <c r="F102" i="1"/>
  <c r="G102" i="1"/>
  <c r="I102" i="1"/>
  <c r="A103" i="1"/>
  <c r="F103" i="1"/>
  <c r="G103" i="1"/>
  <c r="I103" i="1"/>
  <c r="A104" i="1"/>
  <c r="F104" i="1"/>
  <c r="G104" i="1"/>
  <c r="I104" i="1"/>
  <c r="A105" i="1"/>
  <c r="F105" i="1"/>
  <c r="G105" i="1"/>
  <c r="I105" i="1"/>
  <c r="A106" i="1"/>
  <c r="F106" i="1"/>
  <c r="G106" i="1"/>
  <c r="I106" i="1"/>
  <c r="A107" i="1"/>
  <c r="F107" i="1"/>
  <c r="G107" i="1"/>
  <c r="I107" i="1"/>
  <c r="A108" i="1"/>
  <c r="F108" i="1"/>
  <c r="G108" i="1"/>
  <c r="I108" i="1"/>
  <c r="A109" i="1"/>
  <c r="F109" i="1"/>
  <c r="G109" i="1"/>
  <c r="I109" i="1"/>
  <c r="A110" i="1"/>
  <c r="F110" i="1"/>
  <c r="G110" i="1"/>
  <c r="I110" i="1"/>
  <c r="A111" i="1"/>
  <c r="F111" i="1"/>
  <c r="G111" i="1"/>
  <c r="I111" i="1"/>
  <c r="A112" i="1"/>
  <c r="F112" i="1"/>
  <c r="G112" i="1"/>
  <c r="I112" i="1"/>
  <c r="A113" i="1"/>
  <c r="F113" i="1"/>
  <c r="G113" i="1"/>
  <c r="I113" i="1"/>
  <c r="A114" i="1"/>
  <c r="F114" i="1"/>
  <c r="G114" i="1"/>
  <c r="I114" i="1"/>
  <c r="A115" i="1"/>
  <c r="F115" i="1"/>
  <c r="G115" i="1"/>
  <c r="I115" i="1"/>
  <c r="A116" i="1"/>
  <c r="F116" i="1"/>
  <c r="G116" i="1"/>
  <c r="I116" i="1"/>
  <c r="A117" i="1"/>
  <c r="F117" i="1"/>
  <c r="G117" i="1"/>
  <c r="I117" i="1"/>
  <c r="A118" i="1"/>
  <c r="F118" i="1"/>
  <c r="G118" i="1"/>
  <c r="I118" i="1"/>
  <c r="A119" i="1"/>
  <c r="F119" i="1"/>
  <c r="G119" i="1"/>
  <c r="I119" i="1"/>
  <c r="A120" i="1"/>
  <c r="F120" i="1"/>
  <c r="G120" i="1"/>
  <c r="I120" i="1"/>
  <c r="A121" i="1"/>
  <c r="F121" i="1"/>
  <c r="G121" i="1"/>
  <c r="I121" i="1"/>
  <c r="A122" i="1"/>
  <c r="F122" i="1"/>
  <c r="G122" i="1"/>
  <c r="I122" i="1"/>
  <c r="A123" i="1"/>
  <c r="F123" i="1"/>
  <c r="G123" i="1"/>
  <c r="I123" i="1"/>
  <c r="A124" i="1"/>
  <c r="F124" i="1"/>
  <c r="G124" i="1"/>
  <c r="I124" i="1"/>
  <c r="A125" i="1"/>
  <c r="F125" i="1"/>
  <c r="G125" i="1"/>
  <c r="I125" i="1"/>
  <c r="A126" i="1"/>
  <c r="F126" i="1"/>
  <c r="G126" i="1"/>
  <c r="I126" i="1"/>
  <c r="A127" i="1"/>
  <c r="F127" i="1"/>
  <c r="G127" i="1"/>
  <c r="I127" i="1"/>
  <c r="A128" i="1"/>
  <c r="F128" i="1"/>
  <c r="G128" i="1"/>
  <c r="I128" i="1"/>
  <c r="A129" i="1"/>
  <c r="F129" i="1"/>
  <c r="G129" i="1"/>
  <c r="I129" i="1"/>
  <c r="A130" i="1"/>
  <c r="F130" i="1"/>
  <c r="G130" i="1"/>
  <c r="I130" i="1"/>
  <c r="A131" i="1"/>
  <c r="F131" i="1"/>
  <c r="G131" i="1"/>
  <c r="I131" i="1"/>
  <c r="A132" i="1"/>
  <c r="F132" i="1"/>
  <c r="G132" i="1"/>
  <c r="I132" i="1"/>
  <c r="A133" i="1"/>
  <c r="F133" i="1"/>
  <c r="G133" i="1"/>
  <c r="I133" i="1"/>
  <c r="A134" i="1"/>
  <c r="F134" i="1"/>
  <c r="G134" i="1"/>
  <c r="I134" i="1"/>
  <c r="A135" i="1"/>
  <c r="F135" i="1"/>
  <c r="G135" i="1"/>
  <c r="I135" i="1"/>
  <c r="A136" i="1"/>
  <c r="F136" i="1"/>
  <c r="G136" i="1"/>
  <c r="I136" i="1"/>
  <c r="A137" i="1"/>
  <c r="F137" i="1"/>
  <c r="G137" i="1"/>
  <c r="I137" i="1"/>
  <c r="A138" i="1"/>
  <c r="F138" i="1"/>
  <c r="G138" i="1"/>
  <c r="I138" i="1"/>
  <c r="A139" i="1"/>
  <c r="F139" i="1"/>
  <c r="G139" i="1"/>
  <c r="I139" i="1"/>
  <c r="A140" i="1"/>
  <c r="F140" i="1"/>
  <c r="G140" i="1"/>
  <c r="I140" i="1"/>
  <c r="A141" i="1"/>
  <c r="F141" i="1"/>
  <c r="G141" i="1"/>
  <c r="I141" i="1"/>
  <c r="A142" i="1"/>
  <c r="F142" i="1"/>
  <c r="G142" i="1"/>
  <c r="I142" i="1"/>
  <c r="A143" i="1"/>
  <c r="F143" i="1"/>
  <c r="G143" i="1"/>
  <c r="I143" i="1"/>
  <c r="A144" i="1"/>
  <c r="F144" i="1"/>
  <c r="G144" i="1"/>
  <c r="I144" i="1"/>
  <c r="A145" i="1"/>
  <c r="F145" i="1"/>
  <c r="G145" i="1"/>
  <c r="I145" i="1"/>
  <c r="A146" i="1"/>
  <c r="F146" i="1"/>
  <c r="G146" i="1"/>
  <c r="I146" i="1"/>
  <c r="A147" i="1"/>
  <c r="F147" i="1"/>
  <c r="G147" i="1"/>
  <c r="I147" i="1"/>
  <c r="A148" i="1"/>
  <c r="F148" i="1"/>
  <c r="G148" i="1"/>
  <c r="I148" i="1"/>
  <c r="A149" i="1"/>
  <c r="F149" i="1"/>
  <c r="G149" i="1"/>
  <c r="I149" i="1"/>
  <c r="A150" i="1"/>
  <c r="F150" i="1"/>
  <c r="G150" i="1"/>
  <c r="I150" i="1"/>
  <c r="A151" i="1"/>
  <c r="F151" i="1"/>
  <c r="G151" i="1"/>
  <c r="I151" i="1"/>
  <c r="A152" i="1"/>
  <c r="F152" i="1"/>
  <c r="G152" i="1"/>
  <c r="I152" i="1"/>
  <c r="A153" i="1"/>
  <c r="F153" i="1"/>
  <c r="G153" i="1"/>
  <c r="I153" i="1"/>
  <c r="A154" i="1"/>
  <c r="F154" i="1"/>
  <c r="G154" i="1"/>
  <c r="I154" i="1"/>
  <c r="A155" i="1"/>
  <c r="F155" i="1"/>
  <c r="G155" i="1"/>
  <c r="I155" i="1"/>
  <c r="A156" i="1"/>
  <c r="F156" i="1"/>
  <c r="G156" i="1"/>
  <c r="I156" i="1"/>
  <c r="A157" i="1"/>
  <c r="F157" i="1"/>
  <c r="G157" i="1"/>
  <c r="I157" i="1"/>
  <c r="A158" i="1"/>
  <c r="F158" i="1"/>
  <c r="G158" i="1"/>
  <c r="I158" i="1"/>
  <c r="A159" i="1"/>
  <c r="F159" i="1"/>
  <c r="G159" i="1"/>
  <c r="I159" i="1"/>
  <c r="A160" i="1"/>
  <c r="F160" i="1"/>
  <c r="G160" i="1"/>
  <c r="I160" i="1"/>
  <c r="A161" i="1"/>
  <c r="F161" i="1"/>
  <c r="G161" i="1"/>
  <c r="I161" i="1"/>
  <c r="A162" i="1"/>
  <c r="F162" i="1"/>
  <c r="G162" i="1"/>
  <c r="I162" i="1"/>
  <c r="A163" i="1"/>
  <c r="F163" i="1"/>
  <c r="G163" i="1"/>
  <c r="I163" i="1"/>
  <c r="A164" i="1"/>
  <c r="F164" i="1"/>
  <c r="G164" i="1"/>
  <c r="I164" i="1"/>
  <c r="A165" i="1"/>
  <c r="F165" i="1"/>
  <c r="G165" i="1"/>
  <c r="I165" i="1"/>
  <c r="A166" i="1"/>
  <c r="F166" i="1"/>
  <c r="G166" i="1"/>
  <c r="I166" i="1"/>
  <c r="A167" i="1"/>
  <c r="F167" i="1"/>
  <c r="G167" i="1"/>
  <c r="I167" i="1"/>
  <c r="A168" i="1"/>
  <c r="F168" i="1"/>
  <c r="G168" i="1"/>
  <c r="I168" i="1"/>
  <c r="A169" i="1"/>
  <c r="F169" i="1"/>
  <c r="G169" i="1"/>
  <c r="I169" i="1"/>
  <c r="A170" i="1"/>
  <c r="F170" i="1"/>
  <c r="G170" i="1"/>
  <c r="I170" i="1"/>
  <c r="A171" i="1"/>
  <c r="F171" i="1"/>
  <c r="G171" i="1"/>
  <c r="I171" i="1"/>
  <c r="A172" i="1"/>
  <c r="F172" i="1"/>
  <c r="G172" i="1"/>
  <c r="I172" i="1"/>
  <c r="A173" i="1"/>
  <c r="F173" i="1"/>
  <c r="G173" i="1"/>
  <c r="I173" i="1"/>
  <c r="A174" i="1"/>
  <c r="F174" i="1"/>
  <c r="G174" i="1"/>
  <c r="I174" i="1"/>
  <c r="A175" i="1"/>
  <c r="F175" i="1"/>
  <c r="G175" i="1"/>
  <c r="I175" i="1"/>
  <c r="A176" i="1"/>
  <c r="F176" i="1"/>
  <c r="G176" i="1"/>
  <c r="I176" i="1"/>
  <c r="A177" i="1"/>
  <c r="F177" i="1"/>
  <c r="G177" i="1"/>
  <c r="I177" i="1"/>
  <c r="A178" i="1"/>
  <c r="F178" i="1"/>
  <c r="G178" i="1"/>
  <c r="I178" i="1"/>
  <c r="A179" i="1"/>
  <c r="F179" i="1"/>
  <c r="G179" i="1"/>
  <c r="I179" i="1"/>
  <c r="A180" i="1"/>
  <c r="F180" i="1"/>
  <c r="G180" i="1"/>
  <c r="I180" i="1"/>
  <c r="A181" i="1"/>
  <c r="H181" i="1"/>
  <c r="I181" i="1"/>
  <c r="J181" i="1"/>
  <c r="A182" i="1"/>
  <c r="F182" i="1"/>
  <c r="G182" i="1"/>
  <c r="I182" i="1"/>
  <c r="A183" i="1"/>
  <c r="F183" i="1"/>
  <c r="G183" i="1"/>
  <c r="I183" i="1"/>
  <c r="A184" i="1"/>
  <c r="F184" i="1"/>
  <c r="G184" i="1"/>
  <c r="I184" i="1"/>
  <c r="A185" i="1"/>
  <c r="F185" i="1"/>
  <c r="G185" i="1"/>
  <c r="I185" i="1"/>
  <c r="A186" i="1"/>
  <c r="F186" i="1"/>
  <c r="G186" i="1"/>
  <c r="I186" i="1"/>
  <c r="A187" i="1"/>
  <c r="F187" i="1"/>
  <c r="G187" i="1"/>
  <c r="I187" i="1"/>
  <c r="A188" i="1"/>
  <c r="F188" i="1"/>
  <c r="G188" i="1"/>
  <c r="I188" i="1"/>
  <c r="A189" i="1"/>
  <c r="F189" i="1"/>
  <c r="G189" i="1"/>
  <c r="I189" i="1"/>
  <c r="A190" i="1"/>
  <c r="F190" i="1"/>
  <c r="G190" i="1"/>
  <c r="I190" i="1"/>
  <c r="A191" i="1"/>
  <c r="F191" i="1"/>
  <c r="G191" i="1"/>
  <c r="I191" i="1"/>
  <c r="A192" i="1"/>
  <c r="F192" i="1"/>
  <c r="G192" i="1"/>
  <c r="I192" i="1"/>
  <c r="A193" i="1"/>
  <c r="F193" i="1"/>
  <c r="G193" i="1"/>
  <c r="I193" i="1"/>
  <c r="A194" i="1"/>
  <c r="F194" i="1"/>
  <c r="G194" i="1"/>
  <c r="I194" i="1"/>
  <c r="A195" i="1"/>
  <c r="F195" i="1"/>
  <c r="G195" i="1"/>
  <c r="I195" i="1"/>
  <c r="A196" i="1"/>
  <c r="F196" i="1"/>
  <c r="G196" i="1"/>
  <c r="I196" i="1"/>
  <c r="A197" i="1"/>
  <c r="F197" i="1"/>
  <c r="G197" i="1"/>
  <c r="I197" i="1"/>
  <c r="A198" i="1"/>
  <c r="F198" i="1"/>
  <c r="G198" i="1"/>
  <c r="I198" i="1"/>
  <c r="A199" i="1"/>
  <c r="F199" i="1"/>
  <c r="G199" i="1"/>
  <c r="I199" i="1"/>
  <c r="A200" i="1"/>
  <c r="F200" i="1"/>
  <c r="G200" i="1"/>
  <c r="I200" i="1"/>
  <c r="A201" i="1"/>
  <c r="F201" i="1"/>
  <c r="G201" i="1"/>
  <c r="I201" i="1"/>
  <c r="A202" i="1"/>
  <c r="F202" i="1"/>
  <c r="G202" i="1"/>
  <c r="I202" i="1"/>
  <c r="A203" i="1"/>
  <c r="F203" i="1"/>
  <c r="G203" i="1"/>
  <c r="I203" i="1"/>
  <c r="A204" i="1"/>
  <c r="F204" i="1"/>
  <c r="G204" i="1"/>
  <c r="I204" i="1"/>
  <c r="A205" i="1"/>
  <c r="F205" i="1"/>
  <c r="G205" i="1"/>
  <c r="I205" i="1"/>
  <c r="A206" i="1"/>
  <c r="F206" i="1"/>
  <c r="G206" i="1"/>
  <c r="I206" i="1"/>
  <c r="A207" i="1"/>
  <c r="F207" i="1"/>
  <c r="G207" i="1"/>
  <c r="I207" i="1"/>
  <c r="A208" i="1"/>
  <c r="F208" i="1"/>
  <c r="G208" i="1"/>
  <c r="I208" i="1"/>
  <c r="A209" i="1"/>
  <c r="F209" i="1"/>
  <c r="G209" i="1"/>
  <c r="I209" i="1"/>
  <c r="A210" i="1"/>
  <c r="F210" i="1"/>
  <c r="G210" i="1"/>
  <c r="I210" i="1"/>
  <c r="A211" i="1"/>
  <c r="F211" i="1"/>
  <c r="G211" i="1"/>
  <c r="I211" i="1"/>
  <c r="A212" i="1"/>
  <c r="F212" i="1"/>
  <c r="G212" i="1"/>
  <c r="I212" i="1"/>
  <c r="A213" i="1"/>
  <c r="F213" i="1"/>
  <c r="G213" i="1"/>
  <c r="I213" i="1"/>
  <c r="A214" i="1"/>
  <c r="F214" i="1"/>
  <c r="G214" i="1"/>
  <c r="I214" i="1"/>
  <c r="A215" i="1"/>
  <c r="F215" i="1"/>
  <c r="G215" i="1"/>
  <c r="I215" i="1"/>
  <c r="A216" i="1"/>
  <c r="F216" i="1"/>
  <c r="G216" i="1"/>
  <c r="I216" i="1"/>
  <c r="A217" i="1"/>
  <c r="F217" i="1"/>
  <c r="G217" i="1"/>
  <c r="I217" i="1"/>
  <c r="A218" i="1"/>
  <c r="F218" i="1"/>
  <c r="G218" i="1"/>
  <c r="I218" i="1"/>
  <c r="A219" i="1"/>
  <c r="F219" i="1"/>
  <c r="G219" i="1"/>
  <c r="I219" i="1"/>
  <c r="A220" i="1"/>
  <c r="F220" i="1"/>
  <c r="G220" i="1"/>
  <c r="I220" i="1"/>
  <c r="A221" i="1"/>
  <c r="F221" i="1"/>
  <c r="G221" i="1"/>
  <c r="I221" i="1"/>
  <c r="A222" i="1"/>
  <c r="F222" i="1"/>
  <c r="G222" i="1"/>
  <c r="I222" i="1"/>
  <c r="A223" i="1"/>
  <c r="F223" i="1"/>
  <c r="G223" i="1"/>
  <c r="I223" i="1"/>
  <c r="A224" i="1"/>
  <c r="F224" i="1"/>
  <c r="G224" i="1"/>
  <c r="I224" i="1"/>
  <c r="A225" i="1"/>
  <c r="F225" i="1"/>
  <c r="G225" i="1"/>
  <c r="I225" i="1"/>
  <c r="A226" i="1"/>
  <c r="F226" i="1"/>
  <c r="G226" i="1"/>
  <c r="I226" i="1"/>
  <c r="A227" i="1"/>
  <c r="F227" i="1"/>
  <c r="G227" i="1"/>
  <c r="I227" i="1"/>
  <c r="A228" i="1"/>
  <c r="F228" i="1"/>
  <c r="G228" i="1"/>
  <c r="I228" i="1"/>
  <c r="A229" i="1"/>
  <c r="F229" i="1"/>
  <c r="G229" i="1"/>
  <c r="I229" i="1"/>
  <c r="A230" i="1"/>
  <c r="F230" i="1"/>
  <c r="G230" i="1"/>
  <c r="I230" i="1"/>
  <c r="A231" i="1"/>
  <c r="F231" i="1"/>
  <c r="G231" i="1"/>
  <c r="I231" i="1"/>
  <c r="A232" i="1"/>
  <c r="F232" i="1"/>
  <c r="G232" i="1"/>
  <c r="I232" i="1"/>
  <c r="A233" i="1"/>
  <c r="F233" i="1"/>
  <c r="G233" i="1"/>
  <c r="I233" i="1"/>
  <c r="A234" i="1"/>
  <c r="F234" i="1"/>
  <c r="G234" i="1"/>
  <c r="I234" i="1"/>
  <c r="A235" i="1"/>
  <c r="F235" i="1"/>
  <c r="G235" i="1"/>
  <c r="I235" i="1"/>
  <c r="A236" i="1"/>
  <c r="F236" i="1"/>
  <c r="G236" i="1"/>
  <c r="I236" i="1"/>
  <c r="A237" i="1"/>
  <c r="F237" i="1"/>
  <c r="G237" i="1"/>
  <c r="I237" i="1"/>
  <c r="A238" i="1"/>
  <c r="F238" i="1"/>
  <c r="G238" i="1"/>
  <c r="I238" i="1"/>
  <c r="A239" i="1"/>
  <c r="F239" i="1"/>
  <c r="G239" i="1"/>
  <c r="I239" i="1"/>
  <c r="A240" i="1"/>
  <c r="F240" i="1"/>
  <c r="G240" i="1"/>
  <c r="I240" i="1"/>
  <c r="A241" i="1"/>
  <c r="F241" i="1"/>
  <c r="G241" i="1"/>
  <c r="I241" i="1"/>
  <c r="A242" i="1"/>
  <c r="F242" i="1"/>
  <c r="G242" i="1"/>
  <c r="I242" i="1"/>
  <c r="A243" i="1"/>
  <c r="F243" i="1"/>
  <c r="G243" i="1"/>
  <c r="I243" i="1"/>
  <c r="A244" i="1"/>
  <c r="F244" i="1"/>
  <c r="G244" i="1"/>
  <c r="I244" i="1"/>
  <c r="A245" i="1"/>
  <c r="F245" i="1"/>
  <c r="G245" i="1"/>
  <c r="I245" i="1"/>
  <c r="A246" i="1"/>
  <c r="F246" i="1"/>
  <c r="G246" i="1"/>
  <c r="I246" i="1"/>
  <c r="A247" i="1"/>
  <c r="F247" i="1"/>
  <c r="G247" i="1"/>
  <c r="I247" i="1"/>
  <c r="A248" i="1"/>
  <c r="F248" i="1"/>
  <c r="G248" i="1"/>
  <c r="I248" i="1"/>
  <c r="A249" i="1"/>
  <c r="F249" i="1"/>
  <c r="G249" i="1"/>
  <c r="I249" i="1"/>
  <c r="A250" i="1"/>
  <c r="F250" i="1"/>
  <c r="G250" i="1"/>
  <c r="I250" i="1"/>
  <c r="A251" i="1"/>
  <c r="F251" i="1"/>
  <c r="G251" i="1"/>
  <c r="I251" i="1"/>
  <c r="A252" i="1"/>
  <c r="F252" i="1"/>
  <c r="G252" i="1"/>
  <c r="I252" i="1"/>
  <c r="A253" i="1"/>
  <c r="F253" i="1"/>
  <c r="G253" i="1"/>
  <c r="I253" i="1"/>
  <c r="A254" i="1"/>
  <c r="F254" i="1"/>
  <c r="G254" i="1"/>
  <c r="I254" i="1"/>
  <c r="A255" i="1"/>
  <c r="H255" i="1"/>
  <c r="I255" i="1"/>
  <c r="J255" i="1"/>
  <c r="A256" i="1"/>
  <c r="F256" i="1"/>
  <c r="G256" i="1"/>
  <c r="I256" i="1"/>
  <c r="A257" i="1"/>
  <c r="F257" i="1"/>
  <c r="G257" i="1"/>
  <c r="I257" i="1"/>
  <c r="A258" i="1"/>
  <c r="F258" i="1"/>
  <c r="G258" i="1"/>
  <c r="I258" i="1"/>
  <c r="A259" i="1"/>
  <c r="F259" i="1"/>
  <c r="G259" i="1"/>
  <c r="I259" i="1"/>
  <c r="A260" i="1"/>
  <c r="F260" i="1"/>
  <c r="G260" i="1"/>
  <c r="I260" i="1"/>
  <c r="A261" i="1"/>
  <c r="F261" i="1"/>
  <c r="G261" i="1"/>
  <c r="I261" i="1"/>
  <c r="A262" i="1"/>
  <c r="F262" i="1"/>
  <c r="G262" i="1"/>
  <c r="I262" i="1"/>
  <c r="A263" i="1"/>
  <c r="F263" i="1"/>
  <c r="G263" i="1"/>
  <c r="I263" i="1"/>
  <c r="A264" i="1"/>
  <c r="F264" i="1"/>
  <c r="G264" i="1"/>
  <c r="I264" i="1"/>
  <c r="A265" i="1"/>
  <c r="F265" i="1"/>
  <c r="G265" i="1"/>
  <c r="I265" i="1"/>
  <c r="A266" i="1"/>
  <c r="F266" i="1"/>
  <c r="G266" i="1"/>
  <c r="I266" i="1"/>
  <c r="A267" i="1"/>
  <c r="F267" i="1"/>
  <c r="G267" i="1"/>
  <c r="I267" i="1"/>
  <c r="A268" i="1"/>
  <c r="F268" i="1"/>
  <c r="G268" i="1"/>
  <c r="I268" i="1"/>
  <c r="A269" i="1"/>
  <c r="F269" i="1"/>
  <c r="G269" i="1"/>
  <c r="I269" i="1"/>
  <c r="A270" i="1"/>
  <c r="F270" i="1"/>
  <c r="G270" i="1"/>
  <c r="I270" i="1"/>
  <c r="A271" i="1"/>
  <c r="F271" i="1"/>
  <c r="G271" i="1"/>
  <c r="I271" i="1"/>
  <c r="A272" i="1"/>
  <c r="F272" i="1"/>
  <c r="G272" i="1"/>
  <c r="I272" i="1"/>
  <c r="A273" i="1"/>
  <c r="F273" i="1"/>
  <c r="G273" i="1"/>
  <c r="I273" i="1"/>
  <c r="A274" i="1"/>
  <c r="F274" i="1"/>
  <c r="G274" i="1"/>
  <c r="I274" i="1"/>
  <c r="A275" i="1"/>
  <c r="F275" i="1"/>
  <c r="G275" i="1"/>
  <c r="I275" i="1"/>
  <c r="A276" i="1"/>
  <c r="F276" i="1"/>
  <c r="G276" i="1"/>
  <c r="I276" i="1"/>
  <c r="A277" i="1"/>
  <c r="F277" i="1"/>
  <c r="G277" i="1"/>
  <c r="I277" i="1"/>
  <c r="A278" i="1"/>
  <c r="F278" i="1"/>
  <c r="G278" i="1"/>
  <c r="I278" i="1"/>
  <c r="A279" i="1"/>
  <c r="F279" i="1"/>
  <c r="G279" i="1"/>
  <c r="I279" i="1"/>
  <c r="A280" i="1"/>
  <c r="F280" i="1"/>
  <c r="G280" i="1"/>
  <c r="I280" i="1"/>
  <c r="A281" i="1"/>
  <c r="F281" i="1"/>
  <c r="G281" i="1"/>
  <c r="I281" i="1"/>
  <c r="A282" i="1"/>
  <c r="F282" i="1"/>
  <c r="G282" i="1"/>
  <c r="I282" i="1"/>
  <c r="A283" i="1"/>
  <c r="F283" i="1"/>
  <c r="G283" i="1"/>
  <c r="I283" i="1"/>
  <c r="A284" i="1"/>
  <c r="F284" i="1"/>
  <c r="G284" i="1"/>
  <c r="I284" i="1"/>
  <c r="A285" i="1"/>
  <c r="F285" i="1"/>
  <c r="G285" i="1"/>
  <c r="I285" i="1"/>
  <c r="A286" i="1"/>
  <c r="F286" i="1"/>
  <c r="G286" i="1"/>
  <c r="I286" i="1"/>
  <c r="A287" i="1"/>
  <c r="F287" i="1"/>
  <c r="G287" i="1"/>
  <c r="I287" i="1"/>
  <c r="A288" i="1"/>
  <c r="F288" i="1"/>
  <c r="G288" i="1"/>
  <c r="I288" i="1"/>
  <c r="A289" i="1"/>
  <c r="F289" i="1"/>
  <c r="G289" i="1"/>
  <c r="I289" i="1"/>
  <c r="A290" i="1"/>
  <c r="F290" i="1"/>
  <c r="G290" i="1"/>
  <c r="I290" i="1"/>
  <c r="A291" i="1"/>
  <c r="F291" i="1"/>
  <c r="G291" i="1"/>
  <c r="I291" i="1"/>
  <c r="A292" i="1"/>
  <c r="F292" i="1"/>
  <c r="G292" i="1"/>
  <c r="I292" i="1"/>
  <c r="A293" i="1"/>
  <c r="F293" i="1"/>
  <c r="G293" i="1"/>
  <c r="I293" i="1"/>
  <c r="A294" i="1"/>
  <c r="F294" i="1"/>
  <c r="G294" i="1"/>
  <c r="I294" i="1"/>
  <c r="A295" i="1"/>
  <c r="F295" i="1"/>
  <c r="G295" i="1"/>
  <c r="I295" i="1"/>
  <c r="A296" i="1"/>
  <c r="F296" i="1"/>
  <c r="G296" i="1"/>
  <c r="I296" i="1"/>
  <c r="A297" i="1"/>
  <c r="F297" i="1"/>
  <c r="G297" i="1"/>
  <c r="I297" i="1"/>
  <c r="A298" i="1"/>
  <c r="F298" i="1"/>
  <c r="G298" i="1"/>
  <c r="I298" i="1"/>
  <c r="A299" i="1"/>
  <c r="F299" i="1"/>
  <c r="G299" i="1"/>
  <c r="I299" i="1"/>
  <c r="A300" i="1"/>
  <c r="F300" i="1"/>
  <c r="G300" i="1"/>
  <c r="I300" i="1"/>
  <c r="A301" i="1"/>
  <c r="F301" i="1"/>
  <c r="G301" i="1"/>
  <c r="I301" i="1"/>
  <c r="A302" i="1"/>
  <c r="F302" i="1"/>
  <c r="G302" i="1"/>
  <c r="I302" i="1"/>
  <c r="A303" i="1"/>
  <c r="F303" i="1"/>
  <c r="G303" i="1"/>
  <c r="I303" i="1"/>
  <c r="A304" i="1"/>
  <c r="F304" i="1"/>
  <c r="G304" i="1"/>
  <c r="I304" i="1"/>
  <c r="A305" i="1"/>
  <c r="F305" i="1"/>
  <c r="G305" i="1"/>
  <c r="I305" i="1"/>
  <c r="A306" i="1"/>
  <c r="F306" i="1"/>
  <c r="G306" i="1"/>
  <c r="I306" i="1"/>
  <c r="A307" i="1"/>
  <c r="F307" i="1"/>
  <c r="G307" i="1"/>
  <c r="I307" i="1"/>
  <c r="A308" i="1"/>
  <c r="F308" i="1"/>
  <c r="G308" i="1"/>
  <c r="I308" i="1"/>
  <c r="A309" i="1"/>
  <c r="F309" i="1"/>
  <c r="G309" i="1"/>
  <c r="I309" i="1"/>
  <c r="A310" i="1"/>
  <c r="F310" i="1"/>
  <c r="G310" i="1"/>
  <c r="I310" i="1"/>
  <c r="A311" i="1"/>
  <c r="F311" i="1"/>
  <c r="G311" i="1"/>
  <c r="I311" i="1"/>
  <c r="A312" i="1"/>
  <c r="F312" i="1"/>
  <c r="G312" i="1"/>
  <c r="I312" i="1"/>
  <c r="A313" i="1"/>
  <c r="F313" i="1"/>
  <c r="G313" i="1"/>
  <c r="I313" i="1"/>
  <c r="A314" i="1"/>
  <c r="F314" i="1"/>
  <c r="G314" i="1"/>
  <c r="I314" i="1"/>
  <c r="A315" i="1"/>
  <c r="F315" i="1"/>
  <c r="G315" i="1"/>
  <c r="I315" i="1"/>
  <c r="A316" i="1"/>
  <c r="F316" i="1"/>
  <c r="G316" i="1"/>
  <c r="I316" i="1"/>
  <c r="A317" i="1"/>
  <c r="F317" i="1"/>
  <c r="G317" i="1"/>
  <c r="I317" i="1"/>
  <c r="A318" i="1"/>
  <c r="F318" i="1"/>
  <c r="G318" i="1"/>
  <c r="I318" i="1"/>
  <c r="A319" i="1"/>
  <c r="F319" i="1"/>
  <c r="G319" i="1"/>
  <c r="I319" i="1"/>
  <c r="A320" i="1"/>
  <c r="F320" i="1"/>
  <c r="G320" i="1"/>
  <c r="I320" i="1"/>
  <c r="A321" i="1"/>
  <c r="F321" i="1"/>
  <c r="G321" i="1"/>
  <c r="I321" i="1"/>
  <c r="A322" i="1"/>
  <c r="F322" i="1"/>
  <c r="G322" i="1"/>
  <c r="I322" i="1"/>
  <c r="A323" i="1"/>
  <c r="F323" i="1"/>
  <c r="G323" i="1"/>
  <c r="I323" i="1"/>
  <c r="A324" i="1"/>
  <c r="F324" i="1"/>
  <c r="G324" i="1"/>
  <c r="I324" i="1"/>
  <c r="A325" i="1"/>
  <c r="F325" i="1"/>
  <c r="G325" i="1"/>
  <c r="I325" i="1"/>
  <c r="A326" i="1"/>
  <c r="F326" i="1"/>
  <c r="G326" i="1"/>
  <c r="I326" i="1"/>
  <c r="A327" i="1"/>
  <c r="F327" i="1"/>
  <c r="G327" i="1"/>
  <c r="I327" i="1"/>
  <c r="A328" i="1"/>
  <c r="F328" i="1"/>
  <c r="G328" i="1"/>
  <c r="I328" i="1"/>
  <c r="A329" i="1"/>
  <c r="F329" i="1"/>
  <c r="G329" i="1"/>
  <c r="I329" i="1"/>
  <c r="A330" i="1"/>
  <c r="F330" i="1"/>
  <c r="G330" i="1"/>
  <c r="I330" i="1"/>
  <c r="A331" i="1"/>
  <c r="F331" i="1"/>
  <c r="G331" i="1"/>
  <c r="I331" i="1"/>
  <c r="A332" i="1"/>
  <c r="F332" i="1"/>
  <c r="G332" i="1"/>
  <c r="I332" i="1"/>
  <c r="A333" i="1"/>
  <c r="F333" i="1"/>
  <c r="G333" i="1"/>
  <c r="I333" i="1"/>
  <c r="A334" i="1"/>
  <c r="F334" i="1"/>
  <c r="G334" i="1"/>
  <c r="I334" i="1"/>
  <c r="A335" i="1"/>
  <c r="F335" i="1"/>
  <c r="G335" i="1"/>
  <c r="I335" i="1"/>
  <c r="A336" i="1"/>
  <c r="F336" i="1"/>
  <c r="G336" i="1"/>
  <c r="I336" i="1"/>
  <c r="A337" i="1"/>
  <c r="F337" i="1"/>
  <c r="G337" i="1"/>
  <c r="I337" i="1"/>
  <c r="A338" i="1"/>
  <c r="F338" i="1"/>
  <c r="G338" i="1"/>
  <c r="I338" i="1"/>
  <c r="A339" i="1"/>
  <c r="F339" i="1"/>
  <c r="G339" i="1"/>
  <c r="I339" i="1"/>
  <c r="A340" i="1"/>
  <c r="F340" i="1"/>
  <c r="G340" i="1"/>
  <c r="I340" i="1"/>
  <c r="A341" i="1"/>
  <c r="F341" i="1"/>
  <c r="G341" i="1"/>
  <c r="I341" i="1"/>
  <c r="A342" i="1"/>
  <c r="F342" i="1"/>
  <c r="G342" i="1"/>
  <c r="I342" i="1"/>
  <c r="A343" i="1"/>
  <c r="F343" i="1"/>
  <c r="G343" i="1"/>
  <c r="I343" i="1"/>
  <c r="A344" i="1"/>
  <c r="F344" i="1"/>
  <c r="G344" i="1"/>
  <c r="I344" i="1"/>
  <c r="A345" i="1"/>
  <c r="F345" i="1"/>
  <c r="G345" i="1"/>
  <c r="I345" i="1"/>
  <c r="A346" i="1"/>
  <c r="F346" i="1"/>
  <c r="G346" i="1"/>
  <c r="I346" i="1"/>
  <c r="A347" i="1"/>
  <c r="F347" i="1"/>
  <c r="G347" i="1"/>
  <c r="I347" i="1"/>
  <c r="A348" i="1"/>
  <c r="F348" i="1"/>
  <c r="G348" i="1"/>
  <c r="I348" i="1"/>
  <c r="A349" i="1"/>
  <c r="F349" i="1"/>
  <c r="G349" i="1"/>
  <c r="I349" i="1"/>
  <c r="A350" i="1"/>
  <c r="F350" i="1"/>
  <c r="G350" i="1"/>
  <c r="I350" i="1"/>
  <c r="A351" i="1"/>
  <c r="F351" i="1"/>
  <c r="G351" i="1"/>
  <c r="I351" i="1"/>
  <c r="A352" i="1"/>
  <c r="F352" i="1"/>
  <c r="G352" i="1"/>
  <c r="I352" i="1"/>
  <c r="A353" i="1"/>
  <c r="F353" i="1"/>
  <c r="G353" i="1"/>
  <c r="I353" i="1"/>
  <c r="A354" i="1"/>
  <c r="F354" i="1"/>
  <c r="G354" i="1"/>
  <c r="I354" i="1"/>
  <c r="A355" i="1"/>
  <c r="F355" i="1"/>
  <c r="G355" i="1"/>
  <c r="I355" i="1"/>
  <c r="A356" i="1"/>
  <c r="F356" i="1"/>
  <c r="G356" i="1"/>
  <c r="I356" i="1"/>
  <c r="A357" i="1"/>
  <c r="F357" i="1"/>
  <c r="G357" i="1"/>
  <c r="I357" i="1"/>
  <c r="A358" i="1"/>
  <c r="F358" i="1"/>
  <c r="G358" i="1"/>
  <c r="I358" i="1"/>
  <c r="A359" i="1"/>
  <c r="F359" i="1"/>
  <c r="G359" i="1"/>
  <c r="I359" i="1"/>
  <c r="A360" i="1"/>
  <c r="H360" i="1"/>
  <c r="I360" i="1"/>
  <c r="J360" i="1"/>
  <c r="A361" i="1"/>
  <c r="F361" i="1"/>
  <c r="G361" i="1"/>
  <c r="I361" i="1"/>
  <c r="A362" i="1"/>
  <c r="F362" i="1"/>
  <c r="G362" i="1"/>
  <c r="I362" i="1"/>
  <c r="A363" i="1"/>
  <c r="F363" i="1"/>
  <c r="G363" i="1"/>
  <c r="I363" i="1"/>
  <c r="A364" i="1"/>
  <c r="F364" i="1"/>
  <c r="G364" i="1"/>
  <c r="I364" i="1"/>
  <c r="A365" i="1"/>
  <c r="F365" i="1"/>
  <c r="G365" i="1"/>
  <c r="I365" i="1"/>
  <c r="A366" i="1"/>
  <c r="F366" i="1"/>
  <c r="G366" i="1"/>
  <c r="A367" i="1"/>
  <c r="F367" i="1"/>
  <c r="G367" i="1"/>
  <c r="A368" i="1"/>
  <c r="F368" i="1"/>
  <c r="G368" i="1"/>
  <c r="A369" i="1"/>
  <c r="F369" i="1"/>
  <c r="G369" i="1"/>
  <c r="I369" i="1"/>
  <c r="A370" i="1"/>
  <c r="F370" i="1"/>
  <c r="G370" i="1"/>
  <c r="I370" i="1"/>
  <c r="A371" i="1"/>
  <c r="F371" i="1"/>
  <c r="G371" i="1"/>
  <c r="I371" i="1"/>
  <c r="A372" i="1"/>
  <c r="F372" i="1"/>
  <c r="G372" i="1"/>
  <c r="I372" i="1"/>
  <c r="A373" i="1"/>
  <c r="F373" i="1"/>
  <c r="G373" i="1"/>
  <c r="I373" i="1"/>
  <c r="A374" i="1"/>
  <c r="F374" i="1"/>
  <c r="G374" i="1"/>
  <c r="I374" i="1"/>
  <c r="A375" i="1"/>
  <c r="F375" i="1"/>
  <c r="G375" i="1"/>
  <c r="I375" i="1"/>
  <c r="A376" i="1"/>
  <c r="F376" i="1"/>
  <c r="G376" i="1"/>
  <c r="I376" i="1"/>
  <c r="A377" i="1"/>
  <c r="F377" i="1"/>
  <c r="G377" i="1"/>
  <c r="I377" i="1"/>
  <c r="A378" i="1"/>
  <c r="F378" i="1"/>
  <c r="G378" i="1"/>
  <c r="I378" i="1"/>
  <c r="A379" i="1"/>
  <c r="F379" i="1"/>
  <c r="G379" i="1"/>
  <c r="I379" i="1"/>
  <c r="A380" i="1"/>
  <c r="F380" i="1"/>
  <c r="G380" i="1"/>
  <c r="I380" i="1"/>
  <c r="A381" i="1"/>
  <c r="F381" i="1"/>
  <c r="G381" i="1"/>
  <c r="I381" i="1"/>
  <c r="A382" i="1"/>
  <c r="F382" i="1"/>
  <c r="G382" i="1"/>
  <c r="I382" i="1"/>
  <c r="A383" i="1"/>
  <c r="F383" i="1"/>
  <c r="G383" i="1"/>
  <c r="I383" i="1"/>
  <c r="A384" i="1"/>
  <c r="F384" i="1"/>
  <c r="G384" i="1"/>
  <c r="I384" i="1"/>
  <c r="A385" i="1"/>
  <c r="F385" i="1"/>
  <c r="G385" i="1"/>
  <c r="I385" i="1"/>
  <c r="A386" i="1"/>
  <c r="F386" i="1"/>
  <c r="G386" i="1"/>
  <c r="I386" i="1"/>
  <c r="A387" i="1"/>
  <c r="F387" i="1"/>
  <c r="G387" i="1"/>
  <c r="I387" i="1"/>
  <c r="A388" i="1"/>
  <c r="F388" i="1"/>
  <c r="G388" i="1"/>
  <c r="I388" i="1"/>
  <c r="A389" i="1"/>
  <c r="F389" i="1"/>
  <c r="G389" i="1"/>
  <c r="I389" i="1"/>
  <c r="A390" i="1"/>
  <c r="F390" i="1"/>
  <c r="G390" i="1"/>
  <c r="I390" i="1"/>
  <c r="A391" i="1"/>
  <c r="F391" i="1"/>
  <c r="G391" i="1"/>
  <c r="I391" i="1"/>
  <c r="A392" i="1"/>
  <c r="F392" i="1"/>
  <c r="G392" i="1"/>
  <c r="I392" i="1"/>
  <c r="A393" i="1"/>
  <c r="F393" i="1"/>
  <c r="G393" i="1"/>
  <c r="I393" i="1"/>
  <c r="A394" i="1"/>
  <c r="F394" i="1"/>
  <c r="G394" i="1"/>
  <c r="I394" i="1"/>
  <c r="A395" i="1"/>
  <c r="F395" i="1"/>
  <c r="G395" i="1"/>
  <c r="I395" i="1"/>
  <c r="A396" i="1"/>
  <c r="F396" i="1"/>
  <c r="G396" i="1"/>
  <c r="I396" i="1"/>
  <c r="A397" i="1"/>
  <c r="F397" i="1"/>
  <c r="G397" i="1"/>
  <c r="I397" i="1"/>
  <c r="A398" i="1"/>
  <c r="F398" i="1"/>
  <c r="G398" i="1"/>
  <c r="I398" i="1"/>
  <c r="A399" i="1"/>
  <c r="F399" i="1"/>
  <c r="G399" i="1"/>
  <c r="I399" i="1"/>
  <c r="A400" i="1"/>
  <c r="F400" i="1"/>
  <c r="G400" i="1"/>
  <c r="I400" i="1"/>
  <c r="A401" i="1"/>
  <c r="H401" i="1"/>
  <c r="I401" i="1"/>
  <c r="J401" i="1"/>
  <c r="A402" i="1"/>
  <c r="F402" i="1"/>
  <c r="G402" i="1"/>
  <c r="I402" i="1"/>
  <c r="A403" i="1"/>
  <c r="F403" i="1"/>
  <c r="G403" i="1"/>
  <c r="I403" i="1"/>
  <c r="A404" i="1"/>
  <c r="F404" i="1"/>
  <c r="G404" i="1"/>
  <c r="I404" i="1"/>
  <c r="A405" i="1"/>
  <c r="F405" i="1"/>
  <c r="G405" i="1"/>
  <c r="I405" i="1"/>
  <c r="A406" i="1"/>
  <c r="F406" i="1"/>
  <c r="G406" i="1"/>
  <c r="I406" i="1"/>
  <c r="A407" i="1"/>
  <c r="F407" i="1"/>
  <c r="G407" i="1"/>
  <c r="I407" i="1"/>
  <c r="A408" i="1"/>
  <c r="F408" i="1"/>
  <c r="G408" i="1"/>
  <c r="I408" i="1"/>
  <c r="A409" i="1"/>
  <c r="F409" i="1"/>
  <c r="G409" i="1"/>
  <c r="I409" i="1"/>
  <c r="A410" i="1"/>
  <c r="F410" i="1"/>
  <c r="G410" i="1"/>
  <c r="I410" i="1"/>
  <c r="A411" i="1"/>
  <c r="F411" i="1"/>
  <c r="G411" i="1"/>
  <c r="I411" i="1"/>
  <c r="A412" i="1"/>
  <c r="F412" i="1"/>
  <c r="G412" i="1"/>
  <c r="I412" i="1"/>
  <c r="A413" i="1"/>
  <c r="F413" i="1"/>
  <c r="G413" i="1"/>
  <c r="I413" i="1"/>
  <c r="A414" i="1"/>
  <c r="F414" i="1"/>
  <c r="G414" i="1"/>
  <c r="I414" i="1"/>
  <c r="A415" i="1"/>
  <c r="F415" i="1"/>
  <c r="G415" i="1"/>
  <c r="I415" i="1"/>
  <c r="A416" i="1"/>
  <c r="F416" i="1"/>
  <c r="G416" i="1"/>
  <c r="I416" i="1"/>
  <c r="A417" i="1"/>
  <c r="H417" i="1"/>
  <c r="I417" i="1"/>
  <c r="J417" i="1"/>
  <c r="A418" i="1"/>
  <c r="F418" i="1"/>
  <c r="G418" i="1"/>
  <c r="I418" i="1"/>
  <c r="A419" i="1"/>
  <c r="F419" i="1"/>
  <c r="G419" i="1"/>
  <c r="I419" i="1"/>
  <c r="A420" i="1"/>
  <c r="F420" i="1"/>
  <c r="G420" i="1"/>
  <c r="I420" i="1"/>
  <c r="A421" i="1"/>
  <c r="F421" i="1"/>
  <c r="G421" i="1"/>
  <c r="I421" i="1"/>
  <c r="A422" i="1"/>
  <c r="F422" i="1"/>
  <c r="G422" i="1"/>
  <c r="I422" i="1"/>
  <c r="A423" i="1"/>
  <c r="F423" i="1"/>
  <c r="G423" i="1"/>
  <c r="I423" i="1"/>
  <c r="A424" i="1"/>
  <c r="F424" i="1"/>
  <c r="G424" i="1"/>
  <c r="I424" i="1"/>
  <c r="A425" i="1"/>
  <c r="F425" i="1"/>
  <c r="G425" i="1"/>
  <c r="I425" i="1"/>
  <c r="A426" i="1"/>
  <c r="F426" i="1"/>
  <c r="G426" i="1"/>
  <c r="I426" i="1"/>
  <c r="A427" i="1"/>
  <c r="F427" i="1"/>
  <c r="G427" i="1"/>
  <c r="I427" i="1"/>
  <c r="A428" i="1"/>
  <c r="F428" i="1"/>
  <c r="G428" i="1"/>
  <c r="I428" i="1"/>
  <c r="A429" i="1"/>
  <c r="F429" i="1"/>
  <c r="G429" i="1"/>
  <c r="I429" i="1"/>
  <c r="A430" i="1"/>
  <c r="F430" i="1"/>
  <c r="G430" i="1"/>
  <c r="I430" i="1"/>
  <c r="A431" i="1"/>
  <c r="F431" i="1"/>
  <c r="G431" i="1"/>
  <c r="I431" i="1"/>
  <c r="A432" i="1"/>
  <c r="F432" i="1"/>
  <c r="G432" i="1"/>
  <c r="I432" i="1"/>
  <c r="A433" i="1"/>
  <c r="F433" i="1"/>
  <c r="G433" i="1"/>
  <c r="I433" i="1"/>
  <c r="A434" i="1"/>
  <c r="F434" i="1"/>
  <c r="G434" i="1"/>
  <c r="I434" i="1"/>
  <c r="A435" i="1"/>
  <c r="F435" i="1"/>
  <c r="G435" i="1"/>
  <c r="I435" i="1"/>
  <c r="A436" i="1"/>
  <c r="F436" i="1"/>
  <c r="G436" i="1"/>
  <c r="I436" i="1"/>
  <c r="A437" i="1"/>
  <c r="F437" i="1"/>
  <c r="G437" i="1"/>
  <c r="I437" i="1"/>
  <c r="A438" i="1"/>
  <c r="F438" i="1"/>
  <c r="G438" i="1"/>
  <c r="I438" i="1"/>
  <c r="A439" i="1"/>
  <c r="F439" i="1"/>
  <c r="G439" i="1"/>
  <c r="I439" i="1"/>
  <c r="A440" i="1"/>
  <c r="F440" i="1"/>
  <c r="G440" i="1"/>
  <c r="I440" i="1"/>
  <c r="A441" i="1"/>
  <c r="F441" i="1"/>
  <c r="G441" i="1"/>
  <c r="I441" i="1"/>
  <c r="A442" i="1"/>
  <c r="F442" i="1"/>
  <c r="G442" i="1"/>
  <c r="I442" i="1"/>
  <c r="A443" i="1"/>
  <c r="F443" i="1"/>
  <c r="G443" i="1"/>
  <c r="I443" i="1"/>
  <c r="A444" i="1"/>
  <c r="F444" i="1"/>
  <c r="G444" i="1"/>
  <c r="I444" i="1"/>
  <c r="A445" i="1"/>
  <c r="F445" i="1"/>
  <c r="G445" i="1"/>
  <c r="I445" i="1"/>
  <c r="A446" i="1"/>
  <c r="F446" i="1"/>
  <c r="G446" i="1"/>
  <c r="I446" i="1"/>
  <c r="A447" i="1"/>
  <c r="F447" i="1"/>
  <c r="G447" i="1"/>
  <c r="I447" i="1"/>
  <c r="A448" i="1"/>
  <c r="F448" i="1"/>
  <c r="G448" i="1"/>
  <c r="I448" i="1"/>
  <c r="A449" i="1"/>
  <c r="F449" i="1"/>
  <c r="G449" i="1"/>
  <c r="I449" i="1"/>
  <c r="A450" i="1"/>
  <c r="F450" i="1"/>
  <c r="G450" i="1"/>
  <c r="I450" i="1"/>
  <c r="A451" i="1"/>
  <c r="F451" i="1"/>
  <c r="G451" i="1"/>
  <c r="I451" i="1"/>
  <c r="A452" i="1"/>
  <c r="F452" i="1"/>
  <c r="G452" i="1"/>
  <c r="I452" i="1"/>
  <c r="A453" i="1"/>
  <c r="F453" i="1"/>
  <c r="G453" i="1"/>
  <c r="I453" i="1"/>
  <c r="A454" i="1"/>
  <c r="F454" i="1"/>
  <c r="G454" i="1"/>
  <c r="I454" i="1"/>
  <c r="A455" i="1"/>
  <c r="F455" i="1"/>
  <c r="G455" i="1"/>
  <c r="I455" i="1"/>
  <c r="A456" i="1"/>
  <c r="F456" i="1"/>
  <c r="G456" i="1"/>
  <c r="I456" i="1"/>
  <c r="A457" i="1"/>
  <c r="F457" i="1"/>
  <c r="G457" i="1"/>
  <c r="I457" i="1"/>
  <c r="A458" i="1"/>
  <c r="F458" i="1"/>
  <c r="G458" i="1"/>
  <c r="I458" i="1"/>
  <c r="A459" i="1"/>
  <c r="F459" i="1"/>
  <c r="G459" i="1"/>
  <c r="I459" i="1"/>
  <c r="A460" i="1"/>
  <c r="F460" i="1"/>
  <c r="G460" i="1"/>
  <c r="I460" i="1"/>
  <c r="A461" i="1"/>
  <c r="F461" i="1"/>
  <c r="G461" i="1"/>
  <c r="I461" i="1"/>
  <c r="A462" i="1"/>
  <c r="F462" i="1"/>
  <c r="G462" i="1"/>
  <c r="I462" i="1"/>
  <c r="A463" i="1"/>
  <c r="F463" i="1"/>
  <c r="G463" i="1"/>
  <c r="I463" i="1"/>
  <c r="A464" i="1"/>
  <c r="F464" i="1"/>
  <c r="G464" i="1"/>
  <c r="I464" i="1"/>
  <c r="A465" i="1"/>
  <c r="F465" i="1"/>
  <c r="G465" i="1"/>
  <c r="I465" i="1"/>
  <c r="A466" i="1"/>
  <c r="F466" i="1"/>
  <c r="G466" i="1"/>
  <c r="I466" i="1"/>
  <c r="A467" i="1"/>
  <c r="F467" i="1"/>
  <c r="G467" i="1"/>
  <c r="I467" i="1"/>
  <c r="A468" i="1"/>
  <c r="F468" i="1"/>
  <c r="G468" i="1"/>
  <c r="I468" i="1"/>
  <c r="A469" i="1"/>
  <c r="F469" i="1"/>
  <c r="G469" i="1"/>
  <c r="I469" i="1"/>
  <c r="A470" i="1"/>
  <c r="F470" i="1"/>
  <c r="G470" i="1"/>
  <c r="I470" i="1"/>
  <c r="A471" i="1"/>
  <c r="F471" i="1"/>
  <c r="G471" i="1"/>
  <c r="I471" i="1"/>
  <c r="A472" i="1"/>
  <c r="F472" i="1"/>
  <c r="G472" i="1"/>
  <c r="I472" i="1"/>
  <c r="A473" i="1"/>
  <c r="F473" i="1"/>
  <c r="G473" i="1"/>
  <c r="I473" i="1"/>
  <c r="A474" i="1"/>
  <c r="F474" i="1"/>
  <c r="G474" i="1"/>
  <c r="I474" i="1"/>
  <c r="A475" i="1"/>
  <c r="F475" i="1"/>
  <c r="G475" i="1"/>
  <c r="I475" i="1"/>
  <c r="A476" i="1"/>
  <c r="F476" i="1"/>
  <c r="G476" i="1"/>
  <c r="I476" i="1"/>
  <c r="A477" i="1"/>
  <c r="F477" i="1"/>
  <c r="G477" i="1"/>
  <c r="I477" i="1"/>
  <c r="A478" i="1"/>
  <c r="F478" i="1"/>
  <c r="G478" i="1"/>
  <c r="I478" i="1"/>
  <c r="A479" i="1"/>
  <c r="F479" i="1"/>
  <c r="G479" i="1"/>
  <c r="I479" i="1"/>
  <c r="A480" i="1"/>
  <c r="F480" i="1"/>
  <c r="G480" i="1"/>
  <c r="I480" i="1"/>
  <c r="A481" i="1"/>
  <c r="F481" i="1"/>
  <c r="G481" i="1"/>
  <c r="I481" i="1"/>
  <c r="A482" i="1"/>
  <c r="F482" i="1"/>
  <c r="G482" i="1"/>
  <c r="I482" i="1"/>
  <c r="A483" i="1"/>
  <c r="F483" i="1"/>
  <c r="G483" i="1"/>
  <c r="I483" i="1"/>
  <c r="A484" i="1"/>
  <c r="F484" i="1"/>
  <c r="G484" i="1"/>
  <c r="I484" i="1"/>
  <c r="A485" i="1"/>
  <c r="F485" i="1"/>
  <c r="G485" i="1"/>
  <c r="I485" i="1"/>
  <c r="A486" i="1"/>
  <c r="F486" i="1"/>
  <c r="G486" i="1"/>
  <c r="I486" i="1"/>
  <c r="A487" i="1"/>
  <c r="F487" i="1"/>
  <c r="G487" i="1"/>
  <c r="I487" i="1"/>
  <c r="A488" i="1"/>
  <c r="F488" i="1"/>
  <c r="G488" i="1"/>
  <c r="I488" i="1"/>
  <c r="A489" i="1"/>
  <c r="F489" i="1"/>
  <c r="G489" i="1"/>
  <c r="I489" i="1"/>
  <c r="A490" i="1"/>
  <c r="F490" i="1"/>
  <c r="G490" i="1"/>
  <c r="I490" i="1"/>
  <c r="A491" i="1"/>
  <c r="F491" i="1"/>
  <c r="G491" i="1"/>
  <c r="I491" i="1"/>
  <c r="A492" i="1"/>
  <c r="F492" i="1"/>
  <c r="G492" i="1"/>
  <c r="I492" i="1"/>
  <c r="A493" i="1"/>
  <c r="F493" i="1"/>
  <c r="G493" i="1"/>
  <c r="I493" i="1"/>
  <c r="A494" i="1"/>
  <c r="F494" i="1"/>
  <c r="G494" i="1"/>
  <c r="I494" i="1"/>
  <c r="A495" i="1"/>
  <c r="F495" i="1"/>
  <c r="G495" i="1"/>
  <c r="I495" i="1"/>
  <c r="A496" i="1"/>
  <c r="F496" i="1"/>
  <c r="G496" i="1"/>
  <c r="I496" i="1"/>
  <c r="A497" i="1"/>
  <c r="F497" i="1"/>
  <c r="G497" i="1"/>
  <c r="I497" i="1"/>
  <c r="A498" i="1"/>
  <c r="F498" i="1"/>
  <c r="G498" i="1"/>
  <c r="I498" i="1"/>
  <c r="A499" i="1"/>
  <c r="F499" i="1"/>
  <c r="G499" i="1"/>
  <c r="I499" i="1"/>
  <c r="A500" i="1"/>
  <c r="F500" i="1"/>
  <c r="G500" i="1"/>
  <c r="I500" i="1"/>
  <c r="A501" i="1"/>
  <c r="F501" i="1"/>
  <c r="G501" i="1"/>
  <c r="I501" i="1"/>
  <c r="A502" i="1"/>
  <c r="F502" i="1"/>
  <c r="G502" i="1"/>
  <c r="I502" i="1"/>
  <c r="A503" i="1"/>
  <c r="F503" i="1"/>
  <c r="G503" i="1"/>
  <c r="I503" i="1"/>
  <c r="A504" i="1"/>
  <c r="F504" i="1"/>
  <c r="G504" i="1"/>
  <c r="I504" i="1"/>
  <c r="A505" i="1"/>
  <c r="F505" i="1"/>
  <c r="G505" i="1"/>
  <c r="I505" i="1"/>
  <c r="A506" i="1"/>
  <c r="F506" i="1"/>
  <c r="G506" i="1"/>
  <c r="I506" i="1"/>
  <c r="A507" i="1"/>
  <c r="F507" i="1"/>
  <c r="G507" i="1"/>
  <c r="I507" i="1"/>
  <c r="A508" i="1"/>
  <c r="F508" i="1"/>
  <c r="G508" i="1"/>
  <c r="A509" i="1"/>
  <c r="F509" i="1"/>
  <c r="G509" i="1"/>
  <c r="A510" i="1"/>
  <c r="F510" i="1"/>
  <c r="G510" i="1"/>
  <c r="A511" i="1"/>
  <c r="F511" i="1"/>
  <c r="G511" i="1"/>
  <c r="I511" i="1"/>
  <c r="A512" i="1"/>
  <c r="F512" i="1"/>
  <c r="G512" i="1"/>
  <c r="I512" i="1"/>
  <c r="A513" i="1"/>
  <c r="F513" i="1"/>
  <c r="G513" i="1"/>
  <c r="I513" i="1"/>
  <c r="A514" i="1"/>
  <c r="F514" i="1"/>
  <c r="G514" i="1"/>
  <c r="I514" i="1"/>
  <c r="A515" i="1"/>
  <c r="F515" i="1"/>
  <c r="G515" i="1"/>
  <c r="I515" i="1"/>
  <c r="A516" i="1"/>
  <c r="F516" i="1"/>
  <c r="G516" i="1"/>
  <c r="I516" i="1"/>
  <c r="A517" i="1"/>
  <c r="F517" i="1"/>
  <c r="G517" i="1"/>
  <c r="I517" i="1"/>
  <c r="A518" i="1"/>
  <c r="F518" i="1"/>
  <c r="G518" i="1"/>
  <c r="I518" i="1"/>
  <c r="A519" i="1"/>
  <c r="F519" i="1"/>
  <c r="G519" i="1"/>
  <c r="I519" i="1"/>
  <c r="A520" i="1"/>
  <c r="F520" i="1"/>
  <c r="G520" i="1"/>
  <c r="I520" i="1"/>
  <c r="A521" i="1"/>
  <c r="F521" i="1"/>
  <c r="G521" i="1"/>
  <c r="I521" i="1"/>
  <c r="A522" i="1"/>
  <c r="F522" i="1"/>
  <c r="G522" i="1"/>
  <c r="I522" i="1"/>
  <c r="A523" i="1"/>
  <c r="H523" i="1"/>
  <c r="I523" i="1"/>
  <c r="J523" i="1"/>
  <c r="A524" i="1"/>
  <c r="F524" i="1"/>
  <c r="G524" i="1"/>
  <c r="I524" i="1"/>
  <c r="A525" i="1"/>
  <c r="F525" i="1"/>
  <c r="G525" i="1"/>
  <c r="I525" i="1"/>
  <c r="A526" i="1"/>
  <c r="F526" i="1"/>
  <c r="G526" i="1"/>
  <c r="I526" i="1"/>
  <c r="A527" i="1"/>
  <c r="F527" i="1"/>
  <c r="G527" i="1"/>
  <c r="I527" i="1"/>
  <c r="A528" i="1"/>
  <c r="F528" i="1"/>
  <c r="G528" i="1"/>
  <c r="I528" i="1"/>
  <c r="A529" i="1"/>
  <c r="F529" i="1"/>
  <c r="G529" i="1"/>
  <c r="I529" i="1"/>
  <c r="A530" i="1"/>
  <c r="F530" i="1"/>
  <c r="G530" i="1"/>
  <c r="I530" i="1"/>
  <c r="A531" i="1"/>
  <c r="F531" i="1"/>
  <c r="G531" i="1"/>
  <c r="I531" i="1"/>
  <c r="A532" i="1"/>
  <c r="F532" i="1"/>
  <c r="G532" i="1"/>
  <c r="I532" i="1"/>
  <c r="A533" i="1"/>
  <c r="F533" i="1"/>
  <c r="G533" i="1"/>
  <c r="I533" i="1"/>
  <c r="A534" i="1"/>
  <c r="F534" i="1"/>
  <c r="G534" i="1"/>
  <c r="I534" i="1"/>
  <c r="A535" i="1"/>
  <c r="F535" i="1"/>
  <c r="G535" i="1"/>
  <c r="I535" i="1"/>
  <c r="A536" i="1"/>
  <c r="F536" i="1"/>
  <c r="G536" i="1"/>
  <c r="I536" i="1"/>
  <c r="A537" i="1"/>
  <c r="F537" i="1"/>
  <c r="G537" i="1"/>
  <c r="I537" i="1"/>
  <c r="A538" i="1"/>
  <c r="F538" i="1"/>
  <c r="G538" i="1"/>
  <c r="I538" i="1"/>
  <c r="A539" i="1"/>
  <c r="F539" i="1"/>
  <c r="G539" i="1"/>
  <c r="I539" i="1"/>
  <c r="A540" i="1"/>
  <c r="F540" i="1"/>
  <c r="G540" i="1"/>
  <c r="I540" i="1"/>
  <c r="A541" i="1"/>
  <c r="F541" i="1"/>
  <c r="G541" i="1"/>
  <c r="I541" i="1"/>
  <c r="A542" i="1"/>
  <c r="F542" i="1"/>
  <c r="G542" i="1"/>
  <c r="I542" i="1"/>
  <c r="A543" i="1"/>
  <c r="F543" i="1"/>
  <c r="G543" i="1"/>
  <c r="I543" i="1"/>
  <c r="A544" i="1"/>
  <c r="F544" i="1"/>
  <c r="G544" i="1"/>
  <c r="I544" i="1"/>
  <c r="A545" i="1"/>
  <c r="F545" i="1"/>
  <c r="G545" i="1"/>
  <c r="I545" i="1"/>
  <c r="A546" i="1"/>
  <c r="F546" i="1"/>
  <c r="G546" i="1"/>
  <c r="I546" i="1"/>
  <c r="A547" i="1"/>
  <c r="F547" i="1"/>
  <c r="G547" i="1"/>
  <c r="I547" i="1"/>
  <c r="A548" i="1"/>
  <c r="F548" i="1"/>
  <c r="G548" i="1"/>
  <c r="I548" i="1"/>
  <c r="A549" i="1"/>
  <c r="F549" i="1"/>
  <c r="G549" i="1"/>
  <c r="I549" i="1"/>
  <c r="A550" i="1"/>
  <c r="F550" i="1"/>
  <c r="G550" i="1"/>
  <c r="I550" i="1"/>
  <c r="A551" i="1"/>
  <c r="F551" i="1"/>
  <c r="G551" i="1"/>
  <c r="I551" i="1"/>
  <c r="A552" i="1"/>
  <c r="F552" i="1"/>
  <c r="G552" i="1"/>
  <c r="I552" i="1"/>
  <c r="A553" i="1"/>
  <c r="F553" i="1"/>
  <c r="G553" i="1"/>
  <c r="I553" i="1"/>
  <c r="A554" i="1"/>
  <c r="F554" i="1"/>
  <c r="G554" i="1"/>
  <c r="I554" i="1"/>
  <c r="A555" i="1"/>
  <c r="F555" i="1"/>
  <c r="G555" i="1"/>
  <c r="I555" i="1"/>
  <c r="A556" i="1"/>
  <c r="F556" i="1"/>
  <c r="G556" i="1"/>
  <c r="I556" i="1"/>
  <c r="A557" i="1"/>
  <c r="F557" i="1"/>
  <c r="G557" i="1"/>
  <c r="I557" i="1"/>
  <c r="A558" i="1"/>
  <c r="F558" i="1"/>
  <c r="G558" i="1"/>
  <c r="I558" i="1"/>
  <c r="A559" i="1"/>
  <c r="F559" i="1"/>
  <c r="G559" i="1"/>
  <c r="I559" i="1"/>
  <c r="A560" i="1"/>
  <c r="F560" i="1"/>
  <c r="G560" i="1"/>
  <c r="I560" i="1"/>
  <c r="A561" i="1"/>
  <c r="F561" i="1"/>
  <c r="G561" i="1"/>
  <c r="I561" i="1"/>
  <c r="A562" i="1"/>
  <c r="F562" i="1"/>
  <c r="G562" i="1"/>
  <c r="I562" i="1"/>
  <c r="A563" i="1"/>
  <c r="F563" i="1"/>
  <c r="G563" i="1"/>
  <c r="I563" i="1"/>
  <c r="A564" i="1"/>
  <c r="F564" i="1"/>
  <c r="G564" i="1"/>
  <c r="I564" i="1"/>
  <c r="A565" i="1"/>
  <c r="F565" i="1"/>
  <c r="G565" i="1"/>
  <c r="I565" i="1"/>
  <c r="A566" i="1"/>
  <c r="F566" i="1"/>
  <c r="G566" i="1"/>
  <c r="I566" i="1"/>
  <c r="A567" i="1"/>
  <c r="F567" i="1"/>
  <c r="G567" i="1"/>
  <c r="I567" i="1"/>
  <c r="A568" i="1"/>
  <c r="F568" i="1"/>
  <c r="G568" i="1"/>
  <c r="I568" i="1"/>
  <c r="A569" i="1"/>
  <c r="F569" i="1"/>
  <c r="G569" i="1"/>
  <c r="I569" i="1"/>
  <c r="A570" i="1"/>
  <c r="F570" i="1"/>
  <c r="G570" i="1"/>
  <c r="I570" i="1"/>
  <c r="A571" i="1"/>
  <c r="F571" i="1"/>
  <c r="G571" i="1"/>
  <c r="I571" i="1"/>
  <c r="A572" i="1"/>
  <c r="F572" i="1"/>
  <c r="G572" i="1"/>
  <c r="I572" i="1"/>
  <c r="A573" i="1"/>
  <c r="F573" i="1"/>
  <c r="G573" i="1"/>
  <c r="I573" i="1"/>
  <c r="A574" i="1"/>
  <c r="F574" i="1"/>
  <c r="G574" i="1"/>
  <c r="I574" i="1"/>
  <c r="A575" i="1"/>
  <c r="F575" i="1"/>
  <c r="G575" i="1"/>
  <c r="I575" i="1"/>
  <c r="A576" i="1"/>
  <c r="F576" i="1"/>
  <c r="G576" i="1"/>
  <c r="I576" i="1"/>
  <c r="A577" i="1"/>
  <c r="F577" i="1"/>
  <c r="G577" i="1"/>
  <c r="I577" i="1"/>
  <c r="A578" i="1"/>
  <c r="F578" i="1"/>
  <c r="G578" i="1"/>
  <c r="I578" i="1"/>
  <c r="A579" i="1"/>
  <c r="F579" i="1"/>
  <c r="G579" i="1"/>
  <c r="I579" i="1"/>
  <c r="A580" i="1"/>
  <c r="F580" i="1"/>
  <c r="G580" i="1"/>
  <c r="I580" i="1"/>
  <c r="A581" i="1"/>
  <c r="F581" i="1"/>
  <c r="G581" i="1"/>
  <c r="I581" i="1"/>
  <c r="A582" i="1"/>
  <c r="F582" i="1"/>
  <c r="G582" i="1"/>
  <c r="I582" i="1"/>
  <c r="A583" i="1"/>
  <c r="F583" i="1"/>
  <c r="G583" i="1"/>
  <c r="I583" i="1"/>
  <c r="A584" i="1"/>
  <c r="F584" i="1"/>
  <c r="G584" i="1"/>
  <c r="I584" i="1"/>
  <c r="A585" i="1"/>
  <c r="F585" i="1"/>
  <c r="G585" i="1"/>
  <c r="I585" i="1"/>
  <c r="A586" i="1"/>
  <c r="F586" i="1"/>
  <c r="G586" i="1"/>
  <c r="I586" i="1"/>
  <c r="A587" i="1"/>
  <c r="F587" i="1"/>
  <c r="G587" i="1"/>
  <c r="I587" i="1"/>
  <c r="A588" i="1"/>
  <c r="F588" i="1"/>
  <c r="G588" i="1"/>
  <c r="I588" i="1"/>
  <c r="A589" i="1"/>
  <c r="F589" i="1"/>
  <c r="G589" i="1"/>
  <c r="I589" i="1"/>
  <c r="A590" i="1"/>
  <c r="F590" i="1"/>
  <c r="G590" i="1"/>
  <c r="I590" i="1"/>
  <c r="A591" i="1"/>
  <c r="F591" i="1"/>
  <c r="G591" i="1"/>
  <c r="I591" i="1"/>
  <c r="A592" i="1"/>
  <c r="F592" i="1"/>
  <c r="G592" i="1"/>
  <c r="I592" i="1"/>
  <c r="A593" i="1"/>
  <c r="F593" i="1"/>
  <c r="G593" i="1"/>
  <c r="I593" i="1"/>
  <c r="A594" i="1"/>
  <c r="F594" i="1"/>
  <c r="G594" i="1"/>
  <c r="I594" i="1"/>
  <c r="A595" i="1"/>
  <c r="F595" i="1"/>
  <c r="G595" i="1"/>
  <c r="I595" i="1"/>
  <c r="A596" i="1"/>
  <c r="F596" i="1"/>
  <c r="G596" i="1"/>
  <c r="I596" i="1"/>
  <c r="A597" i="1"/>
  <c r="F597" i="1"/>
  <c r="G597" i="1"/>
  <c r="I597" i="1"/>
  <c r="A598" i="1"/>
  <c r="F598" i="1"/>
  <c r="G598" i="1"/>
  <c r="I598" i="1"/>
  <c r="A599" i="1"/>
  <c r="H599" i="1"/>
  <c r="I599" i="1"/>
  <c r="J599" i="1"/>
  <c r="A600" i="1"/>
  <c r="F600" i="1"/>
  <c r="G600" i="1"/>
  <c r="I600" i="1"/>
  <c r="A601" i="1"/>
  <c r="F601" i="1"/>
  <c r="G601" i="1"/>
  <c r="I601" i="1"/>
  <c r="A602" i="1"/>
  <c r="F602" i="1"/>
  <c r="G602" i="1"/>
  <c r="I602" i="1"/>
  <c r="A603" i="1"/>
  <c r="F603" i="1"/>
  <c r="G603" i="1"/>
  <c r="I603" i="1"/>
  <c r="A604" i="1"/>
  <c r="F604" i="1"/>
  <c r="G604" i="1"/>
  <c r="I604" i="1"/>
  <c r="A605" i="1"/>
  <c r="F605" i="1"/>
  <c r="G605" i="1"/>
  <c r="I605" i="1"/>
  <c r="A606" i="1"/>
  <c r="F606" i="1"/>
  <c r="G606" i="1"/>
  <c r="I606" i="1"/>
  <c r="A607" i="1"/>
  <c r="F607" i="1"/>
  <c r="G607" i="1"/>
  <c r="I607" i="1"/>
  <c r="A608" i="1"/>
  <c r="F608" i="1"/>
  <c r="G608" i="1"/>
  <c r="I608" i="1"/>
  <c r="A609" i="1"/>
  <c r="F609" i="1"/>
  <c r="G609" i="1"/>
  <c r="I609" i="1"/>
  <c r="A610" i="1"/>
  <c r="F610" i="1"/>
  <c r="G610" i="1"/>
  <c r="I610" i="1"/>
  <c r="A611" i="1"/>
  <c r="F611" i="1"/>
  <c r="G611" i="1"/>
  <c r="I611" i="1"/>
  <c r="A612" i="1"/>
  <c r="F612" i="1"/>
  <c r="G612" i="1"/>
  <c r="I612" i="1"/>
  <c r="A613" i="1"/>
  <c r="F613" i="1"/>
  <c r="G613" i="1"/>
  <c r="I613" i="1"/>
  <c r="A614" i="1"/>
  <c r="F614" i="1"/>
  <c r="G614" i="1"/>
  <c r="I614" i="1"/>
  <c r="A615" i="1"/>
  <c r="F615" i="1"/>
  <c r="G615" i="1"/>
  <c r="I615" i="1"/>
  <c r="A616" i="1"/>
  <c r="F616" i="1"/>
  <c r="G616" i="1"/>
  <c r="I616" i="1"/>
  <c r="A617" i="1"/>
  <c r="F617" i="1"/>
  <c r="G617" i="1"/>
  <c r="I617" i="1"/>
  <c r="A618" i="1"/>
  <c r="F618" i="1"/>
  <c r="G618" i="1"/>
  <c r="I618" i="1"/>
  <c r="A619" i="1"/>
  <c r="F619" i="1"/>
  <c r="G619" i="1"/>
  <c r="I619" i="1"/>
  <c r="A620" i="1"/>
  <c r="F620" i="1"/>
  <c r="G620" i="1"/>
  <c r="I620" i="1"/>
  <c r="A621" i="1"/>
  <c r="F621" i="1"/>
  <c r="G621" i="1"/>
  <c r="I621" i="1"/>
  <c r="A622" i="1"/>
  <c r="F622" i="1"/>
  <c r="G622" i="1"/>
  <c r="I622" i="1"/>
  <c r="A623" i="1"/>
  <c r="F623" i="1"/>
  <c r="G623" i="1"/>
  <c r="I623" i="1"/>
  <c r="A624" i="1"/>
  <c r="F624" i="1"/>
  <c r="G624" i="1"/>
  <c r="I624" i="1"/>
  <c r="A625" i="1"/>
  <c r="F625" i="1"/>
  <c r="G625" i="1"/>
  <c r="I625" i="1"/>
  <c r="A626" i="1"/>
  <c r="F626" i="1"/>
  <c r="G626" i="1"/>
  <c r="I626" i="1"/>
  <c r="A627" i="1"/>
  <c r="F627" i="1"/>
  <c r="G627" i="1"/>
  <c r="I627" i="1"/>
  <c r="A628" i="1"/>
  <c r="F628" i="1"/>
  <c r="G628" i="1"/>
  <c r="I628" i="1"/>
  <c r="A629" i="1"/>
  <c r="F629" i="1"/>
  <c r="G629" i="1"/>
  <c r="I629" i="1"/>
  <c r="A630" i="1"/>
  <c r="F630" i="1"/>
  <c r="G630" i="1"/>
  <c r="I630" i="1"/>
  <c r="A631" i="1"/>
  <c r="F631" i="1"/>
  <c r="G631" i="1"/>
  <c r="I631" i="1"/>
  <c r="A632" i="1"/>
  <c r="F632" i="1"/>
  <c r="G632" i="1"/>
  <c r="I632" i="1"/>
  <c r="A633" i="1"/>
  <c r="F633" i="1"/>
  <c r="G633" i="1"/>
  <c r="I633" i="1"/>
  <c r="A634" i="1"/>
  <c r="F634" i="1"/>
  <c r="G634" i="1"/>
  <c r="I634" i="1"/>
  <c r="A635" i="1"/>
  <c r="F635" i="1"/>
  <c r="G635" i="1"/>
  <c r="I635" i="1"/>
  <c r="A636" i="1"/>
  <c r="F636" i="1"/>
  <c r="G636" i="1"/>
  <c r="I636" i="1"/>
  <c r="A637" i="1"/>
  <c r="F637" i="1"/>
  <c r="G637" i="1"/>
  <c r="I637" i="1"/>
  <c r="A638" i="1"/>
  <c r="F638" i="1"/>
  <c r="G638" i="1"/>
  <c r="I638" i="1"/>
  <c r="A639" i="1"/>
  <c r="F639" i="1"/>
  <c r="G639" i="1"/>
  <c r="I639" i="1"/>
  <c r="A640" i="1"/>
  <c r="F640" i="1"/>
  <c r="G640" i="1"/>
  <c r="I640" i="1"/>
  <c r="A641" i="1"/>
  <c r="F641" i="1"/>
  <c r="G641" i="1"/>
  <c r="I641" i="1"/>
  <c r="A642" i="1"/>
  <c r="F642" i="1"/>
  <c r="G642" i="1"/>
  <c r="I642" i="1"/>
  <c r="A643" i="1"/>
  <c r="F643" i="1"/>
  <c r="G643" i="1"/>
  <c r="I643" i="1"/>
  <c r="A644" i="1"/>
  <c r="F644" i="1"/>
  <c r="G644" i="1"/>
  <c r="I644" i="1"/>
  <c r="A645" i="1"/>
  <c r="F645" i="1"/>
  <c r="G645" i="1"/>
  <c r="I645" i="1"/>
  <c r="A646" i="1"/>
  <c r="F646" i="1"/>
  <c r="G646" i="1"/>
  <c r="I646" i="1"/>
  <c r="A647" i="1"/>
  <c r="F647" i="1"/>
  <c r="G647" i="1"/>
  <c r="I647" i="1"/>
  <c r="A648" i="1"/>
  <c r="F648" i="1"/>
  <c r="G648" i="1"/>
  <c r="I648" i="1"/>
  <c r="A649" i="1"/>
  <c r="F649" i="1"/>
  <c r="G649" i="1"/>
  <c r="I649" i="1"/>
  <c r="A650" i="1"/>
  <c r="F650" i="1"/>
  <c r="G650" i="1"/>
  <c r="I650" i="1"/>
  <c r="A651" i="1"/>
  <c r="F651" i="1"/>
  <c r="G651" i="1"/>
  <c r="I651" i="1"/>
  <c r="A652" i="1"/>
  <c r="F652" i="1"/>
  <c r="G652" i="1"/>
  <c r="I652" i="1"/>
  <c r="A653" i="1"/>
  <c r="F653" i="1"/>
  <c r="G653" i="1"/>
  <c r="I653" i="1"/>
  <c r="A654" i="1"/>
  <c r="F654" i="1"/>
  <c r="G654" i="1"/>
  <c r="I654" i="1"/>
  <c r="A655" i="1"/>
  <c r="F655" i="1"/>
  <c r="G655" i="1"/>
  <c r="I655" i="1"/>
  <c r="A656" i="1"/>
  <c r="F656" i="1"/>
  <c r="G656" i="1"/>
  <c r="I656" i="1"/>
  <c r="A657" i="1"/>
  <c r="F657" i="1"/>
  <c r="G657" i="1"/>
  <c r="I657" i="1"/>
  <c r="A658" i="1"/>
  <c r="F658" i="1"/>
  <c r="G658" i="1"/>
  <c r="I658" i="1"/>
  <c r="A659" i="1"/>
  <c r="F659" i="1"/>
  <c r="G659" i="1"/>
  <c r="I659" i="1"/>
  <c r="A660" i="1"/>
  <c r="F660" i="1"/>
  <c r="G660" i="1"/>
  <c r="I660" i="1"/>
  <c r="A661" i="1"/>
  <c r="F661" i="1"/>
  <c r="G661" i="1"/>
  <c r="I661" i="1"/>
  <c r="A662" i="1"/>
  <c r="F662" i="1"/>
  <c r="G662" i="1"/>
  <c r="I662" i="1"/>
  <c r="A663" i="1"/>
  <c r="F663" i="1"/>
  <c r="G663" i="1"/>
  <c r="I663" i="1"/>
  <c r="A664" i="1"/>
  <c r="F664" i="1"/>
  <c r="G664" i="1"/>
  <c r="I664" i="1"/>
  <c r="A665" i="1"/>
  <c r="F665" i="1"/>
  <c r="G665" i="1"/>
  <c r="I665" i="1"/>
  <c r="A666" i="1"/>
  <c r="F666" i="1"/>
  <c r="G666" i="1"/>
  <c r="I666" i="1"/>
  <c r="A667" i="1"/>
  <c r="F667" i="1"/>
  <c r="G667" i="1"/>
  <c r="I667" i="1"/>
  <c r="A668" i="1"/>
  <c r="F668" i="1"/>
  <c r="G668" i="1"/>
  <c r="I668" i="1"/>
  <c r="A669" i="1"/>
  <c r="F669" i="1"/>
  <c r="G669" i="1"/>
  <c r="I669" i="1"/>
  <c r="A670" i="1"/>
  <c r="F670" i="1"/>
  <c r="G670" i="1"/>
  <c r="I670" i="1"/>
  <c r="A671" i="1"/>
  <c r="F671" i="1"/>
  <c r="G671" i="1"/>
  <c r="I671" i="1"/>
  <c r="A672" i="1"/>
  <c r="F672" i="1"/>
  <c r="G672" i="1"/>
  <c r="I672" i="1"/>
  <c r="A673" i="1"/>
  <c r="F673" i="1"/>
  <c r="G673" i="1"/>
  <c r="I673" i="1"/>
  <c r="A674" i="1"/>
  <c r="F674" i="1"/>
  <c r="G674" i="1"/>
  <c r="I674" i="1"/>
  <c r="A675" i="1"/>
  <c r="F675" i="1"/>
  <c r="G675" i="1"/>
  <c r="I675" i="1"/>
  <c r="A676" i="1"/>
  <c r="F676" i="1"/>
  <c r="G676" i="1"/>
  <c r="I676" i="1"/>
  <c r="A677" i="1"/>
  <c r="F677" i="1"/>
  <c r="G677" i="1"/>
  <c r="I677" i="1"/>
  <c r="A678" i="1"/>
  <c r="F678" i="1"/>
  <c r="G678" i="1"/>
  <c r="I678" i="1"/>
  <c r="A679" i="1"/>
  <c r="F679" i="1"/>
  <c r="G679" i="1"/>
  <c r="I679" i="1"/>
  <c r="A680" i="1"/>
  <c r="F680" i="1"/>
  <c r="G680" i="1"/>
  <c r="I680" i="1"/>
  <c r="A681" i="1"/>
  <c r="F681" i="1"/>
  <c r="G681" i="1"/>
  <c r="I681" i="1"/>
  <c r="A682" i="1"/>
  <c r="F682" i="1"/>
  <c r="G682" i="1"/>
  <c r="I682" i="1"/>
  <c r="A683" i="1"/>
  <c r="F683" i="1"/>
  <c r="G683" i="1"/>
  <c r="I683" i="1"/>
  <c r="A684" i="1"/>
  <c r="F684" i="1"/>
  <c r="G684" i="1"/>
  <c r="I684" i="1"/>
  <c r="A685" i="1"/>
  <c r="F685" i="1"/>
  <c r="G685" i="1"/>
  <c r="I685" i="1"/>
  <c r="A686" i="1"/>
  <c r="F686" i="1"/>
  <c r="G686" i="1"/>
  <c r="I686" i="1"/>
  <c r="A687" i="1"/>
  <c r="F687" i="1"/>
  <c r="G687" i="1"/>
  <c r="I687" i="1"/>
  <c r="A688" i="1"/>
  <c r="F688" i="1"/>
  <c r="G688" i="1"/>
  <c r="I688" i="1"/>
  <c r="A689" i="1"/>
  <c r="F689" i="1"/>
  <c r="G689" i="1"/>
  <c r="I689" i="1"/>
  <c r="A690" i="1"/>
  <c r="F690" i="1"/>
  <c r="G690" i="1"/>
  <c r="I690" i="1"/>
  <c r="A691" i="1"/>
  <c r="F691" i="1"/>
  <c r="G691" i="1"/>
  <c r="I691" i="1"/>
  <c r="A692" i="1"/>
  <c r="F692" i="1"/>
  <c r="G692" i="1"/>
  <c r="I692" i="1"/>
  <c r="A693" i="1"/>
  <c r="F693" i="1"/>
  <c r="G693" i="1"/>
  <c r="I693" i="1"/>
  <c r="A694" i="1"/>
  <c r="F694" i="1"/>
  <c r="G694" i="1"/>
  <c r="I694" i="1"/>
  <c r="A695" i="1"/>
  <c r="F695" i="1"/>
  <c r="G695" i="1"/>
  <c r="I695" i="1"/>
  <c r="A696" i="1"/>
  <c r="F696" i="1"/>
  <c r="G696" i="1"/>
  <c r="I696" i="1"/>
  <c r="A697" i="1"/>
  <c r="F697" i="1"/>
  <c r="G697" i="1"/>
  <c r="I697" i="1"/>
  <c r="A698" i="1"/>
  <c r="H698" i="1"/>
  <c r="I698" i="1"/>
  <c r="J698" i="1"/>
  <c r="A699" i="1"/>
  <c r="F699" i="1"/>
  <c r="G699" i="1"/>
  <c r="I699" i="1"/>
  <c r="A700" i="1"/>
  <c r="F700" i="1"/>
  <c r="G700" i="1"/>
  <c r="I700" i="1"/>
  <c r="A701" i="1"/>
  <c r="F701" i="1"/>
  <c r="G701" i="1"/>
  <c r="I701" i="1"/>
  <c r="A702" i="1"/>
  <c r="F702" i="1"/>
  <c r="G702" i="1"/>
  <c r="I702" i="1"/>
  <c r="A703" i="1"/>
  <c r="F703" i="1"/>
  <c r="G703" i="1"/>
  <c r="I703" i="1"/>
  <c r="A704" i="1"/>
  <c r="F704" i="1"/>
  <c r="G704" i="1"/>
  <c r="I704" i="1"/>
  <c r="A705" i="1"/>
  <c r="F705" i="1"/>
  <c r="G705" i="1"/>
  <c r="I705" i="1"/>
  <c r="A706" i="1"/>
  <c r="F706" i="1"/>
  <c r="G706" i="1"/>
  <c r="I706" i="1"/>
  <c r="A707" i="1"/>
  <c r="F707" i="1"/>
  <c r="G707" i="1"/>
  <c r="I707" i="1"/>
  <c r="A708" i="1"/>
  <c r="F708" i="1"/>
  <c r="G708" i="1"/>
  <c r="I708" i="1"/>
  <c r="A709" i="1"/>
  <c r="F709" i="1"/>
  <c r="G709" i="1"/>
  <c r="I709" i="1"/>
  <c r="A710" i="1"/>
  <c r="F710" i="1"/>
  <c r="G710" i="1"/>
  <c r="I710" i="1"/>
  <c r="A711" i="1"/>
  <c r="H711" i="1"/>
  <c r="I711" i="1"/>
  <c r="J711" i="1"/>
  <c r="A712" i="1"/>
  <c r="F712" i="1"/>
  <c r="G712" i="1"/>
  <c r="I712" i="1"/>
  <c r="A713" i="1"/>
  <c r="F713" i="1"/>
  <c r="G713" i="1"/>
  <c r="I713" i="1"/>
  <c r="A714" i="1"/>
  <c r="F714" i="1"/>
  <c r="G714" i="1"/>
  <c r="I714" i="1"/>
  <c r="A715" i="1"/>
  <c r="F715" i="1"/>
  <c r="G715" i="1"/>
  <c r="I715" i="1"/>
  <c r="A716" i="1"/>
  <c r="F716" i="1"/>
  <c r="G716" i="1"/>
  <c r="I716" i="1"/>
  <c r="A717" i="1"/>
  <c r="F717" i="1"/>
  <c r="G717" i="1"/>
  <c r="I717" i="1"/>
  <c r="A718" i="1"/>
  <c r="F718" i="1"/>
  <c r="G718" i="1"/>
  <c r="I718" i="1"/>
  <c r="A719" i="1"/>
  <c r="H719" i="1"/>
  <c r="I719" i="1"/>
  <c r="J719" i="1"/>
  <c r="A720" i="1"/>
  <c r="H720" i="1"/>
  <c r="I720" i="1"/>
  <c r="J720" i="1"/>
  <c r="A721" i="1"/>
  <c r="F721" i="1"/>
  <c r="G721" i="1"/>
  <c r="I721" i="1"/>
  <c r="A722" i="1"/>
  <c r="F722" i="1"/>
  <c r="G722" i="1"/>
  <c r="I722" i="1"/>
  <c r="A723" i="1"/>
  <c r="F723" i="1"/>
  <c r="G723" i="1"/>
  <c r="I723" i="1"/>
  <c r="A724" i="1"/>
  <c r="F724" i="1"/>
  <c r="G724" i="1"/>
  <c r="I724" i="1"/>
  <c r="A725" i="1"/>
  <c r="F725" i="1"/>
  <c r="G725" i="1"/>
  <c r="I725" i="1"/>
  <c r="A726" i="1"/>
  <c r="F726" i="1"/>
  <c r="G726" i="1"/>
  <c r="I726" i="1"/>
  <c r="A727" i="1"/>
  <c r="F727" i="1"/>
  <c r="G727" i="1"/>
  <c r="I727" i="1"/>
  <c r="A728" i="1"/>
  <c r="F728" i="1"/>
  <c r="G728" i="1"/>
  <c r="I728" i="1"/>
  <c r="A729" i="1"/>
  <c r="F729" i="1"/>
  <c r="G729" i="1"/>
  <c r="I729" i="1"/>
  <c r="A730" i="1"/>
  <c r="F730" i="1"/>
  <c r="G730" i="1"/>
  <c r="I730" i="1"/>
  <c r="A731" i="1"/>
  <c r="F731" i="1"/>
  <c r="G731" i="1"/>
  <c r="I731" i="1"/>
  <c r="A732" i="1"/>
  <c r="F732" i="1"/>
  <c r="G732" i="1"/>
  <c r="I732" i="1"/>
  <c r="A733" i="1"/>
  <c r="F733" i="1"/>
  <c r="G733" i="1"/>
  <c r="I733" i="1"/>
  <c r="A734" i="1"/>
  <c r="F734" i="1"/>
  <c r="G734" i="1"/>
  <c r="I734" i="1"/>
  <c r="A735" i="1"/>
  <c r="F735" i="1"/>
  <c r="G735" i="1"/>
  <c r="I735" i="1"/>
  <c r="A736" i="1"/>
  <c r="F736" i="1"/>
  <c r="G736" i="1"/>
  <c r="I736" i="1"/>
  <c r="A737" i="1"/>
  <c r="F737" i="1"/>
  <c r="G737" i="1"/>
  <c r="I737" i="1"/>
  <c r="A738" i="1"/>
  <c r="F738" i="1"/>
  <c r="G738" i="1"/>
  <c r="I738" i="1"/>
  <c r="A739" i="1"/>
  <c r="F739" i="1"/>
  <c r="G739" i="1"/>
  <c r="I739" i="1"/>
  <c r="A740" i="1"/>
  <c r="F740" i="1"/>
  <c r="G740" i="1"/>
  <c r="I740" i="1"/>
  <c r="A741" i="1"/>
  <c r="F741" i="1"/>
  <c r="G741" i="1"/>
  <c r="I741" i="1"/>
  <c r="A742" i="1"/>
  <c r="F742" i="1"/>
  <c r="G742" i="1"/>
  <c r="I742" i="1"/>
  <c r="A743" i="1"/>
  <c r="F743" i="1"/>
  <c r="G743" i="1"/>
  <c r="I743" i="1"/>
  <c r="A744" i="1"/>
  <c r="F744" i="1"/>
  <c r="G744" i="1"/>
  <c r="I744" i="1"/>
  <c r="A745" i="1"/>
  <c r="F745" i="1"/>
  <c r="G745" i="1"/>
  <c r="I745" i="1"/>
  <c r="A746" i="1"/>
  <c r="F746" i="1"/>
  <c r="G746" i="1"/>
  <c r="I746" i="1"/>
  <c r="A747" i="1"/>
  <c r="F747" i="1"/>
  <c r="G747" i="1"/>
  <c r="I747" i="1"/>
  <c r="A748" i="1"/>
  <c r="F748" i="1"/>
  <c r="G748" i="1"/>
  <c r="I748" i="1"/>
  <c r="A749" i="1"/>
  <c r="F749" i="1"/>
  <c r="G749" i="1"/>
  <c r="I749" i="1"/>
  <c r="A750" i="1"/>
  <c r="F750" i="1"/>
  <c r="G750" i="1"/>
  <c r="I750" i="1"/>
  <c r="A751" i="1"/>
  <c r="F751" i="1"/>
  <c r="G751" i="1"/>
  <c r="I751" i="1"/>
  <c r="A752" i="1"/>
  <c r="F752" i="1"/>
  <c r="G752" i="1"/>
  <c r="I752" i="1"/>
  <c r="A753" i="1"/>
  <c r="F753" i="1"/>
  <c r="G753" i="1"/>
  <c r="I753" i="1"/>
  <c r="A754" i="1"/>
  <c r="F754" i="1"/>
  <c r="G754" i="1"/>
  <c r="I754" i="1"/>
  <c r="A755" i="1"/>
  <c r="F755" i="1"/>
  <c r="G755" i="1"/>
  <c r="I755" i="1"/>
  <c r="A756" i="1"/>
  <c r="F756" i="1"/>
  <c r="G756" i="1"/>
  <c r="I756" i="1"/>
  <c r="A757" i="1"/>
  <c r="F757" i="1"/>
  <c r="G757" i="1"/>
  <c r="I757" i="1"/>
  <c r="A758" i="1"/>
  <c r="F758" i="1"/>
  <c r="G758" i="1"/>
  <c r="I758" i="1"/>
  <c r="A759" i="1"/>
  <c r="F759" i="1"/>
  <c r="G759" i="1"/>
  <c r="I759" i="1"/>
  <c r="A760" i="1"/>
  <c r="F760" i="1"/>
  <c r="G760" i="1"/>
  <c r="I760" i="1"/>
  <c r="A761" i="1"/>
  <c r="F761" i="1"/>
  <c r="G761" i="1"/>
  <c r="I761" i="1"/>
  <c r="A762" i="1"/>
  <c r="F762" i="1"/>
  <c r="G762" i="1"/>
  <c r="I762" i="1"/>
  <c r="A763" i="1"/>
  <c r="F763" i="1"/>
  <c r="G763" i="1"/>
  <c r="I763" i="1"/>
  <c r="A764" i="1"/>
  <c r="F764" i="1"/>
  <c r="G764" i="1"/>
  <c r="I764" i="1"/>
  <c r="A765" i="1"/>
  <c r="F765" i="1"/>
  <c r="G765" i="1"/>
  <c r="I765" i="1"/>
  <c r="A766" i="1"/>
  <c r="F766" i="1"/>
  <c r="G766" i="1"/>
  <c r="I766" i="1"/>
  <c r="A767" i="1"/>
  <c r="F767" i="1"/>
  <c r="G767" i="1"/>
  <c r="I767" i="1"/>
  <c r="A768" i="1"/>
  <c r="F768" i="1"/>
  <c r="G768" i="1"/>
  <c r="I768" i="1"/>
  <c r="A769" i="1"/>
  <c r="F769" i="1"/>
  <c r="G769" i="1"/>
  <c r="I769" i="1"/>
  <c r="A770" i="1"/>
  <c r="F770" i="1"/>
  <c r="G770" i="1"/>
  <c r="I770" i="1"/>
  <c r="A771" i="1"/>
  <c r="F771" i="1"/>
  <c r="G771" i="1"/>
  <c r="I771" i="1"/>
  <c r="A772" i="1"/>
  <c r="F772" i="1"/>
  <c r="G772" i="1"/>
  <c r="I772" i="1"/>
  <c r="A773" i="1"/>
  <c r="F773" i="1"/>
  <c r="G773" i="1"/>
  <c r="I773" i="1"/>
  <c r="A774" i="1"/>
  <c r="F774" i="1"/>
  <c r="G774" i="1"/>
  <c r="I774" i="1"/>
  <c r="A775" i="1"/>
  <c r="F775" i="1"/>
  <c r="G775" i="1"/>
  <c r="I775" i="1"/>
  <c r="A776" i="1"/>
  <c r="F776" i="1"/>
  <c r="G776" i="1"/>
  <c r="I776" i="1"/>
  <c r="A777" i="1"/>
  <c r="F777" i="1"/>
  <c r="G777" i="1"/>
  <c r="I777" i="1"/>
  <c r="A778" i="1"/>
  <c r="F778" i="1"/>
  <c r="G778" i="1"/>
  <c r="I778" i="1"/>
  <c r="A779" i="1"/>
  <c r="F779" i="1"/>
  <c r="G779" i="1"/>
  <c r="I779" i="1"/>
  <c r="A780" i="1"/>
  <c r="F780" i="1"/>
  <c r="G780" i="1"/>
  <c r="I780" i="1"/>
  <c r="A781" i="1"/>
  <c r="F781" i="1"/>
  <c r="G781" i="1"/>
  <c r="I781" i="1"/>
  <c r="A782" i="1"/>
  <c r="F782" i="1"/>
  <c r="G782" i="1"/>
  <c r="I782" i="1"/>
  <c r="A783" i="1"/>
  <c r="F783" i="1"/>
  <c r="G783" i="1"/>
  <c r="I783" i="1"/>
  <c r="A784" i="1"/>
  <c r="F784" i="1"/>
  <c r="G784" i="1"/>
  <c r="I784" i="1"/>
  <c r="A785" i="1"/>
  <c r="F785" i="1"/>
  <c r="G785" i="1"/>
  <c r="I785" i="1"/>
  <c r="A786" i="1"/>
  <c r="F786" i="1"/>
  <c r="G786" i="1"/>
  <c r="I786" i="1"/>
  <c r="A787" i="1"/>
  <c r="F787" i="1"/>
  <c r="G787" i="1"/>
  <c r="I787" i="1"/>
  <c r="A788" i="1"/>
  <c r="F788" i="1"/>
  <c r="G788" i="1"/>
  <c r="I788" i="1"/>
  <c r="A789" i="1"/>
  <c r="F789" i="1"/>
  <c r="G789" i="1"/>
  <c r="I789" i="1"/>
  <c r="A790" i="1"/>
  <c r="F790" i="1"/>
  <c r="G790" i="1"/>
  <c r="I790" i="1"/>
  <c r="A791" i="1"/>
  <c r="F791" i="1"/>
  <c r="G791" i="1"/>
  <c r="I791" i="1"/>
  <c r="A792" i="1"/>
  <c r="F792" i="1"/>
  <c r="G792" i="1"/>
  <c r="I792" i="1"/>
  <c r="A793" i="1"/>
  <c r="F793" i="1"/>
  <c r="G793" i="1"/>
  <c r="I793" i="1"/>
  <c r="A794" i="1"/>
  <c r="F794" i="1"/>
  <c r="G794" i="1"/>
  <c r="I794" i="1"/>
  <c r="A795" i="1"/>
  <c r="F795" i="1"/>
  <c r="G795" i="1"/>
  <c r="I795" i="1"/>
  <c r="A796" i="1"/>
  <c r="F796" i="1"/>
  <c r="G796" i="1"/>
  <c r="I796" i="1"/>
  <c r="A797" i="1"/>
  <c r="F797" i="1"/>
  <c r="G797" i="1"/>
  <c r="I797" i="1"/>
  <c r="A798" i="1"/>
  <c r="F798" i="1"/>
  <c r="G798" i="1"/>
  <c r="I798" i="1"/>
  <c r="A799" i="1"/>
  <c r="F799" i="1"/>
  <c r="G799" i="1"/>
  <c r="I799" i="1"/>
  <c r="A800" i="1"/>
  <c r="H800" i="1"/>
  <c r="I800" i="1"/>
  <c r="J800" i="1"/>
  <c r="A801" i="1"/>
  <c r="F801" i="1"/>
  <c r="G801" i="1"/>
  <c r="I801" i="1"/>
  <c r="A802" i="1"/>
  <c r="F802" i="1"/>
  <c r="G802" i="1"/>
  <c r="I802" i="1"/>
  <c r="A803" i="1"/>
  <c r="F803" i="1"/>
  <c r="G803" i="1"/>
  <c r="I803" i="1"/>
  <c r="A804" i="1"/>
  <c r="F804" i="1"/>
  <c r="G804" i="1"/>
  <c r="I804" i="1"/>
  <c r="A805" i="1"/>
  <c r="F805" i="1"/>
  <c r="G805" i="1"/>
  <c r="I805" i="1"/>
  <c r="A806" i="1"/>
  <c r="F806" i="1"/>
  <c r="G806" i="1"/>
  <c r="I806" i="1"/>
  <c r="A807" i="1"/>
  <c r="F807" i="1"/>
  <c r="G807" i="1"/>
  <c r="I807" i="1"/>
  <c r="A808" i="1"/>
  <c r="H808" i="1"/>
  <c r="I808" i="1"/>
  <c r="J808" i="1"/>
  <c r="A809" i="1"/>
  <c r="F809" i="1"/>
  <c r="G809" i="1"/>
  <c r="I809" i="1"/>
  <c r="A810" i="1"/>
  <c r="F810" i="1"/>
  <c r="G810" i="1"/>
  <c r="I810" i="1"/>
  <c r="A811" i="1"/>
  <c r="F811" i="1"/>
  <c r="G811" i="1"/>
  <c r="I811" i="1"/>
  <c r="A812" i="1"/>
  <c r="F812" i="1"/>
  <c r="G812" i="1"/>
  <c r="I812" i="1"/>
  <c r="A813" i="1"/>
  <c r="F813" i="1"/>
  <c r="G813" i="1"/>
  <c r="I813" i="1"/>
  <c r="A814" i="1"/>
  <c r="F814" i="1"/>
  <c r="G814" i="1"/>
  <c r="I814" i="1"/>
  <c r="A815" i="1"/>
  <c r="F815" i="1"/>
  <c r="G815" i="1"/>
  <c r="I815" i="1"/>
  <c r="A816" i="1"/>
  <c r="F816" i="1"/>
  <c r="G816" i="1"/>
  <c r="I816" i="1"/>
  <c r="A817" i="1"/>
  <c r="F817" i="1"/>
  <c r="G817" i="1"/>
  <c r="I817" i="1"/>
  <c r="A818" i="1"/>
  <c r="F818" i="1"/>
  <c r="G818" i="1"/>
  <c r="I818" i="1"/>
  <c r="A819" i="1"/>
  <c r="F819" i="1"/>
  <c r="G819" i="1"/>
  <c r="I819" i="1"/>
  <c r="A820" i="1"/>
  <c r="F820" i="1"/>
  <c r="G820" i="1"/>
  <c r="I820" i="1"/>
  <c r="A821" i="1"/>
  <c r="F821" i="1"/>
  <c r="G821" i="1"/>
  <c r="I821" i="1"/>
  <c r="A822" i="1"/>
  <c r="F822" i="1"/>
  <c r="G822" i="1"/>
  <c r="I822" i="1"/>
  <c r="A823" i="1"/>
  <c r="F823" i="1"/>
  <c r="G823" i="1"/>
  <c r="I823" i="1"/>
  <c r="A824" i="1"/>
  <c r="F824" i="1"/>
  <c r="G824" i="1"/>
  <c r="I824" i="1"/>
  <c r="A825" i="1"/>
  <c r="F825" i="1"/>
  <c r="G825" i="1"/>
  <c r="I825" i="1"/>
  <c r="A826" i="1"/>
  <c r="H826" i="1"/>
  <c r="I826" i="1"/>
  <c r="J826" i="1"/>
  <c r="A827" i="1"/>
  <c r="F827" i="1"/>
  <c r="G827" i="1"/>
  <c r="I827" i="1"/>
  <c r="A828" i="1"/>
  <c r="F828" i="1"/>
  <c r="G828" i="1"/>
  <c r="I828" i="1"/>
  <c r="A829" i="1"/>
  <c r="F829" i="1"/>
  <c r="G829" i="1"/>
  <c r="I829" i="1"/>
  <c r="A830" i="1"/>
  <c r="F830" i="1"/>
  <c r="G830" i="1"/>
  <c r="I830" i="1"/>
  <c r="A831" i="1"/>
  <c r="F831" i="1"/>
  <c r="G831" i="1"/>
  <c r="I831" i="1"/>
  <c r="A832" i="1"/>
  <c r="F832" i="1"/>
  <c r="G832" i="1"/>
  <c r="I832" i="1"/>
  <c r="A833" i="1"/>
  <c r="F833" i="1"/>
  <c r="G833" i="1"/>
  <c r="I833" i="1"/>
  <c r="A834" i="1"/>
  <c r="F834" i="1"/>
  <c r="G834" i="1"/>
  <c r="I834" i="1"/>
  <c r="A835" i="1"/>
  <c r="F835" i="1"/>
  <c r="G835" i="1"/>
  <c r="I835" i="1"/>
  <c r="A836" i="1"/>
  <c r="F836" i="1"/>
  <c r="G836" i="1"/>
  <c r="I836" i="1"/>
  <c r="A837" i="1"/>
  <c r="F837" i="1"/>
  <c r="G837" i="1"/>
  <c r="I837" i="1"/>
  <c r="A838" i="1"/>
  <c r="F838" i="1"/>
  <c r="G838" i="1"/>
  <c r="I838" i="1"/>
  <c r="A839" i="1"/>
  <c r="F839" i="1"/>
  <c r="G839" i="1"/>
  <c r="I839" i="1"/>
  <c r="A840" i="1"/>
  <c r="F840" i="1"/>
  <c r="G840" i="1"/>
  <c r="I840" i="1"/>
  <c r="A841" i="1"/>
  <c r="F841" i="1"/>
  <c r="G841" i="1"/>
  <c r="I841" i="1"/>
  <c r="A842" i="1"/>
  <c r="F842" i="1"/>
  <c r="G842" i="1"/>
  <c r="I842" i="1"/>
  <c r="A843" i="1"/>
  <c r="F843" i="1"/>
  <c r="G843" i="1"/>
  <c r="I843" i="1"/>
  <c r="A844" i="1"/>
  <c r="F844" i="1"/>
  <c r="G844" i="1"/>
  <c r="I844" i="1"/>
  <c r="A845" i="1"/>
  <c r="F845" i="1"/>
  <c r="G845" i="1"/>
  <c r="I845" i="1"/>
  <c r="A846" i="1"/>
  <c r="F846" i="1"/>
  <c r="G846" i="1"/>
  <c r="I846" i="1"/>
  <c r="A847" i="1"/>
  <c r="F847" i="1"/>
  <c r="G847" i="1"/>
  <c r="I847" i="1"/>
  <c r="A848" i="1"/>
  <c r="F848" i="1"/>
  <c r="G848" i="1"/>
  <c r="I848" i="1"/>
  <c r="A849" i="1"/>
  <c r="F849" i="1"/>
  <c r="G849" i="1"/>
  <c r="I849" i="1"/>
  <c r="A850" i="1"/>
  <c r="F850" i="1"/>
  <c r="G850" i="1"/>
  <c r="I850" i="1"/>
  <c r="A851" i="1"/>
  <c r="F851" i="1"/>
  <c r="G851" i="1"/>
  <c r="I851" i="1"/>
  <c r="A852" i="1"/>
  <c r="F852" i="1"/>
  <c r="G852" i="1"/>
  <c r="I852" i="1"/>
  <c r="A853" i="1"/>
  <c r="F853" i="1"/>
  <c r="G853" i="1"/>
  <c r="I853" i="1"/>
  <c r="A854" i="1"/>
  <c r="F854" i="1"/>
  <c r="G854" i="1"/>
  <c r="I854" i="1"/>
  <c r="A855" i="1"/>
  <c r="F855" i="1"/>
  <c r="G855" i="1"/>
  <c r="I855" i="1"/>
  <c r="A856" i="1"/>
  <c r="F856" i="1"/>
  <c r="G856" i="1"/>
  <c r="I856" i="1"/>
  <c r="A857" i="1"/>
  <c r="F857" i="1"/>
  <c r="G857" i="1"/>
  <c r="I857" i="1"/>
  <c r="A858" i="1"/>
  <c r="F858" i="1"/>
  <c r="G858" i="1"/>
  <c r="I858" i="1"/>
  <c r="A859" i="1"/>
  <c r="F859" i="1"/>
  <c r="G859" i="1"/>
  <c r="I859" i="1"/>
  <c r="A860" i="1"/>
  <c r="F860" i="1"/>
  <c r="G860" i="1"/>
  <c r="I860" i="1"/>
  <c r="A861" i="1"/>
  <c r="F861" i="1"/>
  <c r="G861" i="1"/>
  <c r="I861" i="1"/>
  <c r="A862" i="1"/>
  <c r="F862" i="1"/>
  <c r="G862" i="1"/>
  <c r="I862" i="1"/>
  <c r="A863" i="1"/>
  <c r="F863" i="1"/>
  <c r="G863" i="1"/>
  <c r="I863" i="1"/>
  <c r="A864" i="1"/>
  <c r="F864" i="1"/>
  <c r="G864" i="1"/>
  <c r="I864" i="1"/>
  <c r="A865" i="1"/>
  <c r="F865" i="1"/>
  <c r="G865" i="1"/>
  <c r="I865" i="1"/>
  <c r="A866" i="1"/>
  <c r="F866" i="1"/>
  <c r="G866" i="1"/>
  <c r="I866" i="1"/>
  <c r="A867" i="1"/>
  <c r="F867" i="1"/>
  <c r="G867" i="1"/>
  <c r="I867" i="1"/>
  <c r="A868" i="1"/>
  <c r="F868" i="1"/>
  <c r="G868" i="1"/>
  <c r="I868" i="1"/>
  <c r="A869" i="1"/>
  <c r="F869" i="1"/>
  <c r="G869" i="1"/>
  <c r="I869" i="1"/>
  <c r="A870" i="1"/>
  <c r="F870" i="1"/>
  <c r="G870" i="1"/>
  <c r="I870" i="1"/>
  <c r="A871" i="1"/>
  <c r="F871" i="1"/>
  <c r="G871" i="1"/>
  <c r="I871" i="1"/>
  <c r="A872" i="1"/>
  <c r="F872" i="1"/>
  <c r="G872" i="1"/>
  <c r="I872" i="1"/>
  <c r="A873" i="1"/>
  <c r="F873" i="1"/>
  <c r="G873" i="1"/>
  <c r="I873" i="1"/>
  <c r="A874" i="1"/>
  <c r="F874" i="1"/>
  <c r="G874" i="1"/>
  <c r="I874" i="1"/>
  <c r="A875" i="1"/>
  <c r="F875" i="1"/>
  <c r="G875" i="1"/>
  <c r="I875" i="1"/>
  <c r="A876" i="1"/>
  <c r="F876" i="1"/>
  <c r="G876" i="1"/>
  <c r="I876" i="1"/>
  <c r="A877" i="1"/>
  <c r="F877" i="1"/>
  <c r="G877" i="1"/>
  <c r="I877" i="1"/>
  <c r="A878" i="1"/>
  <c r="F878" i="1"/>
  <c r="G878" i="1"/>
  <c r="I878" i="1"/>
  <c r="A879" i="1"/>
  <c r="F879" i="1"/>
  <c r="G879" i="1"/>
  <c r="I879" i="1"/>
  <c r="A880" i="1"/>
  <c r="F880" i="1"/>
  <c r="G880" i="1"/>
  <c r="I880" i="1"/>
  <c r="A881" i="1"/>
  <c r="F881" i="1"/>
  <c r="G881" i="1"/>
  <c r="I881" i="1"/>
  <c r="A882" i="1"/>
  <c r="F882" i="1"/>
  <c r="G882" i="1"/>
  <c r="I882" i="1"/>
  <c r="A883" i="1"/>
  <c r="F883" i="1"/>
  <c r="G883" i="1"/>
  <c r="I883" i="1"/>
  <c r="A884" i="1"/>
  <c r="F884" i="1"/>
  <c r="G884" i="1"/>
  <c r="I884" i="1"/>
  <c r="A885" i="1"/>
  <c r="F885" i="1"/>
  <c r="G885" i="1"/>
  <c r="I885" i="1"/>
  <c r="A886" i="1"/>
  <c r="F886" i="1"/>
  <c r="G886" i="1"/>
  <c r="I886" i="1"/>
  <c r="A887" i="1"/>
  <c r="F887" i="1"/>
  <c r="G887" i="1"/>
  <c r="I887" i="1"/>
  <c r="A888" i="1"/>
  <c r="F888" i="1"/>
  <c r="G888" i="1"/>
  <c r="I888" i="1"/>
  <c r="A889" i="1"/>
  <c r="F889" i="1"/>
  <c r="G889" i="1"/>
  <c r="I889" i="1"/>
  <c r="A890" i="1"/>
  <c r="F890" i="1"/>
  <c r="G890" i="1"/>
  <c r="I890" i="1"/>
  <c r="A891" i="1"/>
  <c r="F891" i="1"/>
  <c r="G891" i="1"/>
  <c r="I891" i="1"/>
  <c r="A892" i="1"/>
  <c r="F892" i="1"/>
  <c r="G892" i="1"/>
  <c r="I892" i="1"/>
  <c r="A893" i="1"/>
  <c r="F893" i="1"/>
  <c r="G893" i="1"/>
  <c r="I893" i="1"/>
  <c r="A894" i="1"/>
  <c r="F894" i="1"/>
  <c r="G894" i="1"/>
  <c r="I894" i="1"/>
  <c r="A895" i="1"/>
  <c r="F895" i="1"/>
  <c r="G895" i="1"/>
  <c r="I895" i="1"/>
  <c r="A896" i="1"/>
  <c r="F896" i="1"/>
  <c r="G896" i="1"/>
  <c r="I896" i="1"/>
  <c r="A897" i="1"/>
  <c r="F897" i="1"/>
  <c r="G897" i="1"/>
  <c r="I897" i="1"/>
  <c r="A898" i="1"/>
  <c r="F898" i="1"/>
  <c r="G898" i="1"/>
  <c r="I898" i="1"/>
  <c r="A899" i="1"/>
  <c r="F899" i="1"/>
  <c r="G899" i="1"/>
  <c r="I899" i="1"/>
  <c r="A900" i="1"/>
  <c r="F900" i="1"/>
  <c r="G900" i="1"/>
  <c r="I900" i="1"/>
  <c r="A901" i="1"/>
  <c r="F901" i="1"/>
  <c r="G901" i="1"/>
  <c r="I901" i="1"/>
  <c r="A902" i="1"/>
  <c r="F902" i="1"/>
  <c r="G902" i="1"/>
  <c r="I902" i="1"/>
  <c r="A903" i="1"/>
  <c r="F903" i="1"/>
  <c r="G903" i="1"/>
  <c r="I903" i="1"/>
  <c r="A904" i="1"/>
  <c r="F904" i="1"/>
  <c r="G904" i="1"/>
  <c r="I904" i="1"/>
  <c r="A905" i="1"/>
  <c r="F905" i="1"/>
  <c r="G905" i="1"/>
  <c r="I905" i="1"/>
  <c r="A906" i="1"/>
  <c r="F906" i="1"/>
  <c r="G906" i="1"/>
  <c r="I906" i="1"/>
  <c r="A907" i="1"/>
  <c r="F907" i="1"/>
  <c r="G907" i="1"/>
  <c r="I907" i="1"/>
  <c r="A908" i="1"/>
  <c r="F908" i="1"/>
  <c r="G908" i="1"/>
  <c r="I908" i="1"/>
  <c r="A909" i="1"/>
  <c r="F909" i="1"/>
  <c r="G909" i="1"/>
  <c r="I909" i="1"/>
  <c r="A910" i="1"/>
  <c r="F910" i="1"/>
  <c r="G910" i="1"/>
  <c r="I910" i="1"/>
  <c r="A911" i="1"/>
  <c r="F911" i="1"/>
  <c r="G911" i="1"/>
  <c r="I911" i="1"/>
  <c r="A912" i="1"/>
  <c r="F912" i="1"/>
  <c r="G912" i="1"/>
  <c r="I912" i="1"/>
  <c r="A913" i="1"/>
  <c r="F913" i="1"/>
  <c r="G913" i="1"/>
  <c r="I913" i="1"/>
  <c r="A914" i="1"/>
  <c r="F914" i="1"/>
  <c r="G914" i="1"/>
  <c r="I914" i="1"/>
  <c r="A915" i="1"/>
  <c r="F915" i="1"/>
  <c r="G915" i="1"/>
  <c r="I915" i="1"/>
  <c r="A916" i="1"/>
  <c r="F916" i="1"/>
  <c r="G916" i="1"/>
  <c r="I916" i="1"/>
  <c r="A917" i="1"/>
  <c r="F917" i="1"/>
  <c r="G917" i="1"/>
  <c r="I917" i="1"/>
  <c r="A918" i="1"/>
  <c r="F918" i="1"/>
  <c r="G918" i="1"/>
  <c r="I918" i="1"/>
  <c r="A919" i="1"/>
  <c r="F919" i="1"/>
  <c r="G919" i="1"/>
  <c r="I919" i="1"/>
  <c r="A920" i="1"/>
  <c r="F920" i="1"/>
  <c r="G920" i="1"/>
  <c r="I920" i="1"/>
  <c r="A921" i="1"/>
  <c r="F921" i="1"/>
  <c r="G921" i="1"/>
  <c r="I921" i="1"/>
  <c r="A922" i="1"/>
  <c r="F922" i="1"/>
  <c r="G922" i="1"/>
  <c r="I922" i="1"/>
  <c r="A923" i="1"/>
  <c r="F923" i="1"/>
  <c r="G923" i="1"/>
  <c r="I923" i="1"/>
  <c r="A924" i="1"/>
  <c r="F924" i="1"/>
  <c r="G924" i="1"/>
  <c r="I924" i="1"/>
  <c r="A925" i="1"/>
  <c r="F925" i="1"/>
  <c r="G925" i="1"/>
  <c r="I925" i="1"/>
  <c r="A926" i="1"/>
  <c r="F926" i="1"/>
  <c r="G926" i="1"/>
  <c r="I926" i="1"/>
  <c r="A927" i="1"/>
  <c r="F927" i="1"/>
  <c r="G927" i="1"/>
  <c r="I927" i="1"/>
  <c r="A928" i="1"/>
  <c r="F928" i="1"/>
  <c r="G928" i="1"/>
  <c r="I928" i="1"/>
  <c r="A929" i="1"/>
  <c r="F929" i="1"/>
  <c r="G929" i="1"/>
  <c r="I929" i="1"/>
  <c r="A930" i="1"/>
  <c r="F930" i="1"/>
  <c r="G930" i="1"/>
  <c r="I930" i="1"/>
  <c r="A931" i="1"/>
  <c r="F931" i="1"/>
  <c r="G931" i="1"/>
  <c r="I931" i="1"/>
  <c r="A932" i="1"/>
  <c r="F932" i="1"/>
  <c r="G932" i="1"/>
  <c r="I932" i="1"/>
  <c r="A933" i="1"/>
  <c r="F933" i="1"/>
  <c r="G933" i="1"/>
  <c r="I933" i="1"/>
  <c r="A934" i="1"/>
  <c r="F934" i="1"/>
  <c r="G934" i="1"/>
  <c r="I934" i="1"/>
  <c r="A935" i="1"/>
  <c r="F935" i="1"/>
  <c r="G935" i="1"/>
  <c r="I935" i="1"/>
  <c r="A936" i="1"/>
  <c r="F936" i="1"/>
  <c r="G936" i="1"/>
  <c r="I936" i="1"/>
  <c r="A937" i="1"/>
  <c r="F937" i="1"/>
  <c r="G937" i="1"/>
  <c r="I937" i="1"/>
  <c r="A938" i="1"/>
  <c r="F938" i="1"/>
  <c r="G938" i="1"/>
  <c r="I938" i="1"/>
  <c r="A939" i="1"/>
  <c r="F939" i="1"/>
  <c r="G939" i="1"/>
  <c r="I939" i="1"/>
  <c r="A940" i="1"/>
  <c r="F940" i="1"/>
  <c r="G940" i="1"/>
  <c r="I940" i="1"/>
  <c r="A941" i="1"/>
  <c r="F941" i="1"/>
  <c r="G941" i="1"/>
  <c r="I941" i="1"/>
  <c r="A942" i="1"/>
  <c r="F942" i="1"/>
  <c r="G942" i="1"/>
  <c r="I942" i="1"/>
  <c r="A943" i="1"/>
  <c r="F943" i="1"/>
  <c r="G943" i="1"/>
  <c r="I943" i="1"/>
  <c r="A944" i="1"/>
  <c r="F944" i="1"/>
  <c r="G944" i="1"/>
  <c r="I944" i="1"/>
  <c r="A945" i="1"/>
  <c r="F945" i="1"/>
  <c r="G945" i="1"/>
  <c r="I945" i="1"/>
  <c r="A946" i="1"/>
  <c r="F946" i="1"/>
  <c r="G946" i="1"/>
  <c r="I946" i="1"/>
  <c r="A947" i="1"/>
  <c r="F947" i="1"/>
  <c r="G947" i="1"/>
  <c r="I947" i="1"/>
  <c r="A948" i="1"/>
  <c r="F948" i="1"/>
  <c r="G948" i="1"/>
  <c r="I948" i="1"/>
  <c r="A949" i="1"/>
  <c r="F949" i="1"/>
  <c r="G949" i="1"/>
  <c r="I949" i="1"/>
  <c r="A950" i="1"/>
  <c r="F950" i="1"/>
  <c r="G950" i="1"/>
  <c r="I950" i="1"/>
  <c r="A951" i="1"/>
  <c r="F951" i="1"/>
  <c r="G951" i="1"/>
  <c r="I951" i="1"/>
  <c r="A952" i="1"/>
  <c r="F952" i="1"/>
  <c r="G952" i="1"/>
  <c r="I952" i="1"/>
  <c r="A953" i="1"/>
  <c r="F953" i="1"/>
  <c r="G953" i="1"/>
  <c r="I953" i="1"/>
  <c r="A954" i="1"/>
  <c r="F954" i="1"/>
  <c r="G954" i="1"/>
  <c r="I954" i="1"/>
  <c r="A955" i="1"/>
  <c r="F955" i="1"/>
  <c r="G955" i="1"/>
  <c r="I955" i="1"/>
  <c r="A956" i="1"/>
  <c r="F956" i="1"/>
  <c r="G956" i="1"/>
  <c r="I956" i="1"/>
  <c r="A957" i="1"/>
  <c r="F957" i="1"/>
  <c r="G957" i="1"/>
  <c r="I957" i="1"/>
  <c r="A958" i="1"/>
  <c r="F958" i="1"/>
  <c r="G958" i="1"/>
  <c r="I958" i="1"/>
  <c r="A959" i="1"/>
  <c r="F959" i="1"/>
  <c r="G959" i="1"/>
  <c r="I959" i="1"/>
  <c r="A960" i="1"/>
  <c r="F960" i="1"/>
  <c r="G960" i="1"/>
  <c r="I960" i="1"/>
  <c r="A961" i="1"/>
  <c r="F961" i="1"/>
  <c r="G961" i="1"/>
  <c r="I961" i="1"/>
  <c r="A962" i="1"/>
  <c r="F962" i="1"/>
  <c r="G962" i="1"/>
  <c r="I962" i="1"/>
  <c r="A963" i="1"/>
  <c r="F963" i="1"/>
  <c r="G963" i="1"/>
  <c r="I963" i="1"/>
  <c r="A964" i="1"/>
  <c r="F964" i="1"/>
  <c r="G964" i="1"/>
  <c r="I964" i="1"/>
  <c r="A965" i="1"/>
  <c r="F965" i="1"/>
  <c r="G965" i="1"/>
  <c r="I965" i="1"/>
  <c r="A966" i="1"/>
  <c r="F966" i="1"/>
  <c r="G966" i="1"/>
  <c r="I966" i="1"/>
  <c r="A967" i="1"/>
  <c r="F967" i="1"/>
  <c r="G967" i="1"/>
  <c r="I967" i="1"/>
  <c r="A968" i="1"/>
  <c r="F968" i="1"/>
  <c r="G968" i="1"/>
  <c r="I968" i="1"/>
  <c r="A969" i="1"/>
  <c r="F969" i="1"/>
  <c r="G969" i="1"/>
  <c r="I969" i="1"/>
  <c r="A970" i="1"/>
  <c r="F970" i="1"/>
  <c r="G970" i="1"/>
  <c r="I970" i="1"/>
  <c r="A971" i="1"/>
  <c r="F971" i="1"/>
  <c r="G971" i="1"/>
  <c r="I971" i="1"/>
  <c r="A972" i="1"/>
  <c r="F972" i="1"/>
  <c r="G972" i="1"/>
  <c r="I972" i="1"/>
  <c r="A973" i="1"/>
  <c r="F973" i="1"/>
  <c r="G973" i="1"/>
  <c r="I973" i="1"/>
  <c r="A974" i="1"/>
  <c r="F974" i="1"/>
  <c r="G974" i="1"/>
  <c r="I974" i="1"/>
  <c r="A975" i="1"/>
  <c r="F975" i="1"/>
  <c r="G975" i="1"/>
  <c r="I975" i="1"/>
  <c r="A976" i="1"/>
  <c r="F976" i="1"/>
  <c r="G976" i="1"/>
  <c r="I976" i="1"/>
  <c r="A977" i="1"/>
  <c r="F977" i="1"/>
  <c r="G977" i="1"/>
  <c r="I977" i="1"/>
  <c r="A978" i="1"/>
  <c r="F978" i="1"/>
  <c r="G978" i="1"/>
  <c r="I978" i="1"/>
  <c r="A979" i="1"/>
  <c r="F979" i="1"/>
  <c r="G979" i="1"/>
  <c r="I979" i="1"/>
  <c r="A980" i="1"/>
  <c r="F980" i="1"/>
  <c r="G980" i="1"/>
  <c r="I980" i="1"/>
  <c r="A981" i="1"/>
  <c r="F981" i="1"/>
  <c r="G981" i="1"/>
  <c r="I981" i="1"/>
  <c r="A982" i="1"/>
  <c r="F982" i="1"/>
  <c r="G982" i="1"/>
  <c r="I982" i="1"/>
  <c r="A983" i="1"/>
  <c r="F983" i="1"/>
  <c r="G983" i="1"/>
  <c r="I983" i="1"/>
  <c r="A984" i="1"/>
  <c r="F984" i="1"/>
  <c r="G984" i="1"/>
  <c r="I984" i="1"/>
  <c r="A985" i="1"/>
  <c r="F985" i="1"/>
  <c r="G985" i="1"/>
  <c r="I985" i="1"/>
  <c r="A986" i="1"/>
  <c r="F986" i="1"/>
  <c r="G986" i="1"/>
  <c r="I986" i="1"/>
  <c r="A987" i="1"/>
  <c r="F987" i="1"/>
  <c r="G987" i="1"/>
  <c r="I987" i="1"/>
  <c r="A988" i="1"/>
  <c r="F988" i="1"/>
  <c r="G988" i="1"/>
  <c r="I988" i="1"/>
  <c r="A989" i="1"/>
  <c r="F989" i="1"/>
  <c r="G989" i="1"/>
  <c r="I989" i="1"/>
  <c r="A990" i="1"/>
  <c r="F990" i="1"/>
  <c r="G990" i="1"/>
  <c r="I990" i="1"/>
  <c r="A991" i="1"/>
  <c r="F991" i="1"/>
  <c r="G991" i="1"/>
  <c r="I991" i="1"/>
  <c r="A992" i="1"/>
  <c r="F992" i="1"/>
  <c r="G992" i="1"/>
  <c r="I992" i="1"/>
  <c r="A993" i="1"/>
  <c r="F993" i="1"/>
  <c r="G993" i="1"/>
  <c r="I993" i="1"/>
  <c r="A994" i="1"/>
  <c r="F994" i="1"/>
  <c r="G994" i="1"/>
  <c r="I994" i="1"/>
  <c r="A995" i="1"/>
  <c r="F995" i="1"/>
  <c r="G995" i="1"/>
  <c r="I995" i="1"/>
  <c r="A996" i="1"/>
  <c r="F996" i="1"/>
  <c r="G996" i="1"/>
  <c r="I996" i="1"/>
  <c r="A997" i="1"/>
  <c r="F997" i="1"/>
  <c r="G997" i="1"/>
  <c r="I997" i="1"/>
  <c r="A998" i="1"/>
  <c r="F998" i="1"/>
  <c r="G998" i="1"/>
  <c r="I998" i="1"/>
  <c r="A999" i="1"/>
  <c r="F999" i="1"/>
  <c r="G999" i="1"/>
  <c r="I999" i="1"/>
  <c r="A1000" i="1"/>
  <c r="F1000" i="1"/>
  <c r="G1000" i="1"/>
  <c r="I1000" i="1"/>
  <c r="A1001" i="1"/>
  <c r="F1001" i="1"/>
  <c r="G1001" i="1"/>
  <c r="I1001" i="1"/>
  <c r="A1002" i="1"/>
  <c r="F1002" i="1"/>
  <c r="G1002" i="1"/>
  <c r="I1002" i="1"/>
  <c r="A1003" i="1"/>
  <c r="F1003" i="1"/>
  <c r="G1003" i="1"/>
  <c r="I1003" i="1"/>
  <c r="A1004" i="1"/>
  <c r="F1004" i="1"/>
  <c r="G1004" i="1"/>
  <c r="I1004" i="1"/>
  <c r="A1005" i="1"/>
  <c r="F1005" i="1"/>
  <c r="G1005" i="1"/>
  <c r="I1005" i="1"/>
  <c r="A1006" i="1"/>
  <c r="F1006" i="1"/>
  <c r="G1006" i="1"/>
  <c r="I1006" i="1"/>
  <c r="A1007" i="1"/>
  <c r="F1007" i="1"/>
  <c r="G1007" i="1"/>
  <c r="I1007" i="1"/>
  <c r="A1008" i="1"/>
  <c r="F1008" i="1"/>
  <c r="G1008" i="1"/>
  <c r="I1008" i="1"/>
  <c r="A1009" i="1"/>
  <c r="F1009" i="1"/>
  <c r="G1009" i="1"/>
  <c r="I1009" i="1"/>
  <c r="A1010" i="1"/>
  <c r="F1010" i="1"/>
  <c r="G1010" i="1"/>
  <c r="I1010" i="1"/>
  <c r="A1011" i="1"/>
  <c r="F1011" i="1"/>
  <c r="G1011" i="1"/>
  <c r="I1011" i="1"/>
  <c r="A1012" i="1"/>
  <c r="F1012" i="1"/>
  <c r="G1012" i="1"/>
  <c r="I1012" i="1"/>
  <c r="A1013" i="1"/>
  <c r="F1013" i="1"/>
  <c r="G1013" i="1"/>
  <c r="I1013" i="1"/>
  <c r="A1014" i="1"/>
  <c r="F1014" i="1"/>
  <c r="G1014" i="1"/>
  <c r="I1014" i="1"/>
  <c r="A1015" i="1"/>
  <c r="F1015" i="1"/>
  <c r="G1015" i="1"/>
  <c r="I1015" i="1"/>
  <c r="A1016" i="1"/>
  <c r="F1016" i="1"/>
  <c r="G1016" i="1"/>
  <c r="I1016" i="1"/>
  <c r="A1017" i="1"/>
  <c r="F1017" i="1"/>
  <c r="G1017" i="1"/>
  <c r="I1017" i="1"/>
  <c r="A1018" i="1"/>
  <c r="F1018" i="1"/>
  <c r="G1018" i="1"/>
  <c r="I1018" i="1"/>
  <c r="A1019" i="1"/>
  <c r="F1019" i="1"/>
  <c r="G1019" i="1"/>
  <c r="I1019" i="1"/>
  <c r="A1020" i="1"/>
  <c r="F1020" i="1"/>
  <c r="G1020" i="1"/>
  <c r="I1020" i="1"/>
  <c r="A1021" i="1"/>
  <c r="F1021" i="1"/>
  <c r="G1021" i="1"/>
  <c r="I1021" i="1"/>
  <c r="A1022" i="1"/>
  <c r="F1022" i="1"/>
  <c r="G1022" i="1"/>
  <c r="I1022" i="1"/>
  <c r="A1023" i="1"/>
  <c r="F1023" i="1"/>
  <c r="G1023" i="1"/>
  <c r="I1023" i="1"/>
  <c r="A1024" i="1"/>
  <c r="F1024" i="1"/>
  <c r="G1024" i="1"/>
  <c r="I1024" i="1"/>
  <c r="A1025" i="1"/>
  <c r="F1025" i="1"/>
  <c r="G1025" i="1"/>
  <c r="I1025" i="1"/>
  <c r="A1026" i="1"/>
  <c r="F1026" i="1"/>
  <c r="G1026" i="1"/>
  <c r="I1026" i="1"/>
  <c r="A1027" i="1"/>
  <c r="F1027" i="1"/>
  <c r="G1027" i="1"/>
  <c r="I1027" i="1"/>
  <c r="A1028" i="1"/>
  <c r="F1028" i="1"/>
  <c r="G1028" i="1"/>
  <c r="I1028" i="1"/>
  <c r="A1029" i="1"/>
  <c r="F1029" i="1"/>
  <c r="G1029" i="1"/>
  <c r="I1029" i="1"/>
  <c r="A1030" i="1"/>
  <c r="F1030" i="1"/>
  <c r="G1030" i="1"/>
  <c r="I1030" i="1"/>
  <c r="A1031" i="1"/>
  <c r="F1031" i="1"/>
  <c r="G1031" i="1"/>
  <c r="I1031" i="1"/>
  <c r="A1032" i="1"/>
  <c r="F1032" i="1"/>
  <c r="G1032" i="1"/>
  <c r="I1032" i="1"/>
  <c r="A1033" i="1"/>
  <c r="F1033" i="1"/>
  <c r="G1033" i="1"/>
  <c r="I1033" i="1"/>
  <c r="A1034" i="1"/>
  <c r="F1034" i="1"/>
  <c r="G1034" i="1"/>
  <c r="I1034" i="1"/>
  <c r="A1035" i="1"/>
  <c r="F1035" i="1"/>
  <c r="G1035" i="1"/>
  <c r="I1035" i="1"/>
  <c r="A1036" i="1"/>
  <c r="F1036" i="1"/>
  <c r="G1036" i="1"/>
  <c r="I1036" i="1"/>
  <c r="A1037" i="1"/>
  <c r="F1037" i="1"/>
  <c r="G1037" i="1"/>
  <c r="I1037" i="1"/>
  <c r="A1038" i="1"/>
  <c r="F1038" i="1"/>
  <c r="G1038" i="1"/>
  <c r="I1038" i="1"/>
  <c r="A1039" i="1"/>
  <c r="F1039" i="1"/>
  <c r="G1039" i="1"/>
  <c r="I1039" i="1"/>
  <c r="A1040" i="1"/>
  <c r="F1040" i="1"/>
  <c r="G1040" i="1"/>
  <c r="I1040" i="1"/>
  <c r="A1041" i="1"/>
  <c r="F1041" i="1"/>
  <c r="G1041" i="1"/>
  <c r="I1041" i="1"/>
  <c r="A1042" i="1"/>
  <c r="F1042" i="1"/>
  <c r="G1042" i="1"/>
  <c r="I1042" i="1"/>
  <c r="A1043" i="1"/>
  <c r="F1043" i="1"/>
  <c r="G1043" i="1"/>
  <c r="I1043" i="1"/>
  <c r="A1044" i="1"/>
  <c r="F1044" i="1"/>
  <c r="G1044" i="1"/>
  <c r="I1044" i="1"/>
  <c r="A1045" i="1"/>
  <c r="F1045" i="1"/>
  <c r="G1045" i="1"/>
  <c r="I1045" i="1"/>
  <c r="A1046" i="1"/>
  <c r="F1046" i="1"/>
  <c r="G1046" i="1"/>
  <c r="I1046" i="1"/>
  <c r="A1047" i="1"/>
  <c r="F1047" i="1"/>
  <c r="G1047" i="1"/>
  <c r="I1047" i="1"/>
  <c r="A1048" i="1"/>
  <c r="F1048" i="1"/>
  <c r="G1048" i="1"/>
  <c r="I1048" i="1"/>
  <c r="A1049" i="1"/>
  <c r="F1049" i="1"/>
  <c r="G1049" i="1"/>
  <c r="I1049" i="1"/>
  <c r="A1050" i="1"/>
  <c r="F1050" i="1"/>
  <c r="G1050" i="1"/>
  <c r="I1050" i="1"/>
  <c r="A1051" i="1"/>
  <c r="F1051" i="1"/>
  <c r="G1051" i="1"/>
  <c r="I1051" i="1"/>
  <c r="A1052" i="1"/>
  <c r="F1052" i="1"/>
  <c r="G1052" i="1"/>
  <c r="I1052" i="1"/>
  <c r="A1053" i="1"/>
  <c r="F1053" i="1"/>
  <c r="G1053" i="1"/>
  <c r="I1053" i="1"/>
  <c r="A1054" i="1"/>
  <c r="F1054" i="1"/>
  <c r="G1054" i="1"/>
  <c r="I1054" i="1"/>
  <c r="A1055" i="1"/>
  <c r="F1055" i="1"/>
  <c r="G1055" i="1"/>
  <c r="I1055" i="1"/>
  <c r="A1056" i="1"/>
  <c r="F1056" i="1"/>
  <c r="G1056" i="1"/>
  <c r="I1056" i="1"/>
  <c r="A1057" i="1"/>
  <c r="F1057" i="1"/>
  <c r="G1057" i="1"/>
  <c r="I1057" i="1"/>
  <c r="A1058" i="1"/>
  <c r="F1058" i="1"/>
  <c r="G1058" i="1"/>
  <c r="I1058" i="1"/>
  <c r="A1059" i="1"/>
  <c r="F1059" i="1"/>
  <c r="G1059" i="1"/>
  <c r="I1059" i="1"/>
  <c r="A1060" i="1"/>
  <c r="F1060" i="1"/>
  <c r="G1060" i="1"/>
  <c r="I1060" i="1"/>
  <c r="A1061" i="1"/>
  <c r="F1061" i="1"/>
  <c r="G1061" i="1"/>
  <c r="I1061" i="1"/>
  <c r="A1062" i="1"/>
  <c r="F1062" i="1"/>
  <c r="G1062" i="1"/>
  <c r="I1062" i="1"/>
  <c r="A1063" i="1"/>
  <c r="F1063" i="1"/>
  <c r="G1063" i="1"/>
  <c r="I1063" i="1"/>
  <c r="A1064" i="1"/>
  <c r="F1064" i="1"/>
  <c r="G1064" i="1"/>
  <c r="I1064" i="1"/>
  <c r="A1065" i="1"/>
  <c r="F1065" i="1"/>
  <c r="G1065" i="1"/>
  <c r="I1065" i="1"/>
  <c r="A1066" i="1"/>
  <c r="F1066" i="1"/>
  <c r="G1066" i="1"/>
  <c r="I1066" i="1"/>
  <c r="A1067" i="1"/>
  <c r="F1067" i="1"/>
  <c r="G1067" i="1"/>
  <c r="I1067" i="1"/>
  <c r="A1068" i="1"/>
  <c r="F1068" i="1"/>
  <c r="G1068" i="1"/>
  <c r="I1068" i="1"/>
  <c r="A1069" i="1"/>
  <c r="F1069" i="1"/>
  <c r="G1069" i="1"/>
  <c r="I1069" i="1"/>
  <c r="A1070" i="1"/>
  <c r="F1070" i="1"/>
  <c r="G1070" i="1"/>
  <c r="I1070" i="1"/>
  <c r="A1071" i="1"/>
  <c r="F1071" i="1"/>
  <c r="G1071" i="1"/>
  <c r="I1071" i="1"/>
  <c r="A1072" i="1"/>
  <c r="F1072" i="1"/>
  <c r="G1072" i="1"/>
  <c r="I1072" i="1"/>
  <c r="A1073" i="1"/>
  <c r="F1073" i="1"/>
  <c r="G1073" i="1"/>
  <c r="I1073" i="1"/>
  <c r="A1074" i="1"/>
  <c r="F1074" i="1"/>
  <c r="G1074" i="1"/>
  <c r="I1074" i="1"/>
  <c r="A1075" i="1"/>
  <c r="F1075" i="1"/>
  <c r="G1075" i="1"/>
  <c r="I1075" i="1"/>
  <c r="A1076" i="1"/>
  <c r="F1076" i="1"/>
  <c r="G1076" i="1"/>
  <c r="I1076" i="1"/>
  <c r="A1077" i="1"/>
  <c r="F1077" i="1"/>
  <c r="G1077" i="1"/>
  <c r="I1077" i="1"/>
  <c r="A1078" i="1"/>
  <c r="F1078" i="1"/>
  <c r="G1078" i="1"/>
  <c r="I1078" i="1"/>
  <c r="A1079" i="1"/>
  <c r="F1079" i="1"/>
  <c r="G1079" i="1"/>
  <c r="I1079" i="1"/>
  <c r="A1080" i="1"/>
  <c r="F1080" i="1"/>
  <c r="G1080" i="1"/>
  <c r="I1080" i="1"/>
  <c r="A1081" i="1"/>
  <c r="F1081" i="1"/>
  <c r="G1081" i="1"/>
  <c r="I1081" i="1"/>
  <c r="A1082" i="1"/>
  <c r="F1082" i="1"/>
  <c r="G1082" i="1"/>
  <c r="I1082" i="1"/>
  <c r="A1083" i="1"/>
  <c r="F1083" i="1"/>
  <c r="G1083" i="1"/>
  <c r="I1083" i="1"/>
  <c r="A1084" i="1"/>
  <c r="F1084" i="1"/>
  <c r="G1084" i="1"/>
  <c r="I1084" i="1"/>
  <c r="A1085" i="1"/>
  <c r="F1085" i="1"/>
  <c r="G1085" i="1"/>
  <c r="I1085" i="1"/>
  <c r="A1086" i="1"/>
  <c r="F1086" i="1"/>
  <c r="G1086" i="1"/>
  <c r="I1086" i="1"/>
  <c r="A1087" i="1"/>
  <c r="F1087" i="1"/>
  <c r="G1087" i="1"/>
  <c r="I1087" i="1"/>
  <c r="A1088" i="1"/>
  <c r="F1088" i="1"/>
  <c r="G1088" i="1"/>
  <c r="I1088" i="1"/>
  <c r="A1089" i="1"/>
  <c r="F1089" i="1"/>
  <c r="G1089" i="1"/>
  <c r="I1089" i="1"/>
  <c r="A1090" i="1"/>
  <c r="F1090" i="1"/>
  <c r="G1090" i="1"/>
  <c r="I1090" i="1"/>
  <c r="A1091" i="1"/>
  <c r="F1091" i="1"/>
  <c r="G1091" i="1"/>
  <c r="I1091" i="1"/>
  <c r="A1092" i="1"/>
  <c r="F1092" i="1"/>
  <c r="G1092" i="1"/>
  <c r="I1092" i="1"/>
  <c r="A1093" i="1"/>
  <c r="F1093" i="1"/>
  <c r="G1093" i="1"/>
  <c r="I1093" i="1"/>
  <c r="A1094" i="1"/>
  <c r="F1094" i="1"/>
  <c r="G1094" i="1"/>
  <c r="I1094" i="1"/>
  <c r="A1095" i="1"/>
  <c r="F1095" i="1"/>
  <c r="G1095" i="1"/>
  <c r="I1095" i="1"/>
  <c r="A1096" i="1"/>
  <c r="F1096" i="1"/>
  <c r="G1096" i="1"/>
  <c r="I1096" i="1"/>
  <c r="A1097" i="1"/>
  <c r="F1097" i="1"/>
  <c r="G1097" i="1"/>
  <c r="I1097" i="1"/>
  <c r="A1098" i="1"/>
  <c r="F1098" i="1"/>
  <c r="G1098" i="1"/>
  <c r="I1098" i="1"/>
  <c r="A1099" i="1"/>
  <c r="F1099" i="1"/>
  <c r="G1099" i="1"/>
  <c r="I1099" i="1"/>
  <c r="A1100" i="1"/>
  <c r="F1100" i="1"/>
  <c r="G1100" i="1"/>
  <c r="I1100" i="1"/>
  <c r="A1101" i="1"/>
  <c r="F1101" i="1"/>
  <c r="G1101" i="1"/>
  <c r="I1101" i="1"/>
  <c r="A1102" i="1"/>
  <c r="F1102" i="1"/>
  <c r="G1102" i="1"/>
  <c r="I1102" i="1"/>
  <c r="A1103" i="1"/>
  <c r="F1103" i="1"/>
  <c r="G1103" i="1"/>
  <c r="I1103" i="1"/>
  <c r="A1104" i="1"/>
  <c r="F1104" i="1"/>
  <c r="G1104" i="1"/>
  <c r="I1104" i="1"/>
  <c r="A1105" i="1"/>
  <c r="F1105" i="1"/>
  <c r="G1105" i="1"/>
  <c r="I1105" i="1"/>
  <c r="A1106" i="1"/>
  <c r="F1106" i="1"/>
  <c r="G1106" i="1"/>
  <c r="I1106" i="1"/>
  <c r="A1107" i="1"/>
  <c r="F1107" i="1"/>
  <c r="G1107" i="1"/>
  <c r="I1107" i="1"/>
  <c r="A1108" i="1"/>
  <c r="F1108" i="1"/>
  <c r="G1108" i="1"/>
  <c r="I1108" i="1"/>
  <c r="A1109" i="1"/>
  <c r="F1109" i="1"/>
  <c r="G1109" i="1"/>
  <c r="I1109" i="1"/>
  <c r="A1110" i="1"/>
  <c r="F1110" i="1"/>
  <c r="G1110" i="1"/>
  <c r="I1110" i="1"/>
  <c r="A1111" i="1"/>
  <c r="F1111" i="1"/>
  <c r="G1111" i="1"/>
  <c r="I1111" i="1"/>
  <c r="A1112" i="1"/>
  <c r="F1112" i="1"/>
  <c r="G1112" i="1"/>
  <c r="I1112" i="1"/>
  <c r="A1113" i="1"/>
  <c r="F1113" i="1"/>
  <c r="G1113" i="1"/>
  <c r="I1113" i="1"/>
  <c r="A1114" i="1"/>
  <c r="F1114" i="1"/>
  <c r="G1114" i="1"/>
  <c r="I1114" i="1"/>
  <c r="A1115" i="1"/>
  <c r="F1115" i="1"/>
  <c r="G1115" i="1"/>
  <c r="I1115" i="1"/>
  <c r="A1116" i="1"/>
  <c r="F1116" i="1"/>
  <c r="G1116" i="1"/>
  <c r="I1116" i="1"/>
  <c r="A1117" i="1"/>
  <c r="F1117" i="1"/>
  <c r="G1117" i="1"/>
  <c r="I1117" i="1"/>
  <c r="A1118" i="1"/>
  <c r="F1118" i="1"/>
  <c r="G1118" i="1"/>
  <c r="I1118" i="1"/>
  <c r="A1119" i="1"/>
  <c r="F1119" i="1"/>
  <c r="G1119" i="1"/>
  <c r="I1119" i="1"/>
  <c r="A1120" i="1"/>
  <c r="F1120" i="1"/>
  <c r="G1120" i="1"/>
  <c r="I1120" i="1"/>
  <c r="A1121" i="1"/>
  <c r="F1121" i="1"/>
  <c r="G1121" i="1"/>
  <c r="I1121" i="1"/>
  <c r="A1122" i="1"/>
  <c r="F1122" i="1"/>
  <c r="G1122" i="1"/>
  <c r="I1122" i="1"/>
  <c r="A1123" i="1"/>
  <c r="F1123" i="1"/>
  <c r="G1123" i="1"/>
  <c r="I1123" i="1"/>
  <c r="A1124" i="1"/>
  <c r="F1124" i="1"/>
  <c r="G1124" i="1"/>
  <c r="I1124" i="1"/>
  <c r="A1125" i="1"/>
  <c r="F1125" i="1"/>
  <c r="G1125" i="1"/>
  <c r="I1125" i="1"/>
  <c r="A1126" i="1"/>
  <c r="F1126" i="1"/>
  <c r="G1126" i="1"/>
  <c r="I1126" i="1"/>
  <c r="A1127" i="1"/>
  <c r="F1127" i="1"/>
  <c r="G1127" i="1"/>
  <c r="I1127" i="1"/>
  <c r="A1128" i="1"/>
  <c r="F1128" i="1"/>
  <c r="G1128" i="1"/>
  <c r="I1128" i="1"/>
  <c r="A1129" i="1"/>
  <c r="F1129" i="1"/>
  <c r="G1129" i="1"/>
  <c r="I1129" i="1"/>
  <c r="A1130" i="1"/>
  <c r="F1130" i="1"/>
  <c r="G1130" i="1"/>
  <c r="I1130" i="1"/>
  <c r="A1131" i="1"/>
  <c r="F1131" i="1"/>
  <c r="G1131" i="1"/>
  <c r="I1131" i="1"/>
  <c r="A1132" i="1"/>
  <c r="F1132" i="1"/>
  <c r="G1132" i="1"/>
  <c r="I1132" i="1"/>
  <c r="A1133" i="1"/>
  <c r="F1133" i="1"/>
  <c r="G1133" i="1"/>
  <c r="I1133" i="1"/>
  <c r="A1134" i="1"/>
  <c r="F1134" i="1"/>
  <c r="G1134" i="1"/>
  <c r="I1134" i="1"/>
  <c r="A1135" i="1"/>
  <c r="F1135" i="1"/>
  <c r="G1135" i="1"/>
  <c r="I1135" i="1"/>
  <c r="A1136" i="1"/>
  <c r="F1136" i="1"/>
  <c r="G1136" i="1"/>
  <c r="I1136" i="1"/>
  <c r="A1137" i="1"/>
  <c r="F1137" i="1"/>
  <c r="G1137" i="1"/>
  <c r="I1137" i="1"/>
  <c r="A1138" i="1"/>
  <c r="F1138" i="1"/>
  <c r="G1138" i="1"/>
  <c r="I1138" i="1"/>
  <c r="A1139" i="1"/>
  <c r="F1139" i="1"/>
  <c r="G1139" i="1"/>
  <c r="I1139" i="1"/>
  <c r="A1140" i="1"/>
  <c r="F1140" i="1"/>
  <c r="G1140" i="1"/>
  <c r="I1140" i="1"/>
  <c r="A1141" i="1"/>
  <c r="F1141" i="1"/>
  <c r="G1141" i="1"/>
  <c r="I1141" i="1"/>
  <c r="A1142" i="1"/>
  <c r="F1142" i="1"/>
  <c r="G1142" i="1"/>
  <c r="I1142" i="1"/>
  <c r="A1143" i="1"/>
  <c r="F1143" i="1"/>
  <c r="G1143" i="1"/>
  <c r="I1143" i="1"/>
  <c r="A1144" i="1"/>
  <c r="F1144" i="1"/>
  <c r="G1144" i="1"/>
  <c r="I1144" i="1"/>
  <c r="A1145" i="1"/>
  <c r="F1145" i="1"/>
  <c r="G1145" i="1"/>
  <c r="I1145" i="1"/>
  <c r="A1146" i="1"/>
  <c r="F1146" i="1"/>
  <c r="G1146" i="1"/>
  <c r="I1146" i="1"/>
  <c r="A1147" i="1"/>
  <c r="F1147" i="1"/>
  <c r="G1147" i="1"/>
  <c r="I1147" i="1"/>
  <c r="A1148" i="1"/>
  <c r="F1148" i="1"/>
  <c r="G1148" i="1"/>
  <c r="I1148" i="1"/>
  <c r="A1149" i="1"/>
  <c r="F1149" i="1"/>
  <c r="G1149" i="1"/>
  <c r="I1149" i="1"/>
  <c r="A1150" i="1"/>
  <c r="F1150" i="1"/>
  <c r="G1150" i="1"/>
  <c r="I1150" i="1"/>
  <c r="A1151" i="1"/>
  <c r="F1151" i="1"/>
  <c r="G1151" i="1"/>
  <c r="I1151" i="1"/>
  <c r="A1152" i="1"/>
  <c r="F1152" i="1"/>
  <c r="G1152" i="1"/>
  <c r="I1152" i="1"/>
  <c r="A1153" i="1"/>
  <c r="F1153" i="1"/>
  <c r="G1153" i="1"/>
  <c r="I1153" i="1"/>
  <c r="A1154" i="1"/>
  <c r="F1154" i="1"/>
  <c r="G1154" i="1"/>
  <c r="I1154" i="1"/>
  <c r="A1155" i="1"/>
  <c r="F1155" i="1"/>
  <c r="G1155" i="1"/>
  <c r="I1155" i="1"/>
  <c r="A1156" i="1"/>
  <c r="F1156" i="1"/>
  <c r="G1156" i="1"/>
  <c r="I1156" i="1"/>
  <c r="A1157" i="1"/>
  <c r="F1157" i="1"/>
  <c r="G1157" i="1"/>
  <c r="I1157" i="1"/>
  <c r="A1158" i="1"/>
  <c r="F1158" i="1"/>
  <c r="G1158" i="1"/>
  <c r="I1158" i="1"/>
  <c r="A1159" i="1"/>
  <c r="F1159" i="1"/>
  <c r="G1159" i="1"/>
  <c r="I1159" i="1"/>
  <c r="A1160" i="1"/>
  <c r="F1160" i="1"/>
  <c r="G1160" i="1"/>
  <c r="I1160" i="1"/>
  <c r="A1161" i="1"/>
  <c r="F1161" i="1"/>
  <c r="G1161" i="1"/>
  <c r="I1161" i="1"/>
  <c r="A1162" i="1"/>
  <c r="F1162" i="1"/>
  <c r="G1162" i="1"/>
  <c r="I1162" i="1"/>
  <c r="A1163" i="1"/>
  <c r="F1163" i="1"/>
  <c r="G1163" i="1"/>
  <c r="I1163" i="1"/>
  <c r="A1164" i="1"/>
  <c r="F1164" i="1"/>
  <c r="G1164" i="1"/>
  <c r="I1164" i="1"/>
  <c r="A1165" i="1"/>
  <c r="F1165" i="1"/>
  <c r="G1165" i="1"/>
  <c r="I1165" i="1"/>
  <c r="A1166" i="1"/>
  <c r="F1166" i="1"/>
  <c r="G1166" i="1"/>
  <c r="I1166" i="1"/>
  <c r="A1167" i="1"/>
  <c r="F1167" i="1"/>
  <c r="G1167" i="1"/>
  <c r="I1167" i="1"/>
  <c r="A1168" i="1"/>
  <c r="F1168" i="1"/>
  <c r="G1168" i="1"/>
  <c r="I1168" i="1"/>
  <c r="A1169" i="1"/>
  <c r="F1169" i="1"/>
  <c r="G1169" i="1"/>
  <c r="I1169" i="1"/>
  <c r="A1170" i="1"/>
  <c r="F1170" i="1"/>
  <c r="G1170" i="1"/>
  <c r="I1170" i="1"/>
  <c r="A1171" i="1"/>
  <c r="F1171" i="1"/>
  <c r="G1171" i="1"/>
  <c r="I1171" i="1"/>
  <c r="A1172" i="1"/>
  <c r="F1172" i="1"/>
  <c r="G1172" i="1"/>
  <c r="I1172" i="1"/>
  <c r="A1173" i="1"/>
  <c r="F1173" i="1"/>
  <c r="G1173" i="1"/>
  <c r="I1173" i="1"/>
  <c r="A1174" i="1"/>
  <c r="F1174" i="1"/>
  <c r="G1174" i="1"/>
  <c r="I1174" i="1"/>
  <c r="A1175" i="1"/>
  <c r="F1175" i="1"/>
  <c r="G1175" i="1"/>
  <c r="I1175" i="1"/>
  <c r="A1176" i="1"/>
  <c r="F1176" i="1"/>
  <c r="G1176" i="1"/>
  <c r="I1176" i="1"/>
  <c r="A1177" i="1"/>
  <c r="F1177" i="1"/>
  <c r="G1177" i="1"/>
  <c r="I1177" i="1"/>
  <c r="A1178" i="1"/>
  <c r="F1178" i="1"/>
  <c r="G1178" i="1"/>
  <c r="I1178" i="1"/>
  <c r="A1179" i="1"/>
  <c r="F1179" i="1"/>
  <c r="G1179" i="1"/>
  <c r="I1179" i="1"/>
  <c r="A1180" i="1"/>
  <c r="F1180" i="1"/>
  <c r="G1180" i="1"/>
  <c r="I1180" i="1"/>
  <c r="A1181" i="1"/>
  <c r="F1181" i="1"/>
  <c r="G1181" i="1"/>
  <c r="I1181" i="1"/>
  <c r="A1182" i="1"/>
  <c r="F1182" i="1"/>
  <c r="G1182" i="1"/>
  <c r="I1182" i="1"/>
  <c r="A1183" i="1"/>
  <c r="F1183" i="1"/>
  <c r="G1183" i="1"/>
  <c r="I1183" i="1"/>
  <c r="A1184" i="1"/>
  <c r="F1184" i="1"/>
  <c r="G1184" i="1"/>
  <c r="I1184" i="1"/>
  <c r="A1185" i="1"/>
  <c r="F1185" i="1"/>
  <c r="G1185" i="1"/>
  <c r="I1185" i="1"/>
  <c r="A1186" i="1"/>
  <c r="F1186" i="1"/>
  <c r="G1186" i="1"/>
  <c r="I1186" i="1"/>
  <c r="A1187" i="1"/>
  <c r="F1187" i="1"/>
  <c r="G1187" i="1"/>
  <c r="I1187" i="1"/>
  <c r="A1188" i="1"/>
  <c r="F1188" i="1"/>
  <c r="G1188" i="1"/>
  <c r="I1188" i="1"/>
  <c r="A1189" i="1"/>
  <c r="F1189" i="1"/>
  <c r="G1189" i="1"/>
  <c r="I1189" i="1"/>
  <c r="A1190" i="1"/>
  <c r="F1190" i="1"/>
  <c r="G1190" i="1"/>
  <c r="I1190" i="1"/>
  <c r="A1191" i="1"/>
  <c r="F1191" i="1"/>
  <c r="G1191" i="1"/>
  <c r="I1191" i="1"/>
  <c r="A1192" i="1"/>
  <c r="F1192" i="1"/>
  <c r="G1192" i="1"/>
  <c r="I1192" i="1"/>
  <c r="A1193" i="1"/>
  <c r="F1193" i="1"/>
  <c r="G1193" i="1"/>
  <c r="I1193" i="1"/>
  <c r="A1194" i="1"/>
  <c r="F1194" i="1"/>
  <c r="G1194" i="1"/>
  <c r="I1194" i="1"/>
  <c r="A1195" i="1"/>
  <c r="F1195" i="1"/>
  <c r="G1195" i="1"/>
  <c r="I1195" i="1"/>
  <c r="A1196" i="1"/>
  <c r="F1196" i="1"/>
  <c r="G1196" i="1"/>
  <c r="I1196" i="1"/>
  <c r="A1197" i="1"/>
  <c r="F1197" i="1"/>
  <c r="G1197" i="1"/>
  <c r="I1197" i="1"/>
  <c r="A1198" i="1"/>
  <c r="F1198" i="1"/>
  <c r="G1198" i="1"/>
  <c r="I1198" i="1"/>
  <c r="A1199" i="1"/>
  <c r="F1199" i="1"/>
  <c r="G1199" i="1"/>
  <c r="I1199" i="1"/>
  <c r="A1200" i="1"/>
  <c r="F1200" i="1"/>
  <c r="G1200" i="1"/>
  <c r="I1200" i="1"/>
  <c r="A1201" i="1"/>
  <c r="F1201" i="1"/>
  <c r="G1201" i="1"/>
  <c r="I1201" i="1"/>
  <c r="A1202" i="1"/>
  <c r="F1202" i="1"/>
  <c r="G1202" i="1"/>
  <c r="I1202" i="1"/>
  <c r="A1203" i="1"/>
  <c r="F1203" i="1"/>
  <c r="G1203" i="1"/>
  <c r="I1203" i="1"/>
  <c r="A1204" i="1"/>
  <c r="F1204" i="1"/>
  <c r="G1204" i="1"/>
  <c r="I1204" i="1"/>
  <c r="A1205" i="1"/>
  <c r="F1205" i="1"/>
  <c r="G1205" i="1"/>
  <c r="I1205" i="1"/>
  <c r="A1206" i="1"/>
  <c r="F1206" i="1"/>
  <c r="G1206" i="1"/>
  <c r="I1206" i="1"/>
  <c r="A1207" i="1"/>
  <c r="F1207" i="1"/>
  <c r="G1207" i="1"/>
  <c r="I1207" i="1"/>
  <c r="A1208" i="1"/>
  <c r="F1208" i="1"/>
  <c r="G1208" i="1"/>
  <c r="I1208" i="1"/>
  <c r="A1209" i="1"/>
  <c r="F1209" i="1"/>
  <c r="G1209" i="1"/>
  <c r="I1209" i="1"/>
  <c r="A1210" i="1"/>
  <c r="F1210" i="1"/>
  <c r="G1210" i="1"/>
  <c r="I1210" i="1"/>
  <c r="A1211" i="1"/>
  <c r="F1211" i="1"/>
  <c r="G1211" i="1"/>
  <c r="I1211" i="1"/>
  <c r="A1212" i="1"/>
  <c r="F1212" i="1"/>
  <c r="G1212" i="1"/>
  <c r="I1212" i="1"/>
  <c r="A1213" i="1"/>
  <c r="F1213" i="1"/>
  <c r="G1213" i="1"/>
  <c r="I1213" i="1"/>
  <c r="A1214" i="1"/>
  <c r="F1214" i="1"/>
  <c r="G1214" i="1"/>
  <c r="I1214" i="1"/>
  <c r="A1215" i="1"/>
  <c r="F1215" i="1"/>
  <c r="G1215" i="1"/>
  <c r="I1215" i="1"/>
  <c r="A1216" i="1"/>
  <c r="F1216" i="1"/>
  <c r="G1216" i="1"/>
  <c r="I1216" i="1"/>
  <c r="A1217" i="1"/>
  <c r="F1217" i="1"/>
  <c r="G1217" i="1"/>
  <c r="I1217" i="1"/>
  <c r="A1218" i="1"/>
  <c r="F1218" i="1"/>
  <c r="G1218" i="1"/>
  <c r="I1218" i="1"/>
  <c r="A1219" i="1"/>
  <c r="F1219" i="1"/>
  <c r="G1219" i="1"/>
  <c r="I1219" i="1"/>
  <c r="A1220" i="1"/>
  <c r="F1220" i="1"/>
  <c r="G1220" i="1"/>
  <c r="I1220" i="1"/>
  <c r="A1221" i="1"/>
  <c r="F1221" i="1"/>
  <c r="G1221" i="1"/>
  <c r="I1221" i="1"/>
  <c r="A1222" i="1"/>
  <c r="F1222" i="1"/>
  <c r="G1222" i="1"/>
  <c r="I1222" i="1"/>
  <c r="A1223" i="1"/>
  <c r="F1223" i="1"/>
  <c r="G1223" i="1"/>
  <c r="I1223" i="1"/>
  <c r="A1224" i="1"/>
  <c r="F1224" i="1"/>
  <c r="G1224" i="1"/>
  <c r="I1224" i="1"/>
  <c r="A1225" i="1"/>
  <c r="F1225" i="1"/>
  <c r="G1225" i="1"/>
  <c r="I1225" i="1"/>
  <c r="A1226" i="1"/>
  <c r="F1226" i="1"/>
  <c r="G1226" i="1"/>
  <c r="I1226" i="1"/>
  <c r="A1227" i="1"/>
  <c r="F1227" i="1"/>
  <c r="G1227" i="1"/>
  <c r="I1227" i="1"/>
  <c r="A1228" i="1"/>
  <c r="F1228" i="1"/>
  <c r="G1228" i="1"/>
  <c r="I1228" i="1"/>
  <c r="A1229" i="1"/>
  <c r="F1229" i="1"/>
  <c r="G1229" i="1"/>
  <c r="I1229" i="1"/>
  <c r="A1230" i="1"/>
  <c r="F1230" i="1"/>
  <c r="G1230" i="1"/>
  <c r="I1230" i="1"/>
  <c r="A1231" i="1"/>
  <c r="F1231" i="1"/>
  <c r="G1231" i="1"/>
  <c r="I1231" i="1"/>
  <c r="A1232" i="1"/>
  <c r="F1232" i="1"/>
  <c r="G1232" i="1"/>
  <c r="I1232" i="1"/>
  <c r="A1233" i="1"/>
  <c r="F1233" i="1"/>
  <c r="G1233" i="1"/>
  <c r="I1233" i="1"/>
  <c r="A1234" i="1"/>
  <c r="F1234" i="1"/>
  <c r="G1234" i="1"/>
  <c r="I1234" i="1"/>
  <c r="A1235" i="1"/>
  <c r="F1235" i="1"/>
  <c r="G1235" i="1"/>
  <c r="I1235" i="1"/>
  <c r="A1236" i="1"/>
  <c r="F1236" i="1"/>
  <c r="G1236" i="1"/>
  <c r="I1236" i="1"/>
  <c r="A1237" i="1"/>
  <c r="F1237" i="1"/>
  <c r="G1237" i="1"/>
  <c r="I1237" i="1"/>
  <c r="A1238" i="1"/>
  <c r="F1238" i="1"/>
  <c r="G1238" i="1"/>
  <c r="I1238" i="1"/>
  <c r="A1239" i="1"/>
  <c r="F1239" i="1"/>
  <c r="G1239" i="1"/>
  <c r="I1239" i="1"/>
  <c r="A1240" i="1"/>
  <c r="F1240" i="1"/>
  <c r="G1240" i="1"/>
  <c r="I1240" i="1"/>
  <c r="A1241" i="1"/>
  <c r="F1241" i="1"/>
  <c r="G1241" i="1"/>
  <c r="I1241" i="1"/>
  <c r="A1242" i="1"/>
  <c r="F1242" i="1"/>
  <c r="G1242" i="1"/>
  <c r="I1242" i="1"/>
  <c r="A1243" i="1"/>
  <c r="F1243" i="1"/>
  <c r="G1243" i="1"/>
  <c r="I1243" i="1"/>
  <c r="A1244" i="1"/>
  <c r="F1244" i="1"/>
  <c r="G1244" i="1"/>
  <c r="I1244" i="1"/>
  <c r="A1245" i="1"/>
  <c r="F1245" i="1"/>
  <c r="G1245" i="1"/>
  <c r="I1245" i="1"/>
  <c r="A1246" i="1"/>
  <c r="F1246" i="1"/>
  <c r="G1246" i="1"/>
  <c r="I1246" i="1"/>
  <c r="A1247" i="1"/>
  <c r="F1247" i="1"/>
  <c r="G1247" i="1"/>
  <c r="I1247" i="1"/>
  <c r="A1248" i="1"/>
  <c r="F1248" i="1"/>
  <c r="G1248" i="1"/>
  <c r="I1248" i="1"/>
  <c r="A1249" i="1"/>
  <c r="F1249" i="1"/>
  <c r="G1249" i="1"/>
  <c r="I1249" i="1"/>
  <c r="A1250" i="1"/>
  <c r="F1250" i="1"/>
  <c r="G1250" i="1"/>
  <c r="I1250" i="1"/>
  <c r="A1251" i="1"/>
  <c r="F1251" i="1"/>
  <c r="G1251" i="1"/>
  <c r="I1251" i="1"/>
  <c r="A1252" i="1"/>
  <c r="F1252" i="1"/>
  <c r="G1252" i="1"/>
  <c r="I1252" i="1"/>
  <c r="A1253" i="1"/>
  <c r="F1253" i="1"/>
  <c r="G1253" i="1"/>
  <c r="I1253" i="1"/>
  <c r="A1254" i="1"/>
  <c r="F1254" i="1"/>
  <c r="G1254" i="1"/>
  <c r="I1254" i="1"/>
  <c r="A1255" i="1"/>
  <c r="F1255" i="1"/>
  <c r="G1255" i="1"/>
  <c r="I1255" i="1"/>
  <c r="A1256" i="1"/>
  <c r="F1256" i="1"/>
  <c r="G1256" i="1"/>
  <c r="I1256" i="1"/>
  <c r="A1257" i="1"/>
  <c r="F1257" i="1"/>
  <c r="G1257" i="1"/>
  <c r="I1257" i="1"/>
  <c r="A1258" i="1"/>
  <c r="F1258" i="1"/>
  <c r="G1258" i="1"/>
  <c r="I1258" i="1"/>
  <c r="A1259" i="1"/>
  <c r="F1259" i="1"/>
  <c r="G1259" i="1"/>
  <c r="I1259" i="1"/>
  <c r="A1260" i="1"/>
  <c r="F1260" i="1"/>
  <c r="G1260" i="1"/>
  <c r="I1260" i="1"/>
  <c r="A1261" i="1"/>
  <c r="F1261" i="1"/>
  <c r="G1261" i="1"/>
  <c r="I1261" i="1"/>
  <c r="A1262" i="1"/>
  <c r="F1262" i="1"/>
  <c r="G1262" i="1"/>
  <c r="I1262" i="1"/>
  <c r="A1263" i="1"/>
  <c r="F1263" i="1"/>
  <c r="G1263" i="1"/>
  <c r="I1263" i="1"/>
  <c r="A1264" i="1"/>
  <c r="F1264" i="1"/>
  <c r="G1264" i="1"/>
  <c r="I1264" i="1"/>
  <c r="A1265" i="1"/>
  <c r="F1265" i="1"/>
  <c r="G1265" i="1"/>
  <c r="I1265" i="1"/>
  <c r="A1266" i="1"/>
  <c r="F1266" i="1"/>
  <c r="G1266" i="1"/>
  <c r="I1266" i="1"/>
  <c r="A1267" i="1"/>
  <c r="F1267" i="1"/>
  <c r="G1267" i="1"/>
  <c r="I1267" i="1"/>
  <c r="A1268" i="1"/>
  <c r="F1268" i="1"/>
  <c r="G1268" i="1"/>
  <c r="I1268" i="1"/>
  <c r="A1269" i="1"/>
  <c r="F1269" i="1"/>
  <c r="G1269" i="1"/>
  <c r="I1269" i="1"/>
  <c r="A1270" i="1"/>
  <c r="F1270" i="1"/>
  <c r="G1270" i="1"/>
  <c r="I1270" i="1"/>
  <c r="A1271" i="1"/>
  <c r="F1271" i="1"/>
  <c r="G1271" i="1"/>
  <c r="I1271" i="1"/>
  <c r="A1272" i="1"/>
  <c r="F1272" i="1"/>
  <c r="G1272" i="1"/>
  <c r="I1272" i="1"/>
  <c r="A1273" i="1"/>
  <c r="F1273" i="1"/>
  <c r="G1273" i="1"/>
  <c r="I1273" i="1"/>
  <c r="A1274" i="1"/>
  <c r="F1274" i="1"/>
  <c r="G1274" i="1"/>
  <c r="I1274" i="1"/>
  <c r="A1275" i="1"/>
  <c r="F1275" i="1"/>
  <c r="G1275" i="1"/>
  <c r="I1275" i="1"/>
  <c r="A1276" i="1"/>
  <c r="F1276" i="1"/>
  <c r="G1276" i="1"/>
  <c r="I1276" i="1"/>
  <c r="A1277" i="1"/>
  <c r="F1277" i="1"/>
  <c r="G1277" i="1"/>
  <c r="I1277" i="1"/>
  <c r="A1278" i="1"/>
  <c r="H1278" i="1"/>
  <c r="I1278" i="1"/>
  <c r="J1278" i="1"/>
  <c r="A1279" i="1"/>
  <c r="F1279" i="1"/>
  <c r="G1279" i="1"/>
  <c r="I1279" i="1"/>
  <c r="A1280" i="1"/>
  <c r="F1280" i="1"/>
  <c r="G1280" i="1"/>
  <c r="I1280" i="1"/>
  <c r="A1281" i="1"/>
  <c r="F1281" i="1"/>
  <c r="G1281" i="1"/>
  <c r="I1281" i="1"/>
  <c r="A1282" i="1"/>
  <c r="F1282" i="1"/>
  <c r="G1282" i="1"/>
  <c r="I1282" i="1"/>
  <c r="A1283" i="1"/>
  <c r="F1283" i="1"/>
  <c r="G1283" i="1"/>
  <c r="I1283" i="1"/>
  <c r="A1284" i="1"/>
  <c r="F1284" i="1"/>
  <c r="G1284" i="1"/>
  <c r="I1284" i="1"/>
  <c r="A1285" i="1"/>
  <c r="F1285" i="1"/>
  <c r="G1285" i="1"/>
  <c r="I1285" i="1"/>
  <c r="A1286" i="1"/>
  <c r="F1286" i="1"/>
  <c r="G1286" i="1"/>
  <c r="I1286" i="1"/>
  <c r="A1287" i="1"/>
  <c r="F1287" i="1"/>
  <c r="G1287" i="1"/>
  <c r="I1287" i="1"/>
  <c r="A1288" i="1"/>
  <c r="F1288" i="1"/>
  <c r="G1288" i="1"/>
  <c r="I1288" i="1"/>
  <c r="A1289" i="1"/>
  <c r="F1289" i="1"/>
  <c r="G1289" i="1"/>
  <c r="I1289" i="1"/>
  <c r="A1290" i="1"/>
  <c r="F1290" i="1"/>
  <c r="G1290" i="1"/>
  <c r="I1290" i="1"/>
  <c r="A1291" i="1"/>
  <c r="F1291" i="1"/>
  <c r="G1291" i="1"/>
  <c r="I1291" i="1"/>
  <c r="A1292" i="1"/>
  <c r="F1292" i="1"/>
  <c r="G1292" i="1"/>
  <c r="I1292" i="1"/>
  <c r="A1293" i="1"/>
  <c r="F1293" i="1"/>
  <c r="G1293" i="1"/>
  <c r="I1293" i="1"/>
  <c r="A1294" i="1"/>
  <c r="F1294" i="1"/>
  <c r="G1294" i="1"/>
  <c r="I1294" i="1"/>
  <c r="A1295" i="1"/>
  <c r="F1295" i="1"/>
  <c r="G1295" i="1"/>
  <c r="I1295" i="1"/>
  <c r="A1296" i="1"/>
  <c r="F1296" i="1"/>
  <c r="G1296" i="1"/>
  <c r="I1296" i="1"/>
  <c r="A1297" i="1"/>
  <c r="F1297" i="1"/>
  <c r="G1297" i="1"/>
  <c r="I1297" i="1"/>
  <c r="A1298" i="1"/>
  <c r="F1298" i="1"/>
  <c r="G1298" i="1"/>
  <c r="I1298" i="1"/>
  <c r="A1299" i="1"/>
  <c r="F1299" i="1"/>
  <c r="G1299" i="1"/>
  <c r="I1299" i="1"/>
  <c r="A1300" i="1"/>
  <c r="F1300" i="1"/>
  <c r="G1300" i="1"/>
  <c r="I1300" i="1"/>
  <c r="A1301" i="1"/>
  <c r="F1301" i="1"/>
  <c r="G1301" i="1"/>
  <c r="I1301" i="1"/>
  <c r="A1302" i="1"/>
  <c r="F1302" i="1"/>
  <c r="G1302" i="1"/>
  <c r="I1302" i="1"/>
  <c r="A1303" i="1"/>
  <c r="F1303" i="1"/>
  <c r="G1303" i="1"/>
  <c r="I1303" i="1"/>
  <c r="A1304" i="1"/>
  <c r="F1304" i="1"/>
  <c r="G1304" i="1"/>
  <c r="I1304" i="1"/>
  <c r="A1305" i="1"/>
  <c r="H1305" i="1"/>
  <c r="I1305" i="1"/>
  <c r="J1305" i="1"/>
  <c r="A1306" i="1"/>
  <c r="F1306" i="1"/>
  <c r="G1306" i="1"/>
  <c r="I1306" i="1"/>
  <c r="A1307" i="1"/>
  <c r="F1307" i="1"/>
  <c r="G1307" i="1"/>
  <c r="I1307" i="1"/>
  <c r="A1308" i="1"/>
  <c r="F1308" i="1"/>
  <c r="G1308" i="1"/>
  <c r="I1308" i="1"/>
  <c r="A1309" i="1"/>
  <c r="F1309" i="1"/>
  <c r="G1309" i="1"/>
  <c r="I1309" i="1"/>
  <c r="A1310" i="1"/>
  <c r="F1310" i="1"/>
  <c r="G1310" i="1"/>
  <c r="I1310" i="1"/>
  <c r="A1311" i="1"/>
  <c r="F1311" i="1"/>
  <c r="G1311" i="1"/>
  <c r="I1311" i="1"/>
  <c r="A1312" i="1"/>
  <c r="F1312" i="1"/>
  <c r="G1312" i="1"/>
  <c r="I1312" i="1"/>
  <c r="A1313" i="1"/>
  <c r="F1313" i="1"/>
  <c r="G1313" i="1"/>
  <c r="I1313" i="1"/>
  <c r="A1314" i="1"/>
  <c r="F1314" i="1"/>
  <c r="G1314" i="1"/>
  <c r="I1314" i="1"/>
  <c r="A1315" i="1"/>
  <c r="F1315" i="1"/>
  <c r="G1315" i="1"/>
  <c r="I1315" i="1"/>
  <c r="A1316" i="1"/>
  <c r="F1316" i="1"/>
  <c r="G1316" i="1"/>
  <c r="I1316" i="1"/>
  <c r="A1317" i="1"/>
  <c r="F1317" i="1"/>
  <c r="G1317" i="1"/>
  <c r="I1317" i="1"/>
  <c r="A1318" i="1"/>
  <c r="F1318" i="1"/>
  <c r="G1318" i="1"/>
  <c r="I1318" i="1"/>
  <c r="A1319" i="1"/>
  <c r="F1319" i="1"/>
  <c r="G1319" i="1"/>
  <c r="I1319" i="1"/>
  <c r="A1320" i="1"/>
  <c r="F1320" i="1"/>
  <c r="G1320" i="1"/>
  <c r="I1320" i="1"/>
  <c r="A1321" i="1"/>
  <c r="F1321" i="1"/>
  <c r="G1321" i="1"/>
  <c r="I1321" i="1"/>
  <c r="A1322" i="1"/>
  <c r="F1322" i="1"/>
  <c r="G1322" i="1"/>
  <c r="I1322" i="1"/>
  <c r="A1323" i="1"/>
  <c r="F1323" i="1"/>
  <c r="G1323" i="1"/>
  <c r="I1323" i="1"/>
  <c r="A1324" i="1"/>
  <c r="F1324" i="1"/>
  <c r="G1324" i="1"/>
  <c r="I1324" i="1"/>
  <c r="A1325" i="1"/>
  <c r="F1325" i="1"/>
  <c r="G1325" i="1"/>
  <c r="I1325" i="1"/>
  <c r="A1326" i="1"/>
  <c r="F1326" i="1"/>
  <c r="G1326" i="1"/>
  <c r="I1326" i="1"/>
  <c r="A1327" i="1"/>
  <c r="F1327" i="1"/>
  <c r="G1327" i="1"/>
  <c r="I1327" i="1"/>
  <c r="A1328" i="1"/>
  <c r="F1328" i="1"/>
  <c r="G1328" i="1"/>
  <c r="I1328" i="1"/>
  <c r="A1329" i="1"/>
  <c r="F1329" i="1"/>
  <c r="G1329" i="1"/>
  <c r="I1329" i="1"/>
  <c r="A1330" i="1"/>
  <c r="F1330" i="1"/>
  <c r="G1330" i="1"/>
  <c r="I1330" i="1"/>
  <c r="A1331" i="1"/>
  <c r="F1331" i="1"/>
  <c r="G1331" i="1"/>
  <c r="I1331" i="1"/>
  <c r="A1332" i="1"/>
  <c r="F1332" i="1"/>
  <c r="G1332" i="1"/>
  <c r="I1332" i="1"/>
  <c r="A1333" i="1"/>
  <c r="F1333" i="1"/>
  <c r="G1333" i="1"/>
  <c r="I1333" i="1"/>
  <c r="A1334" i="1"/>
  <c r="F1334" i="1"/>
  <c r="G1334" i="1"/>
  <c r="I1334" i="1"/>
  <c r="A1335" i="1"/>
  <c r="F1335" i="1"/>
  <c r="G1335" i="1"/>
  <c r="I1335" i="1"/>
  <c r="A1336" i="1"/>
  <c r="F1336" i="1"/>
  <c r="G1336" i="1"/>
  <c r="I1336" i="1"/>
  <c r="A1337" i="1"/>
  <c r="F1337" i="1"/>
  <c r="G1337" i="1"/>
  <c r="I1337" i="1"/>
  <c r="A1338" i="1"/>
  <c r="F1338" i="1"/>
  <c r="G1338" i="1"/>
  <c r="I1338" i="1"/>
  <c r="A1339" i="1"/>
  <c r="F1339" i="1"/>
  <c r="G1339" i="1"/>
  <c r="I1339" i="1"/>
  <c r="A1340" i="1"/>
  <c r="F1340" i="1"/>
  <c r="G1340" i="1"/>
  <c r="I1340" i="1"/>
  <c r="A1341" i="1"/>
  <c r="F1341" i="1"/>
  <c r="G1341" i="1"/>
  <c r="I1341" i="1"/>
  <c r="A1342" i="1"/>
  <c r="F1342" i="1"/>
  <c r="G1342" i="1"/>
  <c r="I1342" i="1"/>
  <c r="A1343" i="1"/>
  <c r="F1343" i="1"/>
  <c r="G1343" i="1"/>
  <c r="I1343" i="1"/>
  <c r="A1344" i="1"/>
  <c r="F1344" i="1"/>
  <c r="G1344" i="1"/>
  <c r="I1344" i="1"/>
  <c r="A1345" i="1"/>
  <c r="F1345" i="1"/>
  <c r="G1345" i="1"/>
  <c r="I1345" i="1"/>
  <c r="A1346" i="1"/>
  <c r="F1346" i="1"/>
  <c r="G1346" i="1"/>
  <c r="I1346" i="1"/>
  <c r="A1347" i="1"/>
  <c r="F1347" i="1"/>
  <c r="G1347" i="1"/>
  <c r="I1347" i="1"/>
  <c r="A1348" i="1"/>
  <c r="F1348" i="1"/>
  <c r="G1348" i="1"/>
  <c r="I1348" i="1"/>
  <c r="A1349" i="1"/>
  <c r="F1349" i="1"/>
  <c r="G1349" i="1"/>
  <c r="I1349" i="1"/>
  <c r="A1350" i="1"/>
  <c r="F1350" i="1"/>
  <c r="G1350" i="1"/>
  <c r="I1350" i="1"/>
  <c r="A1351" i="1"/>
  <c r="F1351" i="1"/>
  <c r="G1351" i="1"/>
  <c r="I1351" i="1"/>
  <c r="A1352" i="1"/>
  <c r="F1352" i="1"/>
  <c r="G1352" i="1"/>
  <c r="I1352" i="1"/>
  <c r="A1353" i="1"/>
  <c r="F1353" i="1"/>
  <c r="G1353" i="1"/>
  <c r="I1353" i="1"/>
  <c r="A1354" i="1"/>
  <c r="F1354" i="1"/>
  <c r="G1354" i="1"/>
  <c r="I1354" i="1"/>
  <c r="A1355" i="1"/>
  <c r="F1355" i="1"/>
  <c r="G1355" i="1"/>
  <c r="I1355" i="1"/>
  <c r="A1356" i="1"/>
  <c r="F1356" i="1"/>
  <c r="G1356" i="1"/>
  <c r="I1356" i="1"/>
  <c r="A1357" i="1"/>
  <c r="F1357" i="1"/>
  <c r="G1357" i="1"/>
  <c r="I1357" i="1"/>
  <c r="A1358" i="1"/>
  <c r="F1358" i="1"/>
  <c r="G1358" i="1"/>
  <c r="I1358" i="1"/>
  <c r="A1359" i="1"/>
  <c r="F1359" i="1"/>
  <c r="G1359" i="1"/>
  <c r="I1359" i="1"/>
  <c r="A1360" i="1"/>
  <c r="F1360" i="1"/>
  <c r="G1360" i="1"/>
  <c r="I1360" i="1"/>
  <c r="A1361" i="1"/>
  <c r="F1361" i="1"/>
  <c r="G1361" i="1"/>
  <c r="I1361" i="1"/>
  <c r="A1362" i="1"/>
  <c r="F1362" i="1"/>
  <c r="G1362" i="1"/>
  <c r="I1362" i="1"/>
  <c r="A1363" i="1"/>
  <c r="F1363" i="1"/>
  <c r="G1363" i="1"/>
  <c r="I1363" i="1"/>
  <c r="A1364" i="1"/>
  <c r="F1364" i="1"/>
  <c r="G1364" i="1"/>
  <c r="I1364" i="1"/>
  <c r="A1365" i="1"/>
  <c r="F1365" i="1"/>
  <c r="G1365" i="1"/>
  <c r="I1365" i="1"/>
  <c r="A1366" i="1"/>
  <c r="F1366" i="1"/>
  <c r="G1366" i="1"/>
  <c r="I1366" i="1"/>
  <c r="A1367" i="1"/>
  <c r="F1367" i="1"/>
  <c r="G1367" i="1"/>
  <c r="I1367" i="1"/>
  <c r="A1368" i="1"/>
  <c r="F1368" i="1"/>
  <c r="G1368" i="1"/>
  <c r="I1368" i="1"/>
  <c r="A1369" i="1"/>
  <c r="H1369" i="1"/>
  <c r="I1369" i="1"/>
  <c r="J1369" i="1"/>
  <c r="A1370" i="1"/>
  <c r="H1370" i="1"/>
  <c r="I1370" i="1"/>
  <c r="J1370" i="1"/>
  <c r="A1371" i="1"/>
  <c r="F1371" i="1"/>
  <c r="G1371" i="1"/>
  <c r="I1371" i="1"/>
  <c r="A1372" i="1"/>
  <c r="F1372" i="1"/>
  <c r="G1372" i="1"/>
  <c r="I1372" i="1"/>
  <c r="A1373" i="1"/>
  <c r="F1373" i="1"/>
  <c r="G1373" i="1"/>
  <c r="I1373" i="1"/>
  <c r="A1374" i="1"/>
  <c r="F1374" i="1"/>
  <c r="G1374" i="1"/>
  <c r="I1374" i="1"/>
  <c r="A1375" i="1"/>
  <c r="F1375" i="1"/>
  <c r="G1375" i="1"/>
  <c r="I1375" i="1"/>
  <c r="A1376" i="1"/>
  <c r="F1376" i="1"/>
  <c r="G1376" i="1"/>
  <c r="I1376" i="1"/>
  <c r="A1377" i="1"/>
  <c r="F1377" i="1"/>
  <c r="G1377" i="1"/>
  <c r="I1377" i="1"/>
  <c r="A1378" i="1"/>
  <c r="F1378" i="1"/>
  <c r="G1378" i="1"/>
  <c r="I1378" i="1"/>
  <c r="A1379" i="1"/>
  <c r="F1379" i="1"/>
  <c r="G1379" i="1"/>
  <c r="I1379" i="1"/>
  <c r="A1380" i="1"/>
  <c r="F1380" i="1"/>
  <c r="G1380" i="1"/>
  <c r="I1380" i="1"/>
  <c r="A1381" i="1"/>
  <c r="F1381" i="1"/>
  <c r="G1381" i="1"/>
  <c r="I1381" i="1"/>
  <c r="A1382" i="1"/>
  <c r="F1382" i="1"/>
  <c r="G1382" i="1"/>
  <c r="I1382" i="1"/>
  <c r="A1383" i="1"/>
  <c r="F1383" i="1"/>
  <c r="G1383" i="1"/>
  <c r="I1383" i="1"/>
  <c r="A1384" i="1"/>
  <c r="F1384" i="1"/>
  <c r="G1384" i="1"/>
  <c r="I1384" i="1"/>
  <c r="A1385" i="1"/>
  <c r="F1385" i="1"/>
  <c r="G1385" i="1"/>
  <c r="I1385" i="1"/>
  <c r="A1386" i="1"/>
  <c r="F1386" i="1"/>
  <c r="G1386" i="1"/>
  <c r="I1386" i="1"/>
  <c r="A1387" i="1"/>
  <c r="F1387" i="1"/>
  <c r="G1387" i="1"/>
  <c r="I1387" i="1"/>
  <c r="A1388" i="1"/>
  <c r="F1388" i="1"/>
  <c r="G1388" i="1"/>
  <c r="I1388" i="1"/>
  <c r="A1389" i="1"/>
  <c r="F1389" i="1"/>
  <c r="G1389" i="1"/>
  <c r="I1389" i="1"/>
  <c r="A1390" i="1"/>
  <c r="F1390" i="1"/>
  <c r="G1390" i="1"/>
  <c r="I1390" i="1"/>
  <c r="A1391" i="1"/>
  <c r="F1391" i="1"/>
  <c r="G1391" i="1"/>
  <c r="I1391" i="1"/>
  <c r="A1392" i="1"/>
  <c r="F1392" i="1"/>
  <c r="G1392" i="1"/>
  <c r="I1392" i="1"/>
  <c r="A1393" i="1"/>
  <c r="F1393" i="1"/>
  <c r="G1393" i="1"/>
  <c r="I1393" i="1"/>
  <c r="A1394" i="1"/>
  <c r="F1394" i="1"/>
  <c r="G1394" i="1"/>
  <c r="I1394" i="1"/>
  <c r="A1395" i="1"/>
  <c r="F1395" i="1"/>
  <c r="G1395" i="1"/>
  <c r="I1395" i="1"/>
  <c r="A1396" i="1"/>
  <c r="F1396" i="1"/>
  <c r="G1396" i="1"/>
  <c r="I1396" i="1"/>
  <c r="A1397" i="1"/>
  <c r="F1397" i="1"/>
  <c r="G1397" i="1"/>
  <c r="I1397" i="1"/>
  <c r="A1398" i="1"/>
  <c r="F1398" i="1"/>
  <c r="G1398" i="1"/>
  <c r="I1398" i="1"/>
  <c r="A1399" i="1"/>
  <c r="F1399" i="1"/>
  <c r="G1399" i="1"/>
  <c r="I1399" i="1"/>
  <c r="A1400" i="1"/>
  <c r="F1400" i="1"/>
  <c r="G1400" i="1"/>
  <c r="I1400" i="1"/>
  <c r="A1401" i="1"/>
  <c r="F1401" i="1"/>
  <c r="G1401" i="1"/>
  <c r="I1401" i="1"/>
  <c r="A1402" i="1"/>
  <c r="F1402" i="1"/>
  <c r="G1402" i="1"/>
  <c r="I1402" i="1"/>
  <c r="A1403" i="1"/>
  <c r="F1403" i="1"/>
  <c r="G1403" i="1"/>
  <c r="I1403" i="1"/>
  <c r="A1404" i="1"/>
  <c r="F1404" i="1"/>
  <c r="G1404" i="1"/>
  <c r="I1404" i="1"/>
  <c r="A1405" i="1"/>
  <c r="F1405" i="1"/>
  <c r="G1405" i="1"/>
  <c r="I1405" i="1"/>
  <c r="A1406" i="1"/>
  <c r="F1406" i="1"/>
  <c r="G1406" i="1"/>
  <c r="I1406" i="1"/>
  <c r="A1407" i="1"/>
  <c r="F1407" i="1"/>
  <c r="G1407" i="1"/>
  <c r="I1407" i="1"/>
  <c r="A1408" i="1"/>
  <c r="F1408" i="1"/>
  <c r="G1408" i="1"/>
  <c r="I1408" i="1"/>
  <c r="A1409" i="1"/>
  <c r="F1409" i="1"/>
  <c r="G1409" i="1"/>
  <c r="I1409" i="1"/>
  <c r="A1410" i="1"/>
  <c r="F1410" i="1"/>
  <c r="G1410" i="1"/>
  <c r="I1410" i="1"/>
  <c r="A1411" i="1"/>
  <c r="F1411" i="1"/>
  <c r="G1411" i="1"/>
  <c r="I1411" i="1"/>
  <c r="A1412" i="1"/>
  <c r="F1412" i="1"/>
  <c r="G1412" i="1"/>
  <c r="I1412" i="1"/>
  <c r="A1413" i="1"/>
  <c r="F1413" i="1"/>
  <c r="G1413" i="1"/>
  <c r="I1413" i="1"/>
  <c r="A1414" i="1"/>
  <c r="F1414" i="1"/>
  <c r="G1414" i="1"/>
  <c r="I1414" i="1"/>
  <c r="A1415" i="1"/>
  <c r="F1415" i="1"/>
  <c r="G1415" i="1"/>
  <c r="I1415" i="1"/>
  <c r="A1416" i="1"/>
  <c r="F1416" i="1"/>
  <c r="G1416" i="1"/>
  <c r="I1416" i="1"/>
  <c r="A1417" i="1"/>
  <c r="F1417" i="1"/>
  <c r="G1417" i="1"/>
  <c r="I1417" i="1"/>
  <c r="A1418" i="1"/>
  <c r="F1418" i="1"/>
  <c r="G1418" i="1"/>
  <c r="I1418" i="1"/>
  <c r="A1419" i="1"/>
  <c r="F1419" i="1"/>
  <c r="G1419" i="1"/>
  <c r="I1419" i="1"/>
  <c r="A1420" i="1"/>
  <c r="F1420" i="1"/>
  <c r="G1420" i="1"/>
  <c r="I1420" i="1"/>
  <c r="A1421" i="1"/>
  <c r="F1421" i="1"/>
  <c r="G1421" i="1"/>
  <c r="I1421" i="1"/>
  <c r="A1422" i="1"/>
  <c r="F1422" i="1"/>
  <c r="G1422" i="1"/>
  <c r="I1422" i="1"/>
  <c r="A1423" i="1"/>
  <c r="F1423" i="1"/>
  <c r="G1423" i="1"/>
  <c r="I1423" i="1"/>
  <c r="A1424" i="1"/>
  <c r="F1424" i="1"/>
  <c r="G1424" i="1"/>
  <c r="I1424" i="1"/>
  <c r="A1425" i="1"/>
  <c r="F1425" i="1"/>
  <c r="G1425" i="1"/>
  <c r="I1425" i="1"/>
  <c r="A1426" i="1"/>
  <c r="F1426" i="1"/>
  <c r="G1426" i="1"/>
  <c r="I1426" i="1"/>
  <c r="A1427" i="1"/>
  <c r="F1427" i="1"/>
  <c r="G1427" i="1"/>
  <c r="I1427" i="1"/>
  <c r="A1428" i="1"/>
  <c r="F1428" i="1"/>
  <c r="G1428" i="1"/>
  <c r="I1428" i="1"/>
  <c r="A1429" i="1"/>
  <c r="F1429" i="1"/>
  <c r="G1429" i="1"/>
  <c r="I1429" i="1"/>
  <c r="A1430" i="1"/>
  <c r="F1430" i="1"/>
  <c r="G1430" i="1"/>
  <c r="I1430" i="1"/>
  <c r="A1431" i="1"/>
  <c r="F1431" i="1"/>
  <c r="G1431" i="1"/>
  <c r="I1431" i="1"/>
  <c r="A1432" i="1"/>
  <c r="F1432" i="1"/>
  <c r="G1432" i="1"/>
  <c r="I1432" i="1"/>
  <c r="A1433" i="1"/>
  <c r="F1433" i="1"/>
  <c r="G1433" i="1"/>
  <c r="I1433" i="1"/>
  <c r="A1434" i="1"/>
  <c r="F1434" i="1"/>
  <c r="G1434" i="1"/>
  <c r="I1434" i="1"/>
  <c r="A1435" i="1"/>
  <c r="F1435" i="1"/>
  <c r="G1435" i="1"/>
  <c r="I1435" i="1"/>
  <c r="A1436" i="1"/>
  <c r="F1436" i="1"/>
  <c r="G1436" i="1"/>
  <c r="I1436" i="1"/>
  <c r="A1437" i="1"/>
  <c r="F1437" i="1"/>
  <c r="G1437" i="1"/>
  <c r="I1437" i="1"/>
  <c r="A1438" i="1"/>
  <c r="F1438" i="1"/>
  <c r="G1438" i="1"/>
  <c r="I1438" i="1"/>
  <c r="A1439" i="1"/>
  <c r="F1439" i="1"/>
  <c r="G1439" i="1"/>
  <c r="I1439" i="1"/>
  <c r="A1440" i="1"/>
  <c r="F1440" i="1"/>
  <c r="G1440" i="1"/>
  <c r="I1440" i="1"/>
  <c r="A1441" i="1"/>
  <c r="F1441" i="1"/>
  <c r="G1441" i="1"/>
  <c r="I1441" i="1"/>
  <c r="A1442" i="1"/>
  <c r="F1442" i="1"/>
  <c r="G1442" i="1"/>
  <c r="I1442" i="1"/>
  <c r="A1443" i="1"/>
  <c r="F1443" i="1"/>
  <c r="G1443" i="1"/>
  <c r="I1443" i="1"/>
  <c r="A1444" i="1"/>
  <c r="F1444" i="1"/>
  <c r="G1444" i="1"/>
  <c r="I1444" i="1"/>
  <c r="A1445" i="1"/>
  <c r="F1445" i="1"/>
  <c r="G1445" i="1"/>
  <c r="I1445" i="1"/>
  <c r="A1446" i="1"/>
  <c r="F1446" i="1"/>
  <c r="G1446" i="1"/>
  <c r="I1446" i="1"/>
  <c r="A1447" i="1"/>
  <c r="F1447" i="1"/>
  <c r="G1447" i="1"/>
  <c r="I1447" i="1"/>
  <c r="A1448" i="1"/>
  <c r="F1448" i="1"/>
  <c r="G1448" i="1"/>
  <c r="I1448" i="1"/>
  <c r="A1449" i="1"/>
  <c r="F1449" i="1"/>
  <c r="G1449" i="1"/>
  <c r="I1449" i="1"/>
  <c r="A1450" i="1"/>
  <c r="F1450" i="1"/>
  <c r="G1450" i="1"/>
  <c r="I1450" i="1"/>
  <c r="A1451" i="1"/>
  <c r="F1451" i="1"/>
  <c r="G1451" i="1"/>
  <c r="I1451" i="1"/>
  <c r="A1452" i="1"/>
  <c r="F1452" i="1"/>
  <c r="G1452" i="1"/>
  <c r="I1452" i="1"/>
  <c r="A1453" i="1"/>
  <c r="F1453" i="1"/>
  <c r="G1453" i="1"/>
  <c r="I1453" i="1"/>
  <c r="A1454" i="1"/>
  <c r="F1454" i="1"/>
  <c r="G1454" i="1"/>
  <c r="I1454" i="1"/>
  <c r="A1455" i="1"/>
  <c r="F1455" i="1"/>
  <c r="G1455" i="1"/>
  <c r="I1455" i="1"/>
  <c r="A1456" i="1"/>
  <c r="F1456" i="1"/>
  <c r="G1456" i="1"/>
  <c r="I1456" i="1"/>
  <c r="A1457" i="1"/>
  <c r="F1457" i="1"/>
  <c r="G1457" i="1"/>
  <c r="I1457" i="1"/>
  <c r="A1458" i="1"/>
  <c r="F1458" i="1"/>
  <c r="G1458" i="1"/>
  <c r="I1458" i="1"/>
  <c r="A1459" i="1"/>
  <c r="F1459" i="1"/>
  <c r="G1459" i="1"/>
  <c r="I1459" i="1"/>
  <c r="A1460" i="1"/>
  <c r="F1460" i="1"/>
  <c r="G1460" i="1"/>
  <c r="I1460" i="1"/>
  <c r="A1461" i="1"/>
  <c r="F1461" i="1"/>
  <c r="G1461" i="1"/>
  <c r="I1461" i="1"/>
  <c r="A1462" i="1"/>
  <c r="F1462" i="1"/>
  <c r="G1462" i="1"/>
  <c r="I1462" i="1"/>
  <c r="A1463" i="1"/>
  <c r="F1463" i="1"/>
  <c r="G1463" i="1"/>
  <c r="I1463" i="1"/>
  <c r="A1464" i="1"/>
  <c r="F1464" i="1"/>
  <c r="G1464" i="1"/>
  <c r="I1464" i="1"/>
  <c r="A1465" i="1"/>
  <c r="F1465" i="1"/>
  <c r="G1465" i="1"/>
  <c r="I1465" i="1"/>
  <c r="A1466" i="1"/>
  <c r="F1466" i="1"/>
  <c r="G1466" i="1"/>
  <c r="I1466" i="1"/>
  <c r="A1467" i="1"/>
  <c r="F1467" i="1"/>
  <c r="G1467" i="1"/>
  <c r="I1467" i="1"/>
  <c r="A1468" i="1"/>
  <c r="F1468" i="1"/>
  <c r="G1468" i="1"/>
  <c r="I1468" i="1"/>
  <c r="A1469" i="1"/>
  <c r="F1469" i="1"/>
  <c r="G1469" i="1"/>
  <c r="I1469" i="1"/>
  <c r="A1470" i="1"/>
  <c r="F1470" i="1"/>
  <c r="G1470" i="1"/>
  <c r="I1470" i="1"/>
  <c r="A1471" i="1"/>
  <c r="F1471" i="1"/>
  <c r="G1471" i="1"/>
  <c r="I1471" i="1"/>
  <c r="A1472" i="1"/>
  <c r="F1472" i="1"/>
  <c r="G1472" i="1"/>
  <c r="I1472" i="1"/>
  <c r="A1473" i="1"/>
  <c r="F1473" i="1"/>
  <c r="G1473" i="1"/>
  <c r="I1473" i="1"/>
  <c r="A1474" i="1"/>
  <c r="F1474" i="1"/>
  <c r="G1474" i="1"/>
  <c r="I1474" i="1"/>
  <c r="A1475" i="1"/>
  <c r="F1475" i="1"/>
  <c r="G1475" i="1"/>
  <c r="I1475" i="1"/>
  <c r="A1476" i="1"/>
  <c r="F1476" i="1"/>
  <c r="G1476" i="1"/>
  <c r="I1476" i="1"/>
  <c r="A1477" i="1"/>
  <c r="F1477" i="1"/>
  <c r="G1477" i="1"/>
  <c r="I1477" i="1"/>
  <c r="A1478" i="1"/>
  <c r="F1478" i="1"/>
  <c r="G1478" i="1"/>
  <c r="I1478" i="1"/>
  <c r="A1479" i="1"/>
  <c r="F1479" i="1"/>
  <c r="G1479" i="1"/>
  <c r="I1479" i="1"/>
  <c r="A1480" i="1"/>
  <c r="F1480" i="1"/>
  <c r="G1480" i="1"/>
  <c r="I1480" i="1"/>
  <c r="A1481" i="1"/>
  <c r="F1481" i="1"/>
  <c r="G1481" i="1"/>
  <c r="I1481" i="1"/>
  <c r="A1482" i="1"/>
  <c r="F1482" i="1"/>
  <c r="G1482" i="1"/>
  <c r="I1482" i="1"/>
  <c r="A1483" i="1"/>
  <c r="F1483" i="1"/>
  <c r="G1483" i="1"/>
  <c r="I1483" i="1"/>
  <c r="A1484" i="1"/>
  <c r="F1484" i="1"/>
  <c r="G1484" i="1"/>
  <c r="I1484" i="1"/>
  <c r="A1485" i="1"/>
  <c r="F1485" i="1"/>
  <c r="G1485" i="1"/>
  <c r="I1485" i="1"/>
  <c r="A1486" i="1"/>
  <c r="F1486" i="1"/>
  <c r="G1486" i="1"/>
  <c r="I1486" i="1"/>
  <c r="A1487" i="1"/>
  <c r="F1487" i="1"/>
  <c r="G1487" i="1"/>
  <c r="I1487" i="1"/>
  <c r="A1488" i="1"/>
  <c r="F1488" i="1"/>
  <c r="G1488" i="1"/>
  <c r="I1488" i="1"/>
  <c r="A1489" i="1"/>
  <c r="F1489" i="1"/>
  <c r="G1489" i="1"/>
  <c r="I1489" i="1"/>
  <c r="A1490" i="1"/>
  <c r="F1490" i="1"/>
  <c r="G1490" i="1"/>
  <c r="I1490" i="1"/>
  <c r="A1491" i="1"/>
  <c r="F1491" i="1"/>
  <c r="G1491" i="1"/>
  <c r="I1491" i="1"/>
  <c r="A1492" i="1"/>
  <c r="F1492" i="1"/>
  <c r="G1492" i="1"/>
  <c r="I1492" i="1"/>
  <c r="A1493" i="1"/>
  <c r="F1493" i="1"/>
  <c r="G1493" i="1"/>
  <c r="I1493" i="1"/>
  <c r="A1494" i="1"/>
  <c r="F1494" i="1"/>
  <c r="G1494" i="1"/>
  <c r="I1494" i="1"/>
  <c r="A1495" i="1"/>
  <c r="F1495" i="1"/>
  <c r="G1495" i="1"/>
  <c r="I1495" i="1"/>
  <c r="A1496" i="1"/>
  <c r="F1496" i="1"/>
  <c r="G1496" i="1"/>
  <c r="I1496" i="1"/>
  <c r="A1497" i="1"/>
  <c r="F1497" i="1"/>
  <c r="G1497" i="1"/>
  <c r="I1497" i="1"/>
  <c r="A1498" i="1"/>
  <c r="F1498" i="1"/>
  <c r="G1498" i="1"/>
  <c r="I1498" i="1"/>
  <c r="A1499" i="1"/>
  <c r="F1499" i="1"/>
  <c r="G1499" i="1"/>
  <c r="I1499" i="1"/>
  <c r="A1500" i="1"/>
  <c r="F1500" i="1"/>
  <c r="G1500" i="1"/>
  <c r="I1500" i="1"/>
  <c r="A1501" i="1"/>
  <c r="F1501" i="1"/>
  <c r="G1501" i="1"/>
  <c r="I1501" i="1"/>
  <c r="A1502" i="1"/>
  <c r="F1502" i="1"/>
  <c r="G1502" i="1"/>
  <c r="I1502" i="1"/>
  <c r="A1503" i="1"/>
  <c r="F1503" i="1"/>
  <c r="G1503" i="1"/>
  <c r="I1503" i="1"/>
  <c r="A1504" i="1"/>
  <c r="F1504" i="1"/>
  <c r="G1504" i="1"/>
  <c r="I1504" i="1"/>
  <c r="A1505" i="1"/>
  <c r="F1505" i="1"/>
  <c r="G1505" i="1"/>
  <c r="I1505" i="1"/>
  <c r="A1506" i="1"/>
  <c r="F1506" i="1"/>
  <c r="G1506" i="1"/>
  <c r="I1506" i="1"/>
  <c r="A1507" i="1"/>
  <c r="F1507" i="1"/>
  <c r="G1507" i="1"/>
  <c r="I1507" i="1"/>
  <c r="A1508" i="1"/>
  <c r="F1508" i="1"/>
  <c r="G1508" i="1"/>
  <c r="I1508" i="1"/>
  <c r="A1509" i="1"/>
  <c r="F1509" i="1"/>
  <c r="G1509" i="1"/>
  <c r="I1509" i="1"/>
  <c r="A1510" i="1"/>
  <c r="F1510" i="1"/>
  <c r="G1510" i="1"/>
  <c r="I1510" i="1"/>
  <c r="A1511" i="1"/>
  <c r="F1511" i="1"/>
  <c r="G1511" i="1"/>
  <c r="I1511" i="1"/>
  <c r="A1512" i="1"/>
  <c r="F1512" i="1"/>
  <c r="G1512" i="1"/>
  <c r="I1512" i="1"/>
  <c r="A1513" i="1"/>
  <c r="F1513" i="1"/>
  <c r="G1513" i="1"/>
  <c r="I1513" i="1"/>
  <c r="A1514" i="1"/>
  <c r="F1514" i="1"/>
  <c r="G1514" i="1"/>
  <c r="I1514" i="1"/>
  <c r="A1515" i="1"/>
  <c r="F1515" i="1"/>
  <c r="G1515" i="1"/>
  <c r="I1515" i="1"/>
  <c r="A1516" i="1"/>
  <c r="F1516" i="1"/>
  <c r="G1516" i="1"/>
  <c r="I1516" i="1"/>
  <c r="A1517" i="1"/>
  <c r="F1517" i="1"/>
  <c r="G1517" i="1"/>
  <c r="I1517" i="1"/>
  <c r="A1518" i="1"/>
  <c r="F1518" i="1"/>
  <c r="G1518" i="1"/>
  <c r="I1518" i="1"/>
  <c r="A1519" i="1"/>
  <c r="F1519" i="1"/>
  <c r="G1519" i="1"/>
  <c r="I1519" i="1"/>
  <c r="A1520" i="1"/>
  <c r="F1520" i="1"/>
  <c r="G1520" i="1"/>
  <c r="I1520" i="1"/>
  <c r="A1521" i="1"/>
  <c r="F1521" i="1"/>
  <c r="G1521" i="1"/>
  <c r="I1521" i="1"/>
  <c r="A1522" i="1"/>
  <c r="F1522" i="1"/>
  <c r="G1522" i="1"/>
  <c r="I1522" i="1"/>
  <c r="A1523" i="1"/>
  <c r="F1523" i="1"/>
  <c r="G1523" i="1"/>
  <c r="I1523" i="1"/>
  <c r="A1524" i="1"/>
  <c r="F1524" i="1"/>
  <c r="G1524" i="1"/>
  <c r="I1524" i="1"/>
  <c r="A1525" i="1"/>
  <c r="F1525" i="1"/>
  <c r="G1525" i="1"/>
  <c r="I1525" i="1"/>
  <c r="A1526" i="1"/>
  <c r="F1526" i="1"/>
  <c r="G1526" i="1"/>
  <c r="I1526" i="1"/>
  <c r="A1527" i="1"/>
  <c r="F1527" i="1"/>
  <c r="G1527" i="1"/>
  <c r="I1527" i="1"/>
  <c r="A1528" i="1"/>
  <c r="F1528" i="1"/>
  <c r="G1528" i="1"/>
  <c r="I1528" i="1"/>
  <c r="A1529" i="1"/>
  <c r="F1529" i="1"/>
  <c r="G1529" i="1"/>
  <c r="I1529" i="1"/>
  <c r="A1530" i="1"/>
  <c r="F1530" i="1"/>
  <c r="G1530" i="1"/>
  <c r="I1530" i="1"/>
  <c r="A1531" i="1"/>
  <c r="F1531" i="1"/>
  <c r="G1531" i="1"/>
  <c r="I1531" i="1"/>
  <c r="A1532" i="1"/>
  <c r="F1532" i="1"/>
  <c r="G1532" i="1"/>
  <c r="I1532" i="1"/>
  <c r="A1533" i="1"/>
  <c r="F1533" i="1"/>
  <c r="G1533" i="1"/>
  <c r="I1533" i="1"/>
  <c r="A1534" i="1"/>
  <c r="F1534" i="1"/>
  <c r="G1534" i="1"/>
  <c r="I1534" i="1"/>
  <c r="A1535" i="1"/>
  <c r="F1535" i="1"/>
  <c r="G1535" i="1"/>
  <c r="I1535" i="1"/>
  <c r="A1536" i="1"/>
  <c r="F1536" i="1"/>
  <c r="G1536" i="1"/>
  <c r="I1536" i="1"/>
  <c r="A1537" i="1"/>
  <c r="F1537" i="1"/>
  <c r="G1537" i="1"/>
  <c r="I1537" i="1"/>
  <c r="A1538" i="1"/>
  <c r="F1538" i="1"/>
  <c r="G1538" i="1"/>
  <c r="I1538" i="1"/>
  <c r="A1539" i="1"/>
  <c r="F1539" i="1"/>
  <c r="G1539" i="1"/>
  <c r="I1539" i="1"/>
  <c r="A1540" i="1"/>
  <c r="F1540" i="1"/>
  <c r="G1540" i="1"/>
  <c r="I1540" i="1"/>
  <c r="A1541" i="1"/>
  <c r="F1541" i="1"/>
  <c r="G1541" i="1"/>
  <c r="I1541" i="1"/>
  <c r="A1542" i="1"/>
  <c r="F1542" i="1"/>
  <c r="G1542" i="1"/>
  <c r="I1542" i="1"/>
  <c r="A1543" i="1"/>
  <c r="F1543" i="1"/>
  <c r="G1543" i="1"/>
  <c r="I1543" i="1"/>
  <c r="A1544" i="1"/>
  <c r="F1544" i="1"/>
  <c r="G1544" i="1"/>
  <c r="I1544" i="1"/>
  <c r="A1545" i="1"/>
  <c r="F1545" i="1"/>
  <c r="G1545" i="1"/>
  <c r="I1545" i="1"/>
  <c r="A1546" i="1"/>
  <c r="F1546" i="1"/>
  <c r="G1546" i="1"/>
  <c r="I1546" i="1"/>
  <c r="A1547" i="1"/>
  <c r="F1547" i="1"/>
  <c r="G1547" i="1"/>
  <c r="I1547" i="1"/>
  <c r="A1548" i="1"/>
  <c r="F1548" i="1"/>
  <c r="G1548" i="1"/>
  <c r="I1548" i="1"/>
  <c r="A1549" i="1"/>
  <c r="F1549" i="1"/>
  <c r="G1549" i="1"/>
  <c r="I1549" i="1"/>
  <c r="A1550" i="1"/>
  <c r="F1550" i="1"/>
  <c r="G1550" i="1"/>
  <c r="I1550" i="1"/>
  <c r="A1551" i="1"/>
  <c r="F1551" i="1"/>
  <c r="G1551" i="1"/>
  <c r="I1551" i="1"/>
  <c r="A1552" i="1"/>
  <c r="F1552" i="1"/>
  <c r="G1552" i="1"/>
  <c r="I1552" i="1"/>
  <c r="A1553" i="1"/>
  <c r="F1553" i="1"/>
  <c r="G1553" i="1"/>
  <c r="I1553" i="1"/>
  <c r="A1554" i="1"/>
  <c r="F1554" i="1"/>
  <c r="G1554" i="1"/>
  <c r="I1554" i="1"/>
  <c r="A1555" i="1"/>
  <c r="F1555" i="1"/>
  <c r="G1555" i="1"/>
  <c r="I1555" i="1"/>
  <c r="A1556" i="1"/>
  <c r="F1556" i="1"/>
  <c r="G1556" i="1"/>
  <c r="I1556" i="1"/>
  <c r="A1557" i="1"/>
  <c r="F1557" i="1"/>
  <c r="G1557" i="1"/>
  <c r="I1557" i="1"/>
  <c r="A1558" i="1"/>
  <c r="F1558" i="1"/>
  <c r="G1558" i="1"/>
  <c r="I1558" i="1"/>
  <c r="A1559" i="1"/>
  <c r="F1559" i="1"/>
  <c r="G1559" i="1"/>
  <c r="I1559" i="1"/>
  <c r="A1560" i="1"/>
  <c r="F1560" i="1"/>
  <c r="G1560" i="1"/>
  <c r="I1560" i="1"/>
  <c r="A1561" i="1"/>
  <c r="F1561" i="1"/>
  <c r="G1561" i="1"/>
  <c r="I1561" i="1"/>
  <c r="A1562" i="1"/>
  <c r="F1562" i="1"/>
  <c r="G1562" i="1"/>
  <c r="I1562" i="1"/>
  <c r="A1563" i="1"/>
  <c r="F1563" i="1"/>
  <c r="G1563" i="1"/>
  <c r="I1563" i="1"/>
  <c r="A1564" i="1"/>
  <c r="F1564" i="1"/>
  <c r="G1564" i="1"/>
  <c r="I1564" i="1"/>
  <c r="A1565" i="1"/>
  <c r="F1565" i="1"/>
  <c r="G1565" i="1"/>
  <c r="I1565" i="1"/>
  <c r="A1566" i="1"/>
  <c r="F1566" i="1"/>
  <c r="G1566" i="1"/>
  <c r="I1566" i="1"/>
  <c r="A1567" i="1"/>
  <c r="F1567" i="1"/>
  <c r="G1567" i="1"/>
  <c r="I1567" i="1"/>
  <c r="A1568" i="1"/>
  <c r="F1568" i="1"/>
  <c r="G1568" i="1"/>
  <c r="I1568" i="1"/>
  <c r="A1569" i="1"/>
  <c r="F1569" i="1"/>
  <c r="G1569" i="1"/>
  <c r="I1569" i="1"/>
  <c r="A1570" i="1"/>
  <c r="F1570" i="1"/>
  <c r="G1570" i="1"/>
  <c r="I1570" i="1"/>
  <c r="A1571" i="1"/>
  <c r="F1571" i="1"/>
  <c r="G1571" i="1"/>
  <c r="I1571" i="1"/>
  <c r="A1572" i="1"/>
  <c r="F1572" i="1"/>
  <c r="G1572" i="1"/>
  <c r="I1572" i="1"/>
  <c r="A1573" i="1"/>
  <c r="F1573" i="1"/>
  <c r="G1573" i="1"/>
  <c r="I1573" i="1"/>
  <c r="A1574" i="1"/>
  <c r="F1574" i="1"/>
  <c r="G1574" i="1"/>
  <c r="I1574" i="1"/>
  <c r="A1575" i="1"/>
  <c r="F1575" i="1"/>
  <c r="G1575" i="1"/>
  <c r="I1575" i="1"/>
  <c r="A1576" i="1"/>
  <c r="F1576" i="1"/>
  <c r="G1576" i="1"/>
  <c r="I1576" i="1"/>
  <c r="A1577" i="1"/>
  <c r="F1577" i="1"/>
  <c r="G1577" i="1"/>
  <c r="I1577" i="1"/>
  <c r="A1578" i="1"/>
  <c r="F1578" i="1"/>
  <c r="G1578" i="1"/>
  <c r="I1578" i="1"/>
  <c r="A1579" i="1"/>
  <c r="F1579" i="1"/>
  <c r="G1579" i="1"/>
  <c r="I1579" i="1"/>
  <c r="A1580" i="1"/>
  <c r="F1580" i="1"/>
  <c r="G1580" i="1"/>
  <c r="I1580" i="1"/>
  <c r="A1581" i="1"/>
  <c r="F1581" i="1"/>
  <c r="G1581" i="1"/>
  <c r="I1581" i="1"/>
  <c r="A1582" i="1"/>
  <c r="F1582" i="1"/>
  <c r="G1582" i="1"/>
  <c r="I1582" i="1"/>
  <c r="A1583" i="1"/>
  <c r="F1583" i="1"/>
  <c r="G1583" i="1"/>
  <c r="I1583" i="1"/>
  <c r="A1584" i="1"/>
  <c r="F1584" i="1"/>
  <c r="G1584" i="1"/>
  <c r="I1584" i="1"/>
  <c r="A1585" i="1"/>
  <c r="F1585" i="1"/>
  <c r="G1585" i="1"/>
  <c r="I1585" i="1"/>
  <c r="A1586" i="1"/>
  <c r="F1586" i="1"/>
  <c r="G1586" i="1"/>
  <c r="I1586" i="1"/>
  <c r="A1587" i="1"/>
  <c r="F1587" i="1"/>
  <c r="G1587" i="1"/>
  <c r="I1587" i="1"/>
  <c r="A1588" i="1"/>
  <c r="F1588" i="1"/>
  <c r="G1588" i="1"/>
  <c r="I1588" i="1"/>
  <c r="A1589" i="1"/>
  <c r="F1589" i="1"/>
  <c r="G1589" i="1"/>
  <c r="I1589" i="1"/>
  <c r="A1590" i="1"/>
  <c r="F1590" i="1"/>
  <c r="G1590" i="1"/>
  <c r="I1590" i="1"/>
  <c r="A1591" i="1"/>
  <c r="F1591" i="1"/>
  <c r="G1591" i="1"/>
  <c r="I1591" i="1"/>
  <c r="A1592" i="1"/>
  <c r="F1592" i="1"/>
  <c r="G1592" i="1"/>
  <c r="I1592" i="1"/>
  <c r="A1593" i="1"/>
  <c r="F1593" i="1"/>
  <c r="G1593" i="1"/>
  <c r="I1593" i="1"/>
  <c r="A1594" i="1"/>
  <c r="F1594" i="1"/>
  <c r="G1594" i="1"/>
  <c r="I1594" i="1"/>
  <c r="A1595" i="1"/>
  <c r="F1595" i="1"/>
  <c r="G1595" i="1"/>
  <c r="I1595" i="1"/>
  <c r="A1596" i="1"/>
  <c r="F1596" i="1"/>
  <c r="G1596" i="1"/>
  <c r="I1596" i="1"/>
  <c r="A1597" i="1"/>
  <c r="F1597" i="1"/>
  <c r="G1597" i="1"/>
  <c r="I1597" i="1"/>
  <c r="A1598" i="1"/>
  <c r="F1598" i="1"/>
  <c r="G1598" i="1"/>
  <c r="I1598" i="1"/>
  <c r="A1599" i="1"/>
  <c r="F1599" i="1"/>
  <c r="G1599" i="1"/>
  <c r="I1599" i="1"/>
  <c r="A1600" i="1"/>
  <c r="F1600" i="1"/>
  <c r="G1600" i="1"/>
  <c r="I1600" i="1"/>
  <c r="A1601" i="1"/>
  <c r="F1601" i="1"/>
  <c r="G1601" i="1"/>
  <c r="I1601" i="1"/>
  <c r="A1602" i="1"/>
  <c r="F1602" i="1"/>
  <c r="G1602" i="1"/>
  <c r="I1602" i="1"/>
  <c r="A1603" i="1"/>
  <c r="F1603" i="1"/>
  <c r="G1603" i="1"/>
  <c r="I1603" i="1"/>
  <c r="A1604" i="1"/>
  <c r="F1604" i="1"/>
  <c r="G1604" i="1"/>
  <c r="I1604" i="1"/>
  <c r="A1605" i="1"/>
  <c r="F1605" i="1"/>
  <c r="G1605" i="1"/>
  <c r="I1605" i="1"/>
  <c r="A1606" i="1"/>
  <c r="F1606" i="1"/>
  <c r="G1606" i="1"/>
  <c r="I1606" i="1"/>
  <c r="A1607" i="1"/>
  <c r="F1607" i="1"/>
  <c r="G1607" i="1"/>
  <c r="I1607" i="1"/>
  <c r="A1608" i="1"/>
  <c r="F1608" i="1"/>
  <c r="G1608" i="1"/>
  <c r="I1608" i="1"/>
  <c r="A1609" i="1"/>
  <c r="F1609" i="1"/>
  <c r="G1609" i="1"/>
  <c r="I1609" i="1"/>
  <c r="A1610" i="1"/>
  <c r="F1610" i="1"/>
  <c r="G1610" i="1"/>
  <c r="I1610" i="1"/>
  <c r="A1611" i="1"/>
  <c r="F1611" i="1"/>
  <c r="G1611" i="1"/>
  <c r="I1611" i="1"/>
  <c r="A1612" i="1"/>
  <c r="F1612" i="1"/>
  <c r="G1612" i="1"/>
  <c r="I1612" i="1"/>
  <c r="A1613" i="1"/>
  <c r="F1613" i="1"/>
  <c r="G1613" i="1"/>
  <c r="I1613" i="1"/>
  <c r="A1614" i="1"/>
  <c r="F1614" i="1"/>
  <c r="G1614" i="1"/>
  <c r="I1614" i="1"/>
  <c r="A1615" i="1"/>
  <c r="F1615" i="1"/>
  <c r="G1615" i="1"/>
  <c r="I1615" i="1"/>
  <c r="A1616" i="1"/>
  <c r="F1616" i="1"/>
  <c r="G1616" i="1"/>
  <c r="I1616" i="1"/>
  <c r="A1617" i="1"/>
  <c r="F1617" i="1"/>
  <c r="G1617" i="1"/>
  <c r="I1617" i="1"/>
  <c r="A1618" i="1"/>
  <c r="F1618" i="1"/>
  <c r="G1618" i="1"/>
  <c r="I1618" i="1"/>
  <c r="A1619" i="1"/>
  <c r="F1619" i="1"/>
  <c r="G1619" i="1"/>
  <c r="I1619" i="1"/>
  <c r="A1620" i="1"/>
  <c r="F1620" i="1"/>
  <c r="G1620" i="1"/>
  <c r="I1620" i="1"/>
  <c r="A1621" i="1"/>
  <c r="F1621" i="1"/>
  <c r="G1621" i="1"/>
  <c r="I1621" i="1"/>
  <c r="A1622" i="1"/>
  <c r="F1622" i="1"/>
  <c r="G1622" i="1"/>
  <c r="I1622" i="1"/>
  <c r="A1623" i="1"/>
  <c r="F1623" i="1"/>
  <c r="G1623" i="1"/>
  <c r="I1623" i="1"/>
  <c r="A1624" i="1"/>
  <c r="F1624" i="1"/>
  <c r="G1624" i="1"/>
  <c r="I1624" i="1"/>
  <c r="A1625" i="1"/>
  <c r="F1625" i="1"/>
  <c r="G1625" i="1"/>
  <c r="I1625" i="1"/>
  <c r="A1626" i="1"/>
  <c r="F1626" i="1"/>
  <c r="G1626" i="1"/>
  <c r="I1626" i="1"/>
  <c r="A1627" i="1"/>
  <c r="F1627" i="1"/>
  <c r="G1627" i="1"/>
  <c r="I1627" i="1"/>
  <c r="A1628" i="1"/>
  <c r="F1628" i="1"/>
  <c r="G1628" i="1"/>
  <c r="I1628" i="1"/>
  <c r="A1629" i="1"/>
  <c r="F1629" i="1"/>
  <c r="G1629" i="1"/>
  <c r="I1629" i="1"/>
  <c r="A1630" i="1"/>
  <c r="F1630" i="1"/>
  <c r="G1630" i="1"/>
  <c r="I1630" i="1"/>
  <c r="A1631" i="1"/>
  <c r="F1631" i="1"/>
  <c r="G1631" i="1"/>
  <c r="I1631" i="1"/>
  <c r="A1632" i="1"/>
  <c r="F1632" i="1"/>
  <c r="G1632" i="1"/>
  <c r="I1632" i="1"/>
  <c r="A1633" i="1"/>
  <c r="F1633" i="1"/>
  <c r="G1633" i="1"/>
  <c r="I1633" i="1"/>
  <c r="A1634" i="1"/>
  <c r="F1634" i="1"/>
  <c r="G1634" i="1"/>
  <c r="I1634" i="1"/>
  <c r="A1635" i="1"/>
  <c r="F1635" i="1"/>
  <c r="G1635" i="1"/>
  <c r="I1635" i="1"/>
  <c r="A1636" i="1"/>
  <c r="F1636" i="1"/>
  <c r="G1636" i="1"/>
  <c r="I1636" i="1"/>
  <c r="A1637" i="1"/>
  <c r="F1637" i="1"/>
  <c r="G1637" i="1"/>
  <c r="I1637" i="1"/>
  <c r="A1638" i="1"/>
  <c r="F1638" i="1"/>
  <c r="G1638" i="1"/>
  <c r="I1638" i="1"/>
  <c r="A1639" i="1"/>
  <c r="F1639" i="1"/>
  <c r="G1639" i="1"/>
  <c r="I1639" i="1"/>
  <c r="A1640" i="1"/>
  <c r="F1640" i="1"/>
  <c r="G1640" i="1"/>
  <c r="I1640" i="1"/>
  <c r="A1641" i="1"/>
  <c r="F1641" i="1"/>
  <c r="G1641" i="1"/>
  <c r="I1641" i="1"/>
  <c r="A1642" i="1"/>
  <c r="F1642" i="1"/>
  <c r="G1642" i="1"/>
  <c r="I1642" i="1"/>
  <c r="A1643" i="1"/>
  <c r="F1643" i="1"/>
  <c r="G1643" i="1"/>
  <c r="I1643" i="1"/>
  <c r="A1644" i="1"/>
  <c r="F1644" i="1"/>
  <c r="G1644" i="1"/>
  <c r="I1644" i="1"/>
  <c r="A1645" i="1"/>
  <c r="F1645" i="1"/>
  <c r="G1645" i="1"/>
  <c r="I1645" i="1"/>
  <c r="A1646" i="1"/>
  <c r="F1646" i="1"/>
  <c r="G1646" i="1"/>
  <c r="I1646" i="1"/>
  <c r="A1647" i="1"/>
  <c r="F1647" i="1"/>
  <c r="G1647" i="1"/>
  <c r="I1647" i="1"/>
  <c r="A1648" i="1"/>
  <c r="F1648" i="1"/>
  <c r="G1648" i="1"/>
  <c r="I1648" i="1"/>
  <c r="A1649" i="1"/>
  <c r="F1649" i="1"/>
  <c r="G1649" i="1"/>
  <c r="I1649" i="1"/>
  <c r="A1650" i="1"/>
  <c r="F1650" i="1"/>
  <c r="G1650" i="1"/>
  <c r="I1650" i="1"/>
  <c r="A1651" i="1"/>
  <c r="F1651" i="1"/>
  <c r="G1651" i="1"/>
  <c r="I1651" i="1"/>
  <c r="A1652" i="1"/>
  <c r="F1652" i="1"/>
  <c r="G1652" i="1"/>
  <c r="I1652" i="1"/>
  <c r="A1653" i="1"/>
  <c r="F1653" i="1"/>
  <c r="G1653" i="1"/>
  <c r="I1653" i="1"/>
  <c r="A1654" i="1"/>
  <c r="F1654" i="1"/>
  <c r="G1654" i="1"/>
  <c r="I1654" i="1"/>
  <c r="A1655" i="1"/>
  <c r="F1655" i="1"/>
  <c r="G1655" i="1"/>
  <c r="I1655" i="1"/>
  <c r="A1656" i="1"/>
  <c r="F1656" i="1"/>
  <c r="G1656" i="1"/>
  <c r="I1656" i="1"/>
  <c r="A1657" i="1"/>
  <c r="F1657" i="1"/>
  <c r="G1657" i="1"/>
  <c r="I1657" i="1"/>
  <c r="A1658" i="1"/>
  <c r="F1658" i="1"/>
  <c r="G1658" i="1"/>
  <c r="I1658" i="1"/>
  <c r="A1659" i="1"/>
  <c r="F1659" i="1"/>
  <c r="G1659" i="1"/>
  <c r="I1659" i="1"/>
  <c r="A1660" i="1"/>
  <c r="F1660" i="1"/>
  <c r="G1660" i="1"/>
  <c r="I1660" i="1"/>
  <c r="A1661" i="1"/>
  <c r="F1661" i="1"/>
  <c r="G1661" i="1"/>
  <c r="I1661" i="1"/>
  <c r="A1662" i="1"/>
  <c r="F1662" i="1"/>
  <c r="G1662" i="1"/>
  <c r="I1662" i="1"/>
  <c r="A1663" i="1"/>
  <c r="F1663" i="1"/>
  <c r="G1663" i="1"/>
  <c r="I1663" i="1"/>
  <c r="A1664" i="1"/>
  <c r="F1664" i="1"/>
  <c r="G1664" i="1"/>
  <c r="I1664" i="1"/>
  <c r="A1665" i="1"/>
  <c r="F1665" i="1"/>
  <c r="G1665" i="1"/>
  <c r="I1665" i="1"/>
  <c r="A1666" i="1"/>
  <c r="F1666" i="1"/>
  <c r="G1666" i="1"/>
  <c r="I1666" i="1"/>
  <c r="A1667" i="1"/>
  <c r="F1667" i="1"/>
  <c r="G1667" i="1"/>
  <c r="I1667" i="1"/>
  <c r="A1668" i="1"/>
  <c r="F1668" i="1"/>
  <c r="G1668" i="1"/>
  <c r="I1668" i="1"/>
  <c r="A1669" i="1"/>
  <c r="F1669" i="1"/>
  <c r="G1669" i="1"/>
  <c r="I1669" i="1"/>
  <c r="A1670" i="1"/>
  <c r="F1670" i="1"/>
  <c r="G1670" i="1"/>
  <c r="I1670" i="1"/>
  <c r="A1671" i="1"/>
  <c r="F1671" i="1"/>
  <c r="G1671" i="1"/>
  <c r="I1671" i="1"/>
  <c r="A1672" i="1"/>
  <c r="F1672" i="1"/>
  <c r="G1672" i="1"/>
  <c r="I1672" i="1"/>
  <c r="A1673" i="1"/>
  <c r="F1673" i="1"/>
  <c r="G1673" i="1"/>
  <c r="I1673" i="1"/>
  <c r="A1674" i="1"/>
  <c r="F1674" i="1"/>
  <c r="G1674" i="1"/>
  <c r="I1674" i="1"/>
  <c r="A1675" i="1"/>
  <c r="F1675" i="1"/>
  <c r="G1675" i="1"/>
  <c r="I1675" i="1"/>
  <c r="A1676" i="1"/>
  <c r="F1676" i="1"/>
  <c r="G1676" i="1"/>
  <c r="I1676" i="1"/>
  <c r="A1677" i="1"/>
  <c r="F1677" i="1"/>
  <c r="G1677" i="1"/>
  <c r="I1677" i="1"/>
  <c r="A1678" i="1"/>
  <c r="F1678" i="1"/>
  <c r="G1678" i="1"/>
  <c r="I1678" i="1"/>
  <c r="A1679" i="1"/>
  <c r="F1679" i="1"/>
  <c r="G1679" i="1"/>
  <c r="I1679" i="1"/>
  <c r="A1680" i="1"/>
  <c r="F1680" i="1"/>
  <c r="G1680" i="1"/>
  <c r="I1680" i="1"/>
  <c r="A1681" i="1"/>
  <c r="F1681" i="1"/>
  <c r="G1681" i="1"/>
  <c r="I1681" i="1"/>
  <c r="A1682" i="1"/>
  <c r="F1682" i="1"/>
  <c r="G1682" i="1"/>
  <c r="I1682" i="1"/>
  <c r="A1683" i="1"/>
  <c r="F1683" i="1"/>
  <c r="G1683" i="1"/>
  <c r="I1683" i="1"/>
  <c r="A1684" i="1"/>
  <c r="F1684" i="1"/>
  <c r="G1684" i="1"/>
  <c r="I1684" i="1"/>
  <c r="A1685" i="1"/>
  <c r="F1685" i="1"/>
  <c r="G1685" i="1"/>
  <c r="I1685" i="1"/>
  <c r="A1686" i="1"/>
  <c r="F1686" i="1"/>
  <c r="G1686" i="1"/>
  <c r="I1686" i="1"/>
  <c r="A1687" i="1"/>
  <c r="F1687" i="1"/>
  <c r="G1687" i="1"/>
  <c r="I1687" i="1"/>
  <c r="A1688" i="1"/>
  <c r="F1688" i="1"/>
  <c r="G1688" i="1"/>
  <c r="I1688" i="1"/>
  <c r="A1689" i="1"/>
  <c r="F1689" i="1"/>
  <c r="G1689" i="1"/>
  <c r="I1689" i="1"/>
  <c r="A1690" i="1"/>
  <c r="F1690" i="1"/>
  <c r="G1690" i="1"/>
  <c r="I1690" i="1"/>
  <c r="A1691" i="1"/>
  <c r="F1691" i="1"/>
  <c r="G1691" i="1"/>
  <c r="I1691" i="1"/>
  <c r="A1692" i="1"/>
  <c r="F1692" i="1"/>
  <c r="G1692" i="1"/>
  <c r="I1692" i="1"/>
  <c r="A1693" i="1"/>
  <c r="F1693" i="1"/>
  <c r="G1693" i="1"/>
  <c r="I1693" i="1"/>
  <c r="A1694" i="1"/>
  <c r="F1694" i="1"/>
  <c r="G1694" i="1"/>
  <c r="I1694" i="1"/>
  <c r="A1695" i="1"/>
  <c r="F1695" i="1"/>
  <c r="G1695" i="1"/>
  <c r="I1695" i="1"/>
  <c r="A1696" i="1"/>
  <c r="F1696" i="1"/>
  <c r="G1696" i="1"/>
  <c r="I1696" i="1"/>
  <c r="A1697" i="1"/>
  <c r="F1697" i="1"/>
  <c r="G1697" i="1"/>
  <c r="I1697" i="1"/>
  <c r="A1698" i="1"/>
  <c r="F1698" i="1"/>
  <c r="G1698" i="1"/>
  <c r="I1698" i="1"/>
  <c r="A1699" i="1"/>
  <c r="F1699" i="1"/>
  <c r="G1699" i="1"/>
  <c r="I1699" i="1"/>
  <c r="A1700" i="1"/>
  <c r="F1700" i="1"/>
  <c r="G1700" i="1"/>
  <c r="I1700" i="1"/>
  <c r="A1701" i="1"/>
  <c r="F1701" i="1"/>
  <c r="G1701" i="1"/>
  <c r="I1701" i="1"/>
  <c r="A1702" i="1"/>
  <c r="F1702" i="1"/>
  <c r="G1702" i="1"/>
  <c r="I1702" i="1"/>
  <c r="A1703" i="1"/>
  <c r="F1703" i="1"/>
  <c r="G1703" i="1"/>
  <c r="I1703" i="1"/>
  <c r="A1704" i="1"/>
  <c r="F1704" i="1"/>
  <c r="G1704" i="1"/>
  <c r="I1704" i="1"/>
  <c r="A1705" i="1"/>
  <c r="F1705" i="1"/>
  <c r="G1705" i="1"/>
  <c r="I1705" i="1"/>
  <c r="A1706" i="1"/>
  <c r="F1706" i="1"/>
  <c r="G1706" i="1"/>
  <c r="I1706" i="1"/>
  <c r="A1707" i="1"/>
  <c r="F1707" i="1"/>
  <c r="G1707" i="1"/>
  <c r="I1707" i="1"/>
  <c r="A1708" i="1"/>
  <c r="F1708" i="1"/>
  <c r="G1708" i="1"/>
  <c r="I1708" i="1"/>
  <c r="A1709" i="1"/>
  <c r="F1709" i="1"/>
  <c r="G1709" i="1"/>
  <c r="I1709" i="1"/>
  <c r="A1710" i="1"/>
  <c r="F1710" i="1"/>
  <c r="G1710" i="1"/>
  <c r="I1710" i="1"/>
  <c r="A1711" i="1"/>
  <c r="F1711" i="1"/>
  <c r="G1711" i="1"/>
  <c r="I1711" i="1"/>
  <c r="A1712" i="1"/>
  <c r="F1712" i="1"/>
  <c r="G1712" i="1"/>
  <c r="I1712" i="1"/>
  <c r="A1713" i="1"/>
  <c r="F1713" i="1"/>
  <c r="G1713" i="1"/>
  <c r="I1713" i="1"/>
  <c r="A1714" i="1"/>
  <c r="F1714" i="1"/>
  <c r="G1714" i="1"/>
  <c r="I1714" i="1"/>
  <c r="A1715" i="1"/>
  <c r="F1715" i="1"/>
  <c r="G1715" i="1"/>
  <c r="I1715" i="1"/>
  <c r="A1716" i="1"/>
  <c r="F1716" i="1"/>
  <c r="G1716" i="1"/>
  <c r="I1716" i="1"/>
  <c r="A1717" i="1"/>
  <c r="F1717" i="1"/>
  <c r="G1717" i="1"/>
  <c r="I1717" i="1"/>
  <c r="A1718" i="1"/>
  <c r="F1718" i="1"/>
  <c r="G1718" i="1"/>
  <c r="I1718" i="1"/>
  <c r="A1719" i="1"/>
  <c r="F1719" i="1"/>
  <c r="G1719" i="1"/>
  <c r="I1719" i="1"/>
  <c r="A1720" i="1"/>
  <c r="F1720" i="1"/>
  <c r="G1720" i="1"/>
  <c r="I1720" i="1"/>
  <c r="A1721" i="1"/>
  <c r="F1721" i="1"/>
  <c r="G1721" i="1"/>
  <c r="I1721" i="1"/>
  <c r="A1722" i="1"/>
  <c r="F1722" i="1"/>
  <c r="G1722" i="1"/>
  <c r="I1722" i="1"/>
  <c r="A1723" i="1"/>
  <c r="F1723" i="1"/>
  <c r="G1723" i="1"/>
  <c r="I1723" i="1"/>
  <c r="A1724" i="1"/>
  <c r="F1724" i="1"/>
  <c r="G1724" i="1"/>
  <c r="I1724" i="1"/>
  <c r="A1725" i="1"/>
  <c r="F1725" i="1"/>
  <c r="G1725" i="1"/>
  <c r="I1725" i="1"/>
  <c r="A1726" i="1"/>
  <c r="F1726" i="1"/>
  <c r="G1726" i="1"/>
  <c r="I1726" i="1"/>
  <c r="A1727" i="1"/>
  <c r="F1727" i="1"/>
  <c r="G1727" i="1"/>
  <c r="I1727" i="1"/>
  <c r="A1728" i="1"/>
  <c r="F1728" i="1"/>
  <c r="G1728" i="1"/>
  <c r="I1728" i="1"/>
  <c r="A1729" i="1"/>
  <c r="F1729" i="1"/>
  <c r="G1729" i="1"/>
  <c r="I1729" i="1"/>
  <c r="A1730" i="1"/>
  <c r="F1730" i="1"/>
  <c r="G1730" i="1"/>
  <c r="I1730" i="1"/>
  <c r="A1731" i="1"/>
  <c r="F1731" i="1"/>
  <c r="G1731" i="1"/>
  <c r="I1731" i="1"/>
  <c r="A1732" i="1"/>
  <c r="F1732" i="1"/>
  <c r="G1732" i="1"/>
  <c r="I1732" i="1"/>
  <c r="A1733" i="1"/>
  <c r="F1733" i="1"/>
  <c r="G1733" i="1"/>
  <c r="I1733" i="1"/>
  <c r="A1734" i="1"/>
  <c r="F1734" i="1"/>
  <c r="G1734" i="1"/>
  <c r="I1734" i="1"/>
  <c r="A1735" i="1"/>
  <c r="F1735" i="1"/>
  <c r="G1735" i="1"/>
  <c r="I1735" i="1"/>
  <c r="A1736" i="1"/>
  <c r="F1736" i="1"/>
  <c r="G1736" i="1"/>
  <c r="I1736" i="1"/>
  <c r="A1737" i="1"/>
  <c r="F1737" i="1"/>
  <c r="G1737" i="1"/>
  <c r="I1737" i="1"/>
  <c r="A1738" i="1"/>
  <c r="F1738" i="1"/>
  <c r="G1738" i="1"/>
  <c r="I1738" i="1"/>
  <c r="A1739" i="1"/>
  <c r="F1739" i="1"/>
  <c r="G1739" i="1"/>
  <c r="I1739" i="1"/>
  <c r="A1740" i="1"/>
  <c r="F1740" i="1"/>
  <c r="G1740" i="1"/>
  <c r="I1740" i="1"/>
  <c r="A1741" i="1"/>
  <c r="F1741" i="1"/>
  <c r="G1741" i="1"/>
  <c r="I1741" i="1"/>
  <c r="A1742" i="1"/>
  <c r="F1742" i="1"/>
  <c r="G1742" i="1"/>
  <c r="I1742" i="1"/>
  <c r="A1743" i="1"/>
  <c r="F1743" i="1"/>
  <c r="G1743" i="1"/>
  <c r="I1743" i="1"/>
  <c r="A1744" i="1"/>
  <c r="F1744" i="1"/>
  <c r="G1744" i="1"/>
  <c r="I1744" i="1"/>
  <c r="A1745" i="1"/>
  <c r="F1745" i="1"/>
  <c r="G1745" i="1"/>
  <c r="I1745" i="1"/>
  <c r="A1746" i="1"/>
  <c r="F1746" i="1"/>
  <c r="G1746" i="1"/>
  <c r="I1746" i="1"/>
  <c r="A1747" i="1"/>
  <c r="F1747" i="1"/>
  <c r="G1747" i="1"/>
  <c r="I1747" i="1"/>
  <c r="A1748" i="1"/>
  <c r="F1748" i="1"/>
  <c r="G1748" i="1"/>
  <c r="I1748" i="1"/>
  <c r="A1749" i="1"/>
  <c r="F1749" i="1"/>
  <c r="G1749" i="1"/>
  <c r="I1749" i="1"/>
  <c r="A1750" i="1"/>
  <c r="F1750" i="1"/>
  <c r="G1750" i="1"/>
  <c r="I1750" i="1"/>
  <c r="A1751" i="1"/>
  <c r="F1751" i="1"/>
  <c r="G1751" i="1"/>
  <c r="I1751" i="1"/>
  <c r="A1752" i="1"/>
  <c r="F1752" i="1"/>
  <c r="G1752" i="1"/>
  <c r="I1752" i="1"/>
  <c r="A1753" i="1"/>
  <c r="F1753" i="1"/>
  <c r="G1753" i="1"/>
  <c r="I1753" i="1"/>
  <c r="A1754" i="1"/>
  <c r="F1754" i="1"/>
  <c r="G1754" i="1"/>
  <c r="I1754" i="1"/>
  <c r="A1755" i="1"/>
  <c r="F1755" i="1"/>
  <c r="G1755" i="1"/>
  <c r="I1755" i="1"/>
  <c r="A1756" i="1"/>
  <c r="F1756" i="1"/>
  <c r="G1756" i="1"/>
  <c r="I1756" i="1"/>
  <c r="A1757" i="1"/>
  <c r="F1757" i="1"/>
  <c r="G1757" i="1"/>
  <c r="I1757" i="1"/>
  <c r="A1758" i="1"/>
  <c r="F1758" i="1"/>
  <c r="G1758" i="1"/>
  <c r="I1758" i="1"/>
  <c r="A1759" i="1"/>
  <c r="F1759" i="1"/>
  <c r="G1759" i="1"/>
  <c r="I1759" i="1"/>
  <c r="A1760" i="1"/>
  <c r="F1760" i="1"/>
  <c r="G1760" i="1"/>
  <c r="I1760" i="1"/>
  <c r="A1761" i="1"/>
  <c r="F1761" i="1"/>
  <c r="G1761" i="1"/>
  <c r="I1761" i="1"/>
  <c r="A1762" i="1"/>
  <c r="F1762" i="1"/>
  <c r="G1762" i="1"/>
  <c r="I1762" i="1"/>
  <c r="A1763" i="1"/>
  <c r="F1763" i="1"/>
  <c r="G1763" i="1"/>
  <c r="I1763" i="1"/>
  <c r="A1764" i="1"/>
  <c r="F1764" i="1"/>
  <c r="G1764" i="1"/>
  <c r="I1764" i="1"/>
  <c r="A1765" i="1"/>
  <c r="F1765" i="1"/>
  <c r="G1765" i="1"/>
  <c r="I1765" i="1"/>
  <c r="A1766" i="1"/>
  <c r="F1766" i="1"/>
  <c r="G1766" i="1"/>
  <c r="I1766" i="1"/>
  <c r="A1767" i="1"/>
  <c r="F1767" i="1"/>
  <c r="G1767" i="1"/>
  <c r="I1767" i="1"/>
  <c r="A1768" i="1"/>
  <c r="F1768" i="1"/>
  <c r="G1768" i="1"/>
  <c r="I1768" i="1"/>
  <c r="A1769" i="1"/>
  <c r="F1769" i="1"/>
  <c r="G1769" i="1"/>
  <c r="I1769" i="1"/>
  <c r="A1770" i="1"/>
  <c r="F1770" i="1"/>
  <c r="G1770" i="1"/>
  <c r="I1770" i="1"/>
  <c r="A1771" i="1"/>
  <c r="F1771" i="1"/>
  <c r="G1771" i="1"/>
  <c r="I1771" i="1"/>
  <c r="A1772" i="1"/>
  <c r="F1772" i="1"/>
  <c r="G1772" i="1"/>
  <c r="I1772" i="1"/>
  <c r="A1773" i="1"/>
  <c r="F1773" i="1"/>
  <c r="G1773" i="1"/>
  <c r="I1773" i="1"/>
  <c r="A1774" i="1"/>
  <c r="F1774" i="1"/>
  <c r="G1774" i="1"/>
  <c r="I1774" i="1"/>
  <c r="A1775" i="1"/>
  <c r="F1775" i="1"/>
  <c r="G1775" i="1"/>
  <c r="I1775" i="1"/>
  <c r="A1776" i="1"/>
  <c r="F1776" i="1"/>
  <c r="G1776" i="1"/>
  <c r="I1776" i="1"/>
  <c r="A1777" i="1"/>
  <c r="F1777" i="1"/>
  <c r="G1777" i="1"/>
  <c r="I1777" i="1"/>
  <c r="A1778" i="1"/>
  <c r="F1778" i="1"/>
  <c r="G1778" i="1"/>
  <c r="I1778" i="1"/>
  <c r="A1779" i="1"/>
  <c r="F1779" i="1"/>
  <c r="G1779" i="1"/>
  <c r="I1779" i="1"/>
  <c r="A1780" i="1"/>
  <c r="F1780" i="1"/>
  <c r="G1780" i="1"/>
  <c r="I1780" i="1"/>
  <c r="A1781" i="1"/>
  <c r="F1781" i="1"/>
  <c r="G1781" i="1"/>
  <c r="I1781" i="1"/>
  <c r="A1782" i="1"/>
  <c r="F1782" i="1"/>
  <c r="G1782" i="1"/>
  <c r="I1782" i="1"/>
  <c r="A1783" i="1"/>
  <c r="F1783" i="1"/>
  <c r="G1783" i="1"/>
  <c r="I1783" i="1"/>
  <c r="A1784" i="1"/>
  <c r="F1784" i="1"/>
  <c r="G1784" i="1"/>
  <c r="I1784" i="1"/>
  <c r="A1785" i="1"/>
  <c r="F1785" i="1"/>
  <c r="G1785" i="1"/>
  <c r="I1785" i="1"/>
  <c r="A1786" i="1"/>
  <c r="F1786" i="1"/>
  <c r="G1786" i="1"/>
  <c r="I1786" i="1"/>
  <c r="A1787" i="1"/>
  <c r="F1787" i="1"/>
  <c r="G1787" i="1"/>
  <c r="I1787" i="1"/>
  <c r="A1788" i="1"/>
  <c r="F1788" i="1"/>
  <c r="G1788" i="1"/>
  <c r="I1788" i="1"/>
  <c r="A1789" i="1"/>
  <c r="F1789" i="1"/>
  <c r="G1789" i="1"/>
  <c r="I1789" i="1"/>
  <c r="A1790" i="1"/>
  <c r="F1790" i="1"/>
  <c r="G1790" i="1"/>
  <c r="I1790" i="1"/>
  <c r="A1791" i="1"/>
  <c r="F1791" i="1"/>
  <c r="G1791" i="1"/>
  <c r="I1791" i="1"/>
  <c r="A1792" i="1"/>
  <c r="F1792" i="1"/>
  <c r="G1792" i="1"/>
  <c r="I1792" i="1"/>
  <c r="A1793" i="1"/>
  <c r="F1793" i="1"/>
  <c r="G1793" i="1"/>
  <c r="I1793" i="1"/>
  <c r="A1794" i="1"/>
  <c r="F1794" i="1"/>
  <c r="G1794" i="1"/>
  <c r="I1794" i="1"/>
  <c r="A1795" i="1"/>
  <c r="F1795" i="1"/>
  <c r="G1795" i="1"/>
  <c r="I1795" i="1"/>
  <c r="A1796" i="1"/>
  <c r="F1796" i="1"/>
  <c r="G1796" i="1"/>
  <c r="I1796" i="1"/>
  <c r="A1797" i="1"/>
  <c r="F1797" i="1"/>
  <c r="G1797" i="1"/>
  <c r="I1797" i="1"/>
  <c r="A1798" i="1"/>
  <c r="F1798" i="1"/>
  <c r="G1798" i="1"/>
  <c r="I1798" i="1"/>
  <c r="A1799" i="1"/>
  <c r="F1799" i="1"/>
  <c r="G1799" i="1"/>
  <c r="I1799" i="1"/>
  <c r="A1800" i="1"/>
  <c r="F1800" i="1"/>
  <c r="G1800" i="1"/>
  <c r="I1800" i="1"/>
  <c r="A1801" i="1"/>
  <c r="F1801" i="1"/>
  <c r="G1801" i="1"/>
  <c r="I1801" i="1"/>
  <c r="A1802" i="1"/>
  <c r="F1802" i="1"/>
  <c r="G1802" i="1"/>
  <c r="I1802" i="1"/>
  <c r="A1803" i="1"/>
  <c r="F1803" i="1"/>
  <c r="G1803" i="1"/>
  <c r="I1803" i="1"/>
  <c r="A1804" i="1"/>
  <c r="F1804" i="1"/>
  <c r="G1804" i="1"/>
  <c r="I1804" i="1"/>
  <c r="A1805" i="1"/>
  <c r="F1805" i="1"/>
  <c r="G1805" i="1"/>
  <c r="I1805" i="1"/>
  <c r="A1806" i="1"/>
  <c r="F1806" i="1"/>
  <c r="G1806" i="1"/>
  <c r="I1806" i="1"/>
  <c r="A1807" i="1"/>
  <c r="F1807" i="1"/>
  <c r="G1807" i="1"/>
  <c r="I1807" i="1"/>
  <c r="A1808" i="1"/>
  <c r="F1808" i="1"/>
  <c r="G1808" i="1"/>
  <c r="I1808" i="1"/>
  <c r="A1809" i="1"/>
  <c r="F1809" i="1"/>
  <c r="G1809" i="1"/>
  <c r="I1809" i="1"/>
  <c r="A1810" i="1"/>
  <c r="F1810" i="1"/>
  <c r="G1810" i="1"/>
  <c r="I1810" i="1"/>
  <c r="A1811" i="1"/>
  <c r="F1811" i="1"/>
  <c r="G1811" i="1"/>
  <c r="I1811" i="1"/>
  <c r="A1812" i="1"/>
  <c r="F1812" i="1"/>
  <c r="G1812" i="1"/>
  <c r="I1812" i="1"/>
  <c r="A1813" i="1"/>
  <c r="F1813" i="1"/>
  <c r="G1813" i="1"/>
  <c r="I1813" i="1"/>
  <c r="A1814" i="1"/>
  <c r="F1814" i="1"/>
  <c r="G1814" i="1"/>
  <c r="I1814" i="1"/>
  <c r="A1815" i="1"/>
  <c r="F1815" i="1"/>
  <c r="G1815" i="1"/>
  <c r="I1815" i="1"/>
  <c r="A1816" i="1"/>
  <c r="F1816" i="1"/>
  <c r="G1816" i="1"/>
  <c r="I1816" i="1"/>
  <c r="A1817" i="1"/>
  <c r="F1817" i="1"/>
  <c r="G1817" i="1"/>
  <c r="I1817" i="1"/>
  <c r="A1818" i="1"/>
  <c r="F1818" i="1"/>
  <c r="G1818" i="1"/>
  <c r="I1818" i="1"/>
  <c r="A1819" i="1"/>
  <c r="F1819" i="1"/>
  <c r="G1819" i="1"/>
  <c r="I1819" i="1"/>
  <c r="A1820" i="1"/>
  <c r="F1820" i="1"/>
  <c r="G1820" i="1"/>
  <c r="I1820" i="1"/>
  <c r="A1821" i="1"/>
  <c r="F1821" i="1"/>
  <c r="G1821" i="1"/>
  <c r="I1821" i="1"/>
  <c r="A1822" i="1"/>
  <c r="F1822" i="1"/>
  <c r="G1822" i="1"/>
  <c r="I1822" i="1"/>
  <c r="A1823" i="1"/>
  <c r="F1823" i="1"/>
  <c r="G1823" i="1"/>
  <c r="I1823" i="1"/>
  <c r="A1824" i="1"/>
  <c r="F1824" i="1"/>
  <c r="G1824" i="1"/>
  <c r="I1824" i="1"/>
  <c r="A1825" i="1"/>
  <c r="F1825" i="1"/>
  <c r="G1825" i="1"/>
  <c r="I1825" i="1"/>
  <c r="A1826" i="1"/>
  <c r="F1826" i="1"/>
  <c r="G1826" i="1"/>
  <c r="I1826" i="1"/>
  <c r="A1827" i="1"/>
  <c r="F1827" i="1"/>
  <c r="G1827" i="1"/>
  <c r="I1827" i="1"/>
  <c r="A1828" i="1"/>
  <c r="F1828" i="1"/>
  <c r="G1828" i="1"/>
  <c r="I1828" i="1"/>
  <c r="A1829" i="1"/>
  <c r="F1829" i="1"/>
  <c r="G1829" i="1"/>
  <c r="I1829" i="1"/>
  <c r="A1830" i="1"/>
  <c r="F1830" i="1"/>
  <c r="G1830" i="1"/>
  <c r="I1830" i="1"/>
  <c r="A1831" i="1"/>
  <c r="F1831" i="1"/>
  <c r="G1831" i="1"/>
  <c r="I1831" i="1"/>
  <c r="A1832" i="1"/>
  <c r="F1832" i="1"/>
  <c r="G1832" i="1"/>
  <c r="I1832" i="1"/>
  <c r="A1833" i="1"/>
  <c r="F1833" i="1"/>
  <c r="G1833" i="1"/>
  <c r="I1833" i="1"/>
  <c r="A1834" i="1"/>
  <c r="F1834" i="1"/>
  <c r="G1834" i="1"/>
  <c r="I1834" i="1"/>
  <c r="A1835" i="1"/>
  <c r="F1835" i="1"/>
  <c r="G1835" i="1"/>
  <c r="I1835" i="1"/>
  <c r="A1836" i="1"/>
  <c r="F1836" i="1"/>
  <c r="G1836" i="1"/>
  <c r="I1836" i="1"/>
  <c r="A1837" i="1"/>
  <c r="F1837" i="1"/>
  <c r="G1837" i="1"/>
  <c r="I1837" i="1"/>
  <c r="A1838" i="1"/>
  <c r="F1838" i="1"/>
  <c r="G1838" i="1"/>
  <c r="I1838" i="1"/>
  <c r="A1839" i="1"/>
  <c r="F1839" i="1"/>
  <c r="G1839" i="1"/>
  <c r="I1839" i="1"/>
  <c r="A1840" i="1"/>
  <c r="F1840" i="1"/>
  <c r="G1840" i="1"/>
  <c r="I1840" i="1"/>
  <c r="A1841" i="1"/>
  <c r="F1841" i="1"/>
  <c r="G1841" i="1"/>
  <c r="I1841" i="1"/>
  <c r="A1842" i="1"/>
  <c r="F1842" i="1"/>
  <c r="G1842" i="1"/>
  <c r="I1842" i="1"/>
  <c r="A1843" i="1"/>
  <c r="F1843" i="1"/>
  <c r="G1843" i="1"/>
  <c r="I1843" i="1"/>
  <c r="A1844" i="1"/>
  <c r="F1844" i="1"/>
  <c r="G1844" i="1"/>
  <c r="I1844" i="1"/>
  <c r="A1845" i="1"/>
  <c r="F1845" i="1"/>
  <c r="G1845" i="1"/>
  <c r="I1845" i="1"/>
  <c r="A1846" i="1"/>
  <c r="F1846" i="1"/>
  <c r="G1846" i="1"/>
  <c r="I1846" i="1"/>
  <c r="A1847" i="1"/>
  <c r="F1847" i="1"/>
  <c r="G1847" i="1"/>
  <c r="I1847" i="1"/>
  <c r="A1848" i="1"/>
  <c r="F1848" i="1"/>
  <c r="G1848" i="1"/>
  <c r="I1848" i="1"/>
  <c r="A1849" i="1"/>
  <c r="F1849" i="1"/>
  <c r="G1849" i="1"/>
  <c r="I1849" i="1"/>
  <c r="A1850" i="1"/>
  <c r="F1850" i="1"/>
  <c r="G1850" i="1"/>
  <c r="I1850" i="1"/>
  <c r="A1851" i="1"/>
  <c r="F1851" i="1"/>
  <c r="G1851" i="1"/>
  <c r="I1851" i="1"/>
  <c r="A1852" i="1"/>
  <c r="F1852" i="1"/>
  <c r="G1852" i="1"/>
  <c r="I1852" i="1"/>
  <c r="A1853" i="1"/>
  <c r="F1853" i="1"/>
  <c r="G1853" i="1"/>
  <c r="I1853" i="1"/>
  <c r="A1854" i="1"/>
  <c r="F1854" i="1"/>
  <c r="G1854" i="1"/>
  <c r="I1854" i="1"/>
  <c r="A1855" i="1"/>
  <c r="F1855" i="1"/>
  <c r="G1855" i="1"/>
  <c r="I1855" i="1"/>
  <c r="A1856" i="1"/>
  <c r="F1856" i="1"/>
  <c r="G1856" i="1"/>
  <c r="I1856" i="1"/>
  <c r="A1857" i="1"/>
  <c r="F1857" i="1"/>
  <c r="G1857" i="1"/>
  <c r="I1857" i="1"/>
  <c r="A1858" i="1"/>
  <c r="F1858" i="1"/>
  <c r="G1858" i="1"/>
  <c r="I1858" i="1"/>
  <c r="A1859" i="1"/>
  <c r="F1859" i="1"/>
  <c r="G1859" i="1"/>
  <c r="I1859" i="1"/>
  <c r="A1860" i="1"/>
  <c r="F1860" i="1"/>
  <c r="G1860" i="1"/>
  <c r="I1860" i="1"/>
  <c r="A1861" i="1"/>
  <c r="F1861" i="1"/>
  <c r="G1861" i="1"/>
  <c r="I1861" i="1"/>
  <c r="A1862" i="1"/>
  <c r="F1862" i="1"/>
  <c r="G1862" i="1"/>
  <c r="I1862" i="1"/>
  <c r="A1863" i="1"/>
  <c r="F1863" i="1"/>
  <c r="G1863" i="1"/>
  <c r="I1863" i="1"/>
  <c r="A1864" i="1"/>
  <c r="F1864" i="1"/>
  <c r="G1864" i="1"/>
  <c r="I1864" i="1"/>
  <c r="A1865" i="1"/>
  <c r="F1865" i="1"/>
  <c r="G1865" i="1"/>
  <c r="I1865" i="1"/>
  <c r="A1866" i="1"/>
  <c r="F1866" i="1"/>
  <c r="G1866" i="1"/>
  <c r="I1866" i="1"/>
  <c r="A1867" i="1"/>
  <c r="F1867" i="1"/>
  <c r="G1867" i="1"/>
  <c r="I1867" i="1"/>
  <c r="A1868" i="1"/>
  <c r="F1868" i="1"/>
  <c r="G1868" i="1"/>
  <c r="I1868" i="1"/>
  <c r="A1869" i="1"/>
  <c r="F1869" i="1"/>
  <c r="G1869" i="1"/>
  <c r="I1869" i="1"/>
  <c r="A1870" i="1"/>
  <c r="F1870" i="1"/>
  <c r="G1870" i="1"/>
  <c r="I1870" i="1"/>
  <c r="A1871" i="1"/>
  <c r="F1871" i="1"/>
  <c r="G1871" i="1"/>
  <c r="I1871" i="1"/>
  <c r="A1872" i="1"/>
  <c r="F1872" i="1"/>
  <c r="G1872" i="1"/>
  <c r="I1872" i="1"/>
  <c r="A1873" i="1"/>
  <c r="F1873" i="1"/>
  <c r="G1873" i="1"/>
  <c r="I1873" i="1"/>
  <c r="A1874" i="1"/>
  <c r="F1874" i="1"/>
  <c r="G1874" i="1"/>
  <c r="I1874" i="1"/>
  <c r="A1875" i="1"/>
  <c r="F1875" i="1"/>
  <c r="G1875" i="1"/>
  <c r="I1875" i="1"/>
  <c r="A1876" i="1"/>
  <c r="F1876" i="1"/>
  <c r="G1876" i="1"/>
  <c r="I1876" i="1"/>
  <c r="A1877" i="1"/>
  <c r="F1877" i="1"/>
  <c r="G1877" i="1"/>
  <c r="I1877" i="1"/>
  <c r="A1878" i="1"/>
  <c r="F1878" i="1"/>
  <c r="G1878" i="1"/>
  <c r="I1878" i="1"/>
  <c r="A1879" i="1"/>
  <c r="F1879" i="1"/>
  <c r="G1879" i="1"/>
  <c r="I1879" i="1"/>
  <c r="A1880" i="1"/>
  <c r="F1880" i="1"/>
  <c r="G1880" i="1"/>
  <c r="I1880" i="1"/>
  <c r="A1881" i="1"/>
  <c r="F1881" i="1"/>
  <c r="G1881" i="1"/>
  <c r="I1881" i="1"/>
  <c r="A1882" i="1"/>
  <c r="F1882" i="1"/>
  <c r="G1882" i="1"/>
  <c r="I1882" i="1"/>
  <c r="A1883" i="1"/>
  <c r="F1883" i="1"/>
  <c r="G1883" i="1"/>
  <c r="I1883" i="1"/>
  <c r="A1884" i="1"/>
  <c r="F1884" i="1"/>
  <c r="G1884" i="1"/>
  <c r="I1884" i="1"/>
  <c r="A1885" i="1"/>
  <c r="F1885" i="1"/>
  <c r="G1885" i="1"/>
  <c r="I1885" i="1"/>
  <c r="A1886" i="1"/>
  <c r="F1886" i="1"/>
  <c r="G1886" i="1"/>
  <c r="I1886" i="1"/>
  <c r="A1887" i="1"/>
  <c r="F1887" i="1"/>
  <c r="G1887" i="1"/>
  <c r="I1887" i="1"/>
  <c r="A1888" i="1"/>
  <c r="F1888" i="1"/>
  <c r="G1888" i="1"/>
  <c r="I1888" i="1"/>
  <c r="A1889" i="1"/>
  <c r="F1889" i="1"/>
  <c r="G1889" i="1"/>
  <c r="I1889" i="1"/>
  <c r="A1890" i="1"/>
  <c r="F1890" i="1"/>
  <c r="G1890" i="1"/>
  <c r="I1890" i="1"/>
  <c r="A1891" i="1"/>
  <c r="F1891" i="1"/>
  <c r="G1891" i="1"/>
  <c r="I1891" i="1"/>
  <c r="A1892" i="1"/>
  <c r="F1892" i="1"/>
  <c r="G1892" i="1"/>
  <c r="I1892" i="1"/>
  <c r="A1893" i="1"/>
  <c r="F1893" i="1"/>
  <c r="G1893" i="1"/>
  <c r="I1893" i="1"/>
  <c r="A1894" i="1"/>
  <c r="F1894" i="1"/>
  <c r="G1894" i="1"/>
  <c r="I1894" i="1"/>
  <c r="A1895" i="1"/>
  <c r="F1895" i="1"/>
  <c r="G1895" i="1"/>
  <c r="I1895" i="1"/>
  <c r="A1896" i="1"/>
  <c r="F1896" i="1"/>
  <c r="G1896" i="1"/>
  <c r="I1896" i="1"/>
  <c r="A1897" i="1"/>
  <c r="F1897" i="1"/>
  <c r="G1897" i="1"/>
  <c r="I1897" i="1"/>
  <c r="A1898" i="1"/>
  <c r="F1898" i="1"/>
  <c r="G1898" i="1"/>
  <c r="I1898" i="1"/>
  <c r="A1899" i="1"/>
  <c r="F1899" i="1"/>
  <c r="G1899" i="1"/>
  <c r="I1899" i="1"/>
  <c r="A1900" i="1"/>
  <c r="F1900" i="1"/>
  <c r="G1900" i="1"/>
  <c r="I1900" i="1"/>
  <c r="A1901" i="1"/>
  <c r="F1901" i="1"/>
  <c r="G1901" i="1"/>
  <c r="I1901" i="1"/>
  <c r="A1902" i="1"/>
  <c r="F1902" i="1"/>
  <c r="G1902" i="1"/>
  <c r="I1902" i="1"/>
  <c r="A1903" i="1"/>
  <c r="F1903" i="1"/>
  <c r="G1903" i="1"/>
  <c r="I1903" i="1"/>
  <c r="A1904" i="1"/>
  <c r="F1904" i="1"/>
  <c r="G1904" i="1"/>
  <c r="I1904" i="1"/>
  <c r="A1905" i="1"/>
  <c r="F1905" i="1"/>
  <c r="G1905" i="1"/>
  <c r="I1905" i="1"/>
  <c r="A1906" i="1"/>
  <c r="F1906" i="1"/>
  <c r="G1906" i="1"/>
  <c r="I1906" i="1"/>
  <c r="A1907" i="1"/>
  <c r="F1907" i="1"/>
  <c r="G1907" i="1"/>
  <c r="I1907" i="1"/>
  <c r="A1908" i="1"/>
  <c r="F1908" i="1"/>
  <c r="G1908" i="1"/>
  <c r="I1908" i="1"/>
  <c r="A1909" i="1"/>
  <c r="F1909" i="1"/>
  <c r="G1909" i="1"/>
  <c r="I1909" i="1"/>
  <c r="A1910" i="1"/>
  <c r="F1910" i="1"/>
  <c r="G1910" i="1"/>
  <c r="I1910" i="1"/>
  <c r="A1911" i="1"/>
  <c r="F1911" i="1"/>
  <c r="G1911" i="1"/>
  <c r="I1911" i="1"/>
  <c r="A1912" i="1"/>
  <c r="F1912" i="1"/>
  <c r="G1912" i="1"/>
  <c r="I1912" i="1"/>
  <c r="A1913" i="1"/>
  <c r="F1913" i="1"/>
  <c r="G1913" i="1"/>
  <c r="I1913" i="1"/>
  <c r="A1914" i="1"/>
  <c r="F1914" i="1"/>
  <c r="G1914" i="1"/>
  <c r="I1914" i="1"/>
  <c r="A1915" i="1"/>
  <c r="F1915" i="1"/>
  <c r="G1915" i="1"/>
  <c r="I1915" i="1"/>
  <c r="A1916" i="1"/>
  <c r="F1916" i="1"/>
  <c r="G1916" i="1"/>
  <c r="I1916" i="1"/>
  <c r="A1917" i="1"/>
  <c r="F1917" i="1"/>
  <c r="G1917" i="1"/>
  <c r="I1917" i="1"/>
  <c r="A1918" i="1"/>
  <c r="F1918" i="1"/>
  <c r="G1918" i="1"/>
  <c r="I1918" i="1"/>
  <c r="A1919" i="1"/>
  <c r="F1919" i="1"/>
  <c r="G1919" i="1"/>
  <c r="I1919" i="1"/>
  <c r="A1920" i="1"/>
  <c r="F1920" i="1"/>
  <c r="G1920" i="1"/>
  <c r="I1920" i="1"/>
  <c r="A1921" i="1"/>
  <c r="F1921" i="1"/>
  <c r="G1921" i="1"/>
  <c r="I1921" i="1"/>
  <c r="A1922" i="1"/>
  <c r="F1922" i="1"/>
  <c r="G1922" i="1"/>
  <c r="I1922" i="1"/>
  <c r="A1923" i="1"/>
  <c r="F1923" i="1"/>
  <c r="G1923" i="1"/>
  <c r="I1923" i="1"/>
  <c r="A1924" i="1"/>
  <c r="F1924" i="1"/>
  <c r="G1924" i="1"/>
  <c r="I1924" i="1"/>
  <c r="A1925" i="1"/>
  <c r="F1925" i="1"/>
  <c r="G1925" i="1"/>
  <c r="I1925" i="1"/>
  <c r="A1926" i="1"/>
  <c r="F1926" i="1"/>
  <c r="G1926" i="1"/>
  <c r="I1926" i="1"/>
  <c r="A1927" i="1"/>
  <c r="F1927" i="1"/>
  <c r="G1927" i="1"/>
  <c r="I1927" i="1"/>
  <c r="A1928" i="1"/>
  <c r="F1928" i="1"/>
  <c r="G1928" i="1"/>
  <c r="I1928" i="1"/>
  <c r="A1929" i="1"/>
  <c r="F1929" i="1"/>
  <c r="G1929" i="1"/>
  <c r="I1929" i="1"/>
  <c r="A1930" i="1"/>
  <c r="F1930" i="1"/>
  <c r="G1930" i="1"/>
  <c r="I1930" i="1"/>
  <c r="A1931" i="1"/>
  <c r="F1931" i="1"/>
  <c r="G1931" i="1"/>
  <c r="I1931" i="1"/>
  <c r="A1932" i="1"/>
  <c r="F1932" i="1"/>
  <c r="G1932" i="1"/>
  <c r="I1932" i="1"/>
  <c r="A1933" i="1"/>
  <c r="F1933" i="1"/>
  <c r="G1933" i="1"/>
  <c r="I1933" i="1"/>
  <c r="A1934" i="1"/>
  <c r="F1934" i="1"/>
  <c r="G1934" i="1"/>
  <c r="I1934" i="1"/>
  <c r="A1935" i="1"/>
  <c r="F1935" i="1"/>
  <c r="G1935" i="1"/>
  <c r="I1935" i="1"/>
  <c r="A1936" i="1"/>
  <c r="F1936" i="1"/>
  <c r="G1936" i="1"/>
  <c r="I1936" i="1"/>
  <c r="A1937" i="1"/>
  <c r="F1937" i="1"/>
  <c r="G1937" i="1"/>
  <c r="I1937" i="1"/>
  <c r="A1938" i="1"/>
  <c r="F1938" i="1"/>
  <c r="G1938" i="1"/>
  <c r="I1938" i="1"/>
  <c r="A1939" i="1"/>
  <c r="F1939" i="1"/>
  <c r="G1939" i="1"/>
  <c r="I1939" i="1"/>
  <c r="A1940" i="1"/>
  <c r="F1940" i="1"/>
  <c r="G1940" i="1"/>
  <c r="I1940" i="1"/>
  <c r="A1941" i="1"/>
  <c r="F1941" i="1"/>
  <c r="G1941" i="1"/>
  <c r="I1941" i="1"/>
  <c r="A1942" i="1"/>
  <c r="F1942" i="1"/>
  <c r="G1942" i="1"/>
  <c r="I1942" i="1"/>
  <c r="A1943" i="1"/>
  <c r="F1943" i="1"/>
  <c r="G1943" i="1"/>
  <c r="I1943" i="1"/>
  <c r="A1944" i="1"/>
  <c r="F1944" i="1"/>
  <c r="G1944" i="1"/>
  <c r="I1944" i="1"/>
  <c r="A1945" i="1"/>
  <c r="F1945" i="1"/>
  <c r="G1945" i="1"/>
  <c r="I1945" i="1"/>
  <c r="A1946" i="1"/>
  <c r="F1946" i="1"/>
  <c r="G1946" i="1"/>
  <c r="I1946" i="1"/>
  <c r="A1947" i="1"/>
  <c r="F1947" i="1"/>
  <c r="G1947" i="1"/>
  <c r="I1947" i="1"/>
  <c r="A1948" i="1"/>
  <c r="F1948" i="1"/>
  <c r="G1948" i="1"/>
  <c r="I1948" i="1"/>
  <c r="A1949" i="1"/>
  <c r="F1949" i="1"/>
  <c r="G1949" i="1"/>
  <c r="I1949" i="1"/>
  <c r="A1950" i="1"/>
  <c r="F1950" i="1"/>
  <c r="G1950" i="1"/>
  <c r="I1950" i="1"/>
  <c r="A1951" i="1"/>
  <c r="F1951" i="1"/>
  <c r="G1951" i="1"/>
  <c r="I1951" i="1"/>
  <c r="A1952" i="1"/>
  <c r="F1952" i="1"/>
  <c r="G1952" i="1"/>
  <c r="I1952" i="1"/>
  <c r="A1953" i="1"/>
  <c r="F1953" i="1"/>
  <c r="G1953" i="1"/>
  <c r="I1953" i="1"/>
  <c r="A1954" i="1"/>
  <c r="F1954" i="1"/>
  <c r="G1954" i="1"/>
  <c r="I1954" i="1"/>
  <c r="A1955" i="1"/>
  <c r="F1955" i="1"/>
  <c r="G1955" i="1"/>
  <c r="I1955" i="1"/>
  <c r="A1956" i="1"/>
  <c r="F1956" i="1"/>
  <c r="G1956" i="1"/>
  <c r="I1956" i="1"/>
  <c r="A1957" i="1"/>
  <c r="F1957" i="1"/>
  <c r="G1957" i="1"/>
  <c r="I1957" i="1"/>
  <c r="A1958" i="1"/>
  <c r="F1958" i="1"/>
  <c r="G1958" i="1"/>
  <c r="I1958" i="1"/>
  <c r="A1959" i="1"/>
  <c r="F1959" i="1"/>
  <c r="G1959" i="1"/>
  <c r="I1959" i="1"/>
  <c r="A1960" i="1"/>
  <c r="F1960" i="1"/>
  <c r="G1960" i="1"/>
  <c r="I1960" i="1"/>
  <c r="A1961" i="1"/>
  <c r="F1961" i="1"/>
  <c r="G1961" i="1"/>
  <c r="I1961" i="1"/>
  <c r="A1962" i="1"/>
  <c r="F1962" i="1"/>
  <c r="G1962" i="1"/>
  <c r="I1962" i="1"/>
  <c r="A1963" i="1"/>
  <c r="F1963" i="1"/>
  <c r="G1963" i="1"/>
  <c r="I1963" i="1"/>
  <c r="A1964" i="1"/>
  <c r="F1964" i="1"/>
  <c r="G1964" i="1"/>
  <c r="I1964" i="1"/>
  <c r="A1965" i="1"/>
  <c r="F1965" i="1"/>
  <c r="G1965" i="1"/>
  <c r="I1965" i="1"/>
  <c r="A1966" i="1"/>
  <c r="F1966" i="1"/>
  <c r="G1966" i="1"/>
  <c r="I1966" i="1"/>
  <c r="A1967" i="1"/>
  <c r="F1967" i="1"/>
  <c r="G1967" i="1"/>
  <c r="I1967" i="1"/>
  <c r="A1968" i="1"/>
  <c r="F1968" i="1"/>
  <c r="G1968" i="1"/>
  <c r="I1968" i="1"/>
  <c r="A1969" i="1"/>
  <c r="F1969" i="1"/>
  <c r="G1969" i="1"/>
  <c r="I1969" i="1"/>
  <c r="A1970" i="1"/>
  <c r="F1970" i="1"/>
  <c r="G1970" i="1"/>
  <c r="I1970" i="1"/>
  <c r="A1971" i="1"/>
  <c r="F1971" i="1"/>
  <c r="G1971" i="1"/>
  <c r="I1971" i="1"/>
  <c r="A1972" i="1"/>
  <c r="F1972" i="1"/>
  <c r="G1972" i="1"/>
  <c r="I1972" i="1"/>
  <c r="A1973" i="1"/>
  <c r="F1973" i="1"/>
  <c r="G1973" i="1"/>
  <c r="I1973" i="1"/>
  <c r="A1974" i="1"/>
  <c r="F1974" i="1"/>
  <c r="G1974" i="1"/>
  <c r="I1974" i="1"/>
  <c r="A1975" i="1"/>
  <c r="F1975" i="1"/>
  <c r="G1975" i="1"/>
  <c r="I1975" i="1"/>
  <c r="A1976" i="1"/>
  <c r="F1976" i="1"/>
  <c r="G1976" i="1"/>
  <c r="I1976" i="1"/>
  <c r="A1977" i="1"/>
  <c r="F1977" i="1"/>
  <c r="G1977" i="1"/>
  <c r="I1977" i="1"/>
  <c r="A1978" i="1"/>
  <c r="F1978" i="1"/>
  <c r="G1978" i="1"/>
  <c r="I1978" i="1"/>
  <c r="A1979" i="1"/>
  <c r="F1979" i="1"/>
  <c r="G1979" i="1"/>
  <c r="I1979" i="1"/>
  <c r="A1980" i="1"/>
  <c r="F1980" i="1"/>
  <c r="G1980" i="1"/>
  <c r="I1980" i="1"/>
  <c r="A1981" i="1"/>
  <c r="F1981" i="1"/>
  <c r="G1981" i="1"/>
  <c r="I1981" i="1"/>
  <c r="A1982" i="1"/>
  <c r="F1982" i="1"/>
  <c r="G1982" i="1"/>
  <c r="I1982" i="1"/>
  <c r="A1983" i="1"/>
  <c r="F1983" i="1"/>
  <c r="G1983" i="1"/>
  <c r="I1983" i="1"/>
  <c r="A1984" i="1"/>
  <c r="F1984" i="1"/>
  <c r="G1984" i="1"/>
  <c r="I1984" i="1"/>
  <c r="A1985" i="1"/>
  <c r="F1985" i="1"/>
  <c r="G1985" i="1"/>
  <c r="I1985" i="1"/>
  <c r="A1986" i="1"/>
  <c r="F1986" i="1"/>
  <c r="G1986" i="1"/>
  <c r="I1986" i="1"/>
  <c r="A1987" i="1"/>
  <c r="F1987" i="1"/>
  <c r="G1987" i="1"/>
  <c r="I1987" i="1"/>
  <c r="A1988" i="1"/>
  <c r="F1988" i="1"/>
  <c r="G1988" i="1"/>
  <c r="I1988" i="1"/>
  <c r="A1989" i="1"/>
  <c r="F1989" i="1"/>
  <c r="G1989" i="1"/>
  <c r="I1989" i="1"/>
  <c r="A1990" i="1"/>
  <c r="F1990" i="1"/>
  <c r="G1990" i="1"/>
  <c r="I1990" i="1"/>
  <c r="A1991" i="1"/>
  <c r="F1991" i="1"/>
  <c r="G1991" i="1"/>
  <c r="I1991" i="1"/>
  <c r="A1992" i="1"/>
  <c r="F1992" i="1"/>
  <c r="G1992" i="1"/>
  <c r="I1992" i="1"/>
  <c r="A1993" i="1"/>
  <c r="F1993" i="1"/>
  <c r="G1993" i="1"/>
  <c r="I1993" i="1"/>
  <c r="A1994" i="1"/>
  <c r="F1994" i="1"/>
  <c r="G1994" i="1"/>
  <c r="I1994" i="1"/>
  <c r="A1995" i="1"/>
  <c r="F1995" i="1"/>
  <c r="G1995" i="1"/>
  <c r="I1995" i="1"/>
  <c r="A1996" i="1"/>
  <c r="F1996" i="1"/>
  <c r="G1996" i="1"/>
  <c r="I1996" i="1"/>
  <c r="A1997" i="1"/>
  <c r="F1997" i="1"/>
  <c r="G1997" i="1"/>
  <c r="I1997" i="1"/>
  <c r="A1998" i="1"/>
  <c r="F1998" i="1"/>
  <c r="G1998" i="1"/>
  <c r="I1998" i="1"/>
  <c r="A1999" i="1"/>
  <c r="F1999" i="1"/>
  <c r="G1999" i="1"/>
  <c r="I1999" i="1"/>
  <c r="A2000" i="1"/>
  <c r="F2000" i="1"/>
  <c r="G2000" i="1"/>
  <c r="I2000" i="1"/>
  <c r="A2001" i="1"/>
  <c r="F2001" i="1"/>
  <c r="G2001" i="1"/>
  <c r="I2001" i="1"/>
  <c r="A2002" i="1"/>
  <c r="F2002" i="1"/>
  <c r="G2002" i="1"/>
  <c r="I2002" i="1"/>
  <c r="A2003" i="1"/>
  <c r="F2003" i="1"/>
  <c r="G2003" i="1"/>
  <c r="I2003" i="1"/>
  <c r="A2004" i="1"/>
  <c r="F2004" i="1"/>
  <c r="G2004" i="1"/>
  <c r="I2004" i="1"/>
  <c r="A2005" i="1"/>
  <c r="F2005" i="1"/>
  <c r="G2005" i="1"/>
  <c r="I2005" i="1"/>
  <c r="A2006" i="1"/>
  <c r="F2006" i="1"/>
  <c r="G2006" i="1"/>
  <c r="I2006" i="1"/>
  <c r="A2007" i="1"/>
  <c r="F2007" i="1"/>
  <c r="G2007" i="1"/>
  <c r="I2007" i="1"/>
  <c r="A2008" i="1"/>
  <c r="F2008" i="1"/>
  <c r="G2008" i="1"/>
  <c r="I2008" i="1"/>
  <c r="A2009" i="1"/>
  <c r="F2009" i="1"/>
  <c r="G2009" i="1"/>
  <c r="I2009" i="1"/>
  <c r="A2010" i="1"/>
  <c r="F2010" i="1"/>
  <c r="G2010" i="1"/>
  <c r="I2010" i="1"/>
  <c r="A2011" i="1"/>
  <c r="F2011" i="1"/>
  <c r="G2011" i="1"/>
  <c r="I2011" i="1"/>
  <c r="A2012" i="1"/>
  <c r="F2012" i="1"/>
  <c r="G2012" i="1"/>
  <c r="I2012" i="1"/>
  <c r="A2013" i="1"/>
  <c r="F2013" i="1"/>
  <c r="G2013" i="1"/>
  <c r="I2013" i="1"/>
  <c r="A2014" i="1"/>
  <c r="F2014" i="1"/>
  <c r="G2014" i="1"/>
  <c r="I2014" i="1"/>
  <c r="A2015" i="1"/>
  <c r="F2015" i="1"/>
  <c r="G2015" i="1"/>
  <c r="I2015" i="1"/>
  <c r="A2016" i="1"/>
  <c r="F2016" i="1"/>
  <c r="G2016" i="1"/>
  <c r="I2016" i="1"/>
  <c r="A2017" i="1"/>
  <c r="F2017" i="1"/>
  <c r="G2017" i="1"/>
  <c r="I2017" i="1"/>
  <c r="A2018" i="1"/>
  <c r="F2018" i="1"/>
  <c r="G2018" i="1"/>
  <c r="I2018" i="1"/>
  <c r="A2019" i="1"/>
  <c r="F2019" i="1"/>
  <c r="G2019" i="1"/>
  <c r="I2019" i="1"/>
  <c r="A2020" i="1"/>
  <c r="F2020" i="1"/>
  <c r="G2020" i="1"/>
  <c r="I2020" i="1"/>
  <c r="A2021" i="1"/>
  <c r="F2021" i="1"/>
  <c r="G2021" i="1"/>
  <c r="I2021" i="1"/>
  <c r="A2022" i="1"/>
  <c r="F2022" i="1"/>
  <c r="G2022" i="1"/>
  <c r="I2022" i="1"/>
  <c r="A2023" i="1"/>
  <c r="F2023" i="1"/>
  <c r="G2023" i="1"/>
  <c r="I2023" i="1"/>
  <c r="A2024" i="1"/>
  <c r="F2024" i="1"/>
  <c r="G2024" i="1"/>
  <c r="I2024" i="1"/>
  <c r="A2025" i="1"/>
  <c r="F2025" i="1"/>
  <c r="G2025" i="1"/>
  <c r="I2025" i="1"/>
  <c r="A2026" i="1"/>
  <c r="F2026" i="1"/>
  <c r="G2026" i="1"/>
  <c r="I2026" i="1"/>
  <c r="A2027" i="1"/>
  <c r="F2027" i="1"/>
  <c r="G2027" i="1"/>
  <c r="I2027" i="1"/>
  <c r="A2028" i="1"/>
  <c r="F2028" i="1"/>
  <c r="G2028" i="1"/>
  <c r="I2028" i="1"/>
  <c r="A2029" i="1"/>
  <c r="F2029" i="1"/>
  <c r="G2029" i="1"/>
  <c r="I2029" i="1"/>
  <c r="A2030" i="1"/>
  <c r="F2030" i="1"/>
  <c r="G2030" i="1"/>
  <c r="I2030" i="1"/>
  <c r="A2031" i="1"/>
  <c r="F2031" i="1"/>
  <c r="G2031" i="1"/>
  <c r="I2031" i="1"/>
  <c r="A2032" i="1"/>
  <c r="F2032" i="1"/>
  <c r="G2032" i="1"/>
  <c r="I2032" i="1"/>
  <c r="A2033" i="1"/>
  <c r="F2033" i="1"/>
  <c r="G2033" i="1"/>
  <c r="I2033" i="1"/>
  <c r="A2034" i="1"/>
  <c r="F2034" i="1"/>
  <c r="G2034" i="1"/>
  <c r="I2034" i="1"/>
  <c r="A2035" i="1"/>
  <c r="F2035" i="1"/>
  <c r="G2035" i="1"/>
  <c r="I2035" i="1"/>
  <c r="A2036" i="1"/>
  <c r="F2036" i="1"/>
  <c r="G2036" i="1"/>
  <c r="I2036" i="1"/>
  <c r="A2037" i="1"/>
  <c r="F2037" i="1"/>
  <c r="G2037" i="1"/>
  <c r="I2037" i="1"/>
  <c r="A2038" i="1"/>
  <c r="F2038" i="1"/>
  <c r="G2038" i="1"/>
  <c r="I2038" i="1"/>
  <c r="A2039" i="1"/>
  <c r="F2039" i="1"/>
  <c r="G2039" i="1"/>
  <c r="I2039" i="1"/>
  <c r="A2040" i="1"/>
  <c r="F2040" i="1"/>
  <c r="G2040" i="1"/>
  <c r="I2040" i="1"/>
  <c r="A2041" i="1"/>
  <c r="F2041" i="1"/>
  <c r="G2041" i="1"/>
  <c r="I2041" i="1"/>
  <c r="A2042" i="1"/>
  <c r="F2042" i="1"/>
  <c r="G2042" i="1"/>
  <c r="I2042" i="1"/>
  <c r="A2043" i="1"/>
  <c r="F2043" i="1"/>
  <c r="G2043" i="1"/>
  <c r="I2043" i="1"/>
  <c r="A2044" i="1"/>
  <c r="F2044" i="1"/>
  <c r="G2044" i="1"/>
  <c r="I2044" i="1"/>
  <c r="A2045" i="1"/>
  <c r="F2045" i="1"/>
  <c r="G2045" i="1"/>
  <c r="I2045" i="1"/>
  <c r="A2046" i="1"/>
  <c r="F2046" i="1"/>
  <c r="G2046" i="1"/>
  <c r="I2046" i="1"/>
  <c r="A2047" i="1"/>
  <c r="F2047" i="1"/>
  <c r="G2047" i="1"/>
  <c r="I2047" i="1"/>
  <c r="A2048" i="1"/>
  <c r="F2048" i="1"/>
  <c r="G2048" i="1"/>
  <c r="I2048" i="1"/>
  <c r="A2049" i="1"/>
  <c r="F2049" i="1"/>
  <c r="G2049" i="1"/>
  <c r="I2049" i="1"/>
  <c r="A2050" i="1"/>
  <c r="F2050" i="1"/>
  <c r="G2050" i="1"/>
  <c r="I2050" i="1"/>
  <c r="A2051" i="1"/>
  <c r="F2051" i="1"/>
  <c r="G2051" i="1"/>
  <c r="I2051" i="1"/>
  <c r="A2052" i="1"/>
  <c r="F2052" i="1"/>
  <c r="G2052" i="1"/>
  <c r="I2052" i="1"/>
  <c r="A2053" i="1"/>
  <c r="F2053" i="1"/>
  <c r="G2053" i="1"/>
  <c r="I2053" i="1"/>
  <c r="A2054" i="1"/>
  <c r="F2054" i="1"/>
  <c r="G2054" i="1"/>
  <c r="I2054" i="1"/>
  <c r="A2055" i="1"/>
  <c r="F2055" i="1"/>
  <c r="G2055" i="1"/>
  <c r="I2055" i="1"/>
  <c r="A2056" i="1"/>
  <c r="F2056" i="1"/>
  <c r="G2056" i="1"/>
  <c r="I2056" i="1"/>
  <c r="A2057" i="1"/>
  <c r="F2057" i="1"/>
  <c r="G2057" i="1"/>
  <c r="I2057" i="1"/>
  <c r="A2058" i="1"/>
  <c r="F2058" i="1"/>
  <c r="G2058" i="1"/>
  <c r="I2058" i="1"/>
  <c r="A2059" i="1"/>
  <c r="F2059" i="1"/>
  <c r="G2059" i="1"/>
  <c r="I2059" i="1"/>
  <c r="A2060" i="1"/>
  <c r="F2060" i="1"/>
  <c r="G2060" i="1"/>
  <c r="I2060" i="1"/>
  <c r="A2061" i="1"/>
  <c r="F2061" i="1"/>
  <c r="G2061" i="1"/>
  <c r="I2061" i="1"/>
  <c r="A2062" i="1"/>
  <c r="F2062" i="1"/>
  <c r="G2062" i="1"/>
  <c r="I2062" i="1"/>
  <c r="A2063" i="1"/>
  <c r="F2063" i="1"/>
  <c r="G2063" i="1"/>
  <c r="I2063" i="1"/>
  <c r="A2064" i="1"/>
  <c r="F2064" i="1"/>
  <c r="G2064" i="1"/>
  <c r="I2064" i="1"/>
  <c r="A2065" i="1"/>
  <c r="F2065" i="1"/>
  <c r="G2065" i="1"/>
  <c r="I2065" i="1"/>
  <c r="A2066" i="1"/>
  <c r="F2066" i="1"/>
  <c r="G2066" i="1"/>
  <c r="I2066" i="1"/>
  <c r="A2067" i="1"/>
  <c r="F2067" i="1"/>
  <c r="G2067" i="1"/>
  <c r="I2067" i="1"/>
  <c r="A2068" i="1"/>
  <c r="F2068" i="1"/>
  <c r="G2068" i="1"/>
  <c r="I2068" i="1"/>
  <c r="A2069" i="1"/>
  <c r="F2069" i="1"/>
  <c r="G2069" i="1"/>
  <c r="I2069" i="1"/>
  <c r="A2070" i="1"/>
  <c r="F2070" i="1"/>
  <c r="G2070" i="1"/>
  <c r="I2070" i="1"/>
  <c r="A2071" i="1"/>
  <c r="F2071" i="1"/>
  <c r="G2071" i="1"/>
  <c r="I2071" i="1"/>
  <c r="A2072" i="1"/>
  <c r="F2072" i="1"/>
  <c r="G2072" i="1"/>
  <c r="I2072" i="1"/>
  <c r="A2073" i="1"/>
  <c r="F2073" i="1"/>
  <c r="G2073" i="1"/>
  <c r="I2073" i="1"/>
  <c r="A2074" i="1"/>
  <c r="F2074" i="1"/>
  <c r="G2074" i="1"/>
  <c r="I2074" i="1"/>
  <c r="A2075" i="1"/>
  <c r="F2075" i="1"/>
  <c r="G2075" i="1"/>
  <c r="I2075" i="1"/>
  <c r="A2076" i="1"/>
  <c r="F2076" i="1"/>
  <c r="G2076" i="1"/>
  <c r="I2076" i="1"/>
  <c r="A2077" i="1"/>
  <c r="F2077" i="1"/>
  <c r="G2077" i="1"/>
  <c r="I2077" i="1"/>
  <c r="A2078" i="1"/>
  <c r="F2078" i="1"/>
  <c r="G2078" i="1"/>
  <c r="I2078" i="1"/>
  <c r="A2079" i="1"/>
  <c r="F2079" i="1"/>
  <c r="G2079" i="1"/>
  <c r="I2079" i="1"/>
  <c r="A2080" i="1"/>
  <c r="F2080" i="1"/>
  <c r="G2080" i="1"/>
  <c r="I2080" i="1"/>
  <c r="A2081" i="1"/>
  <c r="F2081" i="1"/>
  <c r="G2081" i="1"/>
  <c r="I2081" i="1"/>
  <c r="A2082" i="1"/>
  <c r="F2082" i="1"/>
  <c r="G2082" i="1"/>
  <c r="I2082" i="1"/>
  <c r="A2083" i="1"/>
  <c r="F2083" i="1"/>
  <c r="G2083" i="1"/>
  <c r="I2083" i="1"/>
  <c r="A2084" i="1"/>
  <c r="F2084" i="1"/>
  <c r="G2084" i="1"/>
  <c r="I2084" i="1"/>
  <c r="A2085" i="1"/>
  <c r="F2085" i="1"/>
  <c r="G2085" i="1"/>
  <c r="I2085" i="1"/>
  <c r="A2086" i="1"/>
  <c r="F2086" i="1"/>
  <c r="G2086" i="1"/>
  <c r="I2086" i="1"/>
  <c r="A2087" i="1"/>
  <c r="F2087" i="1"/>
  <c r="G2087" i="1"/>
  <c r="I2087" i="1"/>
  <c r="A2088" i="1"/>
  <c r="F2088" i="1"/>
  <c r="G2088" i="1"/>
  <c r="I2088" i="1"/>
  <c r="A2089" i="1"/>
  <c r="F2089" i="1"/>
  <c r="G2089" i="1"/>
  <c r="I2089" i="1"/>
  <c r="A2090" i="1"/>
  <c r="F2090" i="1"/>
  <c r="G2090" i="1"/>
  <c r="I2090" i="1"/>
  <c r="A2091" i="1"/>
  <c r="F2091" i="1"/>
  <c r="G2091" i="1"/>
  <c r="I2091" i="1"/>
  <c r="A2092" i="1"/>
  <c r="F2092" i="1"/>
  <c r="G2092" i="1"/>
  <c r="I2092" i="1"/>
  <c r="A2093" i="1"/>
  <c r="F2093" i="1"/>
  <c r="G2093" i="1"/>
  <c r="I2093" i="1"/>
  <c r="A2094" i="1"/>
  <c r="F2094" i="1"/>
  <c r="G2094" i="1"/>
  <c r="I2094" i="1"/>
  <c r="A2095" i="1"/>
  <c r="F2095" i="1"/>
  <c r="G2095" i="1"/>
  <c r="I2095" i="1"/>
  <c r="A2096" i="1"/>
  <c r="F2096" i="1"/>
  <c r="G2096" i="1"/>
  <c r="I2096" i="1"/>
  <c r="A2097" i="1"/>
  <c r="F2097" i="1"/>
  <c r="G2097" i="1"/>
  <c r="I2097" i="1"/>
  <c r="A2098" i="1"/>
  <c r="F2098" i="1"/>
  <c r="G2098" i="1"/>
  <c r="I2098" i="1"/>
  <c r="A2099" i="1"/>
  <c r="F2099" i="1"/>
  <c r="G2099" i="1"/>
  <c r="I2099" i="1"/>
  <c r="A2100" i="1"/>
  <c r="F2100" i="1"/>
  <c r="G2100" i="1"/>
  <c r="I2100" i="1"/>
  <c r="A2101" i="1"/>
  <c r="F2101" i="1"/>
  <c r="G2101" i="1"/>
  <c r="I2101" i="1"/>
  <c r="A2102" i="1"/>
  <c r="F2102" i="1"/>
  <c r="G2102" i="1"/>
  <c r="I2102" i="1"/>
  <c r="A2103" i="1"/>
  <c r="F2103" i="1"/>
  <c r="G2103" i="1"/>
  <c r="I2103" i="1"/>
  <c r="A2104" i="1"/>
  <c r="F2104" i="1"/>
  <c r="G2104" i="1"/>
  <c r="I2104" i="1"/>
  <c r="A2105" i="1"/>
  <c r="F2105" i="1"/>
  <c r="G2105" i="1"/>
  <c r="I2105" i="1"/>
  <c r="A2106" i="1"/>
  <c r="F2106" i="1"/>
  <c r="G2106" i="1"/>
  <c r="I2106" i="1"/>
  <c r="A2107" i="1"/>
  <c r="F2107" i="1"/>
  <c r="G2107" i="1"/>
  <c r="I2107" i="1"/>
  <c r="A2108" i="1"/>
  <c r="F2108" i="1"/>
  <c r="G2108" i="1"/>
  <c r="I2108" i="1"/>
  <c r="A2109" i="1"/>
  <c r="F2109" i="1"/>
  <c r="G2109" i="1"/>
  <c r="I2109" i="1"/>
  <c r="A2110" i="1"/>
  <c r="F2110" i="1"/>
  <c r="G2110" i="1"/>
  <c r="I2110" i="1"/>
  <c r="A2111" i="1"/>
  <c r="F2111" i="1"/>
  <c r="G2111" i="1"/>
  <c r="I2111" i="1"/>
  <c r="A2112" i="1"/>
  <c r="F2112" i="1"/>
  <c r="G2112" i="1"/>
  <c r="I2112" i="1"/>
  <c r="A2113" i="1"/>
  <c r="F2113" i="1"/>
  <c r="G2113" i="1"/>
  <c r="I2113" i="1"/>
  <c r="A2114" i="1"/>
  <c r="F2114" i="1"/>
  <c r="G2114" i="1"/>
  <c r="I2114" i="1"/>
  <c r="A2115" i="1"/>
  <c r="F2115" i="1"/>
  <c r="G2115" i="1"/>
  <c r="I2115" i="1"/>
  <c r="A2116" i="1"/>
  <c r="F2116" i="1"/>
  <c r="G2116" i="1"/>
  <c r="I2116" i="1"/>
  <c r="A2117" i="1"/>
  <c r="F2117" i="1"/>
  <c r="G2117" i="1"/>
  <c r="I2117" i="1"/>
  <c r="A2118" i="1"/>
  <c r="F2118" i="1"/>
  <c r="G2118" i="1"/>
  <c r="I2118" i="1"/>
  <c r="A2119" i="1"/>
  <c r="F2119" i="1"/>
  <c r="G2119" i="1"/>
  <c r="I2119" i="1"/>
  <c r="A2120" i="1"/>
  <c r="F2120" i="1"/>
  <c r="G2120" i="1"/>
  <c r="I2120" i="1"/>
  <c r="A2121" i="1"/>
  <c r="F2121" i="1"/>
  <c r="G2121" i="1"/>
  <c r="I2121" i="1"/>
  <c r="A2122" i="1"/>
  <c r="F2122" i="1"/>
  <c r="G2122" i="1"/>
  <c r="I2122" i="1"/>
  <c r="A2123" i="1"/>
  <c r="F2123" i="1"/>
  <c r="G2123" i="1"/>
  <c r="I2123" i="1"/>
  <c r="A2124" i="1"/>
  <c r="F2124" i="1"/>
  <c r="G2124" i="1"/>
  <c r="I2124" i="1"/>
  <c r="A2125" i="1"/>
  <c r="F2125" i="1"/>
  <c r="G2125" i="1"/>
  <c r="I2125" i="1"/>
  <c r="A2126" i="1"/>
  <c r="F2126" i="1"/>
  <c r="G2126" i="1"/>
  <c r="I2126" i="1"/>
  <c r="A2127" i="1"/>
  <c r="F2127" i="1"/>
  <c r="G2127" i="1"/>
  <c r="I2127" i="1"/>
  <c r="A2128" i="1"/>
  <c r="F2128" i="1"/>
  <c r="G2128" i="1"/>
  <c r="I2128" i="1"/>
  <c r="A2129" i="1"/>
  <c r="F2129" i="1"/>
  <c r="G2129" i="1"/>
  <c r="I2129" i="1"/>
  <c r="A2130" i="1"/>
  <c r="F2130" i="1"/>
  <c r="G2130" i="1"/>
  <c r="I2130" i="1"/>
  <c r="A2131" i="1"/>
  <c r="F2131" i="1"/>
  <c r="G2131" i="1"/>
  <c r="I2131" i="1"/>
  <c r="A2132" i="1"/>
  <c r="F2132" i="1"/>
  <c r="G2132" i="1"/>
  <c r="I2132" i="1"/>
  <c r="A2133" i="1"/>
  <c r="F2133" i="1"/>
  <c r="G2133" i="1"/>
  <c r="I2133" i="1"/>
  <c r="A2134" i="1"/>
  <c r="F2134" i="1"/>
  <c r="G2134" i="1"/>
  <c r="I2134" i="1"/>
  <c r="A2135" i="1"/>
  <c r="F2135" i="1"/>
  <c r="G2135" i="1"/>
  <c r="I2135" i="1"/>
  <c r="A2136" i="1"/>
  <c r="F2136" i="1"/>
  <c r="G2136" i="1"/>
  <c r="I2136" i="1"/>
  <c r="A2137" i="1"/>
  <c r="F2137" i="1"/>
  <c r="G2137" i="1"/>
  <c r="I2137" i="1"/>
  <c r="A2138" i="1"/>
  <c r="F2138" i="1"/>
  <c r="G2138" i="1"/>
  <c r="I2138" i="1"/>
  <c r="A2139" i="1"/>
  <c r="F2139" i="1"/>
  <c r="G2139" i="1"/>
  <c r="I2139" i="1"/>
  <c r="A2140" i="1"/>
  <c r="F2140" i="1"/>
  <c r="G2140" i="1"/>
  <c r="I2140" i="1"/>
  <c r="A2141" i="1"/>
  <c r="F2141" i="1"/>
  <c r="G2141" i="1"/>
  <c r="I2141" i="1"/>
  <c r="A2142" i="1"/>
  <c r="F2142" i="1"/>
  <c r="G2142" i="1"/>
  <c r="I2142" i="1"/>
  <c r="A2143" i="1"/>
  <c r="F2143" i="1"/>
  <c r="G2143" i="1"/>
  <c r="I2143" i="1"/>
  <c r="A2144" i="1"/>
  <c r="F2144" i="1"/>
  <c r="G2144" i="1"/>
  <c r="I2144" i="1"/>
  <c r="A2145" i="1"/>
  <c r="F2145" i="1"/>
  <c r="G2145" i="1"/>
  <c r="I2145" i="1"/>
  <c r="A2146" i="1"/>
  <c r="F2146" i="1"/>
  <c r="G2146" i="1"/>
  <c r="I2146" i="1"/>
  <c r="A2147" i="1"/>
  <c r="F2147" i="1"/>
  <c r="G2147" i="1"/>
  <c r="I2147" i="1"/>
  <c r="A2148" i="1"/>
  <c r="F2148" i="1"/>
  <c r="G2148" i="1"/>
  <c r="I2148" i="1"/>
  <c r="A2149" i="1"/>
  <c r="F2149" i="1"/>
  <c r="G2149" i="1"/>
  <c r="I2149" i="1"/>
  <c r="A2150" i="1"/>
  <c r="F2150" i="1"/>
  <c r="G2150" i="1"/>
  <c r="I2150" i="1"/>
  <c r="A2151" i="1"/>
  <c r="F2151" i="1"/>
  <c r="G2151" i="1"/>
  <c r="I2151" i="1"/>
  <c r="A2152" i="1"/>
  <c r="F2152" i="1"/>
  <c r="G2152" i="1"/>
  <c r="I2152" i="1"/>
  <c r="A2153" i="1"/>
  <c r="F2153" i="1"/>
  <c r="G2153" i="1"/>
  <c r="I2153" i="1"/>
  <c r="A2154" i="1"/>
  <c r="F2154" i="1"/>
  <c r="G2154" i="1"/>
  <c r="I2154" i="1"/>
  <c r="A2155" i="1"/>
  <c r="F2155" i="1"/>
  <c r="G2155" i="1"/>
  <c r="I2155" i="1"/>
  <c r="A2156" i="1"/>
  <c r="F2156" i="1"/>
  <c r="G2156" i="1"/>
  <c r="I2156" i="1"/>
  <c r="A2157" i="1"/>
  <c r="F2157" i="1"/>
  <c r="G2157" i="1"/>
  <c r="I2157" i="1"/>
  <c r="A2158" i="1"/>
  <c r="F2158" i="1"/>
  <c r="G2158" i="1"/>
  <c r="I2158" i="1"/>
  <c r="A2159" i="1"/>
  <c r="F2159" i="1"/>
  <c r="G2159" i="1"/>
  <c r="I2159" i="1"/>
  <c r="A2160" i="1"/>
  <c r="F2160" i="1"/>
  <c r="G2160" i="1"/>
  <c r="I2160" i="1"/>
  <c r="A2161" i="1"/>
  <c r="F2161" i="1"/>
  <c r="G2161" i="1"/>
  <c r="I2161" i="1"/>
  <c r="A2162" i="1"/>
  <c r="F2162" i="1"/>
  <c r="G2162" i="1"/>
  <c r="I2162" i="1"/>
  <c r="A2163" i="1"/>
  <c r="F2163" i="1"/>
  <c r="G2163" i="1"/>
  <c r="I2163" i="1"/>
  <c r="A2164" i="1"/>
  <c r="F2164" i="1"/>
  <c r="G2164" i="1"/>
  <c r="I2164" i="1"/>
  <c r="A2165" i="1"/>
  <c r="F2165" i="1"/>
  <c r="G2165" i="1"/>
  <c r="I2165" i="1"/>
  <c r="A2166" i="1"/>
  <c r="F2166" i="1"/>
  <c r="G2166" i="1"/>
  <c r="I2166" i="1"/>
  <c r="A2167" i="1"/>
  <c r="F2167" i="1"/>
  <c r="G2167" i="1"/>
  <c r="I2167" i="1"/>
  <c r="A2168" i="1"/>
  <c r="F2168" i="1"/>
  <c r="G2168" i="1"/>
  <c r="I2168" i="1"/>
  <c r="A2169" i="1"/>
  <c r="F2169" i="1"/>
  <c r="G2169" i="1"/>
  <c r="I2169" i="1"/>
  <c r="A2170" i="1"/>
  <c r="F2170" i="1"/>
  <c r="G2170" i="1"/>
  <c r="I2170" i="1"/>
  <c r="A2171" i="1"/>
  <c r="F2171" i="1"/>
  <c r="G2171" i="1"/>
  <c r="I2171" i="1"/>
  <c r="A2172" i="1"/>
  <c r="F2172" i="1"/>
  <c r="G2172" i="1"/>
  <c r="I2172" i="1"/>
  <c r="A2173" i="1"/>
  <c r="F2173" i="1"/>
  <c r="G2173" i="1"/>
  <c r="I2173" i="1"/>
  <c r="A2174" i="1"/>
  <c r="F2174" i="1"/>
  <c r="G2174" i="1"/>
  <c r="I2174" i="1"/>
  <c r="A2175" i="1"/>
  <c r="F2175" i="1"/>
  <c r="G2175" i="1"/>
  <c r="I2175" i="1"/>
  <c r="A2176" i="1"/>
  <c r="F2176" i="1"/>
  <c r="G2176" i="1"/>
  <c r="I2176" i="1"/>
  <c r="A2177" i="1"/>
  <c r="F2177" i="1"/>
  <c r="G2177" i="1"/>
  <c r="I2177" i="1"/>
  <c r="A2178" i="1"/>
  <c r="F2178" i="1"/>
  <c r="G2178" i="1"/>
  <c r="I2178" i="1"/>
  <c r="A2179" i="1"/>
  <c r="F2179" i="1"/>
  <c r="G2179" i="1"/>
  <c r="I2179" i="1"/>
  <c r="A2180" i="1"/>
  <c r="F2180" i="1"/>
  <c r="G2180" i="1"/>
  <c r="I2180" i="1"/>
  <c r="A2181" i="1"/>
  <c r="F2181" i="1"/>
  <c r="G2181" i="1"/>
  <c r="I2181" i="1"/>
  <c r="A2182" i="1"/>
  <c r="F2182" i="1"/>
  <c r="G2182" i="1"/>
  <c r="I2182" i="1"/>
  <c r="A2183" i="1"/>
  <c r="F2183" i="1"/>
  <c r="G2183" i="1"/>
  <c r="I2183" i="1"/>
  <c r="A2184" i="1"/>
  <c r="F2184" i="1"/>
  <c r="G2184" i="1"/>
  <c r="I2184" i="1"/>
  <c r="A2185" i="1"/>
  <c r="F2185" i="1"/>
  <c r="G2185" i="1"/>
  <c r="I2185" i="1"/>
  <c r="A2186" i="1"/>
  <c r="F2186" i="1"/>
  <c r="G2186" i="1"/>
  <c r="I2186" i="1"/>
  <c r="A2187" i="1"/>
  <c r="F2187" i="1"/>
  <c r="G2187" i="1"/>
  <c r="I2187" i="1"/>
  <c r="A2188" i="1"/>
  <c r="F2188" i="1"/>
  <c r="G2188" i="1"/>
  <c r="I2188" i="1"/>
  <c r="A2189" i="1"/>
  <c r="F2189" i="1"/>
  <c r="G2189" i="1"/>
  <c r="I2189" i="1"/>
  <c r="A2190" i="1"/>
  <c r="F2190" i="1"/>
  <c r="G2190" i="1"/>
  <c r="I2190" i="1"/>
  <c r="A2191" i="1"/>
  <c r="F2191" i="1"/>
  <c r="G2191" i="1"/>
  <c r="I2191" i="1"/>
  <c r="A2192" i="1"/>
  <c r="F2192" i="1"/>
  <c r="G2192" i="1"/>
  <c r="I2192" i="1"/>
  <c r="A2193" i="1"/>
  <c r="F2193" i="1"/>
  <c r="G2193" i="1"/>
  <c r="I2193" i="1"/>
  <c r="A2194" i="1"/>
  <c r="F2194" i="1"/>
  <c r="G2194" i="1"/>
  <c r="I2194" i="1"/>
  <c r="A2195" i="1"/>
  <c r="F2195" i="1"/>
  <c r="G2195" i="1"/>
  <c r="I2195" i="1"/>
  <c r="A2196" i="1"/>
  <c r="F2196" i="1"/>
  <c r="G2196" i="1"/>
  <c r="I2196" i="1"/>
  <c r="A2197" i="1"/>
  <c r="F2197" i="1"/>
  <c r="G2197" i="1"/>
  <c r="I2197" i="1"/>
  <c r="A2198" i="1"/>
  <c r="F2198" i="1"/>
  <c r="G2198" i="1"/>
  <c r="I2198" i="1"/>
  <c r="A2199" i="1"/>
  <c r="F2199" i="1"/>
  <c r="G2199" i="1"/>
  <c r="I2199" i="1"/>
  <c r="A2200" i="1"/>
  <c r="F2200" i="1"/>
  <c r="G2200" i="1"/>
  <c r="I2200" i="1"/>
  <c r="A2201" i="1"/>
  <c r="F2201" i="1"/>
  <c r="G2201" i="1"/>
  <c r="I2201" i="1"/>
  <c r="A2202" i="1"/>
  <c r="F2202" i="1"/>
  <c r="G2202" i="1"/>
  <c r="I2202" i="1"/>
  <c r="A2203" i="1"/>
  <c r="F2203" i="1"/>
  <c r="G2203" i="1"/>
  <c r="I2203" i="1"/>
  <c r="A2204" i="1"/>
  <c r="F2204" i="1"/>
  <c r="G2204" i="1"/>
  <c r="I2204" i="1"/>
  <c r="A2205" i="1"/>
  <c r="F2205" i="1"/>
  <c r="G2205" i="1"/>
  <c r="I2205" i="1"/>
  <c r="A2206" i="1"/>
  <c r="F2206" i="1"/>
  <c r="G2206" i="1"/>
  <c r="I2206" i="1"/>
  <c r="A2207" i="1"/>
  <c r="F2207" i="1"/>
  <c r="G2207" i="1"/>
  <c r="I2207" i="1"/>
  <c r="A2208" i="1"/>
  <c r="F2208" i="1"/>
  <c r="G2208" i="1"/>
  <c r="I2208" i="1"/>
  <c r="A2209" i="1"/>
  <c r="F2209" i="1"/>
  <c r="G2209" i="1"/>
  <c r="I2209" i="1"/>
  <c r="A2210" i="1"/>
  <c r="F2210" i="1"/>
  <c r="G2210" i="1"/>
  <c r="I2210" i="1"/>
  <c r="A2211" i="1"/>
  <c r="F2211" i="1"/>
  <c r="G2211" i="1"/>
  <c r="I2211" i="1"/>
  <c r="A2212" i="1"/>
  <c r="F2212" i="1"/>
  <c r="G2212" i="1"/>
  <c r="I2212" i="1"/>
  <c r="A2213" i="1"/>
  <c r="F2213" i="1"/>
  <c r="G2213" i="1"/>
  <c r="I2213" i="1"/>
  <c r="A2214" i="1"/>
  <c r="F2214" i="1"/>
  <c r="G2214" i="1"/>
  <c r="I2214" i="1"/>
  <c r="A2215" i="1"/>
  <c r="F2215" i="1"/>
  <c r="G2215" i="1"/>
  <c r="I2215" i="1"/>
  <c r="A2216" i="1"/>
  <c r="F2216" i="1"/>
  <c r="G2216" i="1"/>
  <c r="I2216" i="1"/>
  <c r="A2217" i="1"/>
  <c r="F2217" i="1"/>
  <c r="G2217" i="1"/>
  <c r="I2217" i="1"/>
  <c r="A2218" i="1"/>
  <c r="F2218" i="1"/>
  <c r="G2218" i="1"/>
  <c r="I2218" i="1"/>
  <c r="A2219" i="1"/>
  <c r="F2219" i="1"/>
  <c r="G2219" i="1"/>
  <c r="I2219" i="1"/>
  <c r="A2220" i="1"/>
  <c r="F2220" i="1"/>
  <c r="G2220" i="1"/>
  <c r="I2220" i="1"/>
  <c r="A2221" i="1"/>
  <c r="F2221" i="1"/>
  <c r="G2221" i="1"/>
  <c r="I2221" i="1"/>
  <c r="A2222" i="1"/>
  <c r="F2222" i="1"/>
  <c r="G2222" i="1"/>
  <c r="I2222" i="1"/>
  <c r="A2223" i="1"/>
  <c r="F2223" i="1"/>
  <c r="G2223" i="1"/>
  <c r="I2223" i="1"/>
  <c r="A2224" i="1"/>
  <c r="F2224" i="1"/>
  <c r="G2224" i="1"/>
  <c r="I2224" i="1"/>
  <c r="A2225" i="1"/>
  <c r="F2225" i="1"/>
  <c r="G2225" i="1"/>
  <c r="I2225" i="1"/>
  <c r="A2226" i="1"/>
  <c r="F2226" i="1"/>
  <c r="G2226" i="1"/>
  <c r="I2226" i="1"/>
  <c r="A2227" i="1"/>
  <c r="F2227" i="1"/>
  <c r="G2227" i="1"/>
  <c r="I2227" i="1"/>
  <c r="A2228" i="1"/>
  <c r="F2228" i="1"/>
  <c r="G2228" i="1"/>
  <c r="I2228" i="1"/>
  <c r="A2229" i="1"/>
  <c r="F2229" i="1"/>
  <c r="G2229" i="1"/>
  <c r="I2229" i="1"/>
  <c r="A2230" i="1"/>
  <c r="F2230" i="1"/>
  <c r="G2230" i="1"/>
  <c r="I2230" i="1"/>
  <c r="A2231" i="1"/>
  <c r="F2231" i="1"/>
  <c r="G2231" i="1"/>
  <c r="I2231" i="1"/>
  <c r="A2232" i="1"/>
  <c r="F2232" i="1"/>
  <c r="G2232" i="1"/>
  <c r="I2232" i="1"/>
  <c r="A2233" i="1"/>
  <c r="F2233" i="1"/>
  <c r="G2233" i="1"/>
  <c r="I2233" i="1"/>
  <c r="A2234" i="1"/>
  <c r="F2234" i="1"/>
  <c r="G2234" i="1"/>
  <c r="I2234" i="1"/>
  <c r="A2235" i="1"/>
  <c r="F2235" i="1"/>
  <c r="G2235" i="1"/>
  <c r="I2235" i="1"/>
  <c r="A2236" i="1"/>
  <c r="F2236" i="1"/>
  <c r="G2236" i="1"/>
  <c r="I2236" i="1"/>
  <c r="A2237" i="1"/>
  <c r="F2237" i="1"/>
  <c r="G2237" i="1"/>
  <c r="I2237" i="1"/>
  <c r="A2238" i="1"/>
  <c r="F2238" i="1"/>
  <c r="G2238" i="1"/>
  <c r="I2238" i="1"/>
  <c r="A2239" i="1"/>
  <c r="F2239" i="1"/>
  <c r="G2239" i="1"/>
  <c r="I2239" i="1"/>
  <c r="A2240" i="1"/>
  <c r="F2240" i="1"/>
  <c r="G2240" i="1"/>
  <c r="I2240" i="1"/>
  <c r="A2241" i="1"/>
  <c r="F2241" i="1"/>
  <c r="G2241" i="1"/>
  <c r="I2241" i="1"/>
  <c r="A2242" i="1"/>
  <c r="F2242" i="1"/>
  <c r="G2242" i="1"/>
  <c r="I2242" i="1"/>
  <c r="A2243" i="1"/>
  <c r="F2243" i="1"/>
  <c r="G2243" i="1"/>
  <c r="I2243" i="1"/>
  <c r="A2244" i="1"/>
  <c r="F2244" i="1"/>
  <c r="G2244" i="1"/>
  <c r="I2244" i="1"/>
  <c r="A2245" i="1"/>
  <c r="F2245" i="1"/>
  <c r="G2245" i="1"/>
  <c r="I2245" i="1"/>
  <c r="A2246" i="1"/>
  <c r="F2246" i="1"/>
  <c r="G2246" i="1"/>
  <c r="I2246" i="1"/>
  <c r="A2247" i="1"/>
  <c r="F2247" i="1"/>
  <c r="G2247" i="1"/>
  <c r="I2247" i="1"/>
  <c r="A2248" i="1"/>
  <c r="F2248" i="1"/>
  <c r="G2248" i="1"/>
  <c r="I2248" i="1"/>
  <c r="A2249" i="1"/>
  <c r="F2249" i="1"/>
  <c r="G2249" i="1"/>
  <c r="I2249" i="1"/>
  <c r="A2250" i="1"/>
  <c r="F2250" i="1"/>
  <c r="G2250" i="1"/>
  <c r="I2250" i="1"/>
  <c r="A2251" i="1"/>
  <c r="F2251" i="1"/>
  <c r="G2251" i="1"/>
  <c r="I2251" i="1"/>
  <c r="A2252" i="1"/>
  <c r="F2252" i="1"/>
  <c r="G2252" i="1"/>
  <c r="I2252" i="1"/>
  <c r="A2253" i="1"/>
  <c r="F2253" i="1"/>
  <c r="G2253" i="1"/>
  <c r="I2253" i="1"/>
  <c r="A2254" i="1"/>
  <c r="F2254" i="1"/>
  <c r="G2254" i="1"/>
  <c r="I2254" i="1"/>
  <c r="A2255" i="1"/>
  <c r="F2255" i="1"/>
  <c r="G2255" i="1"/>
  <c r="I2255" i="1"/>
  <c r="A2256" i="1"/>
  <c r="F2256" i="1"/>
  <c r="G2256" i="1"/>
  <c r="I2256" i="1"/>
  <c r="A2257" i="1"/>
  <c r="F2257" i="1"/>
  <c r="G2257" i="1"/>
  <c r="I2257" i="1"/>
  <c r="A2258" i="1"/>
  <c r="F2258" i="1"/>
  <c r="G2258" i="1"/>
  <c r="I2258" i="1"/>
  <c r="A2259" i="1"/>
  <c r="F2259" i="1"/>
  <c r="G2259" i="1"/>
  <c r="I2259" i="1"/>
  <c r="A2260" i="1"/>
  <c r="F2260" i="1"/>
  <c r="G2260" i="1"/>
  <c r="I2260" i="1"/>
  <c r="A2261" i="1"/>
  <c r="F2261" i="1"/>
  <c r="G2261" i="1"/>
  <c r="I2261" i="1"/>
  <c r="A2262" i="1"/>
  <c r="F2262" i="1"/>
  <c r="G2262" i="1"/>
  <c r="I2262" i="1"/>
  <c r="A2263" i="1"/>
  <c r="F2263" i="1"/>
  <c r="G2263" i="1"/>
  <c r="I2263" i="1"/>
  <c r="A2264" i="1"/>
  <c r="F2264" i="1"/>
  <c r="G2264" i="1"/>
  <c r="I2264" i="1"/>
  <c r="A2265" i="1"/>
  <c r="F2265" i="1"/>
  <c r="G2265" i="1"/>
  <c r="I2265" i="1"/>
  <c r="A2266" i="1"/>
  <c r="F2266" i="1"/>
  <c r="G2266" i="1"/>
  <c r="I2266" i="1"/>
  <c r="A2267" i="1"/>
  <c r="F2267" i="1"/>
  <c r="G2267" i="1"/>
  <c r="I2267" i="1"/>
  <c r="A2268" i="1"/>
  <c r="F2268" i="1"/>
  <c r="G2268" i="1"/>
  <c r="I2268" i="1"/>
  <c r="A2269" i="1"/>
  <c r="F2269" i="1"/>
  <c r="G2269" i="1"/>
  <c r="I2269" i="1"/>
  <c r="A2270" i="1"/>
  <c r="F2270" i="1"/>
  <c r="G2270" i="1"/>
  <c r="I2270" i="1"/>
  <c r="A2271" i="1"/>
  <c r="F2271" i="1"/>
  <c r="G2271" i="1"/>
  <c r="I2271" i="1"/>
  <c r="A2272" i="1"/>
  <c r="F2272" i="1"/>
  <c r="G2272" i="1"/>
  <c r="I2272" i="1"/>
  <c r="A2273" i="1"/>
  <c r="F2273" i="1"/>
  <c r="G2273" i="1"/>
  <c r="I2273" i="1"/>
  <c r="A2274" i="1"/>
  <c r="F2274" i="1"/>
  <c r="G2274" i="1"/>
  <c r="I2274" i="1"/>
  <c r="A2275" i="1"/>
  <c r="F2275" i="1"/>
  <c r="G2275" i="1"/>
  <c r="I2275" i="1"/>
  <c r="A2276" i="1"/>
  <c r="F2276" i="1"/>
  <c r="G2276" i="1"/>
  <c r="I2276" i="1"/>
  <c r="A2277" i="1"/>
  <c r="F2277" i="1"/>
  <c r="G2277" i="1"/>
  <c r="I2277" i="1"/>
  <c r="A2278" i="1"/>
  <c r="F2278" i="1"/>
  <c r="G2278" i="1"/>
  <c r="I2278" i="1"/>
  <c r="A2279" i="1"/>
  <c r="F2279" i="1"/>
  <c r="G2279" i="1"/>
  <c r="I2279" i="1"/>
  <c r="A2280" i="1"/>
  <c r="F2280" i="1"/>
  <c r="G2280" i="1"/>
  <c r="I2280" i="1"/>
  <c r="A2281" i="1"/>
  <c r="F2281" i="1"/>
  <c r="G2281" i="1"/>
  <c r="I2281" i="1"/>
  <c r="A2282" i="1"/>
  <c r="F2282" i="1"/>
  <c r="G2282" i="1"/>
  <c r="I2282" i="1"/>
  <c r="A2283" i="1"/>
  <c r="F2283" i="1"/>
  <c r="G2283" i="1"/>
  <c r="I2283" i="1"/>
  <c r="A2284" i="1"/>
  <c r="F2284" i="1"/>
  <c r="G2284" i="1"/>
  <c r="I2284" i="1"/>
  <c r="A2285" i="1"/>
  <c r="F2285" i="1"/>
  <c r="G2285" i="1"/>
  <c r="I2285" i="1"/>
  <c r="A2286" i="1"/>
  <c r="F2286" i="1"/>
  <c r="G2286" i="1"/>
  <c r="I2286" i="1"/>
  <c r="A2287" i="1"/>
  <c r="F2287" i="1"/>
  <c r="G2287" i="1"/>
  <c r="I2287" i="1"/>
  <c r="A2288" i="1"/>
  <c r="F2288" i="1"/>
  <c r="G2288" i="1"/>
  <c r="I2288" i="1"/>
  <c r="A2289" i="1"/>
  <c r="F2289" i="1"/>
  <c r="G2289" i="1"/>
  <c r="I2289" i="1"/>
  <c r="A2290" i="1"/>
  <c r="F2290" i="1"/>
  <c r="G2290" i="1"/>
  <c r="I2290" i="1"/>
  <c r="A2291" i="1"/>
  <c r="F2291" i="1"/>
  <c r="G2291" i="1"/>
  <c r="I2291" i="1"/>
  <c r="A2292" i="1"/>
  <c r="F2292" i="1"/>
  <c r="G2292" i="1"/>
  <c r="I2292" i="1"/>
  <c r="A2293" i="1"/>
  <c r="F2293" i="1"/>
  <c r="G2293" i="1"/>
  <c r="I2293" i="1"/>
  <c r="A2294" i="1"/>
  <c r="F2294" i="1"/>
  <c r="G2294" i="1"/>
  <c r="I2294" i="1"/>
  <c r="A2295" i="1"/>
  <c r="F2295" i="1"/>
  <c r="G2295" i="1"/>
  <c r="I2295" i="1"/>
  <c r="A2296" i="1"/>
  <c r="F2296" i="1"/>
  <c r="G2296" i="1"/>
  <c r="I2296" i="1"/>
  <c r="A2297" i="1"/>
  <c r="F2297" i="1"/>
  <c r="G2297" i="1"/>
  <c r="I2297" i="1"/>
  <c r="A2298" i="1"/>
  <c r="F2298" i="1"/>
  <c r="G2298" i="1"/>
  <c r="I2298" i="1"/>
  <c r="A2299" i="1"/>
  <c r="F2299" i="1"/>
  <c r="G2299" i="1"/>
  <c r="I2299" i="1"/>
  <c r="A2300" i="1"/>
  <c r="F2300" i="1"/>
  <c r="G2300" i="1"/>
  <c r="I2300" i="1"/>
  <c r="A2301" i="1"/>
  <c r="F2301" i="1"/>
  <c r="G2301" i="1"/>
  <c r="I2301" i="1"/>
  <c r="A2302" i="1"/>
  <c r="F2302" i="1"/>
  <c r="G2302" i="1"/>
  <c r="I2302" i="1"/>
  <c r="A2303" i="1"/>
  <c r="F2303" i="1"/>
  <c r="G2303" i="1"/>
  <c r="I2303" i="1"/>
  <c r="A2304" i="1"/>
  <c r="F2304" i="1"/>
  <c r="G2304" i="1"/>
  <c r="I2304" i="1"/>
  <c r="A2305" i="1"/>
  <c r="F2305" i="1"/>
  <c r="G2305" i="1"/>
  <c r="I2305" i="1"/>
  <c r="A2306" i="1"/>
  <c r="F2306" i="1"/>
  <c r="G2306" i="1"/>
  <c r="I2306" i="1"/>
  <c r="A2307" i="1"/>
  <c r="F2307" i="1"/>
  <c r="G2307" i="1"/>
  <c r="I2307" i="1"/>
  <c r="A2308" i="1"/>
  <c r="F2308" i="1"/>
  <c r="G2308" i="1"/>
  <c r="I2308" i="1"/>
  <c r="A2309" i="1"/>
  <c r="F2309" i="1"/>
  <c r="G2309" i="1"/>
  <c r="I2309" i="1"/>
  <c r="A2310" i="1"/>
  <c r="F2310" i="1"/>
  <c r="G2310" i="1"/>
  <c r="I2310" i="1"/>
  <c r="A2311" i="1"/>
  <c r="F2311" i="1"/>
  <c r="G2311" i="1"/>
  <c r="I2311" i="1"/>
  <c r="A2312" i="1"/>
  <c r="F2312" i="1"/>
  <c r="G2312" i="1"/>
  <c r="I2312" i="1"/>
  <c r="A2313" i="1"/>
  <c r="F2313" i="1"/>
  <c r="G2313" i="1"/>
  <c r="I2313" i="1"/>
  <c r="A2314" i="1"/>
  <c r="F2314" i="1"/>
  <c r="G2314" i="1"/>
  <c r="I2314" i="1"/>
  <c r="A2315" i="1"/>
  <c r="F2315" i="1"/>
  <c r="G2315" i="1"/>
  <c r="I2315" i="1"/>
  <c r="A2316" i="1"/>
  <c r="F2316" i="1"/>
  <c r="G2316" i="1"/>
  <c r="I2316" i="1"/>
  <c r="A2317" i="1"/>
  <c r="F2317" i="1"/>
  <c r="G2317" i="1"/>
  <c r="I2317" i="1"/>
  <c r="A2318" i="1"/>
  <c r="F2318" i="1"/>
  <c r="G2318" i="1"/>
  <c r="I2318" i="1"/>
  <c r="A2319" i="1"/>
  <c r="F2319" i="1"/>
  <c r="G2319" i="1"/>
  <c r="I2319" i="1"/>
  <c r="A2320" i="1"/>
  <c r="F2320" i="1"/>
  <c r="G2320" i="1"/>
  <c r="I2320" i="1"/>
  <c r="A2321" i="1"/>
  <c r="F2321" i="1"/>
  <c r="G2321" i="1"/>
  <c r="I2321" i="1"/>
  <c r="A2322" i="1"/>
  <c r="F2322" i="1"/>
  <c r="G2322" i="1"/>
  <c r="I2322" i="1"/>
  <c r="A2323" i="1"/>
  <c r="F2323" i="1"/>
  <c r="G2323" i="1"/>
  <c r="I2323" i="1"/>
  <c r="A2324" i="1"/>
  <c r="F2324" i="1"/>
  <c r="G2324" i="1"/>
  <c r="I2324" i="1"/>
  <c r="A2325" i="1"/>
  <c r="F2325" i="1"/>
  <c r="G2325" i="1"/>
  <c r="I2325" i="1"/>
  <c r="A2326" i="1"/>
  <c r="F2326" i="1"/>
  <c r="G2326" i="1"/>
  <c r="I2326" i="1"/>
  <c r="A2327" i="1"/>
  <c r="F2327" i="1"/>
  <c r="G2327" i="1"/>
  <c r="I2327" i="1"/>
  <c r="A2328" i="1"/>
  <c r="F2328" i="1"/>
  <c r="G2328" i="1"/>
  <c r="I2328" i="1"/>
  <c r="A2329" i="1"/>
  <c r="F2329" i="1"/>
  <c r="G2329" i="1"/>
  <c r="I2329" i="1"/>
  <c r="A2330" i="1"/>
  <c r="F2330" i="1"/>
  <c r="G2330" i="1"/>
  <c r="I2330" i="1"/>
  <c r="A2331" i="1"/>
  <c r="F2331" i="1"/>
  <c r="G2331" i="1"/>
  <c r="I2331" i="1"/>
  <c r="A2332" i="1"/>
  <c r="F2332" i="1"/>
  <c r="G2332" i="1"/>
  <c r="I2332" i="1"/>
  <c r="A2333" i="1"/>
  <c r="F2333" i="1"/>
  <c r="G2333" i="1"/>
  <c r="I2333" i="1"/>
  <c r="A2334" i="1"/>
  <c r="F2334" i="1"/>
  <c r="G2334" i="1"/>
  <c r="I2334" i="1"/>
  <c r="A2335" i="1"/>
  <c r="F2335" i="1"/>
  <c r="G2335" i="1"/>
  <c r="I2335" i="1"/>
  <c r="A2336" i="1"/>
  <c r="F2336" i="1"/>
  <c r="G2336" i="1"/>
  <c r="I2336" i="1"/>
  <c r="A2337" i="1"/>
  <c r="F2337" i="1"/>
  <c r="G2337" i="1"/>
  <c r="I2337" i="1"/>
  <c r="A2338" i="1"/>
  <c r="F2338" i="1"/>
  <c r="G2338" i="1"/>
  <c r="I2338" i="1"/>
  <c r="A2339" i="1"/>
  <c r="F2339" i="1"/>
  <c r="G2339" i="1"/>
  <c r="I2339" i="1"/>
  <c r="A2340" i="1"/>
  <c r="F2340" i="1"/>
  <c r="G2340" i="1"/>
  <c r="I2340" i="1"/>
  <c r="A2341" i="1"/>
  <c r="F2341" i="1"/>
  <c r="G2341" i="1"/>
  <c r="I2341" i="1"/>
  <c r="A2342" i="1"/>
  <c r="F2342" i="1"/>
  <c r="G2342" i="1"/>
  <c r="I2342" i="1"/>
  <c r="A2343" i="1"/>
  <c r="F2343" i="1"/>
  <c r="G2343" i="1"/>
  <c r="I2343" i="1"/>
  <c r="A2344" i="1"/>
  <c r="F2344" i="1"/>
  <c r="G2344" i="1"/>
  <c r="I2344" i="1"/>
  <c r="A2345" i="1"/>
  <c r="F2345" i="1"/>
  <c r="G2345" i="1"/>
  <c r="I2345" i="1"/>
  <c r="A2346" i="1"/>
  <c r="F2346" i="1"/>
  <c r="G2346" i="1"/>
  <c r="I2346" i="1"/>
  <c r="A2347" i="1"/>
  <c r="F2347" i="1"/>
  <c r="G2347" i="1"/>
  <c r="I2347" i="1"/>
  <c r="A2348" i="1"/>
  <c r="F2348" i="1"/>
  <c r="G2348" i="1"/>
  <c r="I2348" i="1"/>
  <c r="A2349" i="1"/>
  <c r="F2349" i="1"/>
  <c r="G2349" i="1"/>
  <c r="I2349" i="1"/>
  <c r="A2350" i="1"/>
  <c r="F2350" i="1"/>
  <c r="G2350" i="1"/>
  <c r="I2350" i="1"/>
  <c r="A2351" i="1"/>
  <c r="F2351" i="1"/>
  <c r="G2351" i="1"/>
  <c r="I2351" i="1"/>
  <c r="A2352" i="1"/>
  <c r="F2352" i="1"/>
  <c r="G2352" i="1"/>
  <c r="I2352" i="1"/>
  <c r="A2353" i="1"/>
  <c r="F2353" i="1"/>
  <c r="G2353" i="1"/>
  <c r="I2353" i="1"/>
  <c r="A2354" i="1"/>
  <c r="F2354" i="1"/>
  <c r="G2354" i="1"/>
  <c r="I2354" i="1"/>
  <c r="A2355" i="1"/>
  <c r="F2355" i="1"/>
  <c r="G2355" i="1"/>
  <c r="I2355" i="1"/>
  <c r="A2356" i="1"/>
  <c r="F2356" i="1"/>
  <c r="G2356" i="1"/>
  <c r="I2356" i="1"/>
  <c r="A2357" i="1"/>
  <c r="F2357" i="1"/>
  <c r="G2357" i="1"/>
  <c r="I2357" i="1"/>
  <c r="A2358" i="1"/>
  <c r="F2358" i="1"/>
  <c r="G2358" i="1"/>
  <c r="I2358" i="1"/>
  <c r="A2359" i="1"/>
  <c r="F2359" i="1"/>
  <c r="G2359" i="1"/>
  <c r="I2359" i="1"/>
  <c r="A2360" i="1"/>
  <c r="F2360" i="1"/>
  <c r="G2360" i="1"/>
  <c r="I2360" i="1"/>
  <c r="A2361" i="1"/>
  <c r="F2361" i="1"/>
  <c r="G2361" i="1"/>
  <c r="I2361" i="1"/>
  <c r="A2362" i="1"/>
  <c r="F2362" i="1"/>
  <c r="G2362" i="1"/>
  <c r="I2362" i="1"/>
  <c r="A2363" i="1"/>
  <c r="F2363" i="1"/>
  <c r="G2363" i="1"/>
  <c r="I2363" i="1"/>
  <c r="A2364" i="1"/>
  <c r="F2364" i="1"/>
  <c r="G2364" i="1"/>
  <c r="I2364" i="1"/>
  <c r="A2365" i="1"/>
  <c r="F2365" i="1"/>
  <c r="G2365" i="1"/>
  <c r="I2365" i="1"/>
  <c r="A2366" i="1"/>
  <c r="F2366" i="1"/>
  <c r="G2366" i="1"/>
  <c r="I2366" i="1"/>
  <c r="A2367" i="1"/>
  <c r="F2367" i="1"/>
  <c r="G2367" i="1"/>
  <c r="I2367" i="1"/>
  <c r="A2368" i="1"/>
  <c r="F2368" i="1"/>
  <c r="G2368" i="1"/>
  <c r="I2368" i="1"/>
  <c r="A2369" i="1"/>
  <c r="F2369" i="1"/>
  <c r="G2369" i="1"/>
  <c r="I2369" i="1"/>
  <c r="A2370" i="1"/>
  <c r="F2370" i="1"/>
  <c r="G2370" i="1"/>
  <c r="I2370" i="1"/>
  <c r="A2371" i="1"/>
  <c r="F2371" i="1"/>
  <c r="G2371" i="1"/>
  <c r="I2371" i="1"/>
  <c r="A2372" i="1"/>
  <c r="F2372" i="1"/>
  <c r="G2372" i="1"/>
  <c r="I2372" i="1"/>
  <c r="A2373" i="1"/>
  <c r="F2373" i="1"/>
  <c r="G2373" i="1"/>
  <c r="I2373" i="1"/>
  <c r="A2374" i="1"/>
  <c r="F2374" i="1"/>
  <c r="G2374" i="1"/>
  <c r="I2374" i="1"/>
  <c r="A2375" i="1"/>
  <c r="F2375" i="1"/>
  <c r="G2375" i="1"/>
  <c r="I2375" i="1"/>
  <c r="A2376" i="1"/>
  <c r="F2376" i="1"/>
  <c r="G2376" i="1"/>
  <c r="I2376" i="1"/>
  <c r="A2377" i="1"/>
  <c r="F2377" i="1"/>
  <c r="G2377" i="1"/>
  <c r="I2377" i="1"/>
  <c r="A2378" i="1"/>
  <c r="F2378" i="1"/>
  <c r="G2378" i="1"/>
  <c r="I2378" i="1"/>
  <c r="A2379" i="1"/>
  <c r="F2379" i="1"/>
  <c r="G2379" i="1"/>
  <c r="I2379" i="1"/>
  <c r="A2380" i="1"/>
  <c r="F2380" i="1"/>
  <c r="G2380" i="1"/>
  <c r="I2380" i="1"/>
  <c r="A2381" i="1"/>
  <c r="F2381" i="1"/>
  <c r="G2381" i="1"/>
  <c r="I2381" i="1"/>
  <c r="A2382" i="1"/>
  <c r="F2382" i="1"/>
  <c r="G2382" i="1"/>
  <c r="I2382" i="1"/>
  <c r="A2383" i="1"/>
  <c r="F2383" i="1"/>
  <c r="G2383" i="1"/>
  <c r="I2383" i="1"/>
  <c r="A2384" i="1"/>
  <c r="F2384" i="1"/>
  <c r="G2384" i="1"/>
  <c r="I2384" i="1"/>
  <c r="A2385" i="1"/>
  <c r="F2385" i="1"/>
  <c r="G2385" i="1"/>
  <c r="I2385" i="1"/>
  <c r="A2386" i="1"/>
  <c r="F2386" i="1"/>
  <c r="G2386" i="1"/>
  <c r="I2386" i="1"/>
  <c r="A2387" i="1"/>
  <c r="F2387" i="1"/>
  <c r="G2387" i="1"/>
  <c r="I2387" i="1"/>
  <c r="A2388" i="1"/>
  <c r="F2388" i="1"/>
  <c r="G2388" i="1"/>
  <c r="I2388" i="1"/>
  <c r="A2389" i="1"/>
  <c r="F2389" i="1"/>
  <c r="G2389" i="1"/>
  <c r="I2389" i="1"/>
  <c r="A2390" i="1"/>
  <c r="F2390" i="1"/>
  <c r="G2390" i="1"/>
  <c r="I2390" i="1"/>
  <c r="A2391" i="1"/>
  <c r="F2391" i="1"/>
  <c r="G2391" i="1"/>
  <c r="I2391" i="1"/>
  <c r="A2392" i="1"/>
  <c r="F2392" i="1"/>
  <c r="G2392" i="1"/>
  <c r="I2392" i="1"/>
  <c r="A2393" i="1"/>
  <c r="F2393" i="1"/>
  <c r="G2393" i="1"/>
  <c r="I2393" i="1"/>
  <c r="A2394" i="1"/>
  <c r="F2394" i="1"/>
  <c r="G2394" i="1"/>
  <c r="I2394" i="1"/>
  <c r="A2395" i="1"/>
  <c r="F2395" i="1"/>
  <c r="G2395" i="1"/>
  <c r="I2395" i="1"/>
  <c r="A2396" i="1"/>
  <c r="F2396" i="1"/>
  <c r="G2396" i="1"/>
  <c r="I2396" i="1"/>
  <c r="A2397" i="1"/>
  <c r="F2397" i="1"/>
  <c r="G2397" i="1"/>
  <c r="I2397" i="1"/>
  <c r="A2398" i="1"/>
  <c r="F2398" i="1"/>
  <c r="G2398" i="1"/>
  <c r="I2398" i="1"/>
  <c r="A2399" i="1"/>
  <c r="F2399" i="1"/>
  <c r="G2399" i="1"/>
  <c r="I2399" i="1"/>
  <c r="A2400" i="1"/>
  <c r="F2400" i="1"/>
  <c r="G2400" i="1"/>
  <c r="I2400" i="1"/>
  <c r="A2401" i="1"/>
  <c r="F2401" i="1"/>
  <c r="G2401" i="1"/>
  <c r="I2401" i="1"/>
  <c r="A2402" i="1"/>
  <c r="F2402" i="1"/>
  <c r="G2402" i="1"/>
  <c r="I2402" i="1"/>
  <c r="A2403" i="1"/>
  <c r="F2403" i="1"/>
  <c r="G2403" i="1"/>
  <c r="I2403" i="1"/>
  <c r="A2404" i="1"/>
  <c r="F2404" i="1"/>
  <c r="G2404" i="1"/>
  <c r="I2404" i="1"/>
  <c r="A2405" i="1"/>
  <c r="F2405" i="1"/>
  <c r="G2405" i="1"/>
  <c r="I2405" i="1"/>
  <c r="A2406" i="1"/>
  <c r="F2406" i="1"/>
  <c r="G2406" i="1"/>
  <c r="I2406" i="1"/>
  <c r="A2407" i="1"/>
  <c r="F2407" i="1"/>
  <c r="G2407" i="1"/>
  <c r="I2407" i="1"/>
  <c r="A2408" i="1"/>
  <c r="F2408" i="1"/>
  <c r="G2408" i="1"/>
  <c r="I2408" i="1"/>
  <c r="A2409" i="1"/>
  <c r="F2409" i="1"/>
  <c r="G2409" i="1"/>
  <c r="I2409" i="1"/>
  <c r="A2410" i="1"/>
  <c r="F2410" i="1"/>
  <c r="G2410" i="1"/>
  <c r="I2410" i="1"/>
  <c r="A2411" i="1"/>
  <c r="F2411" i="1"/>
  <c r="G2411" i="1"/>
  <c r="I2411" i="1"/>
  <c r="A2412" i="1"/>
  <c r="F2412" i="1"/>
  <c r="G2412" i="1"/>
  <c r="I2412" i="1"/>
  <c r="A2413" i="1"/>
  <c r="F2413" i="1"/>
  <c r="G2413" i="1"/>
  <c r="I2413" i="1"/>
  <c r="A2414" i="1"/>
  <c r="F2414" i="1"/>
  <c r="G2414" i="1"/>
  <c r="I2414" i="1"/>
  <c r="A2415" i="1"/>
  <c r="F2415" i="1"/>
  <c r="G2415" i="1"/>
  <c r="I2415" i="1"/>
  <c r="A2416" i="1"/>
  <c r="F2416" i="1"/>
  <c r="G2416" i="1"/>
  <c r="I2416" i="1"/>
  <c r="A2417" i="1"/>
  <c r="F2417" i="1"/>
  <c r="G2417" i="1"/>
  <c r="I2417" i="1"/>
  <c r="A2418" i="1"/>
  <c r="F2418" i="1"/>
  <c r="G2418" i="1"/>
  <c r="I2418" i="1"/>
  <c r="A2419" i="1"/>
  <c r="F2419" i="1"/>
  <c r="G2419" i="1"/>
  <c r="I2419" i="1"/>
  <c r="A2420" i="1"/>
  <c r="F2420" i="1"/>
  <c r="G2420" i="1"/>
  <c r="I2420" i="1"/>
  <c r="A2421" i="1"/>
  <c r="F2421" i="1"/>
  <c r="G2421" i="1"/>
  <c r="I2421" i="1"/>
  <c r="A2422" i="1"/>
  <c r="F2422" i="1"/>
  <c r="G2422" i="1"/>
  <c r="I2422" i="1"/>
  <c r="A2423" i="1"/>
  <c r="F2423" i="1"/>
  <c r="G2423" i="1"/>
  <c r="I2423" i="1"/>
  <c r="A2424" i="1"/>
  <c r="F2424" i="1"/>
  <c r="G2424" i="1"/>
  <c r="I2424" i="1"/>
  <c r="A2425" i="1"/>
  <c r="F2425" i="1"/>
  <c r="G2425" i="1"/>
  <c r="I2425" i="1"/>
  <c r="A2426" i="1"/>
  <c r="F2426" i="1"/>
  <c r="G2426" i="1"/>
  <c r="I2426" i="1"/>
  <c r="A2427" i="1"/>
  <c r="F2427" i="1"/>
  <c r="G2427" i="1"/>
  <c r="I2427" i="1"/>
  <c r="A2428" i="1"/>
  <c r="F2428" i="1"/>
  <c r="G2428" i="1"/>
  <c r="I2428" i="1"/>
  <c r="A2429" i="1"/>
  <c r="F2429" i="1"/>
  <c r="G2429" i="1"/>
  <c r="I2429" i="1"/>
  <c r="A2430" i="1"/>
  <c r="F2430" i="1"/>
  <c r="G2430" i="1"/>
  <c r="I2430" i="1"/>
  <c r="A2431" i="1"/>
  <c r="F2431" i="1"/>
  <c r="G2431" i="1"/>
  <c r="I2431" i="1"/>
  <c r="A2432" i="1"/>
  <c r="F2432" i="1"/>
  <c r="G2432" i="1"/>
  <c r="I2432" i="1"/>
  <c r="A2433" i="1"/>
  <c r="F2433" i="1"/>
  <c r="G2433" i="1"/>
  <c r="I2433" i="1"/>
  <c r="A2434" i="1"/>
  <c r="F2434" i="1"/>
  <c r="G2434" i="1"/>
  <c r="I2434" i="1"/>
  <c r="A2435" i="1"/>
  <c r="F2435" i="1"/>
  <c r="G2435" i="1"/>
  <c r="I2435" i="1"/>
  <c r="A2436" i="1"/>
  <c r="F2436" i="1"/>
  <c r="G2436" i="1"/>
  <c r="I2436" i="1"/>
  <c r="A2437" i="1"/>
  <c r="F2437" i="1"/>
  <c r="G2437" i="1"/>
  <c r="I2437" i="1"/>
  <c r="A2438" i="1"/>
  <c r="F2438" i="1"/>
  <c r="G2438" i="1"/>
  <c r="I2438" i="1"/>
  <c r="A2439" i="1"/>
  <c r="F2439" i="1"/>
  <c r="G2439" i="1"/>
  <c r="I2439" i="1"/>
  <c r="A2440" i="1"/>
  <c r="F2440" i="1"/>
  <c r="G2440" i="1"/>
  <c r="I2440" i="1"/>
  <c r="A2441" i="1"/>
  <c r="F2441" i="1"/>
  <c r="G2441" i="1"/>
  <c r="I2441" i="1"/>
  <c r="A2442" i="1"/>
  <c r="F2442" i="1"/>
  <c r="G2442" i="1"/>
  <c r="I2442" i="1"/>
  <c r="A2443" i="1"/>
  <c r="F2443" i="1"/>
  <c r="G2443" i="1"/>
  <c r="I2443" i="1"/>
  <c r="A2444" i="1"/>
  <c r="F2444" i="1"/>
  <c r="G2444" i="1"/>
  <c r="I2444" i="1"/>
  <c r="A2445" i="1"/>
  <c r="F2445" i="1"/>
  <c r="G2445" i="1"/>
  <c r="I2445" i="1"/>
  <c r="A2446" i="1"/>
  <c r="F2446" i="1"/>
  <c r="G2446" i="1"/>
  <c r="I2446" i="1"/>
  <c r="A2447" i="1"/>
  <c r="F2447" i="1"/>
  <c r="G2447" i="1"/>
  <c r="I2447" i="1"/>
  <c r="A2448" i="1"/>
  <c r="F2448" i="1"/>
  <c r="G2448" i="1"/>
  <c r="I2448" i="1"/>
  <c r="A2449" i="1"/>
  <c r="F2449" i="1"/>
  <c r="G2449" i="1"/>
  <c r="I2449" i="1"/>
  <c r="A2450" i="1"/>
  <c r="F2450" i="1"/>
  <c r="G2450" i="1"/>
  <c r="I2450" i="1"/>
  <c r="A2451" i="1"/>
  <c r="F2451" i="1"/>
  <c r="G2451" i="1"/>
  <c r="I2451" i="1"/>
  <c r="A2452" i="1"/>
  <c r="F2452" i="1"/>
  <c r="G2452" i="1"/>
  <c r="I2452" i="1"/>
  <c r="A2453" i="1"/>
  <c r="F2453" i="1"/>
  <c r="G2453" i="1"/>
  <c r="I2453" i="1"/>
  <c r="A2454" i="1"/>
  <c r="F2454" i="1"/>
  <c r="G2454" i="1"/>
  <c r="I2454" i="1"/>
  <c r="A2455" i="1"/>
  <c r="F2455" i="1"/>
  <c r="G2455" i="1"/>
  <c r="I2455" i="1"/>
  <c r="A2456" i="1"/>
  <c r="F2456" i="1"/>
  <c r="G2456" i="1"/>
  <c r="I2456" i="1"/>
  <c r="A2457" i="1"/>
  <c r="F2457" i="1"/>
  <c r="G2457" i="1"/>
  <c r="I2457" i="1"/>
  <c r="A2458" i="1"/>
  <c r="F2458" i="1"/>
  <c r="G2458" i="1"/>
  <c r="I2458" i="1"/>
  <c r="A2459" i="1"/>
  <c r="F2459" i="1"/>
  <c r="G2459" i="1"/>
  <c r="I2459" i="1"/>
  <c r="A2460" i="1"/>
  <c r="F2460" i="1"/>
  <c r="G2460" i="1"/>
  <c r="I2460" i="1"/>
  <c r="A2461" i="1"/>
  <c r="F2461" i="1"/>
  <c r="G2461" i="1"/>
  <c r="I2461" i="1"/>
  <c r="A2462" i="1"/>
  <c r="F2462" i="1"/>
  <c r="G2462" i="1"/>
  <c r="I2462" i="1"/>
  <c r="A2463" i="1"/>
  <c r="F2463" i="1"/>
  <c r="G2463" i="1"/>
  <c r="I2463" i="1"/>
  <c r="A2464" i="1"/>
  <c r="F2464" i="1"/>
  <c r="G2464" i="1"/>
  <c r="I2464" i="1"/>
  <c r="A2465" i="1"/>
  <c r="F2465" i="1"/>
  <c r="G2465" i="1"/>
  <c r="I2465" i="1"/>
  <c r="A2466" i="1"/>
  <c r="F2466" i="1"/>
  <c r="G2466" i="1"/>
  <c r="I2466" i="1"/>
  <c r="A2467" i="1"/>
  <c r="F2467" i="1"/>
  <c r="G2467" i="1"/>
  <c r="I2467" i="1"/>
  <c r="A2468" i="1"/>
  <c r="F2468" i="1"/>
  <c r="G2468" i="1"/>
  <c r="I2468" i="1"/>
  <c r="A2469" i="1"/>
  <c r="F2469" i="1"/>
  <c r="G2469" i="1"/>
  <c r="I2469" i="1"/>
  <c r="A2470" i="1"/>
  <c r="F2470" i="1"/>
  <c r="G2470" i="1"/>
  <c r="I2470" i="1"/>
  <c r="A2471" i="1"/>
  <c r="F2471" i="1"/>
  <c r="G2471" i="1"/>
  <c r="I2471" i="1"/>
  <c r="A2472" i="1"/>
  <c r="F2472" i="1"/>
  <c r="G2472" i="1"/>
  <c r="I2472" i="1"/>
  <c r="A2473" i="1"/>
  <c r="F2473" i="1"/>
  <c r="G2473" i="1"/>
  <c r="I2473" i="1"/>
  <c r="A2474" i="1"/>
  <c r="F2474" i="1"/>
  <c r="G2474" i="1"/>
  <c r="I2474" i="1"/>
  <c r="A2475" i="1"/>
  <c r="F2475" i="1"/>
  <c r="G2475" i="1"/>
  <c r="I2475" i="1"/>
  <c r="A2476" i="1"/>
  <c r="F2476" i="1"/>
  <c r="G2476" i="1"/>
  <c r="I2476" i="1"/>
  <c r="A2477" i="1"/>
  <c r="F2477" i="1"/>
  <c r="G2477" i="1"/>
  <c r="I2477" i="1"/>
  <c r="A2478" i="1"/>
  <c r="F2478" i="1"/>
  <c r="G2478" i="1"/>
  <c r="I2478" i="1"/>
  <c r="A2479" i="1"/>
  <c r="F2479" i="1"/>
  <c r="G2479" i="1"/>
  <c r="I2479" i="1"/>
  <c r="A2480" i="1"/>
  <c r="F2480" i="1"/>
  <c r="G2480" i="1"/>
  <c r="I2480" i="1"/>
  <c r="A2481" i="1"/>
  <c r="F2481" i="1"/>
  <c r="G2481" i="1"/>
  <c r="I2481" i="1"/>
  <c r="A2482" i="1"/>
  <c r="F2482" i="1"/>
  <c r="G2482" i="1"/>
  <c r="I2482" i="1"/>
  <c r="A2483" i="1"/>
  <c r="F2483" i="1"/>
  <c r="G2483" i="1"/>
  <c r="I2483" i="1"/>
  <c r="A2484" i="1"/>
  <c r="F2484" i="1"/>
  <c r="G2484" i="1"/>
  <c r="I2484" i="1"/>
  <c r="A2485" i="1"/>
  <c r="F2485" i="1"/>
  <c r="G2485" i="1"/>
  <c r="I2485" i="1"/>
  <c r="A2486" i="1"/>
  <c r="F2486" i="1"/>
  <c r="G2486" i="1"/>
  <c r="I2486" i="1"/>
  <c r="A2487" i="1"/>
  <c r="F2487" i="1"/>
  <c r="G2487" i="1"/>
  <c r="I2487" i="1"/>
  <c r="A2488" i="1"/>
  <c r="F2488" i="1"/>
  <c r="G2488" i="1"/>
  <c r="I2488" i="1"/>
  <c r="A2489" i="1"/>
  <c r="F2489" i="1"/>
  <c r="G2489" i="1"/>
  <c r="I2489" i="1"/>
  <c r="A2490" i="1"/>
  <c r="F2490" i="1"/>
  <c r="G2490" i="1"/>
  <c r="I2490" i="1"/>
  <c r="A2491" i="1"/>
  <c r="F2491" i="1"/>
  <c r="G2491" i="1"/>
  <c r="I2491" i="1"/>
  <c r="A2492" i="1"/>
  <c r="F2492" i="1"/>
  <c r="G2492" i="1"/>
  <c r="I2492" i="1"/>
  <c r="A2493" i="1"/>
  <c r="F2493" i="1"/>
  <c r="G2493" i="1"/>
  <c r="I2493" i="1"/>
  <c r="A2494" i="1"/>
  <c r="F2494" i="1"/>
  <c r="G2494" i="1"/>
  <c r="I2494" i="1"/>
  <c r="A2495" i="1"/>
  <c r="F2495" i="1"/>
  <c r="G2495" i="1"/>
  <c r="I2495" i="1"/>
  <c r="A2496" i="1"/>
  <c r="F2496" i="1"/>
  <c r="G2496" i="1"/>
  <c r="I2496" i="1"/>
  <c r="A2497" i="1"/>
  <c r="F2497" i="1"/>
  <c r="G2497" i="1"/>
  <c r="I2497" i="1"/>
  <c r="A2498" i="1"/>
  <c r="F2498" i="1"/>
  <c r="G2498" i="1"/>
  <c r="I2498" i="1"/>
  <c r="A2499" i="1"/>
  <c r="F2499" i="1"/>
  <c r="G2499" i="1"/>
  <c r="I2499" i="1"/>
  <c r="A2500" i="1"/>
  <c r="F2500" i="1"/>
  <c r="G2500" i="1"/>
  <c r="I2500" i="1"/>
  <c r="A2501" i="1"/>
  <c r="F2501" i="1"/>
  <c r="G2501" i="1"/>
  <c r="I2501" i="1"/>
  <c r="A2502" i="1"/>
  <c r="F2502" i="1"/>
  <c r="G2502" i="1"/>
  <c r="I2502" i="1"/>
  <c r="A2503" i="1"/>
  <c r="F2503" i="1"/>
  <c r="G2503" i="1"/>
  <c r="I2503" i="1"/>
  <c r="A2504" i="1"/>
  <c r="F2504" i="1"/>
  <c r="G2504" i="1"/>
  <c r="I2504" i="1"/>
  <c r="A2505" i="1"/>
  <c r="F2505" i="1"/>
  <c r="G2505" i="1"/>
  <c r="I2505" i="1"/>
  <c r="A2506" i="1"/>
  <c r="F2506" i="1"/>
  <c r="G2506" i="1"/>
  <c r="I2506" i="1"/>
  <c r="A2507" i="1"/>
  <c r="F2507" i="1"/>
  <c r="G2507" i="1"/>
  <c r="I2507" i="1"/>
  <c r="A2508" i="1"/>
  <c r="F2508" i="1"/>
  <c r="G2508" i="1"/>
  <c r="I2508" i="1"/>
  <c r="A2509" i="1"/>
  <c r="F2509" i="1"/>
  <c r="G2509" i="1"/>
  <c r="I2509" i="1"/>
  <c r="A2510" i="1"/>
  <c r="F2510" i="1"/>
  <c r="G2510" i="1"/>
  <c r="I2510" i="1"/>
  <c r="A2511" i="1"/>
  <c r="F2511" i="1"/>
  <c r="G2511" i="1"/>
  <c r="I2511" i="1"/>
  <c r="A2512" i="1"/>
  <c r="F2512" i="1"/>
  <c r="G2512" i="1"/>
  <c r="I2512" i="1"/>
  <c r="A2513" i="1"/>
  <c r="F2513" i="1"/>
  <c r="G2513" i="1"/>
  <c r="I2513" i="1"/>
  <c r="A2514" i="1"/>
  <c r="F2514" i="1"/>
  <c r="G2514" i="1"/>
  <c r="I2514" i="1"/>
  <c r="A2515" i="1"/>
  <c r="F2515" i="1"/>
  <c r="G2515" i="1"/>
  <c r="I2515" i="1"/>
  <c r="A2516" i="1"/>
  <c r="F2516" i="1"/>
  <c r="G2516" i="1"/>
  <c r="I2516" i="1"/>
  <c r="A2517" i="1"/>
  <c r="F2517" i="1"/>
  <c r="G2517" i="1"/>
  <c r="I2517" i="1"/>
  <c r="A2518" i="1"/>
  <c r="F2518" i="1"/>
  <c r="G2518" i="1"/>
  <c r="I2518" i="1"/>
  <c r="A2519" i="1"/>
  <c r="F2519" i="1"/>
  <c r="G2519" i="1"/>
  <c r="I2519" i="1"/>
  <c r="A2520" i="1"/>
  <c r="F2520" i="1"/>
  <c r="G2520" i="1"/>
  <c r="I2520" i="1"/>
  <c r="A2521" i="1"/>
  <c r="F2521" i="1"/>
  <c r="G2521" i="1"/>
  <c r="I2521" i="1"/>
  <c r="A2522" i="1"/>
  <c r="F2522" i="1"/>
  <c r="G2522" i="1"/>
  <c r="I2522" i="1"/>
  <c r="A2523" i="1"/>
  <c r="F2523" i="1"/>
  <c r="G2523" i="1"/>
  <c r="I2523" i="1"/>
  <c r="A2524" i="1"/>
  <c r="F2524" i="1"/>
  <c r="G2524" i="1"/>
  <c r="I2524" i="1"/>
  <c r="A2525" i="1"/>
  <c r="F2525" i="1"/>
  <c r="G2525" i="1"/>
  <c r="I2525" i="1"/>
  <c r="A2526" i="1"/>
  <c r="F2526" i="1"/>
  <c r="G2526" i="1"/>
  <c r="I2526" i="1"/>
  <c r="A2527" i="1"/>
  <c r="F2527" i="1"/>
  <c r="G2527" i="1"/>
  <c r="I2527" i="1"/>
  <c r="A2528" i="1"/>
  <c r="F2528" i="1"/>
  <c r="G2528" i="1"/>
  <c r="I2528" i="1"/>
  <c r="A2529" i="1"/>
  <c r="F2529" i="1"/>
  <c r="G2529" i="1"/>
  <c r="I2529" i="1"/>
  <c r="A2530" i="1"/>
  <c r="F2530" i="1"/>
  <c r="G2530" i="1"/>
  <c r="I2530" i="1"/>
  <c r="A2531" i="1"/>
  <c r="F2531" i="1"/>
  <c r="G2531" i="1"/>
  <c r="I2531" i="1"/>
  <c r="A2532" i="1"/>
  <c r="F2532" i="1"/>
  <c r="G2532" i="1"/>
  <c r="I2532" i="1"/>
  <c r="A2533" i="1"/>
  <c r="F2533" i="1"/>
  <c r="G2533" i="1"/>
  <c r="I2533" i="1"/>
  <c r="A2534" i="1"/>
  <c r="F2534" i="1"/>
  <c r="G2534" i="1"/>
  <c r="I2534" i="1"/>
  <c r="A2535" i="1"/>
  <c r="F2535" i="1"/>
  <c r="G2535" i="1"/>
  <c r="I2535" i="1"/>
  <c r="A2536" i="1"/>
  <c r="F2536" i="1"/>
  <c r="G2536" i="1"/>
  <c r="I2536" i="1"/>
  <c r="A2537" i="1"/>
  <c r="F2537" i="1"/>
  <c r="G2537" i="1"/>
  <c r="I2537" i="1"/>
  <c r="A2538" i="1"/>
  <c r="F2538" i="1"/>
  <c r="G2538" i="1"/>
  <c r="I2538" i="1"/>
  <c r="A2539" i="1"/>
  <c r="F2539" i="1"/>
  <c r="G2539" i="1"/>
  <c r="I2539" i="1"/>
  <c r="A2540" i="1"/>
  <c r="F2540" i="1"/>
  <c r="G2540" i="1"/>
  <c r="I2540" i="1"/>
  <c r="A2541" i="1"/>
  <c r="F2541" i="1"/>
  <c r="G2541" i="1"/>
  <c r="I2541" i="1"/>
  <c r="A2542" i="1"/>
  <c r="F2542" i="1"/>
  <c r="G2542" i="1"/>
  <c r="I2542" i="1"/>
  <c r="A2543" i="1"/>
  <c r="F2543" i="1"/>
  <c r="G2543" i="1"/>
  <c r="I2543" i="1"/>
  <c r="A2544" i="1"/>
  <c r="F2544" i="1"/>
  <c r="G2544" i="1"/>
  <c r="I2544" i="1"/>
  <c r="A2545" i="1"/>
  <c r="F2545" i="1"/>
  <c r="G2545" i="1"/>
  <c r="I2545" i="1"/>
  <c r="A2546" i="1"/>
  <c r="F2546" i="1"/>
  <c r="G2546" i="1"/>
  <c r="I2546" i="1"/>
  <c r="A2547" i="1"/>
  <c r="F2547" i="1"/>
  <c r="G2547" i="1"/>
  <c r="I2547" i="1"/>
  <c r="A2548" i="1"/>
  <c r="F2548" i="1"/>
  <c r="G2548" i="1"/>
  <c r="I2548" i="1"/>
  <c r="A2549" i="1"/>
  <c r="F2549" i="1"/>
  <c r="G2549" i="1"/>
  <c r="I2549" i="1"/>
  <c r="A2550" i="1"/>
  <c r="F2550" i="1"/>
  <c r="G2550" i="1"/>
  <c r="I2550" i="1"/>
  <c r="A2551" i="1"/>
  <c r="F2551" i="1"/>
  <c r="G2551" i="1"/>
  <c r="I2551" i="1"/>
  <c r="A2552" i="1"/>
  <c r="F2552" i="1"/>
  <c r="G2552" i="1"/>
  <c r="I2552" i="1"/>
  <c r="A2553" i="1"/>
  <c r="F2553" i="1"/>
  <c r="G2553" i="1"/>
  <c r="I2553" i="1"/>
  <c r="A2554" i="1"/>
  <c r="F2554" i="1"/>
  <c r="G2554" i="1"/>
  <c r="I2554" i="1"/>
  <c r="A2555" i="1"/>
  <c r="F2555" i="1"/>
  <c r="G2555" i="1"/>
  <c r="I2555" i="1"/>
  <c r="A2556" i="1"/>
  <c r="F2556" i="1"/>
  <c r="G2556" i="1"/>
  <c r="I2556" i="1"/>
  <c r="A2557" i="1"/>
  <c r="F2557" i="1"/>
  <c r="G2557" i="1"/>
  <c r="I2557" i="1"/>
  <c r="A2558" i="1"/>
  <c r="F2558" i="1"/>
  <c r="G2558" i="1"/>
  <c r="I2558" i="1"/>
  <c r="A2559" i="1"/>
  <c r="F2559" i="1"/>
  <c r="G2559" i="1"/>
  <c r="I2559" i="1"/>
  <c r="A2560" i="1"/>
  <c r="F2560" i="1"/>
  <c r="G2560" i="1"/>
  <c r="I2560" i="1"/>
  <c r="A2561" i="1"/>
  <c r="F2561" i="1"/>
  <c r="G2561" i="1"/>
  <c r="I2561" i="1"/>
  <c r="A2562" i="1"/>
  <c r="F2562" i="1"/>
  <c r="G2562" i="1"/>
  <c r="I2562" i="1"/>
  <c r="A2563" i="1"/>
  <c r="F2563" i="1"/>
  <c r="G2563" i="1"/>
  <c r="I2563" i="1"/>
  <c r="A2564" i="1"/>
  <c r="F2564" i="1"/>
  <c r="G2564" i="1"/>
  <c r="I2564" i="1"/>
  <c r="A2565" i="1"/>
  <c r="F2565" i="1"/>
  <c r="G2565" i="1"/>
  <c r="I2565" i="1"/>
  <c r="A2566" i="1"/>
  <c r="F2566" i="1"/>
  <c r="G2566" i="1"/>
  <c r="I2566" i="1"/>
  <c r="A2567" i="1"/>
  <c r="F2567" i="1"/>
  <c r="G2567" i="1"/>
  <c r="I2567" i="1"/>
  <c r="A2568" i="1"/>
  <c r="F2568" i="1"/>
  <c r="G2568" i="1"/>
  <c r="I2568" i="1"/>
  <c r="A2569" i="1"/>
  <c r="F2569" i="1"/>
  <c r="G2569" i="1"/>
  <c r="I2569" i="1"/>
  <c r="A2570" i="1"/>
  <c r="F2570" i="1"/>
  <c r="G2570" i="1"/>
  <c r="I2570" i="1"/>
  <c r="A2571" i="1"/>
  <c r="F2571" i="1"/>
  <c r="G2571" i="1"/>
  <c r="I2571" i="1"/>
  <c r="A2572" i="1"/>
  <c r="F2572" i="1"/>
  <c r="G2572" i="1"/>
  <c r="I2572" i="1"/>
  <c r="A2573" i="1"/>
  <c r="F2573" i="1"/>
  <c r="G2573" i="1"/>
  <c r="I2573" i="1"/>
  <c r="A2574" i="1"/>
  <c r="F2574" i="1"/>
  <c r="G2574" i="1"/>
  <c r="I2574" i="1"/>
  <c r="A2575" i="1"/>
  <c r="F2575" i="1"/>
  <c r="G2575" i="1"/>
  <c r="I2575" i="1"/>
  <c r="A2576" i="1"/>
  <c r="F2576" i="1"/>
  <c r="G2576" i="1"/>
  <c r="I2576" i="1"/>
  <c r="A2577" i="1"/>
  <c r="F2577" i="1"/>
  <c r="G2577" i="1"/>
  <c r="I2577" i="1"/>
  <c r="A2578" i="1"/>
  <c r="F2578" i="1"/>
  <c r="G2578" i="1"/>
  <c r="I2578" i="1"/>
  <c r="A2579" i="1"/>
  <c r="F2579" i="1"/>
  <c r="G2579" i="1"/>
  <c r="I2579" i="1"/>
  <c r="A2580" i="1"/>
  <c r="F2580" i="1"/>
  <c r="G2580" i="1"/>
  <c r="I2580" i="1"/>
  <c r="A2581" i="1"/>
  <c r="F2581" i="1"/>
  <c r="G2581" i="1"/>
  <c r="I2581" i="1"/>
  <c r="A2582" i="1"/>
  <c r="F2582" i="1"/>
  <c r="G2582" i="1"/>
  <c r="I2582" i="1"/>
  <c r="A2583" i="1"/>
  <c r="F2583" i="1"/>
  <c r="G2583" i="1"/>
  <c r="I2583" i="1"/>
  <c r="A2584" i="1"/>
  <c r="F2584" i="1"/>
  <c r="G2584" i="1"/>
  <c r="I2584" i="1"/>
  <c r="A2585" i="1"/>
  <c r="F2585" i="1"/>
  <c r="G2585" i="1"/>
  <c r="I2585" i="1"/>
  <c r="A2586" i="1"/>
  <c r="F2586" i="1"/>
  <c r="G2586" i="1"/>
  <c r="I2586" i="1"/>
  <c r="A2587" i="1"/>
  <c r="F2587" i="1"/>
  <c r="G2587" i="1"/>
  <c r="I2587" i="1"/>
  <c r="A2588" i="1"/>
  <c r="F2588" i="1"/>
  <c r="G2588" i="1"/>
  <c r="I2588" i="1"/>
  <c r="A2589" i="1"/>
  <c r="F2589" i="1"/>
  <c r="G2589" i="1"/>
  <c r="I2589" i="1"/>
  <c r="A2590" i="1"/>
  <c r="F2590" i="1"/>
  <c r="G2590" i="1"/>
  <c r="I2590" i="1"/>
  <c r="A2591" i="1"/>
  <c r="F2591" i="1"/>
  <c r="G2591" i="1"/>
  <c r="I2591" i="1"/>
  <c r="A2592" i="1"/>
  <c r="F2592" i="1"/>
  <c r="G2592" i="1"/>
  <c r="I2592" i="1"/>
  <c r="A2593" i="1"/>
  <c r="F2593" i="1"/>
  <c r="G2593" i="1"/>
  <c r="I2593" i="1"/>
  <c r="A2594" i="1"/>
  <c r="F2594" i="1"/>
  <c r="G2594" i="1"/>
  <c r="I2594" i="1"/>
  <c r="A2595" i="1"/>
  <c r="F2595" i="1"/>
  <c r="G2595" i="1"/>
  <c r="I2595" i="1"/>
  <c r="A2596" i="1"/>
  <c r="F2596" i="1"/>
  <c r="G2596" i="1"/>
  <c r="I2596" i="1"/>
  <c r="A2597" i="1"/>
  <c r="F2597" i="1"/>
  <c r="G2597" i="1"/>
  <c r="I2597" i="1"/>
  <c r="A2598" i="1"/>
  <c r="F2598" i="1"/>
  <c r="G2598" i="1"/>
  <c r="I2598" i="1"/>
  <c r="A2599" i="1"/>
  <c r="F2599" i="1"/>
  <c r="G2599" i="1"/>
  <c r="I2599" i="1"/>
  <c r="A2600" i="1"/>
  <c r="F2600" i="1"/>
  <c r="G2600" i="1"/>
  <c r="I2600" i="1"/>
  <c r="A2601" i="1"/>
  <c r="F2601" i="1"/>
  <c r="G2601" i="1"/>
  <c r="I2601" i="1"/>
  <c r="A2602" i="1"/>
  <c r="F2602" i="1"/>
  <c r="G2602" i="1"/>
  <c r="I2602" i="1"/>
  <c r="A2603" i="1"/>
  <c r="F2603" i="1"/>
  <c r="G2603" i="1"/>
  <c r="I2603" i="1"/>
  <c r="A2604" i="1"/>
  <c r="F2604" i="1"/>
  <c r="G2604" i="1"/>
  <c r="I2604" i="1"/>
  <c r="A2605" i="1"/>
  <c r="F2605" i="1"/>
  <c r="G2605" i="1"/>
  <c r="I2605" i="1"/>
  <c r="A2606" i="1"/>
  <c r="F2606" i="1"/>
  <c r="G2606" i="1"/>
  <c r="I2606" i="1"/>
  <c r="A2607" i="1"/>
  <c r="F2607" i="1"/>
  <c r="G2607" i="1"/>
  <c r="I2607" i="1"/>
  <c r="A2608" i="1"/>
  <c r="F2608" i="1"/>
  <c r="G2608" i="1"/>
  <c r="I2608" i="1"/>
  <c r="A2609" i="1"/>
  <c r="F2609" i="1"/>
  <c r="G2609" i="1"/>
  <c r="I2609" i="1"/>
  <c r="A2610" i="1"/>
  <c r="F2610" i="1"/>
  <c r="G2610" i="1"/>
  <c r="I2610" i="1"/>
  <c r="A2611" i="1"/>
  <c r="F2611" i="1"/>
  <c r="G2611" i="1"/>
  <c r="I2611" i="1"/>
  <c r="A2612" i="1"/>
  <c r="F2612" i="1"/>
  <c r="G2612" i="1"/>
  <c r="I2612" i="1"/>
  <c r="A2613" i="1"/>
  <c r="F2613" i="1"/>
  <c r="G2613" i="1"/>
  <c r="I2613" i="1"/>
  <c r="A2614" i="1"/>
  <c r="F2614" i="1"/>
  <c r="G2614" i="1"/>
  <c r="I2614" i="1"/>
  <c r="A2615" i="1"/>
  <c r="F2615" i="1"/>
  <c r="G2615" i="1"/>
  <c r="I2615" i="1"/>
  <c r="A2616" i="1"/>
  <c r="F2616" i="1"/>
  <c r="G2616" i="1"/>
  <c r="I2616" i="1"/>
  <c r="A2617" i="1"/>
  <c r="F2617" i="1"/>
  <c r="G2617" i="1"/>
  <c r="I2617" i="1"/>
  <c r="A2618" i="1"/>
  <c r="F2618" i="1"/>
  <c r="G2618" i="1"/>
  <c r="I2618" i="1"/>
  <c r="A2619" i="1"/>
  <c r="F2619" i="1"/>
  <c r="G2619" i="1"/>
  <c r="I2619" i="1"/>
  <c r="A2620" i="1"/>
  <c r="F2620" i="1"/>
  <c r="G2620" i="1"/>
  <c r="I2620" i="1"/>
  <c r="A2621" i="1"/>
  <c r="F2621" i="1"/>
  <c r="G2621" i="1"/>
  <c r="I2621" i="1"/>
  <c r="A2622" i="1"/>
  <c r="F2622" i="1"/>
  <c r="G2622" i="1"/>
  <c r="I2622" i="1"/>
  <c r="A2623" i="1"/>
  <c r="F2623" i="1"/>
  <c r="G2623" i="1"/>
  <c r="I2623" i="1"/>
  <c r="A2624" i="1"/>
  <c r="F2624" i="1"/>
  <c r="G2624" i="1"/>
  <c r="I2624" i="1"/>
  <c r="A2625" i="1"/>
  <c r="F2625" i="1"/>
  <c r="G2625" i="1"/>
  <c r="I2625" i="1"/>
  <c r="A2626" i="1"/>
  <c r="F2626" i="1"/>
  <c r="G2626" i="1"/>
  <c r="I2626" i="1"/>
  <c r="A2627" i="1"/>
  <c r="F2627" i="1"/>
  <c r="G2627" i="1"/>
  <c r="I2627" i="1"/>
  <c r="A2628" i="1"/>
  <c r="F2628" i="1"/>
  <c r="G2628" i="1"/>
  <c r="I2628" i="1"/>
  <c r="A2629" i="1"/>
  <c r="F2629" i="1"/>
  <c r="G2629" i="1"/>
  <c r="I2629" i="1"/>
  <c r="A2630" i="1"/>
  <c r="F2630" i="1"/>
  <c r="G2630" i="1"/>
  <c r="I2630" i="1"/>
  <c r="A2631" i="1"/>
  <c r="F2631" i="1"/>
  <c r="G2631" i="1"/>
  <c r="I2631" i="1"/>
  <c r="A2632" i="1"/>
  <c r="F2632" i="1"/>
  <c r="G2632" i="1"/>
  <c r="I2632" i="1"/>
  <c r="A2633" i="1"/>
  <c r="F2633" i="1"/>
  <c r="G2633" i="1"/>
  <c r="I2633" i="1"/>
  <c r="A2634" i="1"/>
  <c r="F2634" i="1"/>
  <c r="G2634" i="1"/>
  <c r="I2634" i="1"/>
  <c r="A2635" i="1"/>
  <c r="F2635" i="1"/>
  <c r="G2635" i="1"/>
  <c r="I2635" i="1"/>
  <c r="A2636" i="1"/>
  <c r="F2636" i="1"/>
  <c r="G2636" i="1"/>
  <c r="I2636" i="1"/>
  <c r="A2637" i="1"/>
  <c r="F2637" i="1"/>
  <c r="G2637" i="1"/>
  <c r="I2637" i="1"/>
  <c r="A2638" i="1"/>
  <c r="F2638" i="1"/>
  <c r="G2638" i="1"/>
  <c r="I2638" i="1"/>
  <c r="A2639" i="1"/>
  <c r="F2639" i="1"/>
  <c r="G2639" i="1"/>
  <c r="I2639" i="1"/>
  <c r="A2640" i="1"/>
  <c r="F2640" i="1"/>
  <c r="G2640" i="1"/>
  <c r="I2640" i="1"/>
  <c r="A2641" i="1"/>
  <c r="F2641" i="1"/>
  <c r="G2641" i="1"/>
  <c r="I2641" i="1"/>
  <c r="A2642" i="1"/>
  <c r="F2642" i="1"/>
  <c r="G2642" i="1"/>
  <c r="I2642" i="1"/>
  <c r="A2643" i="1"/>
  <c r="F2643" i="1"/>
  <c r="G2643" i="1"/>
  <c r="I2643" i="1"/>
  <c r="A2644" i="1"/>
  <c r="F2644" i="1"/>
  <c r="G2644" i="1"/>
  <c r="I2644" i="1"/>
  <c r="A2645" i="1"/>
  <c r="F2645" i="1"/>
  <c r="G2645" i="1"/>
  <c r="I2645" i="1"/>
  <c r="A2646" i="1"/>
  <c r="F2646" i="1"/>
  <c r="G2646" i="1"/>
  <c r="I2646" i="1"/>
  <c r="A2647" i="1"/>
  <c r="F2647" i="1"/>
  <c r="G2647" i="1"/>
  <c r="I2647" i="1"/>
  <c r="A2648" i="1"/>
  <c r="F2648" i="1"/>
  <c r="G2648" i="1"/>
  <c r="I2648" i="1"/>
  <c r="A2649" i="1"/>
  <c r="F2649" i="1"/>
  <c r="G2649" i="1"/>
  <c r="I2649" i="1"/>
  <c r="A2650" i="1"/>
  <c r="F2650" i="1"/>
  <c r="G2650" i="1"/>
  <c r="I2650" i="1"/>
  <c r="A2651" i="1"/>
  <c r="F2651" i="1"/>
  <c r="G2651" i="1"/>
  <c r="I2651" i="1"/>
  <c r="A2652" i="1"/>
  <c r="F2652" i="1"/>
  <c r="G2652" i="1"/>
  <c r="I2652" i="1"/>
  <c r="A2653" i="1"/>
  <c r="F2653" i="1"/>
  <c r="G2653" i="1"/>
  <c r="I2653" i="1"/>
  <c r="A2654" i="1"/>
  <c r="F2654" i="1"/>
  <c r="G2654" i="1"/>
  <c r="I2654" i="1"/>
  <c r="A2655" i="1"/>
  <c r="F2655" i="1"/>
  <c r="G2655" i="1"/>
  <c r="I2655" i="1"/>
  <c r="A2656" i="1"/>
  <c r="F2656" i="1"/>
  <c r="G2656" i="1"/>
  <c r="I2656" i="1"/>
  <c r="A2657" i="1"/>
  <c r="F2657" i="1"/>
  <c r="G2657" i="1"/>
  <c r="I2657" i="1"/>
  <c r="A2658" i="1"/>
  <c r="F2658" i="1"/>
  <c r="G2658" i="1"/>
  <c r="I2658" i="1"/>
  <c r="A2659" i="1"/>
  <c r="F2659" i="1"/>
  <c r="G2659" i="1"/>
  <c r="I2659" i="1"/>
  <c r="A2660" i="1"/>
  <c r="F2660" i="1"/>
  <c r="G2660" i="1"/>
  <c r="I2660" i="1"/>
  <c r="A2661" i="1"/>
  <c r="F2661" i="1"/>
  <c r="G2661" i="1"/>
  <c r="I2661" i="1"/>
  <c r="A2662" i="1"/>
  <c r="F2662" i="1"/>
  <c r="G2662" i="1"/>
  <c r="I2662" i="1"/>
  <c r="A2663" i="1"/>
  <c r="F2663" i="1"/>
  <c r="G2663" i="1"/>
  <c r="I2663" i="1"/>
  <c r="A2664" i="1"/>
  <c r="F2664" i="1"/>
  <c r="G2664" i="1"/>
  <c r="I2664" i="1"/>
  <c r="A2665" i="1"/>
  <c r="F2665" i="1"/>
  <c r="G2665" i="1"/>
  <c r="I2665" i="1"/>
  <c r="A2666" i="1"/>
  <c r="F2666" i="1"/>
  <c r="G2666" i="1"/>
  <c r="I2666" i="1"/>
  <c r="A2667" i="1"/>
  <c r="F2667" i="1"/>
  <c r="G2667" i="1"/>
  <c r="I2667" i="1"/>
  <c r="A2668" i="1"/>
  <c r="F2668" i="1"/>
  <c r="G2668" i="1"/>
  <c r="I2668" i="1"/>
  <c r="A2669" i="1"/>
  <c r="F2669" i="1"/>
  <c r="G2669" i="1"/>
  <c r="I2669" i="1"/>
  <c r="A2670" i="1"/>
  <c r="F2670" i="1"/>
  <c r="G2670" i="1"/>
  <c r="I2670" i="1"/>
  <c r="A2671" i="1"/>
  <c r="F2671" i="1"/>
  <c r="G2671" i="1"/>
  <c r="I2671" i="1"/>
  <c r="A2672" i="1"/>
  <c r="F2672" i="1"/>
  <c r="G2672" i="1"/>
  <c r="I2672" i="1"/>
  <c r="A2673" i="1"/>
  <c r="F2673" i="1"/>
  <c r="G2673" i="1"/>
  <c r="I2673" i="1"/>
  <c r="A2674" i="1"/>
  <c r="F2674" i="1"/>
  <c r="G2674" i="1"/>
  <c r="I2674" i="1"/>
  <c r="A2675" i="1"/>
  <c r="F2675" i="1"/>
  <c r="G2675" i="1"/>
  <c r="I2675" i="1"/>
  <c r="A2676" i="1"/>
  <c r="F2676" i="1"/>
  <c r="G2676" i="1"/>
  <c r="I2676" i="1"/>
  <c r="A2677" i="1"/>
  <c r="F2677" i="1"/>
  <c r="G2677" i="1"/>
  <c r="I2677" i="1"/>
  <c r="A2678" i="1"/>
  <c r="F2678" i="1"/>
  <c r="G2678" i="1"/>
  <c r="I2678" i="1"/>
  <c r="A2679" i="1"/>
  <c r="F2679" i="1"/>
  <c r="G2679" i="1"/>
  <c r="I2679" i="1"/>
  <c r="A2680" i="1"/>
  <c r="F2680" i="1"/>
  <c r="G2680" i="1"/>
  <c r="I2680" i="1"/>
  <c r="A2681" i="1"/>
  <c r="F2681" i="1"/>
  <c r="G2681" i="1"/>
  <c r="I2681" i="1"/>
  <c r="A2682" i="1"/>
  <c r="F2682" i="1"/>
  <c r="G2682" i="1"/>
  <c r="I2682" i="1"/>
  <c r="A2683" i="1"/>
  <c r="F2683" i="1"/>
  <c r="G2683" i="1"/>
  <c r="I2683" i="1"/>
  <c r="A2684" i="1"/>
  <c r="F2684" i="1"/>
  <c r="G2684" i="1"/>
  <c r="I2684" i="1"/>
  <c r="A2685" i="1"/>
  <c r="F2685" i="1"/>
  <c r="G2685" i="1"/>
  <c r="I2685" i="1"/>
  <c r="A2686" i="1"/>
  <c r="F2686" i="1"/>
  <c r="G2686" i="1"/>
  <c r="I2686" i="1"/>
  <c r="A2687" i="1"/>
  <c r="F2687" i="1"/>
  <c r="G2687" i="1"/>
  <c r="I2687" i="1"/>
  <c r="A2688" i="1"/>
  <c r="F2688" i="1"/>
  <c r="G2688" i="1"/>
  <c r="I2688" i="1"/>
  <c r="A2689" i="1"/>
  <c r="F2689" i="1"/>
  <c r="G2689" i="1"/>
  <c r="I2689" i="1"/>
  <c r="A2690" i="1"/>
  <c r="F2690" i="1"/>
  <c r="G2690" i="1"/>
  <c r="I2690" i="1"/>
  <c r="A2691" i="1"/>
  <c r="F2691" i="1"/>
  <c r="G2691" i="1"/>
  <c r="I2691" i="1"/>
  <c r="A2692" i="1"/>
  <c r="F2692" i="1"/>
  <c r="G2692" i="1"/>
  <c r="I2692" i="1"/>
  <c r="A2693" i="1"/>
  <c r="F2693" i="1"/>
  <c r="G2693" i="1"/>
  <c r="I2693" i="1"/>
  <c r="A2694" i="1"/>
  <c r="F2694" i="1"/>
  <c r="G2694" i="1"/>
  <c r="I2694" i="1"/>
  <c r="A2695" i="1"/>
  <c r="F2695" i="1"/>
  <c r="G2695" i="1"/>
  <c r="I2695" i="1"/>
  <c r="A2696" i="1"/>
  <c r="F2696" i="1"/>
  <c r="G2696" i="1"/>
  <c r="I2696" i="1"/>
  <c r="A2697" i="1"/>
  <c r="F2697" i="1"/>
  <c r="G2697" i="1"/>
  <c r="I2697" i="1"/>
  <c r="A2698" i="1"/>
  <c r="F2698" i="1"/>
  <c r="G2698" i="1"/>
  <c r="I2698" i="1"/>
  <c r="A2699" i="1"/>
  <c r="F2699" i="1"/>
  <c r="G2699" i="1"/>
  <c r="I2699" i="1"/>
  <c r="A2700" i="1"/>
  <c r="F2700" i="1"/>
  <c r="G2700" i="1"/>
  <c r="I2700" i="1"/>
  <c r="A2701" i="1"/>
  <c r="F2701" i="1"/>
  <c r="G2701" i="1"/>
  <c r="I2701" i="1"/>
  <c r="A2702" i="1"/>
  <c r="F2702" i="1"/>
  <c r="G2702" i="1"/>
  <c r="I2702" i="1"/>
  <c r="A2703" i="1"/>
  <c r="F2703" i="1"/>
  <c r="G2703" i="1"/>
  <c r="I2703" i="1"/>
  <c r="A2704" i="1"/>
  <c r="F2704" i="1"/>
  <c r="G2704" i="1"/>
  <c r="I2704" i="1"/>
  <c r="A2705" i="1"/>
  <c r="F2705" i="1"/>
  <c r="G2705" i="1"/>
  <c r="I2705" i="1"/>
  <c r="A2706" i="1"/>
  <c r="F2706" i="1"/>
  <c r="G2706" i="1"/>
  <c r="I2706" i="1"/>
  <c r="A2707" i="1"/>
  <c r="F2707" i="1"/>
  <c r="G2707" i="1"/>
  <c r="I2707" i="1"/>
  <c r="A2708" i="1"/>
  <c r="F2708" i="1"/>
  <c r="G2708" i="1"/>
  <c r="I2708" i="1"/>
  <c r="A2709" i="1"/>
  <c r="F2709" i="1"/>
  <c r="G2709" i="1"/>
  <c r="I2709" i="1"/>
  <c r="A2710" i="1"/>
  <c r="F2710" i="1"/>
  <c r="G2710" i="1"/>
  <c r="I2710" i="1"/>
  <c r="A2711" i="1"/>
  <c r="F2711" i="1"/>
  <c r="G2711" i="1"/>
  <c r="I2711" i="1"/>
  <c r="A2712" i="1"/>
  <c r="F2712" i="1"/>
  <c r="G2712" i="1"/>
  <c r="I2712" i="1"/>
  <c r="A2713" i="1"/>
  <c r="F2713" i="1"/>
  <c r="G2713" i="1"/>
  <c r="I2713" i="1"/>
  <c r="A2714" i="1"/>
  <c r="F2714" i="1"/>
  <c r="G2714" i="1"/>
  <c r="I2714" i="1"/>
  <c r="A2715" i="1"/>
  <c r="F2715" i="1"/>
  <c r="G2715" i="1"/>
  <c r="I2715" i="1"/>
  <c r="A2716" i="1"/>
  <c r="F2716" i="1"/>
  <c r="G2716" i="1"/>
  <c r="I2716" i="1"/>
  <c r="A2717" i="1"/>
  <c r="F2717" i="1"/>
  <c r="G2717" i="1"/>
  <c r="I2717" i="1"/>
  <c r="A2718" i="1"/>
  <c r="F2718" i="1"/>
  <c r="G2718" i="1"/>
  <c r="I2718" i="1"/>
  <c r="A2719" i="1"/>
  <c r="F2719" i="1"/>
  <c r="G2719" i="1"/>
  <c r="I2719" i="1"/>
  <c r="A2720" i="1"/>
  <c r="F2720" i="1"/>
  <c r="G2720" i="1"/>
  <c r="I2720" i="1"/>
  <c r="A2721" i="1"/>
  <c r="F2721" i="1"/>
  <c r="G2721" i="1"/>
  <c r="I2721" i="1"/>
  <c r="A2722" i="1"/>
  <c r="F2722" i="1"/>
  <c r="G2722" i="1"/>
  <c r="I2722" i="1"/>
  <c r="A2723" i="1"/>
  <c r="F2723" i="1"/>
  <c r="G2723" i="1"/>
  <c r="I2723" i="1"/>
  <c r="A2724" i="1"/>
  <c r="F2724" i="1"/>
  <c r="G2724" i="1"/>
  <c r="I2724" i="1"/>
  <c r="A2725" i="1"/>
  <c r="F2725" i="1"/>
  <c r="G2725" i="1"/>
  <c r="I2725" i="1"/>
  <c r="A2726" i="1"/>
  <c r="F2726" i="1"/>
  <c r="G2726" i="1"/>
  <c r="I2726" i="1"/>
  <c r="A2727" i="1"/>
  <c r="F2727" i="1"/>
  <c r="G2727" i="1"/>
  <c r="I2727" i="1"/>
  <c r="A2728" i="1"/>
  <c r="F2728" i="1"/>
  <c r="G2728" i="1"/>
  <c r="I2728" i="1"/>
  <c r="A2729" i="1"/>
  <c r="F2729" i="1"/>
  <c r="G2729" i="1"/>
  <c r="I2729" i="1"/>
  <c r="A2730" i="1"/>
  <c r="F2730" i="1"/>
  <c r="G2730" i="1"/>
  <c r="I2730" i="1"/>
  <c r="A2731" i="1"/>
  <c r="F2731" i="1"/>
  <c r="G2731" i="1"/>
  <c r="I2731" i="1"/>
  <c r="A2732" i="1"/>
  <c r="F2732" i="1"/>
  <c r="G2732" i="1"/>
  <c r="I2732" i="1"/>
  <c r="A2733" i="1"/>
  <c r="F2733" i="1"/>
  <c r="G2733" i="1"/>
  <c r="I2733" i="1"/>
  <c r="A2734" i="1"/>
  <c r="F2734" i="1"/>
  <c r="G2734" i="1"/>
  <c r="I2734" i="1"/>
  <c r="A2735" i="1"/>
  <c r="F2735" i="1"/>
  <c r="G2735" i="1"/>
  <c r="I2735" i="1"/>
  <c r="A2736" i="1"/>
  <c r="F2736" i="1"/>
  <c r="G2736" i="1"/>
  <c r="I2736" i="1"/>
  <c r="A2737" i="1"/>
  <c r="F2737" i="1"/>
  <c r="G2737" i="1"/>
  <c r="I2737" i="1"/>
  <c r="A2738" i="1"/>
  <c r="F2738" i="1"/>
  <c r="G2738" i="1"/>
  <c r="I2738" i="1"/>
  <c r="A2739" i="1"/>
  <c r="F2739" i="1"/>
  <c r="G2739" i="1"/>
  <c r="I2739" i="1"/>
  <c r="A2740" i="1"/>
  <c r="F2740" i="1"/>
  <c r="G2740" i="1"/>
  <c r="I2740" i="1"/>
  <c r="A2741" i="1"/>
  <c r="F2741" i="1"/>
  <c r="G2741" i="1"/>
  <c r="I2741" i="1"/>
  <c r="A2742" i="1"/>
  <c r="F2742" i="1"/>
  <c r="G2742" i="1"/>
  <c r="I2742" i="1"/>
  <c r="A2743" i="1"/>
  <c r="F2743" i="1"/>
  <c r="G2743" i="1"/>
  <c r="I2743" i="1"/>
  <c r="A2744" i="1"/>
  <c r="F2744" i="1"/>
  <c r="G2744" i="1"/>
  <c r="I2744" i="1"/>
  <c r="A2745" i="1"/>
  <c r="F2745" i="1"/>
  <c r="G2745" i="1"/>
  <c r="I2745" i="1"/>
  <c r="A2746" i="1"/>
  <c r="F2746" i="1"/>
  <c r="G2746" i="1"/>
  <c r="I2746" i="1"/>
  <c r="A2747" i="1"/>
  <c r="F2747" i="1"/>
  <c r="G2747" i="1"/>
  <c r="I2747" i="1"/>
  <c r="A2748" i="1"/>
  <c r="F2748" i="1"/>
  <c r="G2748" i="1"/>
  <c r="I2748" i="1"/>
  <c r="A2749" i="1"/>
  <c r="F2749" i="1"/>
  <c r="G2749" i="1"/>
  <c r="I2749" i="1"/>
  <c r="A2750" i="1"/>
  <c r="F2750" i="1"/>
  <c r="G2750" i="1"/>
  <c r="I2750" i="1"/>
  <c r="A2751" i="1"/>
  <c r="F2751" i="1"/>
  <c r="G2751" i="1"/>
  <c r="I2751" i="1"/>
  <c r="A2752" i="1"/>
  <c r="F2752" i="1"/>
  <c r="G2752" i="1"/>
  <c r="I2752" i="1"/>
  <c r="A2753" i="1"/>
  <c r="F2753" i="1"/>
  <c r="G2753" i="1"/>
  <c r="I2753" i="1"/>
  <c r="A2754" i="1"/>
  <c r="F2754" i="1"/>
  <c r="G2754" i="1"/>
  <c r="I2754" i="1"/>
  <c r="A2755" i="1"/>
  <c r="F2755" i="1"/>
  <c r="G2755" i="1"/>
  <c r="I2755" i="1"/>
  <c r="A2756" i="1"/>
  <c r="F2756" i="1"/>
  <c r="G2756" i="1"/>
  <c r="I2756" i="1"/>
  <c r="A2757" i="1"/>
  <c r="F2757" i="1"/>
  <c r="G2757" i="1"/>
  <c r="I2757" i="1"/>
  <c r="A2758" i="1"/>
  <c r="F2758" i="1"/>
  <c r="G2758" i="1"/>
  <c r="I2758" i="1"/>
</calcChain>
</file>

<file path=xl/sharedStrings.xml><?xml version="1.0" encoding="utf-8"?>
<sst xmlns="http://schemas.openxmlformats.org/spreadsheetml/2006/main" count="677" uniqueCount="541">
  <si>
    <t xml:space="preserve">Vendor # </t>
  </si>
  <si>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</si>
  <si>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</si>
  <si>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</si>
  <si>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</si>
  <si>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</si>
  <si>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</si>
  <si>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</si>
  <si>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</si>
  <si>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973 MATERIALS  LLC</t>
  </si>
  <si>
    <t>ARNOLD OIL COMPANY OF AUSTIN LP</t>
  </si>
  <si>
    <t>TIMOTHY HALL</t>
  </si>
  <si>
    <t>AAA FIRE &amp; SAFETY EQUIP CO.  INC.</t>
  </si>
  <si>
    <t>AAR  INCORPORATED</t>
  </si>
  <si>
    <t>ADAM ROWINS</t>
  </si>
  <si>
    <t>ADENA LEWIS</t>
  </si>
  <si>
    <t>ADVANCED GRAPHIX INC</t>
  </si>
  <si>
    <t>ALAMO  GROUP (TX)  INC</t>
  </si>
  <si>
    <t>ALBERT A. MARTINEZ  JR.</t>
  </si>
  <si>
    <t>ALBERT NEAL PFEIFFER</t>
  </si>
  <si>
    <t>ADVANCED LAW ENFORCEMENT READINESS TRAINING</t>
  </si>
  <si>
    <t>ALLIED INSURANCE</t>
  </si>
  <si>
    <t>="15</t>
  </si>
  <si>
    <t>835  01/12/18"</t>
  </si>
  <si>
    <t>ALPHA CARD SYSTEM LLC</t>
  </si>
  <si>
    <t>S &amp; D PLUMBING-GIDDINGS LLC</t>
  </si>
  <si>
    <t>AMAZON CAPITAL SERVICES INC</t>
  </si>
  <si>
    <t>AMC SOLUTIONS</t>
  </si>
  <si>
    <t>AMERICAN FASTENERS  INC.</t>
  </si>
  <si>
    <t>AMERICAN TIRE DISTRIBUTORS INC</t>
  </si>
  <si>
    <t>AMERISOURCEBERGEN</t>
  </si>
  <si>
    <t>AMG PRINTING &amp; MAILING  LLC</t>
  </si>
  <si>
    <t>ANDERSON &amp; ANDERSON LAW FIRM PC</t>
  </si>
  <si>
    <t>ANDERSON MACHINERY AUSTIN INC</t>
  </si>
  <si>
    <t>MH I SOLUTIONS  LLC</t>
  </si>
  <si>
    <t>C APPLEMAN ENT INC</t>
  </si>
  <si>
    <t>APRIL KUCK</t>
  </si>
  <si>
    <t>AQUA BEVERAGE COMPANY/OZARKA</t>
  </si>
  <si>
    <t>AQUA WATER SUPPLY CORPORATION</t>
  </si>
  <si>
    <t>ARCIT</t>
  </si>
  <si>
    <t>ARMANDO RODRIGUEZ</t>
  </si>
  <si>
    <t>ASHLEY HERMANS</t>
  </si>
  <si>
    <t>ASHTON WOODRUFF</t>
  </si>
  <si>
    <t>AT &amp; T</t>
  </si>
  <si>
    <t>AT&amp;T</t>
  </si>
  <si>
    <t>AT&amp;T MOBILITY</t>
  </si>
  <si>
    <t>AT&amp;T MOBILITY-W&amp;M</t>
  </si>
  <si>
    <t>GRAND JUNCTION NEWSPAPERS  INC</t>
  </si>
  <si>
    <t>GRAND JUNCTION NEWSPAPERS INC</t>
  </si>
  <si>
    <t>AUSTIN AMERICAN AWNING</t>
  </si>
  <si>
    <t>MARK (MARCO) W. HANSON</t>
  </si>
  <si>
    <t>RALPH E BONNELL CIH</t>
  </si>
  <si>
    <t>AUSTIN GASTROENTERLOGY</t>
  </si>
  <si>
    <t>AUSTIN LLOYD</t>
  </si>
  <si>
    <t>AUSTIN RADIOLOGICAL ASSOC</t>
  </si>
  <si>
    <t>JIM ATTRA INC</t>
  </si>
  <si>
    <t>BBTC LLC</t>
  </si>
  <si>
    <t>BANKNOTE CORPORATION OF AMERICA INC</t>
  </si>
  <si>
    <t>MICHAEL OLDHAM TIRE INC</t>
  </si>
  <si>
    <t>BASTROP AIR CONDITIONING &amp; HEATING</t>
  </si>
  <si>
    <t>BASTROP CENTRAL APPRAISAL DIST.</t>
  </si>
  <si>
    <t>BASTROP CHAMBER OF COMMERCE</t>
  </si>
  <si>
    <t>BASTROP COMMUNITY CARES</t>
  </si>
  <si>
    <t>BASTROP COUNTY SHERIFF'S DEPT</t>
  </si>
  <si>
    <t>="11</t>
  </si>
  <si>
    <t>894"</t>
  </si>
  <si>
    <t>DANIEL L HEPKER</t>
  </si>
  <si>
    <t>BASTROP COUNTY EMERGENCY FOOD PANTRY</t>
  </si>
  <si>
    <t>BASTROP COUNTY MEDICAL ASSOC PA</t>
  </si>
  <si>
    <t>BASTROP INDEPENDENT SCHOOL DISTRICT</t>
  </si>
  <si>
    <t>BASTROP MEDICAL CLINIC</t>
  </si>
  <si>
    <t>BASTROP PROVIDENCE FUNERAL HOME</t>
  </si>
  <si>
    <t>BASTROP RETAIL PARTNERS LP</t>
  </si>
  <si>
    <t>BASTROP STONE &amp; MATERIAL SUPPLY</t>
  </si>
  <si>
    <t>BASTROP TREE SERVICE  INC</t>
  </si>
  <si>
    <t>BASTROP VET. HOSPITAL  INC.</t>
  </si>
  <si>
    <t>DAVID H OUTON</t>
  </si>
  <si>
    <t>BEN E KEITH CO.</t>
  </si>
  <si>
    <t>BENNY LEAL</t>
  </si>
  <si>
    <t>BEXAR COUNTY SHERIFF</t>
  </si>
  <si>
    <t>BICKERSTAFF HEATH DELGADO ACOSTA LLP</t>
  </si>
  <si>
    <t>BIG WRENCH ROAD SERVICE INC</t>
  </si>
  <si>
    <t>BIMBO FOODS INC</t>
  </si>
  <si>
    <t>BLANCO COUNTY CONSTABLE 4</t>
  </si>
  <si>
    <t>BLAS J. COY  JR.</t>
  </si>
  <si>
    <t>BLUEBONNET AREA CRIME STOPPERS PROGRAM</t>
  </si>
  <si>
    <t>BLUEBONNET ELECTRIC COOPERATIVE  INC.</t>
  </si>
  <si>
    <t>BLUEBONNET ELECTRIC</t>
  </si>
  <si>
    <t>915  01/25/18"</t>
  </si>
  <si>
    <t>BLUEBONNET TRAILS MHMR</t>
  </si>
  <si>
    <t>BOB BARKER COMPANY  INC.</t>
  </si>
  <si>
    <t>BOBBY BROWN</t>
  </si>
  <si>
    <t>BRANDON PREWITT</t>
  </si>
  <si>
    <t>BRANDON WHITE</t>
  </si>
  <si>
    <t>BRIAN CLIFTON</t>
  </si>
  <si>
    <t>BRIDGETTE ESCOBEDO</t>
  </si>
  <si>
    <t>BUCKEYE INTERNATIONAL INC</t>
  </si>
  <si>
    <t>CALDWELL AUTOMOTIVE PARTNERS LTD</t>
  </si>
  <si>
    <t>CALDWELL COUNTY SHERIFF</t>
  </si>
  <si>
    <t>CAPITAL AREA METROPOLITAN PLANNING ORGANIZATION</t>
  </si>
  <si>
    <t>CAN-AM MERCHANDISING SYSTEMS INC</t>
  </si>
  <si>
    <t>CANNON PLUMBING AND DRAIN  LLC</t>
  </si>
  <si>
    <t>CAPITOL BEARING SERVICE OF AUSTIN  INC.</t>
  </si>
  <si>
    <t>TIB-THE INDEPENDENT BANKERS BANK</t>
  </si>
  <si>
    <t>CARSON BAYER</t>
  </si>
  <si>
    <t>CECIL R REYNOLDS PHD</t>
  </si>
  <si>
    <t>914"</t>
  </si>
  <si>
    <t>CENTEX IMAGE DESIGNS</t>
  </si>
  <si>
    <t>CENTEX MATERIALS LLC</t>
  </si>
  <si>
    <t>CENTRAL TEXAS BARRICADES INC</t>
  </si>
  <si>
    <t>CENTRAL TEXAS SINUS AND ALLERGY</t>
  </si>
  <si>
    <t>CENTRAL TEXAS AUTOPSY</t>
  </si>
  <si>
    <t>CHRIS MATT DILLON</t>
  </si>
  <si>
    <t>CINDYE WOLFORD</t>
  </si>
  <si>
    <t>CINTAS CORPORATION</t>
  </si>
  <si>
    <t>CINTAS CORPORATION #86</t>
  </si>
  <si>
    <t>CITY OF BASTROP</t>
  </si>
  <si>
    <t>="12</t>
  </si>
  <si>
    <t>756  01/19/18"</t>
  </si>
  <si>
    <t>CLAY WANECK</t>
  </si>
  <si>
    <t>CLAYTON WEAVER</t>
  </si>
  <si>
    <t>CLEO HERNANDEZ</t>
  </si>
  <si>
    <t>CLEVELAND RUTHERFORD</t>
  </si>
  <si>
    <t>CLIFFORD POWER SYSTEMS INC</t>
  </si>
  <si>
    <t>CLINICAL PATHOLOGY ASSOC. OF AUSTIN</t>
  </si>
  <si>
    <t>CLINICAL PATHOLOGY LABORATORIES INC</t>
  </si>
  <si>
    <t>COMMUNITY COFFEE COMPANY LLC</t>
  </si>
  <si>
    <t>CONNIE SCHROEDER</t>
  </si>
  <si>
    <t>="13</t>
  </si>
  <si>
    <t>651"</t>
  </si>
  <si>
    <t>CONTECH ENGINEERED SOLUTIONS INC</t>
  </si>
  <si>
    <t>COTHRON SECURITY SOLUTIONS LLC</t>
  </si>
  <si>
    <t>CRESSIDA EVELYN KWOLEK  PH. D.</t>
  </si>
  <si>
    <t>CROSSHAIRS TEXAS LLC</t>
  </si>
  <si>
    <t>CROSSROADS ANIMAL HOSPITAL</t>
  </si>
  <si>
    <t>CRYSTAL DEAR</t>
  </si>
  <si>
    <t>MUNICIPAL SERVICES BUREAU</t>
  </si>
  <si>
    <t>CURTIS OLTMANN</t>
  </si>
  <si>
    <t>CUSTOM PRODUCTS CORPORATION</t>
  </si>
  <si>
    <t>CYDNEY CRIDER</t>
  </si>
  <si>
    <t>CYRIL PESL</t>
  </si>
  <si>
    <t>DALLAS COUNTY CONSTABLE PCT 1</t>
  </si>
  <si>
    <t>DANNY CEDILLO</t>
  </si>
  <si>
    <t>DAVE FUQUA</t>
  </si>
  <si>
    <t>DAVID B BROOKS</t>
  </si>
  <si>
    <t>DAVID LEWIS</t>
  </si>
  <si>
    <t>DAVID M COLLINS</t>
  </si>
  <si>
    <t>DELL</t>
  </si>
  <si>
    <t>DENNIS ARTZ</t>
  </si>
  <si>
    <t>DENNY LYNN WINKLER</t>
  </si>
  <si>
    <t>DENTON COOPER</t>
  </si>
  <si>
    <t>DEREK SMITH</t>
  </si>
  <si>
    <t>DEREK STIFFLEMIRE</t>
  </si>
  <si>
    <t>DICKENS LOCKSMITH INC</t>
  </si>
  <si>
    <t>DEPARTMENT OF INFORMATION RESOURCES</t>
  </si>
  <si>
    <t>THE REINALT-THOMAS CORP</t>
  </si>
  <si>
    <t>DON R. YOUNG</t>
  </si>
  <si>
    <t>DORENA MARTINEZ</t>
  </si>
  <si>
    <t>DOUBLE TUFF TRUCK TARPS INC</t>
  </si>
  <si>
    <t>DUNNE &amp; JUAREZ L.L.C.</t>
  </si>
  <si>
    <t>DURAN GRAVEL CO. INC</t>
  </si>
  <si>
    <t>DYLAN TYRONE MURLEY</t>
  </si>
  <si>
    <t>EARTH DAY TEXAS  INC</t>
  </si>
  <si>
    <t>EAST TEXAS TOWERS  LLC</t>
  </si>
  <si>
    <t>ECOLAB INC</t>
  </si>
  <si>
    <t>EDDIE DODD</t>
  </si>
  <si>
    <t>EDDIE TAUSCH</t>
  </si>
  <si>
    <t>ELGIN CHAMBER OF COMMERCE</t>
  </si>
  <si>
    <t>CITY OF ELGIN UTILITIES</t>
  </si>
  <si>
    <t>ELLIOTT ELECTRIC SUPPLY INC</t>
  </si>
  <si>
    <t>EMERGENCY PHYSICIANS OF CENTRAL TX PA</t>
  </si>
  <si>
    <t>ENRIQUE PORTUGAL</t>
  </si>
  <si>
    <t>ERGON ASPHALT &amp; EMULSIONS INC</t>
  </si>
  <si>
    <t>ERIN NICKEL</t>
  </si>
  <si>
    <t>ERS-TX SOCIAL SECURITY PROGRAM</t>
  </si>
  <si>
    <t>BASTROP COUNTY WOMEN'S SHELTER</t>
  </si>
  <si>
    <t>FAMILY HEALTH CENTER OF BASTROP PLLC</t>
  </si>
  <si>
    <t>FAYETTE MEDICAL SUPPLY</t>
  </si>
  <si>
    <t>FEDERAL EXPRESS</t>
  </si>
  <si>
    <t>FINCH DUNKIN</t>
  </si>
  <si>
    <t>FIRE KING  LLC</t>
  </si>
  <si>
    <t>FIRST NATIONAL BANK BASTROP</t>
  </si>
  <si>
    <t>="14</t>
  </si>
  <si>
    <t>861"</t>
  </si>
  <si>
    <t>FLEET COR TECHNOLOGIES INC</t>
  </si>
  <si>
    <t>FLEETPRIDE</t>
  </si>
  <si>
    <t>FORENSIC PIECES  INC.</t>
  </si>
  <si>
    <t>FORREST L. SANDERSON</t>
  </si>
  <si>
    <t>FORT BEND CNTY CONSTABLE 4</t>
  </si>
  <si>
    <t>FORT BEND COUNTY  PCT 1</t>
  </si>
  <si>
    <t>FPC FINANCIAL f.s.b.</t>
  </si>
  <si>
    <t>AUSTIN TRUCK &amp; EQUIPMENT  LTD</t>
  </si>
  <si>
    <t>EUGENE W BRIGGS JR</t>
  </si>
  <si>
    <t>G &amp; K SERVICES</t>
  </si>
  <si>
    <t>GARLAND T MURLEY</t>
  </si>
  <si>
    <t>GARMENTS TO GO  INC</t>
  </si>
  <si>
    <t>GARY DUNCAN</t>
  </si>
  <si>
    <t>GIPSON PENDERGRASS PEOPLE'S MORTUARY LLC</t>
  </si>
  <si>
    <t>GLOBAL EQUIPMENT CO</t>
  </si>
  <si>
    <t>GLORIA MONDRAGON</t>
  </si>
  <si>
    <t>GOVERNMENT FINANCE OFFICERS ASSN</t>
  </si>
  <si>
    <t>GRAINGER INC</t>
  </si>
  <si>
    <t>GRAND JUNCTION NEWSPAPERS</t>
  </si>
  <si>
    <t>GT DISTRIBUTORS  INC.</t>
  </si>
  <si>
    <t>GULF COAST PAPER CO. INC.</t>
  </si>
  <si>
    <t>H &amp; H OIL INC</t>
  </si>
  <si>
    <t>HALFF ASSOCIATES</t>
  </si>
  <si>
    <t>HARRIS COUNTY CONSTABLE PCT 1</t>
  </si>
  <si>
    <t>HAYS COUNTY CONSTABLE PCT 2</t>
  </si>
  <si>
    <t>HEARTLAND QUARRIES  LLC</t>
  </si>
  <si>
    <t>HERBERT J BARTSCH JR</t>
  </si>
  <si>
    <t>HERSHCAP BACKHOE &amp; DITCHING  INC.</t>
  </si>
  <si>
    <t>="10</t>
  </si>
  <si>
    <t>658  01/12/18"</t>
  </si>
  <si>
    <t>HIGHWAY INTERDICTION TRAINING SPECIALISTS INC</t>
  </si>
  <si>
    <t>BASCOM L HODGES JR</t>
  </si>
  <si>
    <t>HODGSON G ECKEL</t>
  </si>
  <si>
    <t>HOLLY SCHULZ  CSR  RPR</t>
  </si>
  <si>
    <t>BD HOLT CO</t>
  </si>
  <si>
    <t>CITIBANK (SOUTH DAKOTA)N.A./THE HOME DEPOT</t>
  </si>
  <si>
    <t>HONEY PIZZA INC</t>
  </si>
  <si>
    <t>HUDSON ENERGY CORP</t>
  </si>
  <si>
    <t>HUNTER TEDFORD</t>
  </si>
  <si>
    <t>HYDRAULIC HOUSE INC</t>
  </si>
  <si>
    <t>IDALIA VALLEJO BUENO</t>
  </si>
  <si>
    <t>INDIGENT HEALTHCARE SOLUTIONS</t>
  </si>
  <si>
    <t>INTERVET INC</t>
  </si>
  <si>
    <t>IRON MOUNTAIN RECORDS MGMT INC</t>
  </si>
  <si>
    <t>INSTITUTE OF SUPPLY MANGEMENT-RIO GRANDE VALLEY</t>
  </si>
  <si>
    <t>JAMES K REGIER</t>
  </si>
  <si>
    <t>JAMES O. BURKE</t>
  </si>
  <si>
    <t>JASON DUBE</t>
  </si>
  <si>
    <t>JEFF E HAGEN MD</t>
  </si>
  <si>
    <t>JENKINS &amp; JENKINS LLP</t>
  </si>
  <si>
    <t>JERRY HOFROCK</t>
  </si>
  <si>
    <t>505  01/25/18"</t>
  </si>
  <si>
    <t>JIMMY DUTY</t>
  </si>
  <si>
    <t>JOHN C KUHN</t>
  </si>
  <si>
    <t>JOHNNIE SCHROEDER  JR.</t>
  </si>
  <si>
    <t>JOHNNY JOHNSTON</t>
  </si>
  <si>
    <t>BILLY JOSH GILL</t>
  </si>
  <si>
    <t>JUSTIN MATTHEW FOHN</t>
  </si>
  <si>
    <t>KAREL ZALESKI</t>
  </si>
  <si>
    <t>KATHY REEVES</t>
  </si>
  <si>
    <t>393  01/17/18"</t>
  </si>
  <si>
    <t>KELLY-MOORE PAINT COMPANY  INC</t>
  </si>
  <si>
    <t>KENT BROUSSARD TOWER RENTAL INC</t>
  </si>
  <si>
    <t>KEVIN KUNKEL</t>
  </si>
  <si>
    <t>KRISTOPHER ROBERTS</t>
  </si>
  <si>
    <t>="16</t>
  </si>
  <si>
    <t>243 CT 1"</t>
  </si>
  <si>
    <t>243 CT 2"</t>
  </si>
  <si>
    <t>LONGHORN INTERNATIONAL TRUCKS LTD</t>
  </si>
  <si>
    <t>LA GRANGE FORD</t>
  </si>
  <si>
    <t>LABATT INSTITUTIONAL SUPPLY CO</t>
  </si>
  <si>
    <t>LAW ENFORCEMENT RISK MANAGEMENT GROUP  INC.</t>
  </si>
  <si>
    <t>LESLIE CROSBY</t>
  </si>
  <si>
    <t>LEXISNEXIS RISK DATA MGMT INC</t>
  </si>
  <si>
    <t>LINDA HARMON-TAX ASSESSOR</t>
  </si>
  <si>
    <t>LIQUID ENVIRONMENTAL SOLUTIONS</t>
  </si>
  <si>
    <t>LISA DUTY</t>
  </si>
  <si>
    <t>LISA M. MIMS</t>
  </si>
  <si>
    <t>LLOYD GOSSELINK ROCHELLE &amp; TOWNSEND. PC</t>
  </si>
  <si>
    <t>LOGAN SCHROEDER</t>
  </si>
  <si>
    <t>LONE STAR CIRCLE OF CARE</t>
  </si>
  <si>
    <t>UNITED KWB COLLABORATIONS LLC</t>
  </si>
  <si>
    <t>LONGHORN EMERGENCY MEDICAL ASSOC PA</t>
  </si>
  <si>
    <t>LONGHORN MOBILE GLASS SERVICE INC</t>
  </si>
  <si>
    <t>LONNIE LAWRENCE DAVIS</t>
  </si>
  <si>
    <t>SCOTT BRYANT</t>
  </si>
  <si>
    <t>MARIA CELESTE COSTLEY</t>
  </si>
  <si>
    <t>MARK A RUMPLE</t>
  </si>
  <si>
    <t>MARK E BOWLES</t>
  </si>
  <si>
    <t>MARK MEUTH</t>
  </si>
  <si>
    <t>MARK T MALONE M.D. P.A</t>
  </si>
  <si>
    <t>QUORUM HOSPITALITY</t>
  </si>
  <si>
    <t>MARY ANGELA FREEMAN</t>
  </si>
  <si>
    <t>MARY BETH SCOTT</t>
  </si>
  <si>
    <t>MATHESON TRI-GAS INC</t>
  </si>
  <si>
    <t>MAUREEN S BURROWS MD MPH</t>
  </si>
  <si>
    <t>McCOY'S BUILDING SUPPLY CENTER</t>
  </si>
  <si>
    <t>McCREARY  VESELKA  BRAGG &amp; ALLEN P</t>
  </si>
  <si>
    <t>985"</t>
  </si>
  <si>
    <t>MEDIMPACT HEALTHCARE SYSTEMS INC</t>
  </si>
  <si>
    <t>MEL HAMNER</t>
  </si>
  <si>
    <t>MELISSA A MEADOR</t>
  </si>
  <si>
    <t>MICHELE FRITSCHE C.S.R.</t>
  </si>
  <si>
    <t>MIDTEX MATERIALS</t>
  </si>
  <si>
    <t>MIKE FORSTNER'S WATERLIFE</t>
  </si>
  <si>
    <t>GALLS  LLC</t>
  </si>
  <si>
    <t>Family Crisis Center</t>
  </si>
  <si>
    <t>Children's Advocacy Center</t>
  </si>
  <si>
    <t>COURT APPOINTED SPECIAL ADVOCA</t>
  </si>
  <si>
    <t>Child Protective Services</t>
  </si>
  <si>
    <t>KEVIN DWAYNE URBAN</t>
  </si>
  <si>
    <t>MATTHEW WADE BURROW</t>
  </si>
  <si>
    <t>JAMES PETER TALBOT</t>
  </si>
  <si>
    <t>WILLIAM BRANDON WILSON</t>
  </si>
  <si>
    <t>CINDY KRAUSE SCROGUM</t>
  </si>
  <si>
    <t>THEOL RAY JACKMAN II</t>
  </si>
  <si>
    <t>MICHAEL SCOTT EARNEST</t>
  </si>
  <si>
    <t>KIMBERLY JO GRIFFIN</t>
  </si>
  <si>
    <t>ELIZABETH FABIAN GOMEZ</t>
  </si>
  <si>
    <t>GARRY LINN HANNAN</t>
  </si>
  <si>
    <t>CLIFFORD ERWIN HALBROOK</t>
  </si>
  <si>
    <t>CLIFFORD ALLEN REESER</t>
  </si>
  <si>
    <t>ROJELIO BLANCO</t>
  </si>
  <si>
    <t>STEVE RAY CHAMBERLAIN</t>
  </si>
  <si>
    <t>VANESSA APARICIO-SEGURA</t>
  </si>
  <si>
    <t>REFUJIO DE JESUS HUERTA JR</t>
  </si>
  <si>
    <t>LUIS E ARIZOLA</t>
  </si>
  <si>
    <t>PAUL BENJAMIN THEISS</t>
  </si>
  <si>
    <t>PAULA SMITH ADAIR</t>
  </si>
  <si>
    <t>CHRISTIAN ERIC SIMMONS</t>
  </si>
  <si>
    <t>BRYAN DEWAYNE FARRIS</t>
  </si>
  <si>
    <t>MARILYN ANN GIBBONS</t>
  </si>
  <si>
    <t>ANDREA DAWN REJCEK</t>
  </si>
  <si>
    <t>JAMES LEO BENOIT</t>
  </si>
  <si>
    <t>LEDARIUS WEBSTER DAWSON</t>
  </si>
  <si>
    <t>SHERRI MICHELLE FISCUS</t>
  </si>
  <si>
    <t>JARED SCOTT GRALINSKI</t>
  </si>
  <si>
    <t>ELIZABETH SANCHEZ</t>
  </si>
  <si>
    <t>DUANE ALLEN SCHENK</t>
  </si>
  <si>
    <t>ESTHER LINA BARRIENTES</t>
  </si>
  <si>
    <t>CAMERON BENOLIVER BROUSSARD</t>
  </si>
  <si>
    <t>PAULA KRISTINE SHAW ORTIZ</t>
  </si>
  <si>
    <t>ALICIA MARIE NEWLIN</t>
  </si>
  <si>
    <t>ROBERTA HERNANDEZ WISSEN</t>
  </si>
  <si>
    <t>BRIAN SCOTT SCHNEIDER</t>
  </si>
  <si>
    <t>LUKAS THOMAS KANE</t>
  </si>
  <si>
    <t>SHERRY RENEE GOERTZ</t>
  </si>
  <si>
    <t>CARL WAYNE WILKERSON</t>
  </si>
  <si>
    <t>SENTHERA GAIL HARPER</t>
  </si>
  <si>
    <t>LINDA KATHLEEN HOWARD</t>
  </si>
  <si>
    <t>DANIEL D VOIGHTS</t>
  </si>
  <si>
    <t>RICHARD LYNN RANDALL</t>
  </si>
  <si>
    <t>AUBREY ALLEN JACKSON</t>
  </si>
  <si>
    <t>ROGER H SORUM</t>
  </si>
  <si>
    <t>DELANIE DESIREE BRAXTON</t>
  </si>
  <si>
    <t>MARIA HERNANDEZ LOPEZ</t>
  </si>
  <si>
    <t>DEBROAH G GARNER</t>
  </si>
  <si>
    <t>DAVID RAYMOND FARRAR</t>
  </si>
  <si>
    <t>JANYCE HERMES TAYLOR</t>
  </si>
  <si>
    <t>MARTY ALAN BECK</t>
  </si>
  <si>
    <t>ROQUE LEE ESCOBAR</t>
  </si>
  <si>
    <t>MARINA CONSENTINO</t>
  </si>
  <si>
    <t>CHRISTINA SMITH</t>
  </si>
  <si>
    <t>JANA HOFFMAN MOORE</t>
  </si>
  <si>
    <t>SCOTT A SHIKE</t>
  </si>
  <si>
    <t>BRUCE ROBERT ALLYN</t>
  </si>
  <si>
    <t>DAVID KYLE BRUMMITT</t>
  </si>
  <si>
    <t>LAUREN N SCHECKTER</t>
  </si>
  <si>
    <t>JOSE ADRION FIGUEROA</t>
  </si>
  <si>
    <t>SARAH ELIZABETH-ANN EDSALL</t>
  </si>
  <si>
    <t>SYLVIA GONZALEZ WATSON</t>
  </si>
  <si>
    <t>LARRY GENE HANSEN</t>
  </si>
  <si>
    <t>BETHANY RENEE COOK</t>
  </si>
  <si>
    <t>KATHRYN EVA ROGERS</t>
  </si>
  <si>
    <t>WILLIAM F.BREARE  III</t>
  </si>
  <si>
    <t>JOHN A. CORBETT</t>
  </si>
  <si>
    <t>GINA KERNER</t>
  </si>
  <si>
    <t>SANDY WALTHALL</t>
  </si>
  <si>
    <t>KYLIE ADAMS</t>
  </si>
  <si>
    <t>SUSAN BECK</t>
  </si>
  <si>
    <t>MONARCH DISPOSAL  LLC</t>
  </si>
  <si>
    <t>MOORE MEDICAL LLC</t>
  </si>
  <si>
    <t>MOTOROLA INC</t>
  </si>
  <si>
    <t>NALCO COMPANY LLC</t>
  </si>
  <si>
    <t>NATIONAL FOOD GROUP INC</t>
  </si>
  <si>
    <t>O'REILLY AUTOMOTIVE  INC.</t>
  </si>
  <si>
    <t>SOUTHERN FOODS GROUP LP</t>
  </si>
  <si>
    <t>OFFICE DEPOT</t>
  </si>
  <si>
    <t>OLDCASTLE MATERIALS TEXAS INC</t>
  </si>
  <si>
    <t>ORENTHAL JOHNSON</t>
  </si>
  <si>
    <t>ROGER C. OSBORN</t>
  </si>
  <si>
    <t>OSBURN ASSOCIATES INC.</t>
  </si>
  <si>
    <t>PAIGE TRACTORS INC</t>
  </si>
  <si>
    <t>SL PARKER PARTNERSHIP LLC</t>
  </si>
  <si>
    <t>PATHMARK TRAFFIC PRODUCTS</t>
  </si>
  <si>
    <t>PATTERSON  VETERINARY SUPPLY INC</t>
  </si>
  <si>
    <t>PAUL E ALBRECHT</t>
  </si>
  <si>
    <t>PAUL PAPE</t>
  </si>
  <si>
    <t>PB ELECTRONICS  INC</t>
  </si>
  <si>
    <t>PETHEALTH SERVICES(USA) INC.</t>
  </si>
  <si>
    <t>PFM ASSET MANAGEMENT LLC</t>
  </si>
  <si>
    <t>PHILIP R DUCLOUX</t>
  </si>
  <si>
    <t>PHILLIP MERINO</t>
  </si>
  <si>
    <t>PITNEY BOWES GLOBAL FINANCIAL SERVICES</t>
  </si>
  <si>
    <t>AMERICAN PIZZA PARTNERS LP</t>
  </si>
  <si>
    <t>PM WILSON &amp; ASSOCIATES PLLC</t>
  </si>
  <si>
    <t>PRAXAIR DISTRIBUTION  INC.</t>
  </si>
  <si>
    <t>QA ROOFING INC</t>
  </si>
  <si>
    <t>QUEST DIAGNOSTICS</t>
  </si>
  <si>
    <t>RANDY MC MILLAN</t>
  </si>
  <si>
    <t>NESTLE WATERS N AMERICA INC</t>
  </si>
  <si>
    <t>REPUBLIC SERVICES INC BFI WASTE SERVICE</t>
  </si>
  <si>
    <t>RESERVE ACCOUNT</t>
  </si>
  <si>
    <t>REYNOLDS &amp; KEINARTH</t>
  </si>
  <si>
    <t>RICHARD ALLAN DICKMAN JR</t>
  </si>
  <si>
    <t>RICKY ROCHA JR</t>
  </si>
  <si>
    <t>RICOH USA INC</t>
  </si>
  <si>
    <t>RICOH AMERICAS CORP</t>
  </si>
  <si>
    <t>MIKE DAVIS</t>
  </si>
  <si>
    <t>RUNKLE ENTERPRISES</t>
  </si>
  <si>
    <t>ROADRUNNER RADIOLOGY EQUIP LLC</t>
  </si>
  <si>
    <t>ROBERT H MILLER</t>
  </si>
  <si>
    <t>ROBERT MADDEN INDUSTRIES LTD</t>
  </si>
  <si>
    <t>RONALD ECKERT</t>
  </si>
  <si>
    <t>ROSE PIETSCH</t>
  </si>
  <si>
    <t>ROSE PIETSCH COUNTY CLERK</t>
  </si>
  <si>
    <t>RUSH TRUCK CENTERS OF TEXAS  LP</t>
  </si>
  <si>
    <t>SAFELANE TRAFFIC SUPPLY LLC</t>
  </si>
  <si>
    <t>TRAVIS CNTY DOMESTIC VIOLENCE &amp; SEXUAL ASSAULT</t>
  </si>
  <si>
    <t>SAM HOUSTON STATE UNIVERSITY</t>
  </si>
  <si>
    <t>SAMMY LERMA III MD</t>
  </si>
  <si>
    <t>SAN LUIS RESORT  SPA &amp; CONVENTION CENTER</t>
  </si>
  <si>
    <t>SCOTT &amp; WHITE CLINIC</t>
  </si>
  <si>
    <t>SETON HEALTHCARE SPONSORED PROJECTS</t>
  </si>
  <si>
    <t>SETON MEDICAL CENTER</t>
  </si>
  <si>
    <t>SETON FAMILY OF HOSPITALS</t>
  </si>
  <si>
    <t>FERRELLGAS  LP</t>
  </si>
  <si>
    <t>SHI GOVERNMENT SOLUTIONS INC.</t>
  </si>
  <si>
    <t>SHOPPA'S FARM SUPPLY</t>
  </si>
  <si>
    <t>SIGNATURE SMILES</t>
  </si>
  <si>
    <t>SILSBEE FORD</t>
  </si>
  <si>
    <t>SIRCHIE FINGER PRINT LABORATORIES</t>
  </si>
  <si>
    <t>SKYLINE EQUIPMENT INC.</t>
  </si>
  <si>
    <t>XPRESSMYSELF.COM LLC</t>
  </si>
  <si>
    <t>SMITH STORES  INC.</t>
  </si>
  <si>
    <t>SMITHVILLE AUTO PARTS  INC</t>
  </si>
  <si>
    <t>SMITHVILLE CHAMBER OF COMMERCE</t>
  </si>
  <si>
    <t>SOUTHERN TIRE MART LLC</t>
  </si>
  <si>
    <t>DS WATERS OF AMERICA INC</t>
  </si>
  <si>
    <t>SPECIALTY VETERINARY PHARMACY INC</t>
  </si>
  <si>
    <t>SPOK INC</t>
  </si>
  <si>
    <t>SRIDHAR P REDDY MD PA</t>
  </si>
  <si>
    <t>ST.DAVID'S HEALTHCARE PARTNERSHIP</t>
  </si>
  <si>
    <t>ST.DAVIDS HEART &amp; VASCULAR  PLLC</t>
  </si>
  <si>
    <t>STAPLES ADVANTAGE</t>
  </si>
  <si>
    <t>STATE OF TEXAS</t>
  </si>
  <si>
    <t>STEPHEN BECK</t>
  </si>
  <si>
    <t>STEVE GRANADO</t>
  </si>
  <si>
    <t>MATTHEW LEE SULLINS</t>
  </si>
  <si>
    <t>SUPAK'S INC</t>
  </si>
  <si>
    <t>TAMARA BATOT</t>
  </si>
  <si>
    <t>TAVCO SERVICES INC</t>
  </si>
  <si>
    <t>TAYLOR SECURITY SYSTEMS  LLC</t>
  </si>
  <si>
    <t>TEJAS ELEVATOR COMPANY</t>
  </si>
  <si>
    <t>TERRY FLENNIKEN</t>
  </si>
  <si>
    <t>JOHN J FIETSAM INC</t>
  </si>
  <si>
    <t>TEX-CON OIL CO</t>
  </si>
  <si>
    <t>TEXAS AGGREGATES  LLC</t>
  </si>
  <si>
    <t>TEXAS ASSOCIATES INSURORS AGENCY</t>
  </si>
  <si>
    <t>TEXAS ASSOCIATION OF COUNTIES</t>
  </si>
  <si>
    <t>TEXAS BLACKLAND HARDWARE</t>
  </si>
  <si>
    <t>CONSELMAN RETAIL ENTERPRISES LLC</t>
  </si>
  <si>
    <t>TEXAS CRUSHED STONE CO.</t>
  </si>
  <si>
    <t>TEXAS DEPT OF PUBLIC SAFETY</t>
  </si>
  <si>
    <t>231"</t>
  </si>
  <si>
    <t>TXFACT  LLC</t>
  </si>
  <si>
    <t>TEXAS PARKS &amp; WILDLIFE FUNDS</t>
  </si>
  <si>
    <t>TEXAS POLICE ASSN</t>
  </si>
  <si>
    <t>BUG MASTER EXTERMINATING SERVICES  LTD</t>
  </si>
  <si>
    <t>JAMES ANDREW CASEY</t>
  </si>
  <si>
    <t>THE CENTRAL TX  I-10 COMMUNITY ALLIANCE</t>
  </si>
  <si>
    <t>RICHARD NELSON MOORE</t>
  </si>
  <si>
    <t>THE NITSCHE GROUP</t>
  </si>
  <si>
    <t>TWE-ADVANCE/NEWHOUSE PARTNERSHIP</t>
  </si>
  <si>
    <t>TONY QUITTA</t>
  </si>
  <si>
    <t>TRAVIS CO CONSTABLE  PCT 5</t>
  </si>
  <si>
    <t>329"</t>
  </si>
  <si>
    <t>TRAVIS COUNTY CLERK</t>
  </si>
  <si>
    <t>TRAVIS COUNTY TREASURER</t>
  </si>
  <si>
    <t>KAUFFMAN TIRE</t>
  </si>
  <si>
    <t>TREY MOORE</t>
  </si>
  <si>
    <t>TRI-COUNTY PRACTICE ASSOCIATION</t>
  </si>
  <si>
    <t>TRIPLE S FUELS</t>
  </si>
  <si>
    <t>TRACTOR SUPPLY CREDIT PLAN</t>
  </si>
  <si>
    <t>TULL FARLEY</t>
  </si>
  <si>
    <t>TX COMMISSION ON ENVIRONMENTAL QUALITY</t>
  </si>
  <si>
    <t>TEXAS MOTION PICTURE ALLIANCE</t>
  </si>
  <si>
    <t>UMC AT BRACKENRIDGE</t>
  </si>
  <si>
    <t>COUFAL-PRATER EQUIPMENT  LLC</t>
  </si>
  <si>
    <t>UNITED REFRIGERATION INC</t>
  </si>
  <si>
    <t>UPS</t>
  </si>
  <si>
    <t>VERNAY FENSKE</t>
  </si>
  <si>
    <t>VICKI KING</t>
  </si>
  <si>
    <t>DEPARTMENT OF STATE HEALTH SERVICES</t>
  </si>
  <si>
    <t>VIVIAN PAN</t>
  </si>
  <si>
    <t>VULCAN  INC.</t>
  </si>
  <si>
    <t>W A BAHOT</t>
  </si>
  <si>
    <t>WAGEWORKS INC  FSA/HSA</t>
  </si>
  <si>
    <t>WAL-MART  BASTROP</t>
  </si>
  <si>
    <t>442 01/04/18"</t>
  </si>
  <si>
    <t>645  01/18/18"</t>
  </si>
  <si>
    <t>WALLER COUNTY ASPHALT INC</t>
  </si>
  <si>
    <t>WALMART COMMUNITY BRC</t>
  </si>
  <si>
    <t>WASTE MANAGEMENT OF TEXAS INC</t>
  </si>
  <si>
    <t>WATCH GUARD VIDEO</t>
  </si>
  <si>
    <t>WATTINGER SERVICE CO INC</t>
  </si>
  <si>
    <t>WAYNE BONNETT</t>
  </si>
  <si>
    <t>PROGRESSIVE WASTE SOLUTIONS OF TX. INC.</t>
  </si>
  <si>
    <t>WIND KNOT INCORPORATED</t>
  </si>
  <si>
    <t>WEI-ANN LIN  MD PA</t>
  </si>
  <si>
    <t>WEST PUBLISHING CORPORATION</t>
  </si>
  <si>
    <t>MAO PHARMACY INC</t>
  </si>
  <si>
    <t>WJC CONSTRUCTION LLC</t>
  </si>
  <si>
    <t>XEROX CORPORATION</t>
  </si>
  <si>
    <t>YOLANDA WHEATON</t>
  </si>
  <si>
    <t>YOUNG &amp; PRATT  INC.</t>
  </si>
  <si>
    <t>YOUNG'S PROFESSIONAL SERVICES LLC</t>
  </si>
  <si>
    <t>ACUITY SPECIALTY PRODUCTS INC</t>
  </si>
  <si>
    <t>ZORO TOOLS INC</t>
  </si>
  <si>
    <t>304 CONSTRUCTION LLC</t>
  </si>
  <si>
    <t>BROADDUS &amp; ASSOCIATES</t>
  </si>
  <si>
    <t>CITY OF ELGIN</t>
  </si>
  <si>
    <t>CITY OF SMITHVILLE</t>
  </si>
  <si>
    <t>JOHN T. HOYT</t>
  </si>
  <si>
    <t>KIRKSEY ARCHITECTS  INC.</t>
  </si>
  <si>
    <t>MUSTANG MACHINERY COMPANY LTD</t>
  </si>
  <si>
    <t>OXLEY WILLIAMS THARP ARCHITECTS  PLLC</t>
  </si>
  <si>
    <t>SAMES BASTROP FORD INC</t>
  </si>
  <si>
    <t>SUPERCIRCUITS INC.</t>
  </si>
  <si>
    <t>ALLSTATE-AMERICAN HERITAGE LIFE INS CO</t>
  </si>
  <si>
    <t>BASTROP CNTY ADULT PROBATION</t>
  </si>
  <si>
    <t>COLONIAL LIFE &amp; ACCIDENT INS. CO.</t>
  </si>
  <si>
    <t>CUNA MUTUAL</t>
  </si>
  <si>
    <t>DEBORAH B LANGEHENNIG</t>
  </si>
  <si>
    <t>GUARDIAN</t>
  </si>
  <si>
    <t>INTERNAL REVENUE SERVICE - ACS SUPPORT</t>
  </si>
  <si>
    <t>IRS-PAYROLL TAXES</t>
  </si>
  <si>
    <t>MICHIGAN STATE DISBURSEMENT UNIT(MiSDU)</t>
  </si>
  <si>
    <t>MONUMENTAL LIFE INS CO</t>
  </si>
  <si>
    <t>GERALD FLORES OLIVO</t>
  </si>
  <si>
    <t>TAC HEALTH BENEFITS POOL</t>
  </si>
  <si>
    <t>TEXAS ATTY.GENERAL'S OFFICE</t>
  </si>
  <si>
    <t>TEXAS CNTY &amp; DIST RETIREMENT SYS</t>
  </si>
  <si>
    <t>TEXAS LEGAL PROTECTION PLAN INC</t>
  </si>
  <si>
    <t>TG STUDENT LOAN</t>
  </si>
  <si>
    <t>U.S. DEPT OF EDUCATION - FINANCIAL  ASST</t>
  </si>
  <si>
    <t>Amount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</si>
</sst>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58"/>
  <sheetViews>
    <sheetView tabSelected="1" workbookViewId="0">
      <selection activeCell="A2" sqref="A2"/>
    </sheetView>
  </sheetViews>
  <sheetFormatPr defaultRowHeight="14.4" x14ac:dyDescent="0.3"/>
  <cols>
    <col min="2" max="2" width="49.88671875" bestFit="1" customWidth="1"/>
    <col min="4" max="4" width="12.77734375" style="2" bestFit="1" customWidth="1"/>
    <col min="5" max="5" width="10.5546875" bestFit="1" customWidth="1"/>
    <col min="6" max="6" width="20.5546875" bestFit="1" customWidth="1"/>
    <col min="7" max="7" width="33.109375" bestFit="1" customWidth="1"/>
    <col min="8" max="8" width="29.6640625" bestFit="1" customWidth="1"/>
    <col min="9" max="9" width="33.109375" bestFit="1" customWidth="1"/>
  </cols>
  <sheetData>
    <row r="1" spans="1:9" x14ac:dyDescent="0.3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t="str">
        <f>"000598"</f>
        <v>000598</v>
      </c>
      <c r="B2" t="s">
        <v>9</v>
      </c>
      <c r="C2">
        <v>75561</v>
      </c>
      <c r="D2" s="2">
        <v>61533.46</v>
      </c>
      <c r="E2" s="1">
        <v>43171</v>
      </c>
      <c r="F2" t="str">
        <f>"9725-016-98264"</f>
        <v>9725-016-98264</v>
      </c>
      <c r="G2" t="str">
        <f t="shared" ref="G2:G13" si="0">"ACCT#9725-016/REC BASE/PCT#2"</f>
        <v>ACCT#9725-016/REC BASE/PCT#2</v>
      </c>
      <c r="H2">
        <v>1891.58</v>
      </c>
      <c r="I2" t="str">
        <f t="shared" ref="I2:I13" si="1">"ACCT#9725-016/REC BASE/PCT#2"</f>
        <v>ACCT#9725-016/REC BASE/PCT#2</v>
      </c>
    </row>
    <row r="3" spans="1:9" x14ac:dyDescent="0.3">
      <c r="A3" t="str">
        <f>""</f>
        <v/>
      </c>
      <c r="F3" t="str">
        <f>"9725-016-98305"</f>
        <v>9725-016-98305</v>
      </c>
      <c r="G3" t="str">
        <f t="shared" si="0"/>
        <v>ACCT#9725-016/REC BASE/PCT#2</v>
      </c>
      <c r="H3">
        <v>4728.28</v>
      </c>
      <c r="I3" t="str">
        <f t="shared" si="1"/>
        <v>ACCT#9725-016/REC BASE/PCT#2</v>
      </c>
    </row>
    <row r="4" spans="1:9" x14ac:dyDescent="0.3">
      <c r="A4" t="str">
        <f>""</f>
        <v/>
      </c>
      <c r="F4" t="str">
        <f>"9725-016-98340"</f>
        <v>9725-016-98340</v>
      </c>
      <c r="G4" t="str">
        <f t="shared" si="0"/>
        <v>ACCT#9725-016/REC BASE/PCT#2</v>
      </c>
      <c r="H4">
        <v>2434.61</v>
      </c>
      <c r="I4" t="str">
        <f t="shared" si="1"/>
        <v>ACCT#9725-016/REC BASE/PCT#2</v>
      </c>
    </row>
    <row r="5" spans="1:9" x14ac:dyDescent="0.3">
      <c r="A5" t="str">
        <f>""</f>
        <v/>
      </c>
      <c r="F5" t="str">
        <f>"9725-016-98369"</f>
        <v>9725-016-98369</v>
      </c>
      <c r="G5" t="str">
        <f t="shared" si="0"/>
        <v>ACCT#9725-016/REC BASE/PCT#2</v>
      </c>
      <c r="H5">
        <v>3006.79</v>
      </c>
      <c r="I5" t="str">
        <f t="shared" si="1"/>
        <v>ACCT#9725-016/REC BASE/PCT#2</v>
      </c>
    </row>
    <row r="6" spans="1:9" x14ac:dyDescent="0.3">
      <c r="A6" t="str">
        <f>""</f>
        <v/>
      </c>
      <c r="F6" t="str">
        <f>"9725-016-98409"</f>
        <v>9725-016-98409</v>
      </c>
      <c r="G6" t="str">
        <f t="shared" si="0"/>
        <v>ACCT#9725-016/REC BASE/PCT#2</v>
      </c>
      <c r="H6">
        <v>7271.22</v>
      </c>
      <c r="I6" t="str">
        <f t="shared" si="1"/>
        <v>ACCT#9725-016/REC BASE/PCT#2</v>
      </c>
    </row>
    <row r="7" spans="1:9" x14ac:dyDescent="0.3">
      <c r="A7" t="str">
        <f>""</f>
        <v/>
      </c>
      <c r="F7" t="str">
        <f>"9725-016-98426"</f>
        <v>9725-016-98426</v>
      </c>
      <c r="G7" t="str">
        <f t="shared" si="0"/>
        <v>ACCT#9725-016/REC BASE/PCT#2</v>
      </c>
      <c r="H7">
        <v>6726</v>
      </c>
      <c r="I7" t="str">
        <f t="shared" si="1"/>
        <v>ACCT#9725-016/REC BASE/PCT#2</v>
      </c>
    </row>
    <row r="8" spans="1:9" x14ac:dyDescent="0.3">
      <c r="A8" t="str">
        <f>""</f>
        <v/>
      </c>
      <c r="F8" t="str">
        <f>"9725-016-98449"</f>
        <v>9725-016-98449</v>
      </c>
      <c r="G8" t="str">
        <f t="shared" si="0"/>
        <v>ACCT#9725-016/REC BASE/PCT#2</v>
      </c>
      <c r="H8">
        <v>6760.46</v>
      </c>
      <c r="I8" t="str">
        <f t="shared" si="1"/>
        <v>ACCT#9725-016/REC BASE/PCT#2</v>
      </c>
    </row>
    <row r="9" spans="1:9" x14ac:dyDescent="0.3">
      <c r="A9" t="str">
        <f>""</f>
        <v/>
      </c>
      <c r="F9" t="str">
        <f>"9725-016-98479"</f>
        <v>9725-016-98479</v>
      </c>
      <c r="G9" t="str">
        <f t="shared" si="0"/>
        <v>ACCT#9725-016/REC BASE/PCT#2</v>
      </c>
      <c r="H9">
        <v>4782.8500000000004</v>
      </c>
      <c r="I9" t="str">
        <f t="shared" si="1"/>
        <v>ACCT#9725-016/REC BASE/PCT#2</v>
      </c>
    </row>
    <row r="10" spans="1:9" x14ac:dyDescent="0.3">
      <c r="A10" t="str">
        <f>""</f>
        <v/>
      </c>
      <c r="F10" t="str">
        <f>"9725-016-98504"</f>
        <v>9725-016-98504</v>
      </c>
      <c r="G10" t="str">
        <f t="shared" si="0"/>
        <v>ACCT#9725-016/REC BASE/PCT#2</v>
      </c>
      <c r="H10">
        <v>5420.53</v>
      </c>
      <c r="I10" t="str">
        <f t="shared" si="1"/>
        <v>ACCT#9725-016/REC BASE/PCT#2</v>
      </c>
    </row>
    <row r="11" spans="1:9" x14ac:dyDescent="0.3">
      <c r="A11" t="str">
        <f>""</f>
        <v/>
      </c>
      <c r="F11" t="str">
        <f>"9725-016-98536"</f>
        <v>9725-016-98536</v>
      </c>
      <c r="G11" t="str">
        <f t="shared" si="0"/>
        <v>ACCT#9725-016/REC BASE/PCT#2</v>
      </c>
      <c r="H11">
        <v>5544.11</v>
      </c>
      <c r="I11" t="str">
        <f t="shared" si="1"/>
        <v>ACCT#9725-016/REC BASE/PCT#2</v>
      </c>
    </row>
    <row r="12" spans="1:9" x14ac:dyDescent="0.3">
      <c r="A12" t="str">
        <f>""</f>
        <v/>
      </c>
      <c r="F12" t="str">
        <f>"9725-016-98566"</f>
        <v>9725-016-98566</v>
      </c>
      <c r="G12" t="str">
        <f t="shared" si="0"/>
        <v>ACCT#9725-016/REC BASE/PCT#2</v>
      </c>
      <c r="H12">
        <v>6035.52</v>
      </c>
      <c r="I12" t="str">
        <f t="shared" si="1"/>
        <v>ACCT#9725-016/REC BASE/PCT#2</v>
      </c>
    </row>
    <row r="13" spans="1:9" x14ac:dyDescent="0.3">
      <c r="A13" t="str">
        <f>""</f>
        <v/>
      </c>
      <c r="F13" t="str">
        <f>"9725-016-98597"</f>
        <v>9725-016-98597</v>
      </c>
      <c r="G13" t="str">
        <f t="shared" si="0"/>
        <v>ACCT#9725-016/REC BASE/PCT#2</v>
      </c>
      <c r="H13">
        <v>6931.51</v>
      </c>
      <c r="I13" t="str">
        <f t="shared" si="1"/>
        <v>ACCT#9725-016/REC BASE/PCT#2</v>
      </c>
    </row>
    <row r="14" spans="1:9" x14ac:dyDescent="0.3">
      <c r="A14" t="str">
        <f>"000598"</f>
        <v>000598</v>
      </c>
      <c r="B14" t="s">
        <v>9</v>
      </c>
      <c r="C14">
        <v>75825</v>
      </c>
      <c r="D14" s="2">
        <v>19375.43</v>
      </c>
      <c r="E14" s="1">
        <v>43185</v>
      </c>
      <c r="F14" t="str">
        <f>"9725-001-98843"</f>
        <v>9725-001-98843</v>
      </c>
      <c r="G14" t="str">
        <f>"ACCT#9725-001/REC BASE/PCT#2"</f>
        <v>ACCT#9725-001/REC BASE/PCT#2</v>
      </c>
      <c r="H14">
        <v>1625.31</v>
      </c>
      <c r="I14" t="str">
        <f>"ACCT#9725-001/REC BASE/PCT#2"</f>
        <v>ACCT#9725-001/REC BASE/PCT#2</v>
      </c>
    </row>
    <row r="15" spans="1:9" x14ac:dyDescent="0.3">
      <c r="A15" t="str">
        <f>""</f>
        <v/>
      </c>
      <c r="F15" t="str">
        <f>"9725-001-98862"</f>
        <v>9725-001-98862</v>
      </c>
      <c r="G15" t="str">
        <f>"ACCT#9725-001/REC BASE/PCT#2"</f>
        <v>ACCT#9725-001/REC BASE/PCT#2</v>
      </c>
      <c r="H15">
        <v>2599.3000000000002</v>
      </c>
      <c r="I15" t="str">
        <f>"ACCT#9725-001/REC BASE/PCT#2"</f>
        <v>ACCT#9725-001/REC BASE/PCT#2</v>
      </c>
    </row>
    <row r="16" spans="1:9" x14ac:dyDescent="0.3">
      <c r="A16" t="str">
        <f>""</f>
        <v/>
      </c>
      <c r="F16" t="str">
        <f>"9725-016-98629"</f>
        <v>9725-016-98629</v>
      </c>
      <c r="G16" t="str">
        <f>"ACCT#9725-016/REC BASE/PCT#2"</f>
        <v>ACCT#9725-016/REC BASE/PCT#2</v>
      </c>
      <c r="H16">
        <v>219.36</v>
      </c>
      <c r="I16" t="str">
        <f>"ACCT#9725-016/REC BASE/PCT#2"</f>
        <v>ACCT#9725-016/REC BASE/PCT#2</v>
      </c>
    </row>
    <row r="17" spans="1:9" x14ac:dyDescent="0.3">
      <c r="A17" t="str">
        <f>""</f>
        <v/>
      </c>
      <c r="F17" t="str">
        <f>"9725-016-98669"</f>
        <v>9725-016-98669</v>
      </c>
      <c r="G17" t="str">
        <f>"ACCT#9725-016/REC BASE/PCT#2"</f>
        <v>ACCT#9725-016/REC BASE/PCT#2</v>
      </c>
      <c r="H17">
        <v>2822.93</v>
      </c>
      <c r="I17" t="str">
        <f>"ACCT#9725-016/REC BASE/PCT#2"</f>
        <v>ACCT#9725-016/REC BASE/PCT#2</v>
      </c>
    </row>
    <row r="18" spans="1:9" x14ac:dyDescent="0.3">
      <c r="A18" t="str">
        <f>""</f>
        <v/>
      </c>
      <c r="F18" t="str">
        <f>"9725-016-98700"</f>
        <v>9725-016-98700</v>
      </c>
      <c r="G18" t="str">
        <f>"ACCT#9725-016/PCT#2"</f>
        <v>ACCT#9725-016/PCT#2</v>
      </c>
      <c r="H18">
        <v>2254.71</v>
      </c>
      <c r="I18" t="str">
        <f>"ACCT#9725-016/PCT#2"</f>
        <v>ACCT#9725-016/PCT#2</v>
      </c>
    </row>
    <row r="19" spans="1:9" x14ac:dyDescent="0.3">
      <c r="A19" t="str">
        <f>""</f>
        <v/>
      </c>
      <c r="F19" t="str">
        <f>"9725-016-98726"</f>
        <v>9725-016-98726</v>
      </c>
      <c r="G19" t="str">
        <f t="shared" ref="G19:G24" si="2">"ACCT#9725-016/REC BASE/PCT#2"</f>
        <v>ACCT#9725-016/REC BASE/PCT#2</v>
      </c>
      <c r="H19">
        <v>1054.99</v>
      </c>
      <c r="I19" t="str">
        <f t="shared" ref="I19:I24" si="3">"ACCT#9725-016/REC BASE/PCT#2"</f>
        <v>ACCT#9725-016/REC BASE/PCT#2</v>
      </c>
    </row>
    <row r="20" spans="1:9" x14ac:dyDescent="0.3">
      <c r="A20" t="str">
        <f>""</f>
        <v/>
      </c>
      <c r="F20" t="str">
        <f>"9725-016-98755"</f>
        <v>9725-016-98755</v>
      </c>
      <c r="G20" t="str">
        <f t="shared" si="2"/>
        <v>ACCT#9725-016/REC BASE/PCT#2</v>
      </c>
      <c r="H20">
        <v>1383.64</v>
      </c>
      <c r="I20" t="str">
        <f t="shared" si="3"/>
        <v>ACCT#9725-016/REC BASE/PCT#2</v>
      </c>
    </row>
    <row r="21" spans="1:9" x14ac:dyDescent="0.3">
      <c r="A21" t="str">
        <f>""</f>
        <v/>
      </c>
      <c r="F21" t="str">
        <f>"9725-016-98788"</f>
        <v>9725-016-98788</v>
      </c>
      <c r="G21" t="str">
        <f t="shared" si="2"/>
        <v>ACCT#9725-016/REC BASE/PCT#2</v>
      </c>
      <c r="H21">
        <v>418.34</v>
      </c>
      <c r="I21" t="str">
        <f t="shared" si="3"/>
        <v>ACCT#9725-016/REC BASE/PCT#2</v>
      </c>
    </row>
    <row r="22" spans="1:9" x14ac:dyDescent="0.3">
      <c r="A22" t="str">
        <f>""</f>
        <v/>
      </c>
      <c r="F22" t="str">
        <f>"9725-016-98830"</f>
        <v>9725-016-98830</v>
      </c>
      <c r="G22" t="str">
        <f t="shared" si="2"/>
        <v>ACCT#9725-016/REC BASE/PCT#2</v>
      </c>
      <c r="H22">
        <v>2694.85</v>
      </c>
      <c r="I22" t="str">
        <f t="shared" si="3"/>
        <v>ACCT#9725-016/REC BASE/PCT#2</v>
      </c>
    </row>
    <row r="23" spans="1:9" x14ac:dyDescent="0.3">
      <c r="A23" t="str">
        <f>""</f>
        <v/>
      </c>
      <c r="F23" t="str">
        <f>"9725-016-98859"</f>
        <v>9725-016-98859</v>
      </c>
      <c r="G23" t="str">
        <f t="shared" si="2"/>
        <v>ACCT#9725-016/REC BASE/PCT#2</v>
      </c>
      <c r="H23">
        <v>2043.59</v>
      </c>
      <c r="I23" t="str">
        <f t="shared" si="3"/>
        <v>ACCT#9725-016/REC BASE/PCT#2</v>
      </c>
    </row>
    <row r="24" spans="1:9" x14ac:dyDescent="0.3">
      <c r="A24" t="str">
        <f>""</f>
        <v/>
      </c>
      <c r="F24" t="str">
        <f>"9725-016-98881"</f>
        <v>9725-016-98881</v>
      </c>
      <c r="G24" t="str">
        <f t="shared" si="2"/>
        <v>ACCT#9725-016/REC BASE/PCT#2</v>
      </c>
      <c r="H24">
        <v>611.11</v>
      </c>
      <c r="I24" t="str">
        <f t="shared" si="3"/>
        <v>ACCT#9725-016/REC BASE/PCT#2</v>
      </c>
    </row>
    <row r="25" spans="1:9" x14ac:dyDescent="0.3">
      <c r="A25" t="str">
        <f>""</f>
        <v/>
      </c>
      <c r="F25" t="str">
        <f>"9725-017-98882"</f>
        <v>9725-017-98882</v>
      </c>
      <c r="G25" t="str">
        <f>"ACCT#9725-017/REC BASE/PCT#2"</f>
        <v>ACCT#9725-017/REC BASE/PCT#2</v>
      </c>
      <c r="H25">
        <v>1647.3</v>
      </c>
      <c r="I25" t="str">
        <f>"ACCT#9725-017/REC BASE/PCT#2"</f>
        <v>ACCT#9725-017/REC BASE/PCT#2</v>
      </c>
    </row>
    <row r="26" spans="1:9" x14ac:dyDescent="0.3">
      <c r="A26" t="str">
        <f>"ALINE"</f>
        <v>ALINE</v>
      </c>
      <c r="B26" t="s">
        <v>10</v>
      </c>
      <c r="C26">
        <v>75562</v>
      </c>
      <c r="D26" s="2">
        <v>387.23</v>
      </c>
      <c r="E26" s="1">
        <v>43171</v>
      </c>
      <c r="F26" t="str">
        <f>"201803069231"</f>
        <v>201803069231</v>
      </c>
      <c r="G26" t="str">
        <f>"CUST#16500/STATEMENT#296839/P4"</f>
        <v>CUST#16500/STATEMENT#296839/P4</v>
      </c>
      <c r="H26">
        <v>387.23</v>
      </c>
      <c r="I26" t="str">
        <f>"CUST#16500/STATEMENT#296839/P4"</f>
        <v>CUST#16500/STATEMENT#296839/P4</v>
      </c>
    </row>
    <row r="27" spans="1:9" x14ac:dyDescent="0.3">
      <c r="A27" t="str">
        <f>"002048"</f>
        <v>002048</v>
      </c>
      <c r="B27" t="s">
        <v>11</v>
      </c>
      <c r="C27">
        <v>999999</v>
      </c>
      <c r="D27" s="2">
        <v>4845.57</v>
      </c>
      <c r="E27" s="1">
        <v>43172</v>
      </c>
      <c r="F27" t="str">
        <f>"201803069230"</f>
        <v>201803069230</v>
      </c>
      <c r="G27" t="str">
        <f>"BASE/PCT#1"</f>
        <v>BASE/PCT#1</v>
      </c>
      <c r="H27">
        <v>2924.63</v>
      </c>
      <c r="I27" t="str">
        <f>"BASE/PCT#1"</f>
        <v>BASE/PCT#1</v>
      </c>
    </row>
    <row r="28" spans="1:9" x14ac:dyDescent="0.3">
      <c r="A28" t="str">
        <f>""</f>
        <v/>
      </c>
      <c r="F28" t="str">
        <f>"201803069232"</f>
        <v>201803069232</v>
      </c>
      <c r="G28" t="str">
        <f>"HAULING EXPENSES 2/21-2/27/P4"</f>
        <v>HAULING EXPENSES 2/21-2/27/P4</v>
      </c>
      <c r="H28">
        <v>1920.94</v>
      </c>
      <c r="I28" t="str">
        <f>"HAULING EXPENSES 2/21-2/27/P4"</f>
        <v>HAULING EXPENSES 2/21-2/27/P4</v>
      </c>
    </row>
    <row r="29" spans="1:9" x14ac:dyDescent="0.3">
      <c r="A29" t="str">
        <f>"AAA"</f>
        <v>AAA</v>
      </c>
      <c r="B29" t="s">
        <v>12</v>
      </c>
      <c r="C29">
        <v>999999</v>
      </c>
      <c r="D29" s="2">
        <v>946.5</v>
      </c>
      <c r="E29" s="1">
        <v>43172</v>
      </c>
      <c r="F29" t="str">
        <f>"297389"</f>
        <v>297389</v>
      </c>
      <c r="G29" t="str">
        <f>"FIRE EXTINGUISHER MAINT/PCT#2"</f>
        <v>FIRE EXTINGUISHER MAINT/PCT#2</v>
      </c>
      <c r="H29">
        <v>275</v>
      </c>
      <c r="I29" t="str">
        <f>"FIRE EXTINGUISHER MAINT/PCT#2"</f>
        <v>FIRE EXTINGUISHER MAINT/PCT#2</v>
      </c>
    </row>
    <row r="30" spans="1:9" x14ac:dyDescent="0.3">
      <c r="A30" t="str">
        <f>""</f>
        <v/>
      </c>
      <c r="F30" t="str">
        <f>"297402"</f>
        <v>297402</v>
      </c>
      <c r="G30" t="str">
        <f>"FIRE EXT MAINT SVC/GEN SVCS"</f>
        <v>FIRE EXT MAINT SVC/GEN SVCS</v>
      </c>
      <c r="H30">
        <v>671.5</v>
      </c>
      <c r="I30" t="str">
        <f>"FIRE EXT MAINT SVC/GEN SVCS"</f>
        <v>FIRE EXT MAINT SVC/GEN SVCS</v>
      </c>
    </row>
    <row r="31" spans="1:9" x14ac:dyDescent="0.3">
      <c r="A31" t="str">
        <f>"004959"</f>
        <v>004959</v>
      </c>
      <c r="B31" t="s">
        <v>13</v>
      </c>
      <c r="C31">
        <v>75826</v>
      </c>
      <c r="D31" s="2">
        <v>3669</v>
      </c>
      <c r="E31" s="1">
        <v>43185</v>
      </c>
      <c r="F31" t="str">
        <f>"3293"</f>
        <v>3293</v>
      </c>
      <c r="G31" t="str">
        <f>"JOB#184045"</f>
        <v>JOB#184045</v>
      </c>
      <c r="H31">
        <v>2889</v>
      </c>
      <c r="I31" t="str">
        <f>"JOB#184045"</f>
        <v>JOB#184045</v>
      </c>
    </row>
    <row r="32" spans="1:9" x14ac:dyDescent="0.3">
      <c r="A32" t="str">
        <f>""</f>
        <v/>
      </c>
      <c r="F32" t="str">
        <f>"3300"</f>
        <v>3300</v>
      </c>
      <c r="G32" t="str">
        <f>"JOB#184045/WET WIPE &amp; VACUUM"</f>
        <v>JOB#184045/WET WIPE &amp; VACUUM</v>
      </c>
      <c r="H32">
        <v>780</v>
      </c>
      <c r="I32" t="str">
        <f>"JOB#184045/WET WIPE &amp; VACUUM"</f>
        <v>JOB#184045/WET WIPE &amp; VACUUM</v>
      </c>
    </row>
    <row r="33" spans="1:9" x14ac:dyDescent="0.3">
      <c r="A33" t="str">
        <f>"000954"</f>
        <v>000954</v>
      </c>
      <c r="B33" t="s">
        <v>14</v>
      </c>
      <c r="C33">
        <v>75827</v>
      </c>
      <c r="D33" s="2">
        <v>1135</v>
      </c>
      <c r="E33" s="1">
        <v>43185</v>
      </c>
      <c r="F33" t="str">
        <f>"201803149620"</f>
        <v>201803149620</v>
      </c>
      <c r="G33" t="str">
        <f>"17-18788"</f>
        <v>17-18788</v>
      </c>
      <c r="H33">
        <v>190</v>
      </c>
      <c r="I33" t="str">
        <f>"17-18788"</f>
        <v>17-18788</v>
      </c>
    </row>
    <row r="34" spans="1:9" x14ac:dyDescent="0.3">
      <c r="A34" t="str">
        <f>""</f>
        <v/>
      </c>
      <c r="F34" t="str">
        <f>"201803149621"</f>
        <v>201803149621</v>
      </c>
      <c r="G34" t="str">
        <f>"18-18827"</f>
        <v>18-18827</v>
      </c>
      <c r="H34">
        <v>197.5</v>
      </c>
      <c r="I34" t="str">
        <f>"18-18827"</f>
        <v>18-18827</v>
      </c>
    </row>
    <row r="35" spans="1:9" x14ac:dyDescent="0.3">
      <c r="A35" t="str">
        <f>""</f>
        <v/>
      </c>
      <c r="F35" t="str">
        <f>"201803149622"</f>
        <v>201803149622</v>
      </c>
      <c r="G35" t="str">
        <f>"17-18738"</f>
        <v>17-18738</v>
      </c>
      <c r="H35">
        <v>175</v>
      </c>
      <c r="I35" t="str">
        <f>"17-18738"</f>
        <v>17-18738</v>
      </c>
    </row>
    <row r="36" spans="1:9" x14ac:dyDescent="0.3">
      <c r="A36" t="str">
        <f>""</f>
        <v/>
      </c>
      <c r="F36" t="str">
        <f>"201803149623"</f>
        <v>201803149623</v>
      </c>
      <c r="G36" t="str">
        <f>"14-16404"</f>
        <v>14-16404</v>
      </c>
      <c r="H36">
        <v>137.5</v>
      </c>
      <c r="I36" t="str">
        <f>"14-16404"</f>
        <v>14-16404</v>
      </c>
    </row>
    <row r="37" spans="1:9" x14ac:dyDescent="0.3">
      <c r="A37" t="str">
        <f>""</f>
        <v/>
      </c>
      <c r="F37" t="str">
        <f>"201803149624"</f>
        <v>201803149624</v>
      </c>
      <c r="G37" t="str">
        <f>"16-17713"</f>
        <v>16-17713</v>
      </c>
      <c r="H37">
        <v>435</v>
      </c>
      <c r="I37" t="str">
        <f>"16-17713"</f>
        <v>16-17713</v>
      </c>
    </row>
    <row r="38" spans="1:9" x14ac:dyDescent="0.3">
      <c r="A38" t="str">
        <f>"003117"</f>
        <v>003117</v>
      </c>
      <c r="B38" t="s">
        <v>15</v>
      </c>
      <c r="C38">
        <v>999999</v>
      </c>
      <c r="D38" s="2">
        <v>269.05</v>
      </c>
      <c r="E38" s="1">
        <v>43172</v>
      </c>
      <c r="F38" t="str">
        <f>"201803028920"</f>
        <v>201803028920</v>
      </c>
      <c r="G38" t="str">
        <f>"REIMBURSE-PARKING/MAIL CHIMP"</f>
        <v>REIMBURSE-PARKING/MAIL CHIMP</v>
      </c>
      <c r="H38">
        <v>59</v>
      </c>
      <c r="I38" t="str">
        <f>"REIMBURSE-PARKING/MAIL CHIMP"</f>
        <v>REIMBURSE-PARKING/MAIL CHIMP</v>
      </c>
    </row>
    <row r="39" spans="1:9" x14ac:dyDescent="0.3">
      <c r="A39" t="str">
        <f>""</f>
        <v/>
      </c>
      <c r="F39" t="str">
        <f>"201803028921"</f>
        <v>201803028921</v>
      </c>
      <c r="G39" t="str">
        <f>"REIMBURSE-HOTEL/DINNER/REGISTR"</f>
        <v>REIMBURSE-HOTEL/DINNER/REGISTR</v>
      </c>
      <c r="H39">
        <v>210.05</v>
      </c>
      <c r="I39" t="str">
        <f>"REIMBURSE-HOTEL/DINNER/REGISTR"</f>
        <v>REIMBURSE-HOTEL/DINNER/REGISTR</v>
      </c>
    </row>
    <row r="40" spans="1:9" x14ac:dyDescent="0.3">
      <c r="A40" t="str">
        <f>"003117"</f>
        <v>003117</v>
      </c>
      <c r="B40" t="s">
        <v>15</v>
      </c>
      <c r="C40">
        <v>999999</v>
      </c>
      <c r="D40" s="2">
        <v>616.23</v>
      </c>
      <c r="E40" s="1">
        <v>43186</v>
      </c>
      <c r="F40" t="str">
        <f>"201803159636"</f>
        <v>201803159636</v>
      </c>
      <c r="G40" t="str">
        <f>"HOTEL FOR HOUSTON RODEO"</f>
        <v>HOTEL FOR HOUSTON RODEO</v>
      </c>
      <c r="H40">
        <v>490.23</v>
      </c>
      <c r="I40" t="str">
        <f>"HOTEL FOR HOUSTON RODEO"</f>
        <v>HOTEL FOR HOUSTON RODEO</v>
      </c>
    </row>
    <row r="41" spans="1:9" x14ac:dyDescent="0.3">
      <c r="A41" t="str">
        <f>""</f>
        <v/>
      </c>
      <c r="F41" t="str">
        <f>"201803209687"</f>
        <v>201803209687</v>
      </c>
      <c r="G41" t="str">
        <f>"SXSW PARKING/MAIL CHIMP CHRG"</f>
        <v>SXSW PARKING/MAIL CHIMP CHRG</v>
      </c>
      <c r="H41">
        <v>126</v>
      </c>
      <c r="I41" t="str">
        <f>"SXSW PARKING/MAIL CHIMP CHRG"</f>
        <v>SXSW PARKING/MAIL CHIMP CHRG</v>
      </c>
    </row>
    <row r="42" spans="1:9" x14ac:dyDescent="0.3">
      <c r="A42" t="str">
        <f>"T6115"</f>
        <v>T6115</v>
      </c>
      <c r="B42" t="s">
        <v>16</v>
      </c>
      <c r="C42">
        <v>75563</v>
      </c>
      <c r="D42" s="2">
        <v>245</v>
      </c>
      <c r="E42" s="1">
        <v>43171</v>
      </c>
      <c r="F42" t="str">
        <f>"198884"</f>
        <v>198884</v>
      </c>
      <c r="G42" t="str">
        <f>"INV 198884/ UNIT 1496"</f>
        <v>INV 198884/ UNIT 1496</v>
      </c>
      <c r="H42">
        <v>245</v>
      </c>
      <c r="I42" t="str">
        <f>"INV 198884/ UNIT 1496"</f>
        <v>INV 198884/ UNIT 1496</v>
      </c>
    </row>
    <row r="43" spans="1:9" x14ac:dyDescent="0.3">
      <c r="A43" t="str">
        <f>"AG"</f>
        <v>AG</v>
      </c>
      <c r="B43" t="s">
        <v>17</v>
      </c>
      <c r="C43">
        <v>75564</v>
      </c>
      <c r="D43" s="2">
        <v>1389.32</v>
      </c>
      <c r="E43" s="1">
        <v>43171</v>
      </c>
      <c r="F43" t="str">
        <f>"6096633"</f>
        <v>6096633</v>
      </c>
      <c r="G43" t="str">
        <f>"CUST#17295/PCT#3"</f>
        <v>CUST#17295/PCT#3</v>
      </c>
      <c r="H43">
        <v>1160.8699999999999</v>
      </c>
      <c r="I43" t="str">
        <f>"CUST#17295/PCT#3"</f>
        <v>CUST#17295/PCT#3</v>
      </c>
    </row>
    <row r="44" spans="1:9" x14ac:dyDescent="0.3">
      <c r="A44" t="str">
        <f>""</f>
        <v/>
      </c>
      <c r="F44" t="str">
        <f>"6102059"</f>
        <v>6102059</v>
      </c>
      <c r="G44" t="str">
        <f>"CUST#17295/PCT#3"</f>
        <v>CUST#17295/PCT#3</v>
      </c>
      <c r="H44">
        <v>228.45</v>
      </c>
      <c r="I44" t="str">
        <f>"CUST#17295/PCT#3"</f>
        <v>CUST#17295/PCT#3</v>
      </c>
    </row>
    <row r="45" spans="1:9" x14ac:dyDescent="0.3">
      <c r="A45" t="str">
        <f>"AG"</f>
        <v>AG</v>
      </c>
      <c r="B45" t="s">
        <v>17</v>
      </c>
      <c r="C45">
        <v>75828</v>
      </c>
      <c r="D45" s="2">
        <v>505.17</v>
      </c>
      <c r="E45" s="1">
        <v>43185</v>
      </c>
      <c r="F45" t="str">
        <f>"6106181"</f>
        <v>6106181</v>
      </c>
      <c r="G45" t="str">
        <f>"CUST#17295/PCT#3"</f>
        <v>CUST#17295/PCT#3</v>
      </c>
      <c r="H45">
        <v>383.7</v>
      </c>
      <c r="I45" t="str">
        <f>"CUST#17295/PCT#3"</f>
        <v>CUST#17295/PCT#3</v>
      </c>
    </row>
    <row r="46" spans="1:9" x14ac:dyDescent="0.3">
      <c r="A46" t="str">
        <f>""</f>
        <v/>
      </c>
      <c r="F46" t="str">
        <f>"6112378"</f>
        <v>6112378</v>
      </c>
      <c r="G46" t="str">
        <f>"CUST#17295/PCT#3"</f>
        <v>CUST#17295/PCT#3</v>
      </c>
      <c r="H46">
        <v>121.47</v>
      </c>
      <c r="I46" t="str">
        <f>"CUST#17295/PCT#3"</f>
        <v>CUST#17295/PCT#3</v>
      </c>
    </row>
    <row r="47" spans="1:9" x14ac:dyDescent="0.3">
      <c r="A47" t="str">
        <f>"005096"</f>
        <v>005096</v>
      </c>
      <c r="B47" t="s">
        <v>18</v>
      </c>
      <c r="C47">
        <v>75565</v>
      </c>
      <c r="D47" s="2">
        <v>55</v>
      </c>
      <c r="E47" s="1">
        <v>43171</v>
      </c>
      <c r="F47" t="str">
        <f>"201803089344"</f>
        <v>201803089344</v>
      </c>
      <c r="G47" t="str">
        <f>"FERAL HOGS"</f>
        <v>FERAL HOGS</v>
      </c>
      <c r="H47">
        <v>55</v>
      </c>
      <c r="I47" t="str">
        <f>"FERAL HOGS"</f>
        <v>FERAL HOGS</v>
      </c>
    </row>
    <row r="48" spans="1:9" x14ac:dyDescent="0.3">
      <c r="A48" t="str">
        <f>"NPP"</f>
        <v>NPP</v>
      </c>
      <c r="B48" t="s">
        <v>19</v>
      </c>
      <c r="C48">
        <v>999999</v>
      </c>
      <c r="D48" s="2">
        <v>1500</v>
      </c>
      <c r="E48" s="1">
        <v>43186</v>
      </c>
      <c r="F48" t="str">
        <f>"201803149616"</f>
        <v>201803149616</v>
      </c>
      <c r="G48" t="str">
        <f>"16246"</f>
        <v>16246</v>
      </c>
      <c r="H48">
        <v>1000</v>
      </c>
      <c r="I48" t="str">
        <f>"16246"</f>
        <v>16246</v>
      </c>
    </row>
    <row r="49" spans="1:10" x14ac:dyDescent="0.3">
      <c r="A49" t="str">
        <f>""</f>
        <v/>
      </c>
      <c r="F49" t="str">
        <f>"201803149617"</f>
        <v>201803149617</v>
      </c>
      <c r="G49" t="str">
        <f>"711-21"</f>
        <v>711-21</v>
      </c>
      <c r="H49">
        <v>100</v>
      </c>
      <c r="I49" t="str">
        <f>"711-21"</f>
        <v>711-21</v>
      </c>
    </row>
    <row r="50" spans="1:10" x14ac:dyDescent="0.3">
      <c r="A50" t="str">
        <f>""</f>
        <v/>
      </c>
      <c r="F50" t="str">
        <f>"201803199659"</f>
        <v>201803199659</v>
      </c>
      <c r="G50" t="str">
        <f>"1JP1418HI"</f>
        <v>1JP1418HI</v>
      </c>
      <c r="H50">
        <v>100</v>
      </c>
      <c r="I50" t="str">
        <f>"1JP1418HI"</f>
        <v>1JP1418HI</v>
      </c>
    </row>
    <row r="51" spans="1:10" x14ac:dyDescent="0.3">
      <c r="A51" t="str">
        <f>""</f>
        <v/>
      </c>
      <c r="F51" t="str">
        <f>"201803199660"</f>
        <v>201803199660</v>
      </c>
      <c r="G51" t="str">
        <f>"1818921"</f>
        <v>1818921</v>
      </c>
      <c r="H51">
        <v>100</v>
      </c>
      <c r="I51" t="str">
        <f>"1818921"</f>
        <v>1818921</v>
      </c>
    </row>
    <row r="52" spans="1:10" x14ac:dyDescent="0.3">
      <c r="A52" t="str">
        <f>""</f>
        <v/>
      </c>
      <c r="F52" t="str">
        <f>"201803199661"</f>
        <v>201803199661</v>
      </c>
      <c r="G52" t="str">
        <f>"AC20170104W"</f>
        <v>AC20170104W</v>
      </c>
      <c r="H52">
        <v>100</v>
      </c>
      <c r="I52" t="str">
        <f>"AC20170104W"</f>
        <v>AC20170104W</v>
      </c>
    </row>
    <row r="53" spans="1:10" x14ac:dyDescent="0.3">
      <c r="A53" t="str">
        <f>""</f>
        <v/>
      </c>
      <c r="F53" t="str">
        <f>"201803219708"</f>
        <v>201803219708</v>
      </c>
      <c r="G53" t="str">
        <f>"423-5590"</f>
        <v>423-5590</v>
      </c>
      <c r="H53">
        <v>100</v>
      </c>
      <c r="I53" t="str">
        <f>"423-5590"</f>
        <v>423-5590</v>
      </c>
    </row>
    <row r="54" spans="1:10" x14ac:dyDescent="0.3">
      <c r="A54" t="str">
        <f>"T11093"</f>
        <v>T11093</v>
      </c>
      <c r="B54" t="s">
        <v>20</v>
      </c>
      <c r="C54">
        <v>75566</v>
      </c>
      <c r="D54" s="2">
        <v>425</v>
      </c>
      <c r="E54" s="1">
        <v>43171</v>
      </c>
      <c r="F54" t="str">
        <f>"TRAINING-T.STALCUP"</f>
        <v>TRAINING-T.STALCUP</v>
      </c>
      <c r="G54" t="str">
        <f>"TRAINING"</f>
        <v>TRAINING</v>
      </c>
      <c r="H54">
        <v>425</v>
      </c>
      <c r="I54" t="str">
        <f>"TRAINING"</f>
        <v>TRAINING</v>
      </c>
    </row>
    <row r="55" spans="1:10" x14ac:dyDescent="0.3">
      <c r="A55" t="str">
        <f>"005335"</f>
        <v>005335</v>
      </c>
      <c r="B55" t="s">
        <v>21</v>
      </c>
      <c r="C55">
        <v>75567</v>
      </c>
      <c r="D55" s="2">
        <v>50</v>
      </c>
      <c r="E55" s="1">
        <v>43171</v>
      </c>
      <c r="F55" t="s">
        <v>22</v>
      </c>
      <c r="G55" t="s">
        <v>23</v>
      </c>
      <c r="H55" t="str">
        <f>"RESTITUTION-T. CHURCH"</f>
        <v>RESTITUTION-T. CHURCH</v>
      </c>
      <c r="I55" t="str">
        <f>"210-0000"</f>
        <v>210-0000</v>
      </c>
      <c r="J55" t="str">
        <f>""</f>
        <v/>
      </c>
    </row>
    <row r="56" spans="1:10" x14ac:dyDescent="0.3">
      <c r="A56" t="str">
        <f>"001613"</f>
        <v>001613</v>
      </c>
      <c r="B56" t="s">
        <v>24</v>
      </c>
      <c r="C56">
        <v>75829</v>
      </c>
      <c r="D56" s="2">
        <v>94.35</v>
      </c>
      <c r="E56" s="1">
        <v>43185</v>
      </c>
      <c r="F56" t="str">
        <f>"SI-332081"</f>
        <v>SI-332081</v>
      </c>
      <c r="G56" t="str">
        <f>"INV SI-332081"</f>
        <v>INV SI-332081</v>
      </c>
      <c r="H56">
        <v>94.35</v>
      </c>
      <c r="I56" t="str">
        <f>"INV SI-332081"</f>
        <v>INV SI-332081</v>
      </c>
    </row>
    <row r="57" spans="1:10" x14ac:dyDescent="0.3">
      <c r="A57" t="str">
        <f>"004642"</f>
        <v>004642</v>
      </c>
      <c r="B57" t="s">
        <v>25</v>
      </c>
      <c r="C57">
        <v>75830</v>
      </c>
      <c r="D57" s="2">
        <v>661</v>
      </c>
      <c r="E57" s="1">
        <v>43185</v>
      </c>
      <c r="F57" t="str">
        <f>"29160"</f>
        <v>29160</v>
      </c>
      <c r="G57" t="str">
        <f>"RENTAL/COOL WATER DR/PCT#1"</f>
        <v>RENTAL/COOL WATER DR/PCT#1</v>
      </c>
      <c r="H57">
        <v>305</v>
      </c>
      <c r="I57" t="str">
        <f>"RENTAL/COOL WATER DR/PCT#1"</f>
        <v>RENTAL/COOL WATER DR/PCT#1</v>
      </c>
    </row>
    <row r="58" spans="1:10" x14ac:dyDescent="0.3">
      <c r="A58" t="str">
        <f>""</f>
        <v/>
      </c>
      <c r="F58" t="str">
        <f>"29161"</f>
        <v>29161</v>
      </c>
      <c r="G58" t="str">
        <f>"RENTAL/RIVERSIDE DR"</f>
        <v>RENTAL/RIVERSIDE DR</v>
      </c>
      <c r="H58">
        <v>259</v>
      </c>
      <c r="I58" t="str">
        <f>"RENTAL/RIVERSIDE DR"</f>
        <v>RENTAL/RIVERSIDE DR</v>
      </c>
    </row>
    <row r="59" spans="1:10" x14ac:dyDescent="0.3">
      <c r="A59" t="str">
        <f>""</f>
        <v/>
      </c>
      <c r="F59" t="str">
        <f>"29162"</f>
        <v>29162</v>
      </c>
      <c r="G59" t="str">
        <f>"RENTAL/589 COOL WATER"</f>
        <v>RENTAL/589 COOL WATER</v>
      </c>
      <c r="H59">
        <v>97</v>
      </c>
      <c r="I59" t="str">
        <f>"RENTAL/589 COOL WATER"</f>
        <v>RENTAL/589 COOL WATER</v>
      </c>
    </row>
    <row r="60" spans="1:10" x14ac:dyDescent="0.3">
      <c r="A60" t="str">
        <f>"005237"</f>
        <v>005237</v>
      </c>
      <c r="B60" t="s">
        <v>26</v>
      </c>
      <c r="C60">
        <v>999999</v>
      </c>
      <c r="D60" s="2">
        <v>803.19</v>
      </c>
      <c r="E60" s="1">
        <v>43172</v>
      </c>
      <c r="F60" t="str">
        <f>"117V-JJ7C-QFFH"</f>
        <v>117V-JJ7C-QFFH</v>
      </c>
      <c r="G60" t="str">
        <f>"Comp  Anti-Glare Filter"</f>
        <v>Comp  Anti-Glare Filter</v>
      </c>
      <c r="H60">
        <v>197.43</v>
      </c>
      <c r="I60" t="str">
        <f>"24  Filter"</f>
        <v>24  Filter</v>
      </c>
    </row>
    <row r="61" spans="1:10" x14ac:dyDescent="0.3">
      <c r="A61" t="str">
        <f>""</f>
        <v/>
      </c>
      <c r="F61" t="str">
        <f>""</f>
        <v/>
      </c>
      <c r="G61" t="str">
        <f>""</f>
        <v/>
      </c>
      <c r="I61" t="str">
        <f>"23  Filter"</f>
        <v>23  Filter</v>
      </c>
    </row>
    <row r="62" spans="1:10" x14ac:dyDescent="0.3">
      <c r="A62" t="str">
        <f>""</f>
        <v/>
      </c>
      <c r="F62" t="str">
        <f>""</f>
        <v/>
      </c>
      <c r="G62" t="str">
        <f>""</f>
        <v/>
      </c>
      <c r="I62" t="str">
        <f>"20  Filter"</f>
        <v>20  Filter</v>
      </c>
    </row>
    <row r="63" spans="1:10" x14ac:dyDescent="0.3">
      <c r="A63" t="str">
        <f>""</f>
        <v/>
      </c>
      <c r="F63" t="str">
        <f>"1PQC-K344-4RCW"</f>
        <v>1PQC-K344-4RCW</v>
      </c>
      <c r="G63" t="str">
        <f>"Vehicle Antennas"</f>
        <v>Vehicle Antennas</v>
      </c>
      <c r="H63">
        <v>43.98</v>
      </c>
      <c r="I63" t="str">
        <f>"311128 antennas"</f>
        <v>311128 antennas</v>
      </c>
    </row>
    <row r="64" spans="1:10" x14ac:dyDescent="0.3">
      <c r="A64" t="str">
        <f>""</f>
        <v/>
      </c>
      <c r="F64" t="str">
        <f>"1X4X-X616-G7FD"</f>
        <v>1X4X-X616-G7FD</v>
      </c>
      <c r="G64" t="str">
        <f>"Constable JP 2 Printer"</f>
        <v>Constable JP 2 Printer</v>
      </c>
      <c r="H64">
        <v>279.99</v>
      </c>
      <c r="I64" t="str">
        <f>"MFC9130CW"</f>
        <v>MFC9130CW</v>
      </c>
    </row>
    <row r="65" spans="1:9" x14ac:dyDescent="0.3">
      <c r="A65" t="str">
        <f>""</f>
        <v/>
      </c>
      <c r="F65" t="str">
        <f>"PLANTRONICS CS 530"</f>
        <v>PLANTRONICS CS 530</v>
      </c>
      <c r="G65" t="str">
        <f>"Plantronics CS530"</f>
        <v>Plantronics CS530</v>
      </c>
      <c r="H65">
        <v>183.54</v>
      </c>
      <c r="I65" t="str">
        <f>"Plantronics CS530"</f>
        <v>Plantronics CS530</v>
      </c>
    </row>
    <row r="66" spans="1:9" x14ac:dyDescent="0.3">
      <c r="A66" t="str">
        <f>""</f>
        <v/>
      </c>
      <c r="F66" t="str">
        <f>"TICKET#7852"</f>
        <v>TICKET#7852</v>
      </c>
      <c r="G66" t="str">
        <f>"Items for Sanitation"</f>
        <v>Items for Sanitation</v>
      </c>
      <c r="H66">
        <v>98.25</v>
      </c>
      <c r="I66" t="str">
        <f>"6  LCD Digital Food"</f>
        <v>6  LCD Digital Food</v>
      </c>
    </row>
    <row r="67" spans="1:9" x14ac:dyDescent="0.3">
      <c r="A67" t="str">
        <f>""</f>
        <v/>
      </c>
      <c r="F67" t="str">
        <f>""</f>
        <v/>
      </c>
      <c r="G67" t="str">
        <f>""</f>
        <v/>
      </c>
      <c r="I67" t="str">
        <f>"Hydrion pH Strips ph"</f>
        <v>Hydrion pH Strips ph</v>
      </c>
    </row>
    <row r="68" spans="1:9" x14ac:dyDescent="0.3">
      <c r="A68" t="str">
        <f>""</f>
        <v/>
      </c>
      <c r="F68" t="str">
        <f>""</f>
        <v/>
      </c>
      <c r="G68" t="str">
        <f>""</f>
        <v/>
      </c>
      <c r="I68" t="str">
        <f>"Taylor 5989N 1  Dial"</f>
        <v>Taylor 5989N 1  Dial</v>
      </c>
    </row>
    <row r="69" spans="1:9" x14ac:dyDescent="0.3">
      <c r="A69" t="str">
        <f>""</f>
        <v/>
      </c>
      <c r="F69" t="str">
        <f>""</f>
        <v/>
      </c>
      <c r="G69" t="str">
        <f>""</f>
        <v/>
      </c>
      <c r="I69" t="str">
        <f>"100 Bart. Chlorine"</f>
        <v>100 Bart. Chlorine</v>
      </c>
    </row>
    <row r="70" spans="1:9" x14ac:dyDescent="0.3">
      <c r="A70" t="str">
        <f>"005237"</f>
        <v>005237</v>
      </c>
      <c r="B70" t="s">
        <v>26</v>
      </c>
      <c r="C70">
        <v>999999</v>
      </c>
      <c r="D70" s="2">
        <v>7.77</v>
      </c>
      <c r="E70" s="1">
        <v>43186</v>
      </c>
      <c r="F70" t="str">
        <f>"15 FT USB CABLE"</f>
        <v>15 FT USB CABLE</v>
      </c>
      <c r="G70" t="str">
        <f>"15 FT CABLE"</f>
        <v>15 FT CABLE</v>
      </c>
      <c r="H70">
        <v>7.77</v>
      </c>
      <c r="I70" t="str">
        <f>"15ft USB CABLE"</f>
        <v>15ft USB CABLE</v>
      </c>
    </row>
    <row r="71" spans="1:9" x14ac:dyDescent="0.3">
      <c r="A71" t="str">
        <f>"002599"</f>
        <v>002599</v>
      </c>
      <c r="B71" t="s">
        <v>27</v>
      </c>
      <c r="C71">
        <v>75568</v>
      </c>
      <c r="D71" s="2">
        <v>70.02</v>
      </c>
      <c r="E71" s="1">
        <v>43171</v>
      </c>
      <c r="F71" t="str">
        <f>"25212-2"</f>
        <v>25212-2</v>
      </c>
      <c r="G71" t="str">
        <f>"CUST#100031/PCT#3"</f>
        <v>CUST#100031/PCT#3</v>
      </c>
      <c r="H71">
        <v>50.14</v>
      </c>
      <c r="I71" t="str">
        <f>"CUST#100031/PCT#3"</f>
        <v>CUST#100031/PCT#3</v>
      </c>
    </row>
    <row r="72" spans="1:9" x14ac:dyDescent="0.3">
      <c r="A72" t="str">
        <f>""</f>
        <v/>
      </c>
      <c r="F72" t="str">
        <f>"25212-3"</f>
        <v>25212-3</v>
      </c>
      <c r="G72" t="str">
        <f>"CUST#100031/PCT#3"</f>
        <v>CUST#100031/PCT#3</v>
      </c>
      <c r="H72">
        <v>19.88</v>
      </c>
      <c r="I72" t="str">
        <f>"CUST#100031/PCT#3"</f>
        <v>CUST#100031/PCT#3</v>
      </c>
    </row>
    <row r="73" spans="1:9" x14ac:dyDescent="0.3">
      <c r="A73" t="str">
        <f>"AMERIC"</f>
        <v>AMERIC</v>
      </c>
      <c r="B73" t="s">
        <v>28</v>
      </c>
      <c r="C73">
        <v>75569</v>
      </c>
      <c r="D73" s="2">
        <v>23.7</v>
      </c>
      <c r="E73" s="1">
        <v>43171</v>
      </c>
      <c r="F73" t="str">
        <f>"5307295"</f>
        <v>5307295</v>
      </c>
      <c r="G73" t="str">
        <f>"CUST#100074/ORD#1390828/PCT#3"</f>
        <v>CUST#100074/ORD#1390828/PCT#3</v>
      </c>
      <c r="H73">
        <v>23.7</v>
      </c>
      <c r="I73" t="str">
        <f>"CUST#100074/ORD#1390828/PCT#3"</f>
        <v>CUST#100074/ORD#1390828/PCT#3</v>
      </c>
    </row>
    <row r="74" spans="1:9" x14ac:dyDescent="0.3">
      <c r="A74" t="str">
        <f>"003296"</f>
        <v>003296</v>
      </c>
      <c r="B74" t="s">
        <v>29</v>
      </c>
      <c r="C74">
        <v>75831</v>
      </c>
      <c r="D74" s="2">
        <v>8508.2000000000007</v>
      </c>
      <c r="E74" s="1">
        <v>43185</v>
      </c>
      <c r="F74" t="str">
        <f>"S104691745"</f>
        <v>S104691745</v>
      </c>
      <c r="G74" t="str">
        <f>"CUST#379865/PCT#2"</f>
        <v>CUST#379865/PCT#2</v>
      </c>
      <c r="H74">
        <v>4545.8</v>
      </c>
      <c r="I74" t="str">
        <f>"CUST#379865/PCT#2"</f>
        <v>CUST#379865/PCT#2</v>
      </c>
    </row>
    <row r="75" spans="1:9" x14ac:dyDescent="0.3">
      <c r="A75" t="str">
        <f>""</f>
        <v/>
      </c>
      <c r="F75" t="str">
        <f>"S104748604"</f>
        <v>S104748604</v>
      </c>
      <c r="G75" t="str">
        <f>"CUST#379865/PCT#2"</f>
        <v>CUST#379865/PCT#2</v>
      </c>
      <c r="H75">
        <v>3962.4</v>
      </c>
      <c r="I75" t="str">
        <f>"CUST#379865/PCT#2"</f>
        <v>CUST#379865/PCT#2</v>
      </c>
    </row>
    <row r="76" spans="1:9" x14ac:dyDescent="0.3">
      <c r="A76" t="str">
        <f>"002148"</f>
        <v>002148</v>
      </c>
      <c r="B76" t="s">
        <v>30</v>
      </c>
      <c r="C76">
        <v>75570</v>
      </c>
      <c r="D76" s="2">
        <v>243.27</v>
      </c>
      <c r="E76" s="1">
        <v>43171</v>
      </c>
      <c r="F76" t="str">
        <f>"933257685/93257686"</f>
        <v>933257685/93257686</v>
      </c>
      <c r="G76" t="str">
        <f>"INV 933257685"</f>
        <v>INV 933257685</v>
      </c>
      <c r="H76">
        <v>243.27</v>
      </c>
      <c r="I76" t="str">
        <f>"INV 933257685"</f>
        <v>INV 933257685</v>
      </c>
    </row>
    <row r="77" spans="1:9" x14ac:dyDescent="0.3">
      <c r="A77" t="str">
        <f>""</f>
        <v/>
      </c>
      <c r="F77" t="str">
        <f>""</f>
        <v/>
      </c>
      <c r="G77" t="str">
        <f>""</f>
        <v/>
      </c>
      <c r="I77" t="str">
        <f>"INV 933257686"</f>
        <v>INV 933257686</v>
      </c>
    </row>
    <row r="78" spans="1:9" x14ac:dyDescent="0.3">
      <c r="A78" t="str">
        <f>"T14545"</f>
        <v>T14545</v>
      </c>
      <c r="B78" t="s">
        <v>31</v>
      </c>
      <c r="C78">
        <v>75832</v>
      </c>
      <c r="D78" s="2">
        <v>675</v>
      </c>
      <c r="E78" s="1">
        <v>43185</v>
      </c>
      <c r="F78" t="str">
        <f>"108102"</f>
        <v>108102</v>
      </c>
      <c r="G78" t="str">
        <f>"BBM APPLICATIONS/ELECTIONS"</f>
        <v>BBM APPLICATIONS/ELECTIONS</v>
      </c>
      <c r="H78">
        <v>675</v>
      </c>
      <c r="I78" t="str">
        <f>"BBM APPLICATIONS/ELECTIONS"</f>
        <v>BBM APPLICATIONS/ELECTIONS</v>
      </c>
    </row>
    <row r="79" spans="1:9" x14ac:dyDescent="0.3">
      <c r="A79" t="str">
        <f>"T7520"</f>
        <v>T7520</v>
      </c>
      <c r="B79" t="s">
        <v>32</v>
      </c>
      <c r="C79">
        <v>999999</v>
      </c>
      <c r="D79" s="2">
        <v>4207.5</v>
      </c>
      <c r="E79" s="1">
        <v>43172</v>
      </c>
      <c r="F79" t="str">
        <f>"201803018916"</f>
        <v>201803018916</v>
      </c>
      <c r="G79" t="str">
        <f>"15 018"</f>
        <v>15 018</v>
      </c>
      <c r="H79">
        <v>400</v>
      </c>
      <c r="I79" t="str">
        <f>"15 018"</f>
        <v>15 018</v>
      </c>
    </row>
    <row r="80" spans="1:9" x14ac:dyDescent="0.3">
      <c r="A80" t="str">
        <f>""</f>
        <v/>
      </c>
      <c r="F80" t="str">
        <f>"201803028944"</f>
        <v>201803028944</v>
      </c>
      <c r="G80" t="str">
        <f>"15-17399"</f>
        <v>15-17399</v>
      </c>
      <c r="H80">
        <v>850</v>
      </c>
      <c r="I80" t="str">
        <f>"15-17399"</f>
        <v>15-17399</v>
      </c>
    </row>
    <row r="81" spans="1:9" x14ac:dyDescent="0.3">
      <c r="A81" t="str">
        <f>""</f>
        <v/>
      </c>
      <c r="F81" t="str">
        <f>"201803028945"</f>
        <v>201803028945</v>
      </c>
      <c r="G81" t="str">
        <f>"17-18535"</f>
        <v>17-18535</v>
      </c>
      <c r="H81">
        <v>580</v>
      </c>
      <c r="I81" t="str">
        <f>"17-18535"</f>
        <v>17-18535</v>
      </c>
    </row>
    <row r="82" spans="1:9" x14ac:dyDescent="0.3">
      <c r="A82" t="str">
        <f>""</f>
        <v/>
      </c>
      <c r="F82" t="str">
        <f>"201803028946"</f>
        <v>201803028946</v>
      </c>
      <c r="G82" t="str">
        <f>"16-17944"</f>
        <v>16-17944</v>
      </c>
      <c r="H82">
        <v>790</v>
      </c>
      <c r="I82" t="str">
        <f>"16-17944"</f>
        <v>16-17944</v>
      </c>
    </row>
    <row r="83" spans="1:9" x14ac:dyDescent="0.3">
      <c r="A83" t="str">
        <f>""</f>
        <v/>
      </c>
      <c r="F83" t="str">
        <f>"201803028947"</f>
        <v>201803028947</v>
      </c>
      <c r="G83" t="str">
        <f>"17-18615"</f>
        <v>17-18615</v>
      </c>
      <c r="H83">
        <v>167.5</v>
      </c>
      <c r="I83" t="str">
        <f>"17-18615"</f>
        <v>17-18615</v>
      </c>
    </row>
    <row r="84" spans="1:9" x14ac:dyDescent="0.3">
      <c r="A84" t="str">
        <f>""</f>
        <v/>
      </c>
      <c r="F84" t="str">
        <f>"201803028950"</f>
        <v>201803028950</v>
      </c>
      <c r="G84" t="str">
        <f>"17-18392"</f>
        <v>17-18392</v>
      </c>
      <c r="H84">
        <v>295</v>
      </c>
      <c r="I84" t="str">
        <f>"17-18392"</f>
        <v>17-18392</v>
      </c>
    </row>
    <row r="85" spans="1:9" x14ac:dyDescent="0.3">
      <c r="A85" t="str">
        <f>""</f>
        <v/>
      </c>
      <c r="F85" t="str">
        <f>"201803028960"</f>
        <v>201803028960</v>
      </c>
      <c r="G85" t="str">
        <f>"55 349/55 350/55 591/55 592"</f>
        <v>55 349/55 350/55 591/55 592</v>
      </c>
      <c r="H85">
        <v>625</v>
      </c>
      <c r="I85" t="str">
        <f>"55 349/55 350/55 591/55 592"</f>
        <v>55 349/55 350/55 591/55 592</v>
      </c>
    </row>
    <row r="86" spans="1:9" x14ac:dyDescent="0.3">
      <c r="A86" t="str">
        <f>""</f>
        <v/>
      </c>
      <c r="F86" t="str">
        <f>"201803028965"</f>
        <v>201803028965</v>
      </c>
      <c r="G86" t="str">
        <f>"55 127"</f>
        <v>55 127</v>
      </c>
      <c r="H86">
        <v>250</v>
      </c>
      <c r="I86" t="str">
        <f>"55 127"</f>
        <v>55 127</v>
      </c>
    </row>
    <row r="87" spans="1:9" x14ac:dyDescent="0.3">
      <c r="A87" t="str">
        <f>""</f>
        <v/>
      </c>
      <c r="F87" t="str">
        <f>"201803028966"</f>
        <v>201803028966</v>
      </c>
      <c r="G87" t="str">
        <f>"54 349"</f>
        <v>54 349</v>
      </c>
      <c r="H87">
        <v>250</v>
      </c>
      <c r="I87" t="str">
        <f>"54 349"</f>
        <v>54 349</v>
      </c>
    </row>
    <row r="88" spans="1:9" x14ac:dyDescent="0.3">
      <c r="A88" t="str">
        <f>"AMC"</f>
        <v>AMC</v>
      </c>
      <c r="B88" t="s">
        <v>33</v>
      </c>
      <c r="C88">
        <v>75571</v>
      </c>
      <c r="D88" s="2">
        <v>145.88999999999999</v>
      </c>
      <c r="E88" s="1">
        <v>43171</v>
      </c>
      <c r="F88" t="str">
        <f>"A45391"</f>
        <v>A45391</v>
      </c>
      <c r="G88" t="str">
        <f>"CUST#400510/PCT#1"</f>
        <v>CUST#400510/PCT#1</v>
      </c>
      <c r="H88">
        <v>145.88999999999999</v>
      </c>
      <c r="I88" t="str">
        <f>"CUST#400510/PCT#1"</f>
        <v>CUST#400510/PCT#1</v>
      </c>
    </row>
    <row r="89" spans="1:9" x14ac:dyDescent="0.3">
      <c r="A89" t="str">
        <f>"AMC"</f>
        <v>AMC</v>
      </c>
      <c r="B89" t="s">
        <v>33</v>
      </c>
      <c r="C89">
        <v>75833</v>
      </c>
      <c r="D89" s="2">
        <v>27.5</v>
      </c>
      <c r="E89" s="1">
        <v>43185</v>
      </c>
      <c r="F89" t="str">
        <f>"A45393"</f>
        <v>A45393</v>
      </c>
      <c r="G89" t="str">
        <f>"PARTS/PCT#1"</f>
        <v>PARTS/PCT#1</v>
      </c>
      <c r="H89">
        <v>27.5</v>
      </c>
      <c r="I89" t="str">
        <f>"PARTS/PCT#1"</f>
        <v>PARTS/PCT#1</v>
      </c>
    </row>
    <row r="90" spans="1:9" x14ac:dyDescent="0.3">
      <c r="A90" t="str">
        <f>"005444"</f>
        <v>005444</v>
      </c>
      <c r="B90" t="s">
        <v>34</v>
      </c>
      <c r="C90">
        <v>75572</v>
      </c>
      <c r="D90" s="2">
        <v>693</v>
      </c>
      <c r="E90" s="1">
        <v>43171</v>
      </c>
      <c r="F90" t="str">
        <f>"LG0218-071"</f>
        <v>LG0218-071</v>
      </c>
      <c r="G90" t="str">
        <f>"DRUG SCREEN/TRAVEL 11-14658"</f>
        <v>DRUG SCREEN/TRAVEL 11-14658</v>
      </c>
      <c r="H90">
        <v>693</v>
      </c>
      <c r="I90" t="str">
        <f>"DRUG SCREEN/TRAVEL 11-14658"</f>
        <v>DRUG SCREEN/TRAVEL 11-14658</v>
      </c>
    </row>
    <row r="91" spans="1:9" x14ac:dyDescent="0.3">
      <c r="A91" t="str">
        <f>"002661"</f>
        <v>002661</v>
      </c>
      <c r="B91" t="s">
        <v>35</v>
      </c>
      <c r="C91">
        <v>75573</v>
      </c>
      <c r="D91" s="2">
        <v>19.170000000000002</v>
      </c>
      <c r="E91" s="1">
        <v>43171</v>
      </c>
      <c r="F91" t="str">
        <f>"1802-381211"</f>
        <v>1802-381211</v>
      </c>
      <c r="G91" t="str">
        <f>"ACCT#3-3053/PCT#2"</f>
        <v>ACCT#3-3053/PCT#2</v>
      </c>
      <c r="H91">
        <v>19.170000000000002</v>
      </c>
      <c r="I91" t="str">
        <f>"ACCT#3-3053/PCT#2"</f>
        <v>ACCT#3-3053/PCT#2</v>
      </c>
    </row>
    <row r="92" spans="1:9" x14ac:dyDescent="0.3">
      <c r="A92" t="str">
        <f>"004902"</f>
        <v>004902</v>
      </c>
      <c r="B92" t="s">
        <v>36</v>
      </c>
      <c r="C92">
        <v>999999</v>
      </c>
      <c r="D92" s="2">
        <v>1262.24</v>
      </c>
      <c r="E92" s="1">
        <v>43172</v>
      </c>
      <c r="F92" t="str">
        <f>"201802288909"</f>
        <v>201802288909</v>
      </c>
      <c r="G92" t="str">
        <f>"REIMBURSE-LODGING"</f>
        <v>REIMBURSE-LODGING</v>
      </c>
      <c r="H92">
        <v>109.65</v>
      </c>
      <c r="I92" t="str">
        <f>"REIMBURSE-LODGING"</f>
        <v>REIMBURSE-LODGING</v>
      </c>
    </row>
    <row r="93" spans="1:9" x14ac:dyDescent="0.3">
      <c r="A93" t="str">
        <f>""</f>
        <v/>
      </c>
      <c r="F93" t="str">
        <f>"201802288910"</f>
        <v>201802288910</v>
      </c>
      <c r="G93" t="str">
        <f>"REIMBURSE MEALS/LODGING"</f>
        <v>REIMBURSE MEALS/LODGING</v>
      </c>
      <c r="H93">
        <v>212.46</v>
      </c>
      <c r="I93" t="str">
        <f>"REIMBURSE MEALS/LODGING"</f>
        <v>REIMBURSE MEALS/LODGING</v>
      </c>
    </row>
    <row r="94" spans="1:9" x14ac:dyDescent="0.3">
      <c r="A94" t="str">
        <f>""</f>
        <v/>
      </c>
      <c r="F94" t="str">
        <f>"201803059215"</f>
        <v>201803059215</v>
      </c>
      <c r="G94" t="str">
        <f>"MILEAGE REIMBURSEMENT"</f>
        <v>MILEAGE REIMBURSEMENT</v>
      </c>
      <c r="H94">
        <v>940.13</v>
      </c>
      <c r="I94" t="str">
        <f>"MILEAGE REIMBURSEMENT"</f>
        <v>MILEAGE REIMBURSEMENT</v>
      </c>
    </row>
    <row r="95" spans="1:9" x14ac:dyDescent="0.3">
      <c r="A95" t="str">
        <f>"AQUAB"</f>
        <v>AQUAB</v>
      </c>
      <c r="B95" t="s">
        <v>37</v>
      </c>
      <c r="C95">
        <v>75574</v>
      </c>
      <c r="D95" s="2">
        <v>560.11</v>
      </c>
      <c r="E95" s="1">
        <v>43171</v>
      </c>
      <c r="F95" t="str">
        <f>"201803059209"</f>
        <v>201803059209</v>
      </c>
      <c r="G95" t="str">
        <f>"ACCT#010835/PCT#1"</f>
        <v>ACCT#010835/PCT#1</v>
      </c>
      <c r="H95">
        <v>-6</v>
      </c>
      <c r="I95" t="str">
        <f>"ACCT#010835/PCT#1"</f>
        <v>ACCT#010835/PCT#1</v>
      </c>
    </row>
    <row r="96" spans="1:9" x14ac:dyDescent="0.3">
      <c r="A96" t="str">
        <f>""</f>
        <v/>
      </c>
      <c r="F96" t="str">
        <f>"201803058974"</f>
        <v>201803058974</v>
      </c>
      <c r="G96" t="str">
        <f>"ACCT#010057/AUDITOR"</f>
        <v>ACCT#010057/AUDITOR</v>
      </c>
      <c r="H96">
        <v>24</v>
      </c>
      <c r="I96" t="str">
        <f>"ACCT#010057/AUDITOR"</f>
        <v>ACCT#010057/AUDITOR</v>
      </c>
    </row>
    <row r="97" spans="1:9" x14ac:dyDescent="0.3">
      <c r="A97" t="str">
        <f>""</f>
        <v/>
      </c>
      <c r="F97" t="str">
        <f>"201803058975"</f>
        <v>201803058975</v>
      </c>
      <c r="G97" t="str">
        <f>"ACCT#011474/ELECTIONS"</f>
        <v>ACCT#011474/ELECTIONS</v>
      </c>
      <c r="H97">
        <v>2.5</v>
      </c>
      <c r="I97" t="str">
        <f>"ACCT#011474/ELECTIONS"</f>
        <v>ACCT#011474/ELECTIONS</v>
      </c>
    </row>
    <row r="98" spans="1:9" x14ac:dyDescent="0.3">
      <c r="A98" t="str">
        <f>""</f>
        <v/>
      </c>
      <c r="F98" t="str">
        <f>"201803058978"</f>
        <v>201803058978</v>
      </c>
      <c r="G98" t="str">
        <f>"ACCT#011280/COUNTY CLERK"</f>
        <v>ACCT#011280/COUNTY CLERK</v>
      </c>
      <c r="H98">
        <v>31.5</v>
      </c>
      <c r="I98" t="str">
        <f>"ACCT#011280/COUNTY CLERK"</f>
        <v>ACCT#011280/COUNTY CLERK</v>
      </c>
    </row>
    <row r="99" spans="1:9" x14ac:dyDescent="0.3">
      <c r="A99" t="str">
        <f>""</f>
        <v/>
      </c>
      <c r="F99" t="str">
        <f>"201803058979"</f>
        <v>201803058979</v>
      </c>
      <c r="G99" t="str">
        <f>"ACCT#010602/COMMISSIONER"</f>
        <v>ACCT#010602/COMMISSIONER</v>
      </c>
      <c r="H99">
        <v>18</v>
      </c>
      <c r="I99" t="str">
        <f>"ACCT#010602/COMMISSIONER"</f>
        <v>ACCT#010602/COMMISSIONER</v>
      </c>
    </row>
    <row r="100" spans="1:9" x14ac:dyDescent="0.3">
      <c r="A100" t="str">
        <f>""</f>
        <v/>
      </c>
      <c r="F100" t="str">
        <f>"201803059206"</f>
        <v>201803059206</v>
      </c>
      <c r="G100" t="str">
        <f>"ACCT#013789/BASTROP COUNTY"</f>
        <v>ACCT#013789/BASTROP COUNTY</v>
      </c>
      <c r="H100">
        <v>41.84</v>
      </c>
      <c r="I100" t="str">
        <f>"ACCT#013789/BASTROP COUNTY"</f>
        <v>ACCT#013789/BASTROP COUNTY</v>
      </c>
    </row>
    <row r="101" spans="1:9" x14ac:dyDescent="0.3">
      <c r="A101" t="str">
        <f>""</f>
        <v/>
      </c>
      <c r="F101" t="str">
        <f>"201803059207"</f>
        <v>201803059207</v>
      </c>
      <c r="G101" t="str">
        <f>"ACCT#015199/JP #1"</f>
        <v>ACCT#015199/JP #1</v>
      </c>
      <c r="H101">
        <v>16.5</v>
      </c>
      <c r="I101" t="str">
        <f>"ACCT#015199/JP #1"</f>
        <v>ACCT#015199/JP #1</v>
      </c>
    </row>
    <row r="102" spans="1:9" x14ac:dyDescent="0.3">
      <c r="A102" t="str">
        <f>""</f>
        <v/>
      </c>
      <c r="F102" t="str">
        <f>"201803059210"</f>
        <v>201803059210</v>
      </c>
      <c r="G102" t="str">
        <f>"ACCT#010149/AGRI LIFE EXTEN"</f>
        <v>ACCT#010149/AGRI LIFE EXTEN</v>
      </c>
      <c r="H102">
        <v>33.840000000000003</v>
      </c>
      <c r="I102" t="str">
        <f>"ACCT#010149/AGRI LIFE EXTEN"</f>
        <v>ACCT#010149/AGRI LIFE EXTEN</v>
      </c>
    </row>
    <row r="103" spans="1:9" x14ac:dyDescent="0.3">
      <c r="A103" t="str">
        <f>""</f>
        <v/>
      </c>
      <c r="F103" t="str">
        <f>"201803069221"</f>
        <v>201803069221</v>
      </c>
      <c r="G103" t="str">
        <f>"ACCT#010238/GENERAL SERVICES"</f>
        <v>ACCT#010238/GENERAL SERVICES</v>
      </c>
      <c r="H103">
        <v>78.25</v>
      </c>
      <c r="I103" t="str">
        <f>"ACCT#010238/GENERAL SERVICES"</f>
        <v>ACCT#010238/GENERAL SERVICES</v>
      </c>
    </row>
    <row r="104" spans="1:9" x14ac:dyDescent="0.3">
      <c r="A104" t="str">
        <f>""</f>
        <v/>
      </c>
      <c r="F104" t="str">
        <f>"201803079257"</f>
        <v>201803079257</v>
      </c>
      <c r="G104" t="str">
        <f>"ACCT#014737/ANIMAL SERVICE"</f>
        <v>ACCT#014737/ANIMAL SERVICE</v>
      </c>
      <c r="H104">
        <v>57.34</v>
      </c>
      <c r="I104" t="str">
        <f>"ACCT#014737/ANIMAL SERVICE"</f>
        <v>ACCT#014737/ANIMAL SERVICE</v>
      </c>
    </row>
    <row r="105" spans="1:9" x14ac:dyDescent="0.3">
      <c r="A105" t="str">
        <f>""</f>
        <v/>
      </c>
      <c r="F105" t="str">
        <f>"201803079299"</f>
        <v>201803079299</v>
      </c>
      <c r="G105" t="str">
        <f>"ACCT#013393/HR"</f>
        <v>ACCT#013393/HR</v>
      </c>
      <c r="H105">
        <v>17.5</v>
      </c>
      <c r="I105" t="str">
        <f>"ACCT#013393/HR"</f>
        <v>ACCT#013393/HR</v>
      </c>
    </row>
    <row r="106" spans="1:9" x14ac:dyDescent="0.3">
      <c r="A106" t="str">
        <f>""</f>
        <v/>
      </c>
      <c r="F106" t="str">
        <f>"201803079300"</f>
        <v>201803079300</v>
      </c>
      <c r="G106" t="str">
        <f>"ACCT#014877/OEM"</f>
        <v>ACCT#014877/OEM</v>
      </c>
      <c r="H106">
        <v>9</v>
      </c>
      <c r="I106" t="str">
        <f>"ACCT#014877/OEM"</f>
        <v>ACCT#014877/OEM</v>
      </c>
    </row>
    <row r="107" spans="1:9" x14ac:dyDescent="0.3">
      <c r="A107" t="str">
        <f>""</f>
        <v/>
      </c>
      <c r="F107" t="str">
        <f>"201803079341"</f>
        <v>201803079341</v>
      </c>
      <c r="G107" t="str">
        <f>"ACCT#011033/IT DEPT"</f>
        <v>ACCT#011033/IT DEPT</v>
      </c>
      <c r="H107">
        <v>24</v>
      </c>
      <c r="I107" t="str">
        <f>"ACCT#011033/IT DEPT"</f>
        <v>ACCT#011033/IT DEPT</v>
      </c>
    </row>
    <row r="108" spans="1:9" x14ac:dyDescent="0.3">
      <c r="A108" t="str">
        <f>""</f>
        <v/>
      </c>
      <c r="F108" t="str">
        <f>"225098"</f>
        <v>225098</v>
      </c>
      <c r="G108" t="str">
        <f>"ACCT#012260/D.A.'S OFFICE"</f>
        <v>ACCT#012260/D.A.'S OFFICE</v>
      </c>
      <c r="H108">
        <v>52.5</v>
      </c>
      <c r="I108" t="str">
        <f>"ACCT#012260/D.A.'S OFFICE"</f>
        <v>ACCT#012260/D.A.'S OFFICE</v>
      </c>
    </row>
    <row r="109" spans="1:9" x14ac:dyDescent="0.3">
      <c r="A109" t="str">
        <f>""</f>
        <v/>
      </c>
      <c r="F109" t="str">
        <f>"225690/227962"</f>
        <v>225690/227962</v>
      </c>
      <c r="G109" t="str">
        <f>"ACCT#015538/EMER. COMM."</f>
        <v>ACCT#015538/EMER. COMM.</v>
      </c>
      <c r="H109">
        <v>125.34</v>
      </c>
      <c r="I109" t="str">
        <f>"ACCT#015538/EMER. COMM."</f>
        <v>ACCT#015538/EMER. COMM.</v>
      </c>
    </row>
    <row r="110" spans="1:9" x14ac:dyDescent="0.3">
      <c r="A110" t="str">
        <f>""</f>
        <v/>
      </c>
      <c r="F110" t="str">
        <f>"226978"</f>
        <v>226978</v>
      </c>
      <c r="G110" t="str">
        <f>"ACCT#010111/CCAL-BASTROP"</f>
        <v>ACCT#010111/CCAL-BASTROP</v>
      </c>
      <c r="H110">
        <v>13</v>
      </c>
      <c r="I110" t="str">
        <f>"ACCT#010111/CCAL-BASTROP"</f>
        <v>ACCT#010111/CCAL-BASTROP</v>
      </c>
    </row>
    <row r="111" spans="1:9" x14ac:dyDescent="0.3">
      <c r="A111" t="str">
        <f>""</f>
        <v/>
      </c>
      <c r="F111" t="str">
        <f>"227213"</f>
        <v>227213</v>
      </c>
      <c r="G111" t="str">
        <f>"ACCT#011955/DISTRICT JUDGE"</f>
        <v>ACCT#011955/DISTRICT JUDGE</v>
      </c>
      <c r="H111">
        <v>3</v>
      </c>
      <c r="I111" t="str">
        <f>"ACCT#011955/DISTRICT JUDGE"</f>
        <v>ACCT#011955/DISTRICT JUDGE</v>
      </c>
    </row>
    <row r="112" spans="1:9" x14ac:dyDescent="0.3">
      <c r="A112" t="str">
        <f>""</f>
        <v/>
      </c>
      <c r="F112" t="str">
        <f>"227311"</f>
        <v>227311</v>
      </c>
      <c r="G112" t="str">
        <f>"ACCT#01257/TREASURER'S OFFICE"</f>
        <v>ACCT#01257/TREASURER'S OFFICE</v>
      </c>
      <c r="H112">
        <v>9</v>
      </c>
      <c r="I112" t="str">
        <f>"ACCT#01257/TREASURER'S OFFICE"</f>
        <v>ACCT#01257/TREASURER'S OFFICE</v>
      </c>
    </row>
    <row r="113" spans="1:9" x14ac:dyDescent="0.3">
      <c r="A113" t="str">
        <f>""</f>
        <v/>
      </c>
      <c r="F113" t="str">
        <f>"227347"</f>
        <v>227347</v>
      </c>
      <c r="G113" t="str">
        <f>"ACCT#012803/JUDGE"</f>
        <v>ACCT#012803/JUDGE</v>
      </c>
      <c r="H113">
        <v>9</v>
      </c>
      <c r="I113" t="str">
        <f>"ACCT#012803/JUDGE"</f>
        <v>ACCT#012803/JUDGE</v>
      </c>
    </row>
    <row r="114" spans="1:9" x14ac:dyDescent="0.3">
      <c r="A114" t="str">
        <f>"AWS"</f>
        <v>AWS</v>
      </c>
      <c r="B114" t="s">
        <v>38</v>
      </c>
      <c r="C114">
        <v>75496</v>
      </c>
      <c r="D114" s="2">
        <v>1610.3</v>
      </c>
      <c r="E114" s="1">
        <v>43166</v>
      </c>
      <c r="F114" t="str">
        <f>"201803069234"</f>
        <v>201803069234</v>
      </c>
      <c r="G114" t="str">
        <f>"ACCT#0102120801 / 03012018"</f>
        <v>ACCT#0102120801 / 03012018</v>
      </c>
      <c r="H114">
        <v>597.94000000000005</v>
      </c>
      <c r="I114" t="str">
        <f>"ACCT#0102120801 / 03012018"</f>
        <v>ACCT#0102120801 / 03012018</v>
      </c>
    </row>
    <row r="115" spans="1:9" x14ac:dyDescent="0.3">
      <c r="A115" t="str">
        <f>""</f>
        <v/>
      </c>
      <c r="F115" t="str">
        <f>"201803069235"</f>
        <v>201803069235</v>
      </c>
      <c r="G115" t="str">
        <f>"ACCT#0201855301 / 03012018"</f>
        <v>ACCT#0201855301 / 03012018</v>
      </c>
      <c r="H115">
        <v>37.270000000000003</v>
      </c>
      <c r="I115" t="str">
        <f>"ACCT#0201855301 / 03012018"</f>
        <v>ACCT#0201855301 / 03012018</v>
      </c>
    </row>
    <row r="116" spans="1:9" x14ac:dyDescent="0.3">
      <c r="A116" t="str">
        <f>""</f>
        <v/>
      </c>
      <c r="F116" t="str">
        <f>"201803069236"</f>
        <v>201803069236</v>
      </c>
      <c r="G116" t="str">
        <f>"ACCT#0201891401 / 03012018"</f>
        <v>ACCT#0201891401 / 03012018</v>
      </c>
      <c r="H116">
        <v>25.28</v>
      </c>
      <c r="I116" t="str">
        <f>"ACCT#0201891401 / 03012018"</f>
        <v>ACCT#0201891401 / 03012018</v>
      </c>
    </row>
    <row r="117" spans="1:9" x14ac:dyDescent="0.3">
      <c r="A117" t="str">
        <f>""</f>
        <v/>
      </c>
      <c r="F117" t="str">
        <f>"201803069237"</f>
        <v>201803069237</v>
      </c>
      <c r="G117" t="str">
        <f>"ACCT#0400785803 / 03012018"</f>
        <v>ACCT#0400785803 / 03012018</v>
      </c>
      <c r="H117">
        <v>348.69</v>
      </c>
      <c r="I117" t="str">
        <f>"ACCT#0400785803 / 03012018"</f>
        <v>ACCT#0400785803 / 03012018</v>
      </c>
    </row>
    <row r="118" spans="1:9" x14ac:dyDescent="0.3">
      <c r="A118" t="str">
        <f>""</f>
        <v/>
      </c>
      <c r="F118" t="str">
        <f>"201803069238"</f>
        <v>201803069238</v>
      </c>
      <c r="G118" t="str">
        <f>"ACCT#0401408501 / 03012018"</f>
        <v>ACCT#0401408501 / 03012018</v>
      </c>
      <c r="H118">
        <v>559.6</v>
      </c>
      <c r="I118" t="str">
        <f>"ACCT#0401408501 / 03012018"</f>
        <v>ACCT#0401408501 / 03012018</v>
      </c>
    </row>
    <row r="119" spans="1:9" x14ac:dyDescent="0.3">
      <c r="A119" t="str">
        <f>""</f>
        <v/>
      </c>
      <c r="F119" t="str">
        <f>"201803069239"</f>
        <v>201803069239</v>
      </c>
      <c r="G119" t="str">
        <f>"ACCT#0800042801 / 03012018"</f>
        <v>ACCT#0800042801 / 03012018</v>
      </c>
      <c r="H119">
        <v>41.52</v>
      </c>
      <c r="I119" t="str">
        <f>"ACCT#0800042801 / 03012018"</f>
        <v>ACCT#0800042801 / 03012018</v>
      </c>
    </row>
    <row r="120" spans="1:9" x14ac:dyDescent="0.3">
      <c r="A120" t="str">
        <f>"AWS"</f>
        <v>AWS</v>
      </c>
      <c r="B120" t="s">
        <v>38</v>
      </c>
      <c r="C120">
        <v>75575</v>
      </c>
      <c r="D120" s="2">
        <v>71.75</v>
      </c>
      <c r="E120" s="1">
        <v>43171</v>
      </c>
      <c r="F120" t="str">
        <f>"201803059213"</f>
        <v>201803059213</v>
      </c>
      <c r="G120" t="str">
        <f>"ACCT#77000010024/PCT#1"</f>
        <v>ACCT#77000010024/PCT#1</v>
      </c>
      <c r="H120">
        <v>71.75</v>
      </c>
      <c r="I120" t="str">
        <f>"ACCT#77000010024/PCT#1"</f>
        <v>ACCT#77000010024/PCT#1</v>
      </c>
    </row>
    <row r="121" spans="1:9" x14ac:dyDescent="0.3">
      <c r="A121" t="str">
        <f>"AWS"</f>
        <v>AWS</v>
      </c>
      <c r="B121" t="s">
        <v>38</v>
      </c>
      <c r="C121">
        <v>75834</v>
      </c>
      <c r="D121" s="2">
        <v>584.25</v>
      </c>
      <c r="E121" s="1">
        <v>43185</v>
      </c>
      <c r="F121" t="str">
        <f>"201803149626"</f>
        <v>201803149626</v>
      </c>
      <c r="G121" t="str">
        <f>"ACCT#7700010024/5 LOADS WATER"</f>
        <v>ACCT#7700010024/5 LOADS WATER</v>
      </c>
      <c r="H121">
        <v>51.25</v>
      </c>
      <c r="I121" t="str">
        <f>"ACCT#7700010024/5 LOADS WATER"</f>
        <v>ACCT#7700010024/5 LOADS WATER</v>
      </c>
    </row>
    <row r="122" spans="1:9" x14ac:dyDescent="0.3">
      <c r="A122" t="str">
        <f>""</f>
        <v/>
      </c>
      <c r="F122" t="str">
        <f>"201803149630"</f>
        <v>201803149630</v>
      </c>
      <c r="G122" t="str">
        <f>"ACCT#7700010026/12 LDS WTR/P3"</f>
        <v>ACCT#7700010026/12 LDS WTR/P3</v>
      </c>
      <c r="H122">
        <v>123</v>
      </c>
      <c r="I122" t="str">
        <f>"ACCT#7700010026/12 LDS WTR/P3"</f>
        <v>ACCT#7700010026/12 LDS WTR/P3</v>
      </c>
    </row>
    <row r="123" spans="1:9" x14ac:dyDescent="0.3">
      <c r="A123" t="str">
        <f>""</f>
        <v/>
      </c>
      <c r="F123" t="str">
        <f>"201803149632"</f>
        <v>201803149632</v>
      </c>
      <c r="G123" t="str">
        <f>"ACCT#7700010027/40 LDS WTR/P4"</f>
        <v>ACCT#7700010027/40 LDS WTR/P4</v>
      </c>
      <c r="H123">
        <v>410</v>
      </c>
      <c r="I123" t="str">
        <f>"ACCT#7700010027/40 LDS WTR/P4"</f>
        <v>ACCT#7700010027/40 LDS WTR/P4</v>
      </c>
    </row>
    <row r="124" spans="1:9" x14ac:dyDescent="0.3">
      <c r="A124" t="str">
        <f>"003268"</f>
        <v>003268</v>
      </c>
      <c r="B124" t="s">
        <v>39</v>
      </c>
      <c r="C124">
        <v>75835</v>
      </c>
      <c r="D124" s="2">
        <v>125</v>
      </c>
      <c r="E124" s="1">
        <v>43185</v>
      </c>
      <c r="F124" t="str">
        <f>"201803209684"</f>
        <v>201803209684</v>
      </c>
      <c r="G124" t="str">
        <f>"MEETING REGISTRATION-A. LEWIS"</f>
        <v>MEETING REGISTRATION-A. LEWIS</v>
      </c>
      <c r="H124">
        <v>125</v>
      </c>
      <c r="I124" t="str">
        <f>"MEETING REGISTRATION-A. LEWIS"</f>
        <v>MEETING REGISTRATION-A. LEWIS</v>
      </c>
    </row>
    <row r="125" spans="1:9" x14ac:dyDescent="0.3">
      <c r="A125" t="str">
        <f>"005453"</f>
        <v>005453</v>
      </c>
      <c r="B125" t="s">
        <v>40</v>
      </c>
      <c r="C125">
        <v>75576</v>
      </c>
      <c r="D125" s="2">
        <v>45</v>
      </c>
      <c r="E125" s="1">
        <v>43171</v>
      </c>
      <c r="F125" t="str">
        <f>"201803089345"</f>
        <v>201803089345</v>
      </c>
      <c r="G125" t="str">
        <f>"FERAL HOGS"</f>
        <v>FERAL HOGS</v>
      </c>
      <c r="H125">
        <v>45</v>
      </c>
      <c r="I125" t="str">
        <f>"FERAL HOGS"</f>
        <v>FERAL HOGS</v>
      </c>
    </row>
    <row r="126" spans="1:9" x14ac:dyDescent="0.3">
      <c r="A126" t="str">
        <f>"004507"</f>
        <v>004507</v>
      </c>
      <c r="B126" t="s">
        <v>41</v>
      </c>
      <c r="C126">
        <v>75577</v>
      </c>
      <c r="D126" s="2">
        <v>30.04</v>
      </c>
      <c r="E126" s="1">
        <v>43171</v>
      </c>
      <c r="F126" t="str">
        <f>"201803079302"</f>
        <v>201803079302</v>
      </c>
      <c r="G126" t="str">
        <f>"GAS REIMBURSEMENT"</f>
        <v>GAS REIMBURSEMENT</v>
      </c>
      <c r="H126">
        <v>30.04</v>
      </c>
      <c r="I126" t="str">
        <f>"GAS REIMBURSEMENT"</f>
        <v>GAS REIMBURSEMENT</v>
      </c>
    </row>
    <row r="127" spans="1:9" x14ac:dyDescent="0.3">
      <c r="A127" t="str">
        <f>"005451"</f>
        <v>005451</v>
      </c>
      <c r="B127" t="s">
        <v>42</v>
      </c>
      <c r="C127">
        <v>75578</v>
      </c>
      <c r="D127" s="2">
        <v>125</v>
      </c>
      <c r="E127" s="1">
        <v>43171</v>
      </c>
      <c r="F127" t="str">
        <f>"201803079260"</f>
        <v>201803079260</v>
      </c>
      <c r="G127" t="str">
        <f>"REFUND FOR RETURNED DOG"</f>
        <v>REFUND FOR RETURNED DOG</v>
      </c>
      <c r="H127">
        <v>125</v>
      </c>
      <c r="I127" t="str">
        <f>"REFUND FOR RETURNED DOG"</f>
        <v>REFUND FOR RETURNED DOG</v>
      </c>
    </row>
    <row r="128" spans="1:9" x14ac:dyDescent="0.3">
      <c r="A128" t="str">
        <f>"003673"</f>
        <v>003673</v>
      </c>
      <c r="B128" t="s">
        <v>43</v>
      </c>
      <c r="C128">
        <v>75579</v>
      </c>
      <c r="D128" s="2">
        <v>5018.93</v>
      </c>
      <c r="E128" s="1">
        <v>43171</v>
      </c>
      <c r="F128" t="str">
        <f>"201802288908"</f>
        <v>201802288908</v>
      </c>
      <c r="G128" t="str">
        <f>"ACCT#512A490048 193 3"</f>
        <v>ACCT#512A490048 193 3</v>
      </c>
      <c r="H128">
        <v>4456.3100000000004</v>
      </c>
      <c r="I128" t="str">
        <f>"ACCT#512A490048 193 3"</f>
        <v>ACCT#512A490048 193 3</v>
      </c>
    </row>
    <row r="129" spans="1:9" x14ac:dyDescent="0.3">
      <c r="A129" t="str">
        <f>""</f>
        <v/>
      </c>
      <c r="F129" t="str">
        <f>""</f>
        <v/>
      </c>
      <c r="G129" t="str">
        <f>""</f>
        <v/>
      </c>
      <c r="I129" t="str">
        <f>"ACCT#512A490048 193 3"</f>
        <v>ACCT#512A490048 193 3</v>
      </c>
    </row>
    <row r="130" spans="1:9" x14ac:dyDescent="0.3">
      <c r="A130" t="str">
        <f>""</f>
        <v/>
      </c>
      <c r="F130" t="str">
        <f>"201802288911"</f>
        <v>201802288911</v>
      </c>
      <c r="G130" t="str">
        <f>"ACCT#512A49-0048 193 3"</f>
        <v>ACCT#512A49-0048 193 3</v>
      </c>
      <c r="H130">
        <v>245.19</v>
      </c>
      <c r="I130" t="str">
        <f>"ACCT#512A49-0048 193 3"</f>
        <v>ACCT#512A49-0048 193 3</v>
      </c>
    </row>
    <row r="131" spans="1:9" x14ac:dyDescent="0.3">
      <c r="A131" t="str">
        <f>""</f>
        <v/>
      </c>
      <c r="F131" t="str">
        <f>"201802288912"</f>
        <v>201802288912</v>
      </c>
      <c r="G131" t="str">
        <f>"ACCT#512A49-0048 193 3"</f>
        <v>ACCT#512A49-0048 193 3</v>
      </c>
      <c r="H131">
        <v>136.01</v>
      </c>
      <c r="I131" t="str">
        <f>"ACCT#512A49-0048 193 3"</f>
        <v>ACCT#512A49-0048 193 3</v>
      </c>
    </row>
    <row r="132" spans="1:9" x14ac:dyDescent="0.3">
      <c r="A132" t="str">
        <f>""</f>
        <v/>
      </c>
      <c r="F132" t="str">
        <f>"201803018914"</f>
        <v>201803018914</v>
      </c>
      <c r="G132" t="str">
        <f>"ACCT#512A49-0048 193 3"</f>
        <v>ACCT#512A49-0048 193 3</v>
      </c>
      <c r="H132">
        <v>181.42</v>
      </c>
      <c r="I132" t="str">
        <f>"ACCT#512A49-0048 193 3"</f>
        <v>ACCT#512A49-0048 193 3</v>
      </c>
    </row>
    <row r="133" spans="1:9" x14ac:dyDescent="0.3">
      <c r="A133" t="str">
        <f>"AT&amp;TLO"</f>
        <v>AT&amp;TLO</v>
      </c>
      <c r="B133" t="s">
        <v>44</v>
      </c>
      <c r="C133">
        <v>75836</v>
      </c>
      <c r="D133" s="2">
        <v>2896.44</v>
      </c>
      <c r="E133" s="1">
        <v>43185</v>
      </c>
      <c r="F133" t="str">
        <f>"0563390401"</f>
        <v>0563390401</v>
      </c>
      <c r="G133" t="str">
        <f>"ACCT#831-000-7218 923"</f>
        <v>ACCT#831-000-7218 923</v>
      </c>
      <c r="H133">
        <v>990.65</v>
      </c>
      <c r="I133" t="str">
        <f>"ACCT#831-000-7218 923"</f>
        <v>ACCT#831-000-7218 923</v>
      </c>
    </row>
    <row r="134" spans="1:9" x14ac:dyDescent="0.3">
      <c r="A134" t="str">
        <f>""</f>
        <v/>
      </c>
      <c r="F134" t="str">
        <f>"4833600409"</f>
        <v>4833600409</v>
      </c>
      <c r="G134" t="str">
        <f>"ACCT#831-000-6084 095"</f>
        <v>ACCT#831-000-6084 095</v>
      </c>
      <c r="H134">
        <v>1905.79</v>
      </c>
      <c r="I134" t="str">
        <f>"ACCT#831-000-6084 095"</f>
        <v>ACCT#831-000-6084 095</v>
      </c>
    </row>
    <row r="135" spans="1:9" x14ac:dyDescent="0.3">
      <c r="A135" t="str">
        <f>"T7386"</f>
        <v>T7386</v>
      </c>
      <c r="B135" t="s">
        <v>44</v>
      </c>
      <c r="C135">
        <v>75837</v>
      </c>
      <c r="D135" s="2">
        <v>1796.75</v>
      </c>
      <c r="E135" s="1">
        <v>43185</v>
      </c>
      <c r="F135" t="str">
        <f>"201803199667"</f>
        <v>201803199667</v>
      </c>
      <c r="G135" t="str">
        <f>"ACCT#512 303-1080 238 5"</f>
        <v>ACCT#512 303-1080 238 5</v>
      </c>
      <c r="H135">
        <v>1796.75</v>
      </c>
      <c r="I135" t="str">
        <f>"ACCT#512 303-1080 238 5"</f>
        <v>ACCT#512 303-1080 238 5</v>
      </c>
    </row>
    <row r="136" spans="1:9" x14ac:dyDescent="0.3">
      <c r="A136" t="str">
        <f>"AT&amp;TMO"</f>
        <v>AT&amp;TMO</v>
      </c>
      <c r="B136" t="s">
        <v>45</v>
      </c>
      <c r="C136">
        <v>75580</v>
      </c>
      <c r="D136" s="2">
        <v>1869.39</v>
      </c>
      <c r="E136" s="1">
        <v>43171</v>
      </c>
      <c r="F136" t="str">
        <f>"287263291729X02202"</f>
        <v>287263291729X02202</v>
      </c>
      <c r="G136" t="str">
        <f>"ACCT#287263291729/FAN 06062279"</f>
        <v>ACCT#287263291729/FAN 06062279</v>
      </c>
      <c r="H136">
        <v>1869.39</v>
      </c>
      <c r="I136" t="str">
        <f>"ACCT#287263291729/FAN 06062279"</f>
        <v>ACCT#287263291729/FAN 06062279</v>
      </c>
    </row>
    <row r="137" spans="1:9" x14ac:dyDescent="0.3">
      <c r="A137" t="str">
        <f>"AT&amp;T13"</f>
        <v>AT&amp;T13</v>
      </c>
      <c r="B137" t="s">
        <v>46</v>
      </c>
      <c r="C137">
        <v>75838</v>
      </c>
      <c r="D137" s="2">
        <v>116.22</v>
      </c>
      <c r="E137" s="1">
        <v>43185</v>
      </c>
      <c r="F137" t="str">
        <f>"201803149594"</f>
        <v>201803149594</v>
      </c>
      <c r="G137" t="str">
        <f>"ACCT#826392401/DPS"</f>
        <v>ACCT#826392401/DPS</v>
      </c>
      <c r="H137">
        <v>116.22</v>
      </c>
      <c r="I137" t="str">
        <f>"ACCT#826392401/DPS"</f>
        <v>ACCT#826392401/DPS</v>
      </c>
    </row>
    <row r="138" spans="1:9" x14ac:dyDescent="0.3">
      <c r="A138" t="str">
        <f>"AA-S"</f>
        <v>AA-S</v>
      </c>
      <c r="B138" t="s">
        <v>47</v>
      </c>
      <c r="C138">
        <v>75581</v>
      </c>
      <c r="D138" s="2">
        <v>60.34</v>
      </c>
      <c r="E138" s="1">
        <v>43171</v>
      </c>
      <c r="F138" t="str">
        <f>"309566"</f>
        <v>309566</v>
      </c>
      <c r="G138" t="str">
        <f>"Ad#309566"</f>
        <v>Ad#309566</v>
      </c>
      <c r="H138">
        <v>60.34</v>
      </c>
      <c r="I138" t="str">
        <f>"Ad#309566"</f>
        <v>Ad#309566</v>
      </c>
    </row>
    <row r="139" spans="1:9" x14ac:dyDescent="0.3">
      <c r="A139" t="str">
        <f>"003291"</f>
        <v>003291</v>
      </c>
      <c r="B139" t="s">
        <v>48</v>
      </c>
      <c r="C139">
        <v>999999</v>
      </c>
      <c r="D139" s="2">
        <v>2042.24</v>
      </c>
      <c r="E139" s="1">
        <v>43180</v>
      </c>
      <c r="F139" t="str">
        <f>"0000177223"</f>
        <v>0000177223</v>
      </c>
      <c r="G139" t="str">
        <f>"PUBLIC NOTICE"</f>
        <v>PUBLIC NOTICE</v>
      </c>
      <c r="H139">
        <v>185.76</v>
      </c>
      <c r="I139" t="str">
        <f>"PUBLIC NOTICE"</f>
        <v>PUBLIC NOTICE</v>
      </c>
    </row>
    <row r="140" spans="1:9" x14ac:dyDescent="0.3">
      <c r="A140" t="str">
        <f>""</f>
        <v/>
      </c>
      <c r="F140" t="str">
        <f>"0000195802"</f>
        <v>0000195802</v>
      </c>
      <c r="G140" t="str">
        <f>"AD ORDER-PUBLIC HEARING-GLO"</f>
        <v>AD ORDER-PUBLIC HEARING-GLO</v>
      </c>
      <c r="H140">
        <v>176.71</v>
      </c>
      <c r="I140" t="str">
        <f>"AD ORDER-PUBLIC HEARING-GLO"</f>
        <v>AD ORDER-PUBLIC HEARING-GLO</v>
      </c>
    </row>
    <row r="141" spans="1:9" x14ac:dyDescent="0.3">
      <c r="A141" t="str">
        <f>""</f>
        <v/>
      </c>
      <c r="F141" t="str">
        <f>"00149964"</f>
        <v>00149964</v>
      </c>
      <c r="G141" t="str">
        <f>"ROAD &amp; BRIDGE LABORER"</f>
        <v>ROAD &amp; BRIDGE LABORER</v>
      </c>
      <c r="H141">
        <v>493.76</v>
      </c>
      <c r="I141" t="str">
        <f>"ROAD &amp; BRIDGE LABORER"</f>
        <v>ROAD &amp; BRIDGE LABORER</v>
      </c>
    </row>
    <row r="142" spans="1:9" x14ac:dyDescent="0.3">
      <c r="A142" t="str">
        <f>""</f>
        <v/>
      </c>
      <c r="F142" t="str">
        <f>"00160324"</f>
        <v>00160324</v>
      </c>
      <c r="G142" t="str">
        <f>"EMPLOYMENT AD"</f>
        <v>EMPLOYMENT AD</v>
      </c>
      <c r="H142">
        <v>493.76</v>
      </c>
      <c r="I142" t="str">
        <f>"EMPLOYMENT AD"</f>
        <v>EMPLOYMENT AD</v>
      </c>
    </row>
    <row r="143" spans="1:9" x14ac:dyDescent="0.3">
      <c r="A143" t="str">
        <f>""</f>
        <v/>
      </c>
      <c r="F143" t="str">
        <f>"00177223"</f>
        <v>00177223</v>
      </c>
      <c r="G143" t="str">
        <f>"PUBLIC NOTICE"</f>
        <v>PUBLIC NOTICE</v>
      </c>
      <c r="H143">
        <v>185.76</v>
      </c>
      <c r="I143" t="str">
        <f>"PUBLIC NOTICE"</f>
        <v>PUBLIC NOTICE</v>
      </c>
    </row>
    <row r="144" spans="1:9" x14ac:dyDescent="0.3">
      <c r="A144" t="str">
        <f>""</f>
        <v/>
      </c>
      <c r="F144" t="str">
        <f>"00187952"</f>
        <v>00187952</v>
      </c>
      <c r="G144" t="str">
        <f>"LEGAL NOTICE"</f>
        <v>LEGAL NOTICE</v>
      </c>
      <c r="H144">
        <v>64.650000000000006</v>
      </c>
      <c r="I144" t="str">
        <f>"LEGAL NOTICE"</f>
        <v>LEGAL NOTICE</v>
      </c>
    </row>
    <row r="145" spans="1:9" x14ac:dyDescent="0.3">
      <c r="A145" t="str">
        <f>""</f>
        <v/>
      </c>
      <c r="F145" t="str">
        <f>"701520"</f>
        <v>701520</v>
      </c>
      <c r="G145" t="str">
        <f>"PUBLIC NOTICE"</f>
        <v>PUBLIC NOTICE</v>
      </c>
      <c r="H145">
        <v>77.760000000000005</v>
      </c>
      <c r="I145" t="str">
        <f>"PUBLIC NOTICE"</f>
        <v>PUBLIC NOTICE</v>
      </c>
    </row>
    <row r="146" spans="1:9" x14ac:dyDescent="0.3">
      <c r="A146" t="str">
        <f>""</f>
        <v/>
      </c>
      <c r="F146" t="str">
        <f>"724969"</f>
        <v>724969</v>
      </c>
      <c r="G146" t="str">
        <f>"LEGAL NOTICE"</f>
        <v>LEGAL NOTICE</v>
      </c>
      <c r="H146">
        <v>115.08</v>
      </c>
      <c r="I146" t="str">
        <f>"LEGAL NOTICE"</f>
        <v>LEGAL NOTICE</v>
      </c>
    </row>
    <row r="147" spans="1:9" x14ac:dyDescent="0.3">
      <c r="A147" t="str">
        <f>""</f>
        <v/>
      </c>
      <c r="F147" t="str">
        <f>"724996"</f>
        <v>724996</v>
      </c>
      <c r="G147" t="str">
        <f>"LEGAL NOTICE"</f>
        <v>LEGAL NOTICE</v>
      </c>
      <c r="H147">
        <v>115.08</v>
      </c>
      <c r="I147" t="str">
        <f>"LEGAL NOTICE"</f>
        <v>LEGAL NOTICE</v>
      </c>
    </row>
    <row r="148" spans="1:9" x14ac:dyDescent="0.3">
      <c r="A148" t="str">
        <f>""</f>
        <v/>
      </c>
      <c r="F148" t="str">
        <f>"732039"</f>
        <v>732039</v>
      </c>
      <c r="G148" t="str">
        <f>"PUBLIC NOTICE - SURPLUS"</f>
        <v>PUBLIC NOTICE - SURPLUS</v>
      </c>
      <c r="H148">
        <v>133.91999999999999</v>
      </c>
      <c r="I148" t="str">
        <f>"PUBLIC NOTICE - SURPLUS"</f>
        <v>PUBLIC NOTICE - SURPLUS</v>
      </c>
    </row>
    <row r="149" spans="1:9" x14ac:dyDescent="0.3">
      <c r="A149" t="str">
        <f>"003291"</f>
        <v>003291</v>
      </c>
      <c r="B149" t="s">
        <v>48</v>
      </c>
      <c r="C149">
        <v>999999</v>
      </c>
      <c r="D149" s="2">
        <v>150.85</v>
      </c>
      <c r="E149" s="1">
        <v>43186</v>
      </c>
      <c r="F149" t="str">
        <f>"307105"</f>
        <v>307105</v>
      </c>
      <c r="G149" t="str">
        <f>"Ad# 307105"</f>
        <v>Ad# 307105</v>
      </c>
      <c r="H149">
        <v>150.85</v>
      </c>
      <c r="I149" t="str">
        <f>"Ad# 307105"</f>
        <v>Ad# 307105</v>
      </c>
    </row>
    <row r="150" spans="1:9" x14ac:dyDescent="0.3">
      <c r="A150" t="str">
        <f>"T13587"</f>
        <v>T13587</v>
      </c>
      <c r="B150" t="s">
        <v>49</v>
      </c>
      <c r="C150">
        <v>999999</v>
      </c>
      <c r="D150" s="2">
        <v>6300</v>
      </c>
      <c r="E150" s="1">
        <v>43172</v>
      </c>
      <c r="F150" t="str">
        <f>"17-1213 REV"</f>
        <v>17-1213 REV</v>
      </c>
      <c r="G150" t="str">
        <f>"Quote#Q170494"</f>
        <v>Quote#Q170494</v>
      </c>
      <c r="H150">
        <v>6300</v>
      </c>
      <c r="I150" t="str">
        <f>"Awning Recover"</f>
        <v>Awning Recover</v>
      </c>
    </row>
    <row r="151" spans="1:9" x14ac:dyDescent="0.3">
      <c r="A151" t="str">
        <f>"005262"</f>
        <v>005262</v>
      </c>
      <c r="B151" t="s">
        <v>50</v>
      </c>
      <c r="C151">
        <v>75839</v>
      </c>
      <c r="D151" s="2">
        <v>240</v>
      </c>
      <c r="E151" s="1">
        <v>43185</v>
      </c>
      <c r="F151" t="str">
        <f>"803010"</f>
        <v>803010</v>
      </c>
      <c r="G151" t="str">
        <f>"COURT INTERPRETATION/MILEAGE"</f>
        <v>COURT INTERPRETATION/MILEAGE</v>
      </c>
      <c r="H151">
        <v>240</v>
      </c>
      <c r="I151" t="str">
        <f>"COURT INTERPRETATION/MILEAGE"</f>
        <v>COURT INTERPRETATION/MILEAGE</v>
      </c>
    </row>
    <row r="152" spans="1:9" x14ac:dyDescent="0.3">
      <c r="A152" t="str">
        <f>"004686"</f>
        <v>004686</v>
      </c>
      <c r="B152" t="s">
        <v>51</v>
      </c>
      <c r="C152">
        <v>75582</v>
      </c>
      <c r="D152" s="2">
        <v>5900</v>
      </c>
      <c r="E152" s="1">
        <v>43171</v>
      </c>
      <c r="F152" t="str">
        <f>"0214180"</f>
        <v>0214180</v>
      </c>
      <c r="G152" t="str">
        <f>"ASBESTOS TESTING"</f>
        <v>ASBESTOS TESTING</v>
      </c>
      <c r="H152">
        <v>5900</v>
      </c>
      <c r="I152" t="str">
        <f>"ASBESTOS TESTING"</f>
        <v>ASBESTOS TESTING</v>
      </c>
    </row>
    <row r="153" spans="1:9" x14ac:dyDescent="0.3">
      <c r="A153" t="str">
        <f>"004686"</f>
        <v>004686</v>
      </c>
      <c r="B153" t="s">
        <v>51</v>
      </c>
      <c r="C153">
        <v>75840</v>
      </c>
      <c r="D153" s="2">
        <v>24184</v>
      </c>
      <c r="E153" s="1">
        <v>43185</v>
      </c>
      <c r="F153" t="str">
        <f>"0125181"</f>
        <v>0125181</v>
      </c>
      <c r="G153" t="str">
        <f>"ASBESTOS SURVEY"</f>
        <v>ASBESTOS SURVEY</v>
      </c>
      <c r="H153">
        <v>3454</v>
      </c>
      <c r="I153" t="str">
        <f>"ASBESTOS SURVEY"</f>
        <v>ASBESTOS SURVEY</v>
      </c>
    </row>
    <row r="154" spans="1:9" x14ac:dyDescent="0.3">
      <c r="A154" t="str">
        <f>""</f>
        <v/>
      </c>
      <c r="F154" t="str">
        <f>"0223180"</f>
        <v>0223180</v>
      </c>
      <c r="G154" t="str">
        <f>"SURVEY/CONSULT/FEB 24-25 2018"</f>
        <v>SURVEY/CONSULT/FEB 24-25 2018</v>
      </c>
      <c r="H154">
        <v>20000</v>
      </c>
      <c r="I154" t="str">
        <f>"SURVEY/CONSULT/FEB 24-25 2018"</f>
        <v>SURVEY/CONSULT/FEB 24-25 2018</v>
      </c>
    </row>
    <row r="155" spans="1:9" x14ac:dyDescent="0.3">
      <c r="A155" t="str">
        <f>""</f>
        <v/>
      </c>
      <c r="F155" t="str">
        <f>"0224180"</f>
        <v>0224180</v>
      </c>
      <c r="G155" t="str">
        <f>"ASBESTOS SURVEY/FEB 25TH"</f>
        <v>ASBESTOS SURVEY/FEB 25TH</v>
      </c>
      <c r="H155">
        <v>730</v>
      </c>
      <c r="I155" t="str">
        <f>"ASBESTOS SURVEY/FEB 25TH"</f>
        <v>ASBESTOS SURVEY/FEB 25TH</v>
      </c>
    </row>
    <row r="156" spans="1:9" x14ac:dyDescent="0.3">
      <c r="A156" t="str">
        <f>"T6757"</f>
        <v>T6757</v>
      </c>
      <c r="B156" t="s">
        <v>52</v>
      </c>
      <c r="C156">
        <v>999999</v>
      </c>
      <c r="D156" s="2">
        <v>220</v>
      </c>
      <c r="E156" s="1">
        <v>43172</v>
      </c>
      <c r="F156" t="str">
        <f>"201803079309"</f>
        <v>201803079309</v>
      </c>
      <c r="G156" t="str">
        <f>"INDIGENT HEALTH"</f>
        <v>INDIGENT HEALTH</v>
      </c>
      <c r="H156">
        <v>220</v>
      </c>
      <c r="I156" t="str">
        <f>"INDIGENT HEALTH"</f>
        <v>INDIGENT HEALTH</v>
      </c>
    </row>
    <row r="157" spans="1:9" x14ac:dyDescent="0.3">
      <c r="A157" t="str">
        <f>""</f>
        <v/>
      </c>
      <c r="F157" t="str">
        <f>""</f>
        <v/>
      </c>
      <c r="G157" t="str">
        <f>""</f>
        <v/>
      </c>
      <c r="I157" t="str">
        <f>"INDIGENT HEALTH"</f>
        <v>INDIGENT HEALTH</v>
      </c>
    </row>
    <row r="158" spans="1:9" x14ac:dyDescent="0.3">
      <c r="A158" t="str">
        <f>"005206"</f>
        <v>005206</v>
      </c>
      <c r="B158" t="s">
        <v>53</v>
      </c>
      <c r="C158">
        <v>75812</v>
      </c>
      <c r="D158" s="2">
        <v>669.98</v>
      </c>
      <c r="E158" s="1">
        <v>43174</v>
      </c>
      <c r="F158" t="str">
        <f>"201803159643"</f>
        <v>201803159643</v>
      </c>
      <c r="G158" t="str">
        <f>"FEMA DOCUMENTATION/MILEAGE"</f>
        <v>FEMA DOCUMENTATION/MILEAGE</v>
      </c>
      <c r="H158">
        <v>669.98</v>
      </c>
      <c r="I158" t="str">
        <f>"FEMA DOCUMENTATION/MILEAGE"</f>
        <v>FEMA DOCUMENTATION/MILEAGE</v>
      </c>
    </row>
    <row r="159" spans="1:9" x14ac:dyDescent="0.3">
      <c r="A159" t="str">
        <f>"T1251"</f>
        <v>T1251</v>
      </c>
      <c r="B159" t="s">
        <v>54</v>
      </c>
      <c r="C159">
        <v>75583</v>
      </c>
      <c r="D159" s="2">
        <v>486.48</v>
      </c>
      <c r="E159" s="1">
        <v>43171</v>
      </c>
      <c r="F159" t="str">
        <f>"201803079250"</f>
        <v>201803079250</v>
      </c>
      <c r="G159" t="str">
        <f>"4356*98039*1/4357*98039*1"</f>
        <v>4356*98039*1/4357*98039*1</v>
      </c>
      <c r="H159">
        <v>39.56</v>
      </c>
      <c r="I159" t="str">
        <f>"4356*98039*1/4357*98039*1"</f>
        <v>4356*98039*1/4357*98039*1</v>
      </c>
    </row>
    <row r="160" spans="1:9" x14ac:dyDescent="0.3">
      <c r="A160" t="str">
        <f>""</f>
        <v/>
      </c>
      <c r="F160" t="str">
        <f>"201803079311"</f>
        <v>201803079311</v>
      </c>
      <c r="G160" t="str">
        <f>"INDIGENT HEALTH"</f>
        <v>INDIGENT HEALTH</v>
      </c>
      <c r="H160">
        <v>446.92</v>
      </c>
      <c r="I160" t="str">
        <f>"INDIGENT HEALTH"</f>
        <v>INDIGENT HEALTH</v>
      </c>
    </row>
    <row r="161" spans="1:9" x14ac:dyDescent="0.3">
      <c r="A161" t="str">
        <f>"B&amp;B"</f>
        <v>B&amp;B</v>
      </c>
      <c r="B161" t="s">
        <v>55</v>
      </c>
      <c r="C161">
        <v>75584</v>
      </c>
      <c r="D161" s="2">
        <v>1765.59</v>
      </c>
      <c r="E161" s="1">
        <v>43171</v>
      </c>
      <c r="F161" t="str">
        <f>"201803058977"</f>
        <v>201803058977</v>
      </c>
      <c r="G161" t="str">
        <f>"AUTO PARTS"</f>
        <v>AUTO PARTS</v>
      </c>
      <c r="H161">
        <v>110.5</v>
      </c>
      <c r="I161" t="str">
        <f>"AUTO PARTS"</f>
        <v>AUTO PARTS</v>
      </c>
    </row>
    <row r="162" spans="1:9" x14ac:dyDescent="0.3">
      <c r="A162" t="str">
        <f>""</f>
        <v/>
      </c>
      <c r="F162" t="str">
        <f>""</f>
        <v/>
      </c>
      <c r="G162" t="str">
        <f>""</f>
        <v/>
      </c>
      <c r="I162" t="str">
        <f>"AUTO PARTS"</f>
        <v>AUTO PARTS</v>
      </c>
    </row>
    <row r="163" spans="1:9" x14ac:dyDescent="0.3">
      <c r="A163" t="str">
        <f>""</f>
        <v/>
      </c>
      <c r="F163" t="str">
        <f>""</f>
        <v/>
      </c>
      <c r="G163" t="str">
        <f>""</f>
        <v/>
      </c>
      <c r="I163" t="str">
        <f>"AUTO PARTS"</f>
        <v>AUTO PARTS</v>
      </c>
    </row>
    <row r="164" spans="1:9" x14ac:dyDescent="0.3">
      <c r="A164" t="str">
        <f>""</f>
        <v/>
      </c>
      <c r="F164" t="str">
        <f>"201803058980"</f>
        <v>201803058980</v>
      </c>
      <c r="G164" t="str">
        <f>"CUST#1650/PCT#1"</f>
        <v>CUST#1650/PCT#1</v>
      </c>
      <c r="H164">
        <v>660.29</v>
      </c>
      <c r="I164" t="str">
        <f>"CUST#1650/PCT#1"</f>
        <v>CUST#1650/PCT#1</v>
      </c>
    </row>
    <row r="165" spans="1:9" x14ac:dyDescent="0.3">
      <c r="A165" t="str">
        <f>""</f>
        <v/>
      </c>
      <c r="F165" t="str">
        <f>""</f>
        <v/>
      </c>
      <c r="G165" t="str">
        <f>""</f>
        <v/>
      </c>
      <c r="I165" t="str">
        <f>"CUST#1650/PCT#1"</f>
        <v>CUST#1650/PCT#1</v>
      </c>
    </row>
    <row r="166" spans="1:9" x14ac:dyDescent="0.3">
      <c r="A166" t="str">
        <f>""</f>
        <v/>
      </c>
      <c r="F166" t="str">
        <f>"201803059214"</f>
        <v>201803059214</v>
      </c>
      <c r="G166" t="str">
        <f>"CUST#1750/PCT#3"</f>
        <v>CUST#1750/PCT#3</v>
      </c>
      <c r="H166">
        <v>715.41</v>
      </c>
      <c r="I166" t="str">
        <f>"CUST#1750/PCT#3"</f>
        <v>CUST#1750/PCT#3</v>
      </c>
    </row>
    <row r="167" spans="1:9" x14ac:dyDescent="0.3">
      <c r="A167" t="str">
        <f>""</f>
        <v/>
      </c>
      <c r="F167" t="str">
        <f>"562755/563444"</f>
        <v>562755/563444</v>
      </c>
      <c r="G167" t="str">
        <f>"CUST#1800/PCT#4"</f>
        <v>CUST#1800/PCT#4</v>
      </c>
      <c r="H167">
        <v>255.15</v>
      </c>
      <c r="I167" t="str">
        <f>"CUST#1800/PCT#4"</f>
        <v>CUST#1800/PCT#4</v>
      </c>
    </row>
    <row r="168" spans="1:9" x14ac:dyDescent="0.3">
      <c r="A168" t="str">
        <f>""</f>
        <v/>
      </c>
      <c r="F168" t="str">
        <f>"75341"</f>
        <v>75341</v>
      </c>
      <c r="G168" t="str">
        <f>"CUST#1590/ANIMAL CONTROL"</f>
        <v>CUST#1590/ANIMAL CONTROL</v>
      </c>
      <c r="H168">
        <v>14.24</v>
      </c>
      <c r="I168" t="str">
        <f>"CUST#1590/ANIMAL CONTROL"</f>
        <v>CUST#1590/ANIMAL CONTROL</v>
      </c>
    </row>
    <row r="169" spans="1:9" x14ac:dyDescent="0.3">
      <c r="A169" t="str">
        <f>""</f>
        <v/>
      </c>
      <c r="F169" t="str">
        <f>"ID-564308"</f>
        <v>ID-564308</v>
      </c>
      <c r="G169" t="str">
        <f>"CUST#1700/PCT#2"</f>
        <v>CUST#1700/PCT#2</v>
      </c>
      <c r="H169">
        <v>10</v>
      </c>
      <c r="I169" t="str">
        <f>"CUST#1700/PCT#2"</f>
        <v>CUST#1700/PCT#2</v>
      </c>
    </row>
    <row r="170" spans="1:9" x14ac:dyDescent="0.3">
      <c r="A170" t="str">
        <f>"003696"</f>
        <v>003696</v>
      </c>
      <c r="B170" t="s">
        <v>56</v>
      </c>
      <c r="C170">
        <v>75841</v>
      </c>
      <c r="D170" s="2">
        <v>105.98</v>
      </c>
      <c r="E170" s="1">
        <v>43185</v>
      </c>
      <c r="F170" t="str">
        <f>"1038"</f>
        <v>1038</v>
      </c>
      <c r="G170" t="str">
        <f>"INV 1038"</f>
        <v>INV 1038</v>
      </c>
      <c r="H170">
        <v>105.98</v>
      </c>
      <c r="I170" t="str">
        <f>"INV 1038"</f>
        <v>INV 1038</v>
      </c>
    </row>
    <row r="171" spans="1:9" x14ac:dyDescent="0.3">
      <c r="A171" t="str">
        <f>"004668"</f>
        <v>004668</v>
      </c>
      <c r="B171" t="s">
        <v>57</v>
      </c>
      <c r="C171">
        <v>75842</v>
      </c>
      <c r="D171" s="2">
        <v>715.1</v>
      </c>
      <c r="E171" s="1">
        <v>43185</v>
      </c>
      <c r="F171" t="str">
        <f>"7858"</f>
        <v>7858</v>
      </c>
      <c r="G171" t="str">
        <f>"Vital Records Paper"</f>
        <v>Vital Records Paper</v>
      </c>
      <c r="H171">
        <v>715.1</v>
      </c>
      <c r="I171" t="str">
        <f>"Quote# Q180200009"</f>
        <v>Quote# Q180200009</v>
      </c>
    </row>
    <row r="172" spans="1:9" x14ac:dyDescent="0.3">
      <c r="A172" t="str">
        <f>""</f>
        <v/>
      </c>
      <c r="F172" t="str">
        <f>""</f>
        <v/>
      </c>
      <c r="G172" t="str">
        <f>""</f>
        <v/>
      </c>
      <c r="I172" t="str">
        <f>"Quote# Q180200008"</f>
        <v>Quote# Q180200008</v>
      </c>
    </row>
    <row r="173" spans="1:9" x14ac:dyDescent="0.3">
      <c r="A173" t="str">
        <f>"BTW"</f>
        <v>BTW</v>
      </c>
      <c r="B173" t="s">
        <v>58</v>
      </c>
      <c r="C173">
        <v>75585</v>
      </c>
      <c r="D173" s="2">
        <v>776.97</v>
      </c>
      <c r="E173" s="1">
        <v>43171</v>
      </c>
      <c r="F173" t="str">
        <f>"201803079266"</f>
        <v>201803079266</v>
      </c>
      <c r="G173" t="str">
        <f>"CUST#0010/PCT#2"</f>
        <v>CUST#0010/PCT#2</v>
      </c>
      <c r="H173">
        <v>155</v>
      </c>
      <c r="I173" t="str">
        <f>"CUST#0010/PCT#2"</f>
        <v>CUST#0010/PCT#2</v>
      </c>
    </row>
    <row r="174" spans="1:9" x14ac:dyDescent="0.3">
      <c r="A174" t="str">
        <f>""</f>
        <v/>
      </c>
      <c r="F174" t="str">
        <f>"201803079303"</f>
        <v>201803079303</v>
      </c>
      <c r="G174" t="str">
        <f>"CUST#0009/VEHICLE REPAIRS"</f>
        <v>CUST#0009/VEHICLE REPAIRS</v>
      </c>
      <c r="H174">
        <v>456.98</v>
      </c>
      <c r="I174" t="str">
        <f>"CUST#0009/VEHICLE REPAIRS"</f>
        <v>CUST#0009/VEHICLE REPAIRS</v>
      </c>
    </row>
    <row r="175" spans="1:9" x14ac:dyDescent="0.3">
      <c r="A175" t="str">
        <f>""</f>
        <v/>
      </c>
      <c r="F175" t="str">
        <f>"347963/348254/410"</f>
        <v>347963/348254/410</v>
      </c>
      <c r="G175" t="str">
        <f>"CUST ID:0011/PCT#3"</f>
        <v>CUST ID:0011/PCT#3</v>
      </c>
      <c r="H175">
        <v>90</v>
      </c>
      <c r="I175" t="str">
        <f>"CUST ID:0011/PCT#3"</f>
        <v>CUST ID:0011/PCT#3</v>
      </c>
    </row>
    <row r="176" spans="1:9" x14ac:dyDescent="0.3">
      <c r="A176" t="str">
        <f>""</f>
        <v/>
      </c>
      <c r="F176" t="str">
        <f>"348306"</f>
        <v>348306</v>
      </c>
      <c r="G176" t="str">
        <f>"CUST#0009/LOOSE TIRE/PCT#1"</f>
        <v>CUST#0009/LOOSE TIRE/PCT#1</v>
      </c>
      <c r="H176">
        <v>74.989999999999995</v>
      </c>
      <c r="I176" t="str">
        <f>"CUST#0009/LOOSE TIRE/PCT#1"</f>
        <v>CUST#0009/LOOSE TIRE/PCT#1</v>
      </c>
    </row>
    <row r="177" spans="1:10" x14ac:dyDescent="0.3">
      <c r="A177" t="str">
        <f>"000025"</f>
        <v>000025</v>
      </c>
      <c r="B177" t="s">
        <v>59</v>
      </c>
      <c r="C177">
        <v>75843</v>
      </c>
      <c r="D177" s="2">
        <v>379</v>
      </c>
      <c r="E177" s="1">
        <v>43185</v>
      </c>
      <c r="F177" t="str">
        <f>"15172"</f>
        <v>15172</v>
      </c>
      <c r="G177" t="str">
        <f>"LABOR/MATERIALS/FEE"</f>
        <v>LABOR/MATERIALS/FEE</v>
      </c>
      <c r="H177">
        <v>379</v>
      </c>
      <c r="I177" t="str">
        <f>"LABOR/MATERIALS/FEE"</f>
        <v>LABOR/MATERIALS/FEE</v>
      </c>
    </row>
    <row r="178" spans="1:10" x14ac:dyDescent="0.3">
      <c r="A178" t="str">
        <f>"BCAD"</f>
        <v>BCAD</v>
      </c>
      <c r="B178" t="s">
        <v>60</v>
      </c>
      <c r="C178">
        <v>75586</v>
      </c>
      <c r="D178" s="2">
        <v>139820.5</v>
      </c>
      <c r="E178" s="1">
        <v>43171</v>
      </c>
      <c r="F178" t="str">
        <f>"201803059211"</f>
        <v>201803059211</v>
      </c>
      <c r="G178" t="str">
        <f>"2ND QTR 2018 LOCAL SUPPORT"</f>
        <v>2ND QTR 2018 LOCAL SUPPORT</v>
      </c>
      <c r="H178">
        <v>139820.5</v>
      </c>
      <c r="I178" t="str">
        <f>"2ND QTR 2018 LOCAL SUPPORT"</f>
        <v>2ND QTR 2018 LOCAL SUPPORT</v>
      </c>
    </row>
    <row r="179" spans="1:10" x14ac:dyDescent="0.3">
      <c r="A179" t="str">
        <f>"000871"</f>
        <v>000871</v>
      </c>
      <c r="B179" t="s">
        <v>61</v>
      </c>
      <c r="C179">
        <v>75844</v>
      </c>
      <c r="D179" s="2">
        <v>223.47</v>
      </c>
      <c r="E179" s="1">
        <v>43185</v>
      </c>
      <c r="F179" t="str">
        <f>"201803159635"</f>
        <v>201803159635</v>
      </c>
      <c r="G179" t="str">
        <f>"HOTEL-HOUSTON RODEO BOOTH"</f>
        <v>HOTEL-HOUSTON RODEO BOOTH</v>
      </c>
      <c r="H179">
        <v>223.47</v>
      </c>
      <c r="I179" t="str">
        <f>"HOTEL-HOUSTON RODEO BOOTH"</f>
        <v>HOTEL-HOUSTON RODEO BOOTH</v>
      </c>
    </row>
    <row r="180" spans="1:10" x14ac:dyDescent="0.3">
      <c r="A180" t="str">
        <f>"005396"</f>
        <v>005396</v>
      </c>
      <c r="B180" t="s">
        <v>62</v>
      </c>
      <c r="C180">
        <v>999999</v>
      </c>
      <c r="D180" s="2">
        <v>7400</v>
      </c>
      <c r="E180" s="1">
        <v>43172</v>
      </c>
      <c r="F180" t="str">
        <f>"201803089343"</f>
        <v>201803089343</v>
      </c>
      <c r="G180" t="str">
        <f>"CONTRACT #24556873"</f>
        <v>CONTRACT #24556873</v>
      </c>
      <c r="H180">
        <v>7400</v>
      </c>
      <c r="I180" t="str">
        <f>"CONTRACT #24556873"</f>
        <v>CONTRACT #24556873</v>
      </c>
    </row>
    <row r="181" spans="1:10" x14ac:dyDescent="0.3">
      <c r="A181" t="str">
        <f>"T1636"</f>
        <v>T1636</v>
      </c>
      <c r="B181" t="s">
        <v>63</v>
      </c>
      <c r="C181">
        <v>75587</v>
      </c>
      <c r="D181" s="2">
        <v>1125</v>
      </c>
      <c r="E181" s="1">
        <v>43171</v>
      </c>
      <c r="F181" t="s">
        <v>64</v>
      </c>
      <c r="G181" t="s">
        <v>65</v>
      </c>
      <c r="H181" t="str">
        <f>"SERVICE  12/11/17"</f>
        <v>SERVICE  12/11/17</v>
      </c>
      <c r="I181" t="str">
        <f>"995-4110"</f>
        <v>995-4110</v>
      </c>
      <c r="J181" t="str">
        <f>""</f>
        <v/>
      </c>
    </row>
    <row r="182" spans="1:10" x14ac:dyDescent="0.3">
      <c r="A182" t="str">
        <f>""</f>
        <v/>
      </c>
      <c r="F182" t="str">
        <f>"11514"</f>
        <v>11514</v>
      </c>
      <c r="G182" t="str">
        <f>"SERVICE  12/12/17"</f>
        <v>SERVICE  12/12/17</v>
      </c>
      <c r="H182">
        <v>275</v>
      </c>
      <c r="I182" t="str">
        <f>"SERVICE  12/12/17"</f>
        <v>SERVICE  12/12/17</v>
      </c>
    </row>
    <row r="183" spans="1:10" x14ac:dyDescent="0.3">
      <c r="A183" t="str">
        <f>""</f>
        <v/>
      </c>
      <c r="F183" t="str">
        <f>"12163"</f>
        <v>12163</v>
      </c>
      <c r="G183" t="str">
        <f>"SERVICE  12/05/17"</f>
        <v>SERVICE  12/05/17</v>
      </c>
      <c r="H183">
        <v>275</v>
      </c>
      <c r="I183" t="str">
        <f>"SERVICE  12/05/17"</f>
        <v>SERVICE  12/05/17</v>
      </c>
    </row>
    <row r="184" spans="1:10" x14ac:dyDescent="0.3">
      <c r="A184" t="str">
        <f>""</f>
        <v/>
      </c>
      <c r="F184" t="str">
        <f>"12329  12/05/17"</f>
        <v>12329  12/05/17</v>
      </c>
      <c r="G184" t="str">
        <f>"SERVICE-12/05/17"</f>
        <v>SERVICE-12/05/17</v>
      </c>
      <c r="H184">
        <v>25</v>
      </c>
      <c r="I184" t="str">
        <f>"SERVICE-12/05/17"</f>
        <v>SERVICE-12/05/17</v>
      </c>
    </row>
    <row r="185" spans="1:10" x14ac:dyDescent="0.3">
      <c r="A185" t="str">
        <f>""</f>
        <v/>
      </c>
      <c r="F185" t="str">
        <f>"12644"</f>
        <v>12644</v>
      </c>
      <c r="G185" t="str">
        <f>"SERVICE"</f>
        <v>SERVICE</v>
      </c>
      <c r="H185">
        <v>325</v>
      </c>
      <c r="I185" t="str">
        <f>"SERVICE"</f>
        <v>SERVICE</v>
      </c>
    </row>
    <row r="186" spans="1:10" x14ac:dyDescent="0.3">
      <c r="A186" t="str">
        <f>""</f>
        <v/>
      </c>
      <c r="F186" t="str">
        <f>"12842"</f>
        <v>12842</v>
      </c>
      <c r="G186" t="str">
        <f>"SERVICE  12/11/17"</f>
        <v>SERVICE  12/11/17</v>
      </c>
      <c r="H186">
        <v>75</v>
      </c>
      <c r="I186" t="str">
        <f>"SERVICE  12/11/17"</f>
        <v>SERVICE  12/11/17</v>
      </c>
    </row>
    <row r="187" spans="1:10" x14ac:dyDescent="0.3">
      <c r="A187" t="str">
        <f>"T1636"</f>
        <v>T1636</v>
      </c>
      <c r="B187" t="s">
        <v>63</v>
      </c>
      <c r="C187">
        <v>75845</v>
      </c>
      <c r="D187" s="2">
        <v>3775</v>
      </c>
      <c r="E187" s="1">
        <v>43185</v>
      </c>
      <c r="F187" t="str">
        <f>"12186"</f>
        <v>12186</v>
      </c>
      <c r="G187" t="str">
        <f>"SERVICE  12/21/17"</f>
        <v>SERVICE  12/21/17</v>
      </c>
      <c r="H187">
        <v>150</v>
      </c>
      <c r="I187" t="str">
        <f>"SERVICE  12/21/17"</f>
        <v>SERVICE  12/21/17</v>
      </c>
    </row>
    <row r="188" spans="1:10" x14ac:dyDescent="0.3">
      <c r="A188" t="str">
        <f>""</f>
        <v/>
      </c>
      <c r="F188" t="str">
        <f>"12220"</f>
        <v>12220</v>
      </c>
      <c r="G188" t="str">
        <f t="shared" ref="G188:G195" si="4">"SERVICE  12/08/17"</f>
        <v>SERVICE  12/08/17</v>
      </c>
      <c r="H188">
        <v>325</v>
      </c>
      <c r="I188" t="str">
        <f t="shared" ref="I188:I195" si="5">"SERVICE  12/08/17"</f>
        <v>SERVICE  12/08/17</v>
      </c>
    </row>
    <row r="189" spans="1:10" x14ac:dyDescent="0.3">
      <c r="A189" t="str">
        <f>""</f>
        <v/>
      </c>
      <c r="F189" t="str">
        <f>"12235  12/08/17"</f>
        <v>12235  12/08/17</v>
      </c>
      <c r="G189" t="str">
        <f t="shared" si="4"/>
        <v>SERVICE  12/08/17</v>
      </c>
      <c r="H189">
        <v>250</v>
      </c>
      <c r="I189" t="str">
        <f t="shared" si="5"/>
        <v>SERVICE  12/08/17</v>
      </c>
    </row>
    <row r="190" spans="1:10" x14ac:dyDescent="0.3">
      <c r="A190" t="str">
        <f>""</f>
        <v/>
      </c>
      <c r="F190" t="str">
        <f>"12265"</f>
        <v>12265</v>
      </c>
      <c r="G190" t="str">
        <f t="shared" si="4"/>
        <v>SERVICE  12/08/17</v>
      </c>
      <c r="H190">
        <v>325</v>
      </c>
      <c r="I190" t="str">
        <f t="shared" si="5"/>
        <v>SERVICE  12/08/17</v>
      </c>
    </row>
    <row r="191" spans="1:10" x14ac:dyDescent="0.3">
      <c r="A191" t="str">
        <f>""</f>
        <v/>
      </c>
      <c r="F191" t="str">
        <f>"12398"</f>
        <v>12398</v>
      </c>
      <c r="G191" t="str">
        <f t="shared" si="4"/>
        <v>SERVICE  12/08/17</v>
      </c>
      <c r="H191">
        <v>525</v>
      </c>
      <c r="I191" t="str">
        <f t="shared" si="5"/>
        <v>SERVICE  12/08/17</v>
      </c>
    </row>
    <row r="192" spans="1:10" x14ac:dyDescent="0.3">
      <c r="A192" t="str">
        <f>""</f>
        <v/>
      </c>
      <c r="F192" t="str">
        <f>"12433"</f>
        <v>12433</v>
      </c>
      <c r="G192" t="str">
        <f t="shared" si="4"/>
        <v>SERVICE  12/08/17</v>
      </c>
      <c r="H192">
        <v>625</v>
      </c>
      <c r="I192" t="str">
        <f t="shared" si="5"/>
        <v>SERVICE  12/08/17</v>
      </c>
    </row>
    <row r="193" spans="1:9" x14ac:dyDescent="0.3">
      <c r="A193" t="str">
        <f>""</f>
        <v/>
      </c>
      <c r="F193" t="str">
        <f>"12463"</f>
        <v>12463</v>
      </c>
      <c r="G193" t="str">
        <f t="shared" si="4"/>
        <v>SERVICE  12/08/17</v>
      </c>
      <c r="H193">
        <v>325</v>
      </c>
      <c r="I193" t="str">
        <f t="shared" si="5"/>
        <v>SERVICE  12/08/17</v>
      </c>
    </row>
    <row r="194" spans="1:9" x14ac:dyDescent="0.3">
      <c r="A194" t="str">
        <f>""</f>
        <v/>
      </c>
      <c r="F194" t="str">
        <f>"12496"</f>
        <v>12496</v>
      </c>
      <c r="G194" t="str">
        <f t="shared" si="4"/>
        <v>SERVICE  12/08/17</v>
      </c>
      <c r="H194">
        <v>325</v>
      </c>
      <c r="I194" t="str">
        <f t="shared" si="5"/>
        <v>SERVICE  12/08/17</v>
      </c>
    </row>
    <row r="195" spans="1:9" x14ac:dyDescent="0.3">
      <c r="A195" t="str">
        <f>""</f>
        <v/>
      </c>
      <c r="F195" t="str">
        <f>"12497"</f>
        <v>12497</v>
      </c>
      <c r="G195" t="str">
        <f t="shared" si="4"/>
        <v>SERVICE  12/08/17</v>
      </c>
      <c r="H195">
        <v>325</v>
      </c>
      <c r="I195" t="str">
        <f t="shared" si="5"/>
        <v>SERVICE  12/08/17</v>
      </c>
    </row>
    <row r="196" spans="1:9" x14ac:dyDescent="0.3">
      <c r="A196" t="str">
        <f>""</f>
        <v/>
      </c>
      <c r="F196" t="str">
        <f>"12600"</f>
        <v>12600</v>
      </c>
      <c r="G196" t="str">
        <f>"SERVICE  12/28/17"</f>
        <v>SERVICE  12/28/17</v>
      </c>
      <c r="H196">
        <v>150</v>
      </c>
      <c r="I196" t="str">
        <f>"SERVICE  12/28/17"</f>
        <v>SERVICE  12/28/17</v>
      </c>
    </row>
    <row r="197" spans="1:9" x14ac:dyDescent="0.3">
      <c r="A197" t="str">
        <f>""</f>
        <v/>
      </c>
      <c r="F197" t="str">
        <f>"12801"</f>
        <v>12801</v>
      </c>
      <c r="G197" t="str">
        <f>"SERVICE  01/02/18"</f>
        <v>SERVICE  01/02/18</v>
      </c>
      <c r="H197">
        <v>150</v>
      </c>
      <c r="I197" t="str">
        <f>"SERVICE  01/02/18"</f>
        <v>SERVICE  01/02/18</v>
      </c>
    </row>
    <row r="198" spans="1:9" x14ac:dyDescent="0.3">
      <c r="A198" t="str">
        <f>""</f>
        <v/>
      </c>
      <c r="F198" t="str">
        <f>"12806"</f>
        <v>12806</v>
      </c>
      <c r="G198" t="str">
        <f>"SERVICE  12/29/17"</f>
        <v>SERVICE  12/29/17</v>
      </c>
      <c r="H198">
        <v>75</v>
      </c>
      <c r="I198" t="str">
        <f>"SERVICE  12/29/17"</f>
        <v>SERVICE  12/29/17</v>
      </c>
    </row>
    <row r="199" spans="1:9" x14ac:dyDescent="0.3">
      <c r="A199" t="str">
        <f>""</f>
        <v/>
      </c>
      <c r="F199" t="str">
        <f>"12835"</f>
        <v>12835</v>
      </c>
      <c r="G199" t="str">
        <f>"SERVICE  12/22/17"</f>
        <v>SERVICE  12/22/17</v>
      </c>
      <c r="H199">
        <v>225</v>
      </c>
      <c r="I199" t="str">
        <f>"SERVICE  12/22/17"</f>
        <v>SERVICE  12/22/17</v>
      </c>
    </row>
    <row r="200" spans="1:9" x14ac:dyDescent="0.3">
      <c r="A200" t="str">
        <f>"BASCO"</f>
        <v>BASCO</v>
      </c>
      <c r="B200" t="s">
        <v>66</v>
      </c>
      <c r="C200">
        <v>75588</v>
      </c>
      <c r="D200" s="2">
        <v>1780.47</v>
      </c>
      <c r="E200" s="1">
        <v>43171</v>
      </c>
      <c r="F200" t="str">
        <f>"201803069222"</f>
        <v>201803069222</v>
      </c>
      <c r="G200" t="str">
        <f>"ACCT#BC01"</f>
        <v>ACCT#BC01</v>
      </c>
      <c r="H200">
        <v>1780.47</v>
      </c>
      <c r="I200" t="str">
        <f t="shared" ref="I200:I209" si="6">"ACCT#BC01"</f>
        <v>ACCT#BC01</v>
      </c>
    </row>
    <row r="201" spans="1:9" x14ac:dyDescent="0.3">
      <c r="A201" t="str">
        <f>""</f>
        <v/>
      </c>
      <c r="F201" t="str">
        <f>""</f>
        <v/>
      </c>
      <c r="G201" t="str">
        <f>""</f>
        <v/>
      </c>
      <c r="I201" t="str">
        <f t="shared" si="6"/>
        <v>ACCT#BC01</v>
      </c>
    </row>
    <row r="202" spans="1:9" x14ac:dyDescent="0.3">
      <c r="A202" t="str">
        <f>""</f>
        <v/>
      </c>
      <c r="F202" t="str">
        <f>""</f>
        <v/>
      </c>
      <c r="G202" t="str">
        <f>""</f>
        <v/>
      </c>
      <c r="I202" t="str">
        <f t="shared" si="6"/>
        <v>ACCT#BC01</v>
      </c>
    </row>
    <row r="203" spans="1:9" x14ac:dyDescent="0.3">
      <c r="A203" t="str">
        <f>""</f>
        <v/>
      </c>
      <c r="F203" t="str">
        <f>""</f>
        <v/>
      </c>
      <c r="G203" t="str">
        <f>""</f>
        <v/>
      </c>
      <c r="I203" t="str">
        <f t="shared" si="6"/>
        <v>ACCT#BC01</v>
      </c>
    </row>
    <row r="204" spans="1:9" x14ac:dyDescent="0.3">
      <c r="A204" t="str">
        <f>""</f>
        <v/>
      </c>
      <c r="F204" t="str">
        <f>""</f>
        <v/>
      </c>
      <c r="G204" t="str">
        <f>""</f>
        <v/>
      </c>
      <c r="I204" t="str">
        <f t="shared" si="6"/>
        <v>ACCT#BC01</v>
      </c>
    </row>
    <row r="205" spans="1:9" x14ac:dyDescent="0.3">
      <c r="A205" t="str">
        <f>""</f>
        <v/>
      </c>
      <c r="F205" t="str">
        <f>""</f>
        <v/>
      </c>
      <c r="G205" t="str">
        <f>""</f>
        <v/>
      </c>
      <c r="I205" t="str">
        <f t="shared" si="6"/>
        <v>ACCT#BC01</v>
      </c>
    </row>
    <row r="206" spans="1:9" x14ac:dyDescent="0.3">
      <c r="A206" t="str">
        <f>""</f>
        <v/>
      </c>
      <c r="F206" t="str">
        <f>""</f>
        <v/>
      </c>
      <c r="G206" t="str">
        <f>""</f>
        <v/>
      </c>
      <c r="I206" t="str">
        <f t="shared" si="6"/>
        <v>ACCT#BC01</v>
      </c>
    </row>
    <row r="207" spans="1:9" x14ac:dyDescent="0.3">
      <c r="A207" t="str">
        <f>""</f>
        <v/>
      </c>
      <c r="F207" t="str">
        <f>""</f>
        <v/>
      </c>
      <c r="G207" t="str">
        <f>""</f>
        <v/>
      </c>
      <c r="I207" t="str">
        <f t="shared" si="6"/>
        <v>ACCT#BC01</v>
      </c>
    </row>
    <row r="208" spans="1:9" x14ac:dyDescent="0.3">
      <c r="A208" t="str">
        <f>""</f>
        <v/>
      </c>
      <c r="F208" t="str">
        <f>""</f>
        <v/>
      </c>
      <c r="G208" t="str">
        <f>""</f>
        <v/>
      </c>
      <c r="I208" t="str">
        <f t="shared" si="6"/>
        <v>ACCT#BC01</v>
      </c>
    </row>
    <row r="209" spans="1:9" x14ac:dyDescent="0.3">
      <c r="A209" t="str">
        <f>""</f>
        <v/>
      </c>
      <c r="F209" t="str">
        <f>""</f>
        <v/>
      </c>
      <c r="G209" t="str">
        <f>""</f>
        <v/>
      </c>
      <c r="I209" t="str">
        <f t="shared" si="6"/>
        <v>ACCT#BC01</v>
      </c>
    </row>
    <row r="210" spans="1:9" x14ac:dyDescent="0.3">
      <c r="A210" t="str">
        <f>"BFP"</f>
        <v>BFP</v>
      </c>
      <c r="B210" t="s">
        <v>67</v>
      </c>
      <c r="C210">
        <v>75846</v>
      </c>
      <c r="D210" s="2">
        <v>12500</v>
      </c>
      <c r="E210" s="1">
        <v>43185</v>
      </c>
      <c r="F210" t="str">
        <f>"201803199665"</f>
        <v>201803199665</v>
      </c>
      <c r="G210" t="str">
        <f>"2018 FUNDING DISBURSEMENT"</f>
        <v>2018 FUNDING DISBURSEMENT</v>
      </c>
      <c r="H210">
        <v>12500</v>
      </c>
      <c r="I210" t="str">
        <f>"2018 FUNDING DISBURSEMENT"</f>
        <v>2018 FUNDING DISBURSEMENT</v>
      </c>
    </row>
    <row r="211" spans="1:9" x14ac:dyDescent="0.3">
      <c r="A211" t="str">
        <f>"T8660"</f>
        <v>T8660</v>
      </c>
      <c r="B211" t="s">
        <v>68</v>
      </c>
      <c r="C211">
        <v>999999</v>
      </c>
      <c r="D211" s="2">
        <v>112.33</v>
      </c>
      <c r="E211" s="1">
        <v>43172</v>
      </c>
      <c r="F211" t="str">
        <f>"201803079312"</f>
        <v>201803079312</v>
      </c>
      <c r="G211" t="str">
        <f>"INDIGENT HEALTH"</f>
        <v>INDIGENT HEALTH</v>
      </c>
      <c r="H211">
        <v>112.33</v>
      </c>
      <c r="I211" t="str">
        <f>"INDIGENT HEALTH"</f>
        <v>INDIGENT HEALTH</v>
      </c>
    </row>
    <row r="212" spans="1:9" x14ac:dyDescent="0.3">
      <c r="A212" t="str">
        <f>""</f>
        <v/>
      </c>
      <c r="F212" t="str">
        <f>""</f>
        <v/>
      </c>
      <c r="G212" t="str">
        <f>""</f>
        <v/>
      </c>
      <c r="I212" t="str">
        <f>"INDIGENT HEALTH"</f>
        <v>INDIGENT HEALTH</v>
      </c>
    </row>
    <row r="213" spans="1:9" x14ac:dyDescent="0.3">
      <c r="A213" t="str">
        <f>"T3799"</f>
        <v>T3799</v>
      </c>
      <c r="B213" t="s">
        <v>69</v>
      </c>
      <c r="C213">
        <v>75589</v>
      </c>
      <c r="D213" s="2">
        <v>814.77</v>
      </c>
      <c r="E213" s="1">
        <v>43171</v>
      </c>
      <c r="F213" t="str">
        <f>"180"</f>
        <v>180</v>
      </c>
      <c r="G213" t="str">
        <f>"FEBRAUARY 2018 FUEL USE"</f>
        <v>FEBRAUARY 2018 FUEL USE</v>
      </c>
      <c r="H213">
        <v>814.77</v>
      </c>
      <c r="I213" t="str">
        <f>"FEBRAUARY 2018 FUEL USE"</f>
        <v>FEBRAUARY 2018 FUEL USE</v>
      </c>
    </row>
    <row r="214" spans="1:9" x14ac:dyDescent="0.3">
      <c r="A214" t="str">
        <f>"T13544"</f>
        <v>T13544</v>
      </c>
      <c r="B214" t="s">
        <v>70</v>
      </c>
      <c r="C214">
        <v>999999</v>
      </c>
      <c r="D214" s="2">
        <v>133.08000000000001</v>
      </c>
      <c r="E214" s="1">
        <v>43172</v>
      </c>
      <c r="F214" t="str">
        <f>"201803079313"</f>
        <v>201803079313</v>
      </c>
      <c r="G214" t="str">
        <f>"INDIGENT HEALTH"</f>
        <v>INDIGENT HEALTH</v>
      </c>
      <c r="H214">
        <v>133.08000000000001</v>
      </c>
      <c r="I214" t="str">
        <f>"INDIGENT HEALTH"</f>
        <v>INDIGENT HEALTH</v>
      </c>
    </row>
    <row r="215" spans="1:9" x14ac:dyDescent="0.3">
      <c r="A215" t="str">
        <f>"001542"</f>
        <v>001542</v>
      </c>
      <c r="B215" t="s">
        <v>71</v>
      </c>
      <c r="C215">
        <v>999999</v>
      </c>
      <c r="D215" s="2">
        <v>1580</v>
      </c>
      <c r="E215" s="1">
        <v>43172</v>
      </c>
      <c r="F215" t="str">
        <f>"2018023"</f>
        <v>2018023</v>
      </c>
      <c r="G215" t="str">
        <f>"TRANSPORT-L. WILLIAMS"</f>
        <v>TRANSPORT-L. WILLIAMS</v>
      </c>
      <c r="H215">
        <v>295</v>
      </c>
      <c r="I215" t="str">
        <f>"TRANSPORT-L. WILLIAMS"</f>
        <v>TRANSPORT-L. WILLIAMS</v>
      </c>
    </row>
    <row r="216" spans="1:9" x14ac:dyDescent="0.3">
      <c r="A216" t="str">
        <f>""</f>
        <v/>
      </c>
      <c r="F216" t="str">
        <f>"2018024"</f>
        <v>2018024</v>
      </c>
      <c r="G216" t="str">
        <f>"TRANSPORT-S. J. LOPEZ"</f>
        <v>TRANSPORT-S. J. LOPEZ</v>
      </c>
      <c r="H216">
        <v>495</v>
      </c>
      <c r="I216" t="str">
        <f>"TRANSPORT-S. J. LOPEZ"</f>
        <v>TRANSPORT-S. J. LOPEZ</v>
      </c>
    </row>
    <row r="217" spans="1:9" x14ac:dyDescent="0.3">
      <c r="A217" t="str">
        <f>""</f>
        <v/>
      </c>
      <c r="F217" t="str">
        <f>"2018025"</f>
        <v>2018025</v>
      </c>
      <c r="G217" t="str">
        <f>"TRANSPORT-G.N. CRAWFORD"</f>
        <v>TRANSPORT-G.N. CRAWFORD</v>
      </c>
      <c r="H217">
        <v>295</v>
      </c>
      <c r="I217" t="str">
        <f>"TRANSPORT-G.N. CRAWFORD"</f>
        <v>TRANSPORT-G.N. CRAWFORD</v>
      </c>
    </row>
    <row r="218" spans="1:9" x14ac:dyDescent="0.3">
      <c r="A218" t="str">
        <f>""</f>
        <v/>
      </c>
      <c r="F218" t="str">
        <f>"2018027"</f>
        <v>2018027</v>
      </c>
      <c r="G218" t="str">
        <f>"TRANSPORT-A.M. MILLER"</f>
        <v>TRANSPORT-A.M. MILLER</v>
      </c>
      <c r="H218">
        <v>495</v>
      </c>
      <c r="I218" t="str">
        <f>"TRANSPORT-A.M. MILLER"</f>
        <v>TRANSPORT-A.M. MILLER</v>
      </c>
    </row>
    <row r="219" spans="1:9" x14ac:dyDescent="0.3">
      <c r="A219" t="str">
        <f>"001542"</f>
        <v>001542</v>
      </c>
      <c r="B219" t="s">
        <v>71</v>
      </c>
      <c r="C219">
        <v>999999</v>
      </c>
      <c r="D219" s="2">
        <v>495</v>
      </c>
      <c r="E219" s="1">
        <v>43186</v>
      </c>
      <c r="F219" t="str">
        <f>"2018031"</f>
        <v>2018031</v>
      </c>
      <c r="G219" t="str">
        <f>"TRANSPORT-W.S. RICHIE"</f>
        <v>TRANSPORT-W.S. RICHIE</v>
      </c>
      <c r="H219">
        <v>495</v>
      </c>
      <c r="I219" t="str">
        <f>"TRANSPORT-W.S. RICHIE"</f>
        <v>TRANSPORT-W.S. RICHIE</v>
      </c>
    </row>
    <row r="220" spans="1:9" x14ac:dyDescent="0.3">
      <c r="A220" t="str">
        <f>"001081"</f>
        <v>001081</v>
      </c>
      <c r="B220" t="s">
        <v>72</v>
      </c>
      <c r="C220">
        <v>75590</v>
      </c>
      <c r="D220" s="2">
        <v>58877.04</v>
      </c>
      <c r="E220" s="1">
        <v>43171</v>
      </c>
      <c r="F220" t="str">
        <f>"201802278888"</f>
        <v>201802278888</v>
      </c>
      <c r="G220" t="str">
        <f>"SALES TAX PMT 1Q FY 17/18"</f>
        <v>SALES TAX PMT 1Q FY 17/18</v>
      </c>
      <c r="H220">
        <v>58877.04</v>
      </c>
      <c r="I220" t="str">
        <f>"SALES TAX PMT 1Q FY 17/18"</f>
        <v>SALES TAX PMT 1Q FY 17/18</v>
      </c>
    </row>
    <row r="221" spans="1:9" x14ac:dyDescent="0.3">
      <c r="A221" t="str">
        <f>"T7432"</f>
        <v>T7432</v>
      </c>
      <c r="B221" t="s">
        <v>73</v>
      </c>
      <c r="C221">
        <v>999999</v>
      </c>
      <c r="D221" s="2">
        <v>485</v>
      </c>
      <c r="E221" s="1">
        <v>43186</v>
      </c>
      <c r="F221" t="str">
        <f>"22"</f>
        <v>22</v>
      </c>
      <c r="G221" t="str">
        <f>"INV# 22"</f>
        <v>INV# 22</v>
      </c>
      <c r="H221">
        <v>485</v>
      </c>
      <c r="I221" t="str">
        <f>"Brown Mulch"</f>
        <v>Brown Mulch</v>
      </c>
    </row>
    <row r="222" spans="1:9" x14ac:dyDescent="0.3">
      <c r="A222" t="str">
        <f>""</f>
        <v/>
      </c>
      <c r="F222" t="str">
        <f>""</f>
        <v/>
      </c>
      <c r="G222" t="str">
        <f>""</f>
        <v/>
      </c>
      <c r="I222" t="str">
        <f>"Delivery"</f>
        <v>Delivery</v>
      </c>
    </row>
    <row r="223" spans="1:9" x14ac:dyDescent="0.3">
      <c r="A223" t="str">
        <f>"000485"</f>
        <v>000485</v>
      </c>
      <c r="B223" t="s">
        <v>74</v>
      </c>
      <c r="C223">
        <v>75591</v>
      </c>
      <c r="D223" s="2">
        <v>2700</v>
      </c>
      <c r="E223" s="1">
        <v>43171</v>
      </c>
      <c r="F223" t="str">
        <f>"DEBRIS REMOVA;"</f>
        <v>DEBRIS REMOVA;</v>
      </c>
      <c r="G223" t="str">
        <f>"BASTROP TREE SERVICE  INC"</f>
        <v>BASTROP TREE SERVICE  INC</v>
      </c>
      <c r="H223">
        <v>2700</v>
      </c>
      <c r="I223" t="str">
        <f>"Debris Removal"</f>
        <v>Debris Removal</v>
      </c>
    </row>
    <row r="224" spans="1:9" x14ac:dyDescent="0.3">
      <c r="A224" t="str">
        <f>"BVH"</f>
        <v>BVH</v>
      </c>
      <c r="B224" t="s">
        <v>75</v>
      </c>
      <c r="C224">
        <v>75592</v>
      </c>
      <c r="D224" s="2">
        <v>314.2</v>
      </c>
      <c r="E224" s="1">
        <v>43171</v>
      </c>
      <c r="F224" t="str">
        <f>"1100475"</f>
        <v>1100475</v>
      </c>
      <c r="G224" t="str">
        <f>"INV 1100475"</f>
        <v>INV 1100475</v>
      </c>
      <c r="H224">
        <v>48</v>
      </c>
      <c r="I224" t="str">
        <f>"INV 1100475"</f>
        <v>INV 1100475</v>
      </c>
    </row>
    <row r="225" spans="1:9" x14ac:dyDescent="0.3">
      <c r="A225" t="str">
        <f>""</f>
        <v/>
      </c>
      <c r="F225" t="str">
        <f>"1101797"</f>
        <v>1101797</v>
      </c>
      <c r="G225" t="str">
        <f>"CLIENT#5495160A/VET SVCS"</f>
        <v>CLIENT#5495160A/VET SVCS</v>
      </c>
      <c r="H225">
        <v>198.2</v>
      </c>
      <c r="I225" t="str">
        <f>"CLIENT#5495160A/VET SVCS"</f>
        <v>CLIENT#5495160A/VET SVCS</v>
      </c>
    </row>
    <row r="226" spans="1:9" x14ac:dyDescent="0.3">
      <c r="A226" t="str">
        <f>""</f>
        <v/>
      </c>
      <c r="F226" t="str">
        <f>"1103090"</f>
        <v>1103090</v>
      </c>
      <c r="G226" t="str">
        <f>"INV 1103090"</f>
        <v>INV 1103090</v>
      </c>
      <c r="H226">
        <v>68</v>
      </c>
      <c r="I226" t="str">
        <f>"INV 1103090"</f>
        <v>INV 1103090</v>
      </c>
    </row>
    <row r="227" spans="1:9" x14ac:dyDescent="0.3">
      <c r="A227" t="str">
        <f>"000110"</f>
        <v>000110</v>
      </c>
      <c r="B227" t="s">
        <v>76</v>
      </c>
      <c r="C227">
        <v>999999</v>
      </c>
      <c r="D227" s="2">
        <v>1339.75</v>
      </c>
      <c r="E227" s="1">
        <v>43172</v>
      </c>
      <c r="F227" t="str">
        <f>"JAIL-BACKGROUND"</f>
        <v>JAIL-BACKGROUND</v>
      </c>
      <c r="G227" t="str">
        <f>"FEBRUARY SERVICES"</f>
        <v>FEBRUARY SERVICES</v>
      </c>
      <c r="H227">
        <v>1339.75</v>
      </c>
      <c r="I227" t="str">
        <f>"LE"</f>
        <v>LE</v>
      </c>
    </row>
    <row r="228" spans="1:9" x14ac:dyDescent="0.3">
      <c r="A228" t="str">
        <f>""</f>
        <v/>
      </c>
      <c r="F228" t="str">
        <f>""</f>
        <v/>
      </c>
      <c r="G228" t="str">
        <f>""</f>
        <v/>
      </c>
      <c r="I228" t="str">
        <f>"JAIL"</f>
        <v>JAIL</v>
      </c>
    </row>
    <row r="229" spans="1:9" x14ac:dyDescent="0.3">
      <c r="A229" t="str">
        <f>"KEITH"</f>
        <v>KEITH</v>
      </c>
      <c r="B229" t="s">
        <v>77</v>
      </c>
      <c r="C229">
        <v>75593</v>
      </c>
      <c r="D229" s="2">
        <v>1547.64</v>
      </c>
      <c r="E229" s="1">
        <v>43171</v>
      </c>
      <c r="F229" t="str">
        <f>"74599098/74606381"</f>
        <v>74599098/74606381</v>
      </c>
      <c r="G229" t="str">
        <f>"INV 74599098"</f>
        <v>INV 74599098</v>
      </c>
      <c r="H229">
        <v>1547.64</v>
      </c>
      <c r="I229" t="str">
        <f>"INV 74599098"</f>
        <v>INV 74599098</v>
      </c>
    </row>
    <row r="230" spans="1:9" x14ac:dyDescent="0.3">
      <c r="A230" t="str">
        <f>""</f>
        <v/>
      </c>
      <c r="F230" t="str">
        <f>""</f>
        <v/>
      </c>
      <c r="G230" t="str">
        <f>""</f>
        <v/>
      </c>
      <c r="I230" t="str">
        <f>"INV 74606381"</f>
        <v>INV 74606381</v>
      </c>
    </row>
    <row r="231" spans="1:9" x14ac:dyDescent="0.3">
      <c r="A231" t="str">
        <f>"KEITH"</f>
        <v>KEITH</v>
      </c>
      <c r="B231" t="s">
        <v>77</v>
      </c>
      <c r="C231">
        <v>75847</v>
      </c>
      <c r="D231" s="2">
        <v>1787.56</v>
      </c>
      <c r="E231" s="1">
        <v>43185</v>
      </c>
      <c r="F231" t="str">
        <f>"74613818/74621212"</f>
        <v>74613818/74621212</v>
      </c>
      <c r="G231" t="str">
        <f>"INV 74613818"</f>
        <v>INV 74613818</v>
      </c>
      <c r="H231">
        <v>1787.56</v>
      </c>
      <c r="I231" t="str">
        <f>"INV 74613818"</f>
        <v>INV 74613818</v>
      </c>
    </row>
    <row r="232" spans="1:9" x14ac:dyDescent="0.3">
      <c r="A232" t="str">
        <f>""</f>
        <v/>
      </c>
      <c r="F232" t="str">
        <f>""</f>
        <v/>
      </c>
      <c r="G232" t="str">
        <f>""</f>
        <v/>
      </c>
      <c r="I232" t="str">
        <f>"INV 74621212"</f>
        <v>INV 74621212</v>
      </c>
    </row>
    <row r="233" spans="1:9" x14ac:dyDescent="0.3">
      <c r="A233" t="str">
        <f>"004371"</f>
        <v>004371</v>
      </c>
      <c r="B233" t="s">
        <v>78</v>
      </c>
      <c r="C233">
        <v>75594</v>
      </c>
      <c r="D233" s="2">
        <v>285</v>
      </c>
      <c r="E233" s="1">
        <v>43171</v>
      </c>
      <c r="F233" t="str">
        <f>"201803089346"</f>
        <v>201803089346</v>
      </c>
      <c r="G233" t="str">
        <f>"FERAL HOGS"</f>
        <v>FERAL HOGS</v>
      </c>
      <c r="H233">
        <v>70</v>
      </c>
      <c r="I233" t="str">
        <f>"FERAL HOGS"</f>
        <v>FERAL HOGS</v>
      </c>
    </row>
    <row r="234" spans="1:9" x14ac:dyDescent="0.3">
      <c r="A234" t="str">
        <f>""</f>
        <v/>
      </c>
      <c r="F234" t="str">
        <f>"201803089347"</f>
        <v>201803089347</v>
      </c>
      <c r="G234" t="str">
        <f>"FERAL HOGS"</f>
        <v>FERAL HOGS</v>
      </c>
      <c r="H234">
        <v>215</v>
      </c>
      <c r="I234" t="str">
        <f>"FERAL HOGS"</f>
        <v>FERAL HOGS</v>
      </c>
    </row>
    <row r="235" spans="1:9" x14ac:dyDescent="0.3">
      <c r="A235" t="str">
        <f>"002443"</f>
        <v>002443</v>
      </c>
      <c r="B235" t="s">
        <v>79</v>
      </c>
      <c r="C235">
        <v>75502</v>
      </c>
      <c r="D235" s="2">
        <v>60</v>
      </c>
      <c r="E235" s="1">
        <v>43167</v>
      </c>
      <c r="F235" t="str">
        <f>"11313 REISSUE"</f>
        <v>11313 REISSUE</v>
      </c>
      <c r="G235" t="str">
        <f>"SERVICE"</f>
        <v>SERVICE</v>
      </c>
      <c r="H235">
        <v>60</v>
      </c>
      <c r="I235" t="str">
        <f>"SERVICE"</f>
        <v>SERVICE</v>
      </c>
    </row>
    <row r="236" spans="1:9" x14ac:dyDescent="0.3">
      <c r="A236" t="str">
        <f>"002443"</f>
        <v>002443</v>
      </c>
      <c r="B236" t="s">
        <v>79</v>
      </c>
      <c r="C236">
        <v>75848</v>
      </c>
      <c r="D236" s="2">
        <v>300</v>
      </c>
      <c r="E236" s="1">
        <v>43185</v>
      </c>
      <c r="F236" t="str">
        <f>"12496"</f>
        <v>12496</v>
      </c>
      <c r="G236" t="str">
        <f>"SERVICE  12/08/17"</f>
        <v>SERVICE  12/08/17</v>
      </c>
      <c r="H236">
        <v>225</v>
      </c>
      <c r="I236" t="str">
        <f>"SERVICE  12/08/17"</f>
        <v>SERVICE  12/08/17</v>
      </c>
    </row>
    <row r="237" spans="1:9" x14ac:dyDescent="0.3">
      <c r="A237" t="str">
        <f>""</f>
        <v/>
      </c>
      <c r="F237" t="str">
        <f>"12806"</f>
        <v>12806</v>
      </c>
      <c r="G237" t="str">
        <f>"SERVICE  12/29/17"</f>
        <v>SERVICE  12/29/17</v>
      </c>
      <c r="H237">
        <v>75</v>
      </c>
      <c r="I237" t="str">
        <f>"SERVICE  12/29/17"</f>
        <v>SERVICE  12/29/17</v>
      </c>
    </row>
    <row r="238" spans="1:9" x14ac:dyDescent="0.3">
      <c r="A238" t="str">
        <f>"T2043"</f>
        <v>T2043</v>
      </c>
      <c r="B238" t="s">
        <v>80</v>
      </c>
      <c r="C238">
        <v>999999</v>
      </c>
      <c r="D238" s="2">
        <v>12350.37</v>
      </c>
      <c r="E238" s="1">
        <v>43172</v>
      </c>
      <c r="F238" t="str">
        <f>"105889"</f>
        <v>105889</v>
      </c>
      <c r="G238" t="str">
        <f>"PROF SVCS THRU 02/15/18"</f>
        <v>PROF SVCS THRU 02/15/18</v>
      </c>
      <c r="H238">
        <v>500</v>
      </c>
      <c r="I238" t="str">
        <f>"PROF SVCS THRU 02/15/18"</f>
        <v>PROF SVCS THRU 02/15/18</v>
      </c>
    </row>
    <row r="239" spans="1:9" x14ac:dyDescent="0.3">
      <c r="A239" t="str">
        <f>""</f>
        <v/>
      </c>
      <c r="F239" t="str">
        <f>"105896"</f>
        <v>105896</v>
      </c>
      <c r="G239" t="str">
        <f>"CLIENT:001309/MATTER:000028"</f>
        <v>CLIENT:001309/MATTER:000028</v>
      </c>
      <c r="H239">
        <v>11850.37</v>
      </c>
      <c r="I239" t="str">
        <f>"CLIENT:001309/MATTER:000028"</f>
        <v>CLIENT:001309/MATTER:000028</v>
      </c>
    </row>
    <row r="240" spans="1:9" x14ac:dyDescent="0.3">
      <c r="A240" t="str">
        <f>"004147"</f>
        <v>004147</v>
      </c>
      <c r="B240" t="s">
        <v>81</v>
      </c>
      <c r="C240">
        <v>999999</v>
      </c>
      <c r="D240" s="2">
        <v>629.74</v>
      </c>
      <c r="E240" s="1">
        <v>43172</v>
      </c>
      <c r="F240" t="str">
        <f>"4495"</f>
        <v>4495</v>
      </c>
      <c r="G240" t="str">
        <f>"2008 CHEVY LABOR/SUPPLIES/PCT4"</f>
        <v>2008 CHEVY LABOR/SUPPLIES/PCT4</v>
      </c>
      <c r="H240">
        <v>629.74</v>
      </c>
      <c r="I240" t="str">
        <f>"2008 CHEVY LABOR/SUPPLIES/PCT4"</f>
        <v>2008 CHEVY LABOR/SUPPLIES/PCT4</v>
      </c>
    </row>
    <row r="241" spans="1:10" x14ac:dyDescent="0.3">
      <c r="A241" t="str">
        <f>"000593"</f>
        <v>000593</v>
      </c>
      <c r="B241" t="s">
        <v>82</v>
      </c>
      <c r="C241">
        <v>75595</v>
      </c>
      <c r="D241" s="2">
        <v>500.08</v>
      </c>
      <c r="E241" s="1">
        <v>43171</v>
      </c>
      <c r="F241" t="str">
        <f>"84078931988/2072"</f>
        <v>84078931988/2072</v>
      </c>
      <c r="G241" t="str">
        <f>"INV 84078931988"</f>
        <v>INV 84078931988</v>
      </c>
      <c r="H241">
        <v>500.08</v>
      </c>
      <c r="I241" t="str">
        <f>"INV 84078931988"</f>
        <v>INV 84078931988</v>
      </c>
    </row>
    <row r="242" spans="1:10" x14ac:dyDescent="0.3">
      <c r="A242" t="str">
        <f>""</f>
        <v/>
      </c>
      <c r="F242" t="str">
        <f>""</f>
        <v/>
      </c>
      <c r="G242" t="str">
        <f>""</f>
        <v/>
      </c>
      <c r="I242" t="str">
        <f>"INV 84078932072"</f>
        <v>INV 84078932072</v>
      </c>
    </row>
    <row r="243" spans="1:10" x14ac:dyDescent="0.3">
      <c r="A243" t="str">
        <f>"000593"</f>
        <v>000593</v>
      </c>
      <c r="B243" t="s">
        <v>82</v>
      </c>
      <c r="C243">
        <v>75849</v>
      </c>
      <c r="D243" s="2">
        <v>622.52</v>
      </c>
      <c r="E243" s="1">
        <v>43185</v>
      </c>
      <c r="F243" t="str">
        <f>"84078932154/2242"</f>
        <v>84078932154/2242</v>
      </c>
      <c r="G243" t="str">
        <f>"INV 84078932154"</f>
        <v>INV 84078932154</v>
      </c>
      <c r="H243">
        <v>622.52</v>
      </c>
      <c r="I243" t="str">
        <f>"INV 84078932154"</f>
        <v>INV 84078932154</v>
      </c>
    </row>
    <row r="244" spans="1:10" x14ac:dyDescent="0.3">
      <c r="A244" t="str">
        <f>""</f>
        <v/>
      </c>
      <c r="F244" t="str">
        <f>""</f>
        <v/>
      </c>
      <c r="G244" t="str">
        <f>""</f>
        <v/>
      </c>
      <c r="I244" t="str">
        <f>"INV 84078932242"</f>
        <v>INV 84078932242</v>
      </c>
    </row>
    <row r="245" spans="1:10" x14ac:dyDescent="0.3">
      <c r="A245" t="str">
        <f>"002821"</f>
        <v>002821</v>
      </c>
      <c r="B245" t="s">
        <v>83</v>
      </c>
      <c r="C245">
        <v>75850</v>
      </c>
      <c r="D245" s="2">
        <v>60</v>
      </c>
      <c r="E245" s="1">
        <v>43185</v>
      </c>
      <c r="F245" t="str">
        <f>"12220"</f>
        <v>12220</v>
      </c>
      <c r="G245" t="str">
        <f>"SERVICE  12/08/17"</f>
        <v>SERVICE  12/08/17</v>
      </c>
      <c r="H245">
        <v>60</v>
      </c>
      <c r="I245" t="str">
        <f>"SERVICE  12/08/17"</f>
        <v>SERVICE  12/08/17</v>
      </c>
    </row>
    <row r="246" spans="1:10" x14ac:dyDescent="0.3">
      <c r="A246" t="str">
        <f>"003732"</f>
        <v>003732</v>
      </c>
      <c r="B246" t="s">
        <v>84</v>
      </c>
      <c r="C246">
        <v>999999</v>
      </c>
      <c r="D246" s="2">
        <v>1050</v>
      </c>
      <c r="E246" s="1">
        <v>43172</v>
      </c>
      <c r="F246" t="str">
        <f>"201803028933"</f>
        <v>201803028933</v>
      </c>
      <c r="G246" t="str">
        <f>"J-3086"</f>
        <v>J-3086</v>
      </c>
      <c r="H246">
        <v>250</v>
      </c>
      <c r="I246" t="str">
        <f>"J-3086"</f>
        <v>J-3086</v>
      </c>
    </row>
    <row r="247" spans="1:10" x14ac:dyDescent="0.3">
      <c r="A247" t="str">
        <f>""</f>
        <v/>
      </c>
      <c r="F247" t="str">
        <f>"201803028934"</f>
        <v>201803028934</v>
      </c>
      <c r="G247" t="str">
        <f>"JUVENILE"</f>
        <v>JUVENILE</v>
      </c>
      <c r="H247">
        <v>100</v>
      </c>
      <c r="I247" t="str">
        <f>"JUVENILE"</f>
        <v>JUVENILE</v>
      </c>
    </row>
    <row r="248" spans="1:10" x14ac:dyDescent="0.3">
      <c r="A248" t="str">
        <f>""</f>
        <v/>
      </c>
      <c r="F248" t="str">
        <f>"201803028948"</f>
        <v>201803028948</v>
      </c>
      <c r="G248" t="str">
        <f>"18-18824"</f>
        <v>18-18824</v>
      </c>
      <c r="H248">
        <v>100</v>
      </c>
      <c r="I248" t="str">
        <f>"18-18824"</f>
        <v>18-18824</v>
      </c>
    </row>
    <row r="249" spans="1:10" x14ac:dyDescent="0.3">
      <c r="A249" t="str">
        <f>""</f>
        <v/>
      </c>
      <c r="F249" t="str">
        <f>"201803028949"</f>
        <v>201803028949</v>
      </c>
      <c r="G249" t="str">
        <f>"17-18616"</f>
        <v>17-18616</v>
      </c>
      <c r="H249">
        <v>100</v>
      </c>
      <c r="I249" t="str">
        <f>"17-18616"</f>
        <v>17-18616</v>
      </c>
    </row>
    <row r="250" spans="1:10" x14ac:dyDescent="0.3">
      <c r="A250" t="str">
        <f>""</f>
        <v/>
      </c>
      <c r="F250" t="str">
        <f>"201803028963"</f>
        <v>201803028963</v>
      </c>
      <c r="G250" t="str">
        <f>"54 368"</f>
        <v>54 368</v>
      </c>
      <c r="H250">
        <v>250</v>
      </c>
      <c r="I250" t="str">
        <f>"54 368"</f>
        <v>54 368</v>
      </c>
    </row>
    <row r="251" spans="1:10" x14ac:dyDescent="0.3">
      <c r="A251" t="str">
        <f>""</f>
        <v/>
      </c>
      <c r="F251" t="str">
        <f>"201803028964"</f>
        <v>201803028964</v>
      </c>
      <c r="G251" t="str">
        <f>"55 448"</f>
        <v>55 448</v>
      </c>
      <c r="H251">
        <v>250</v>
      </c>
      <c r="I251" t="str">
        <f>"55 448"</f>
        <v>55 448</v>
      </c>
    </row>
    <row r="252" spans="1:10" x14ac:dyDescent="0.3">
      <c r="A252" t="str">
        <f>"003732"</f>
        <v>003732</v>
      </c>
      <c r="B252" t="s">
        <v>84</v>
      </c>
      <c r="C252">
        <v>999999</v>
      </c>
      <c r="D252" s="2">
        <v>419.04</v>
      </c>
      <c r="E252" s="1">
        <v>43186</v>
      </c>
      <c r="F252" t="str">
        <f>"201803199656"</f>
        <v>201803199656</v>
      </c>
      <c r="G252" t="str">
        <f>"423-5214"</f>
        <v>423-5214</v>
      </c>
      <c r="H252">
        <v>419.04</v>
      </c>
      <c r="I252" t="str">
        <f>"423-5214"</f>
        <v>423-5214</v>
      </c>
    </row>
    <row r="253" spans="1:10" x14ac:dyDescent="0.3">
      <c r="A253" t="str">
        <f>"001135"</f>
        <v>001135</v>
      </c>
      <c r="B253" t="s">
        <v>85</v>
      </c>
      <c r="C253">
        <v>75851</v>
      </c>
      <c r="D253" s="2">
        <v>310.14999999999998</v>
      </c>
      <c r="E253" s="1">
        <v>43185</v>
      </c>
      <c r="F253" t="str">
        <f>"201803199662"</f>
        <v>201803199662</v>
      </c>
      <c r="G253" t="str">
        <f>"CRIMESTOPPER FEES FEB 2018"</f>
        <v>CRIMESTOPPER FEES FEB 2018</v>
      </c>
      <c r="H253">
        <v>310.14999999999998</v>
      </c>
      <c r="I253" t="str">
        <f>"CRIMESTOPPER FEES FEB 2018"</f>
        <v>CRIMESTOPPER FEES FEB 2018</v>
      </c>
    </row>
    <row r="254" spans="1:10" x14ac:dyDescent="0.3">
      <c r="A254" t="str">
        <f>"BEC"</f>
        <v>BEC</v>
      </c>
      <c r="B254" t="s">
        <v>86</v>
      </c>
      <c r="C254">
        <v>75497</v>
      </c>
      <c r="D254" s="2">
        <v>30.46</v>
      </c>
      <c r="E254" s="1">
        <v>43166</v>
      </c>
      <c r="F254" t="str">
        <f>"201803069240"</f>
        <v>201803069240</v>
      </c>
      <c r="G254" t="str">
        <f>"ACCT #5500033554 / 03/03/2018"</f>
        <v>ACCT #5500033554 / 03/03/2018</v>
      </c>
      <c r="H254">
        <v>30.46</v>
      </c>
      <c r="I254" t="str">
        <f>"ACCT #5500033554 / 03/03/2018"</f>
        <v>ACCT #5500033554 / 03/03/2018</v>
      </c>
    </row>
    <row r="255" spans="1:10" x14ac:dyDescent="0.3">
      <c r="A255" t="str">
        <f>"005029"</f>
        <v>005029</v>
      </c>
      <c r="B255" t="s">
        <v>87</v>
      </c>
      <c r="C255">
        <v>75596</v>
      </c>
      <c r="D255" s="2">
        <v>40</v>
      </c>
      <c r="E255" s="1">
        <v>43171</v>
      </c>
      <c r="F255" t="s">
        <v>22</v>
      </c>
      <c r="G255" t="s">
        <v>88</v>
      </c>
      <c r="H255" t="str">
        <f>"RESTITUTION-P.BOATMAN"</f>
        <v>RESTITUTION-P.BOATMAN</v>
      </c>
      <c r="I255" t="str">
        <f>"210-0000"</f>
        <v>210-0000</v>
      </c>
      <c r="J255" t="str">
        <f>""</f>
        <v/>
      </c>
    </row>
    <row r="256" spans="1:10" x14ac:dyDescent="0.3">
      <c r="A256" t="str">
        <f>"BEC"</f>
        <v>BEC</v>
      </c>
      <c r="B256" t="s">
        <v>86</v>
      </c>
      <c r="C256">
        <v>75808</v>
      </c>
      <c r="D256" s="2">
        <v>3405.39</v>
      </c>
      <c r="E256" s="1">
        <v>43173</v>
      </c>
      <c r="F256" t="str">
        <f>"201803149593"</f>
        <v>201803149593</v>
      </c>
      <c r="G256" t="str">
        <f>"ACCT#5000057374 / 03/06/2018"</f>
        <v>ACCT#5000057374 / 03/06/2018</v>
      </c>
      <c r="H256">
        <v>3405.39</v>
      </c>
      <c r="I256" t="str">
        <f>"ACCT#5000057374 / 03/06/2018"</f>
        <v>ACCT#5000057374 / 03/06/2018</v>
      </c>
    </row>
    <row r="257" spans="1:9" x14ac:dyDescent="0.3">
      <c r="A257" t="str">
        <f>""</f>
        <v/>
      </c>
      <c r="F257" t="str">
        <f>""</f>
        <v/>
      </c>
      <c r="G257" t="str">
        <f>""</f>
        <v/>
      </c>
      <c r="I257" t="str">
        <f>"ACCT#5000057374 / 03/06/2018"</f>
        <v>ACCT#5000057374 / 03/06/2018</v>
      </c>
    </row>
    <row r="258" spans="1:9" x14ac:dyDescent="0.3">
      <c r="A258" t="str">
        <f>""</f>
        <v/>
      </c>
      <c r="F258" t="str">
        <f>""</f>
        <v/>
      </c>
      <c r="G258" t="str">
        <f>""</f>
        <v/>
      </c>
      <c r="I258" t="str">
        <f>"ACCT#5000057374 / 03/06/2018"</f>
        <v>ACCT#5000057374 / 03/06/2018</v>
      </c>
    </row>
    <row r="259" spans="1:9" x14ac:dyDescent="0.3">
      <c r="A259" t="str">
        <f>""</f>
        <v/>
      </c>
      <c r="F259" t="str">
        <f>""</f>
        <v/>
      </c>
      <c r="G259" t="str">
        <f>""</f>
        <v/>
      </c>
      <c r="I259" t="str">
        <f>"ACCT#5000057374 / 03/06/2018"</f>
        <v>ACCT#5000057374 / 03/06/2018</v>
      </c>
    </row>
    <row r="260" spans="1:9" x14ac:dyDescent="0.3">
      <c r="A260" t="str">
        <f>"T5975"</f>
        <v>T5975</v>
      </c>
      <c r="B260" t="s">
        <v>89</v>
      </c>
      <c r="C260">
        <v>75597</v>
      </c>
      <c r="D260" s="2">
        <v>1150</v>
      </c>
      <c r="E260" s="1">
        <v>43171</v>
      </c>
      <c r="F260" t="str">
        <f>"25022018"</f>
        <v>25022018</v>
      </c>
      <c r="G260" t="str">
        <f>"INV 25022018"</f>
        <v>INV 25022018</v>
      </c>
      <c r="H260">
        <v>1150</v>
      </c>
      <c r="I260" t="str">
        <f>"INV 25022018"</f>
        <v>INV 25022018</v>
      </c>
    </row>
    <row r="261" spans="1:9" x14ac:dyDescent="0.3">
      <c r="A261" t="str">
        <f>"BBCI"</f>
        <v>BBCI</v>
      </c>
      <c r="B261" t="s">
        <v>90</v>
      </c>
      <c r="C261">
        <v>75598</v>
      </c>
      <c r="D261" s="2">
        <v>723.36</v>
      </c>
      <c r="E261" s="1">
        <v>43171</v>
      </c>
      <c r="F261" t="str">
        <f>"UT1000449114/153"</f>
        <v>UT1000449114/153</v>
      </c>
      <c r="G261" t="str">
        <f>"INV UT1000449114"</f>
        <v>INV UT1000449114</v>
      </c>
      <c r="H261">
        <v>723.36</v>
      </c>
      <c r="I261" t="str">
        <f>"INV UT1000449114"</f>
        <v>INV UT1000449114</v>
      </c>
    </row>
    <row r="262" spans="1:9" x14ac:dyDescent="0.3">
      <c r="A262" t="str">
        <f>""</f>
        <v/>
      </c>
      <c r="F262" t="str">
        <f>""</f>
        <v/>
      </c>
      <c r="G262" t="str">
        <f>""</f>
        <v/>
      </c>
      <c r="I262" t="str">
        <f>"INV UT1000449153"</f>
        <v>INV UT1000449153</v>
      </c>
    </row>
    <row r="263" spans="1:9" x14ac:dyDescent="0.3">
      <c r="A263" t="str">
        <f>"BBCI"</f>
        <v>BBCI</v>
      </c>
      <c r="B263" t="s">
        <v>90</v>
      </c>
      <c r="C263">
        <v>75852</v>
      </c>
      <c r="D263" s="2">
        <v>770.36</v>
      </c>
      <c r="E263" s="1">
        <v>43185</v>
      </c>
      <c r="F263" t="str">
        <f>"UTI000450720/44995"</f>
        <v>UTI000450720/44995</v>
      </c>
      <c r="G263" t="str">
        <f>"INV UT1000450720"</f>
        <v>INV UT1000450720</v>
      </c>
      <c r="H263">
        <v>19.2</v>
      </c>
      <c r="I263" t="str">
        <f>"INV UT1000450720"</f>
        <v>INV UT1000450720</v>
      </c>
    </row>
    <row r="264" spans="1:9" x14ac:dyDescent="0.3">
      <c r="A264" t="str">
        <f>""</f>
        <v/>
      </c>
      <c r="F264" t="str">
        <f>""</f>
        <v/>
      </c>
      <c r="G264" t="str">
        <f>""</f>
        <v/>
      </c>
      <c r="I264" t="str">
        <f>"CM UT1000449952"</f>
        <v>CM UT1000449952</v>
      </c>
    </row>
    <row r="265" spans="1:9" x14ac:dyDescent="0.3">
      <c r="A265" t="str">
        <f>""</f>
        <v/>
      </c>
      <c r="F265" t="str">
        <f>"UTI000450721"</f>
        <v>UTI000450721</v>
      </c>
      <c r="G265" t="str">
        <f>"INV UT1000450721"</f>
        <v>INV UT1000450721</v>
      </c>
      <c r="H265">
        <v>751.16</v>
      </c>
      <c r="I265" t="str">
        <f>"INV UT1000450721"</f>
        <v>INV UT1000450721</v>
      </c>
    </row>
    <row r="266" spans="1:9" x14ac:dyDescent="0.3">
      <c r="A266" t="str">
        <f>"001367"</f>
        <v>001367</v>
      </c>
      <c r="B266" t="s">
        <v>91</v>
      </c>
      <c r="C266">
        <v>75599</v>
      </c>
      <c r="D266" s="2">
        <v>6721.4</v>
      </c>
      <c r="E266" s="1">
        <v>43171</v>
      </c>
      <c r="F266" t="str">
        <f>"201803079305"</f>
        <v>201803079305</v>
      </c>
      <c r="G266" t="str">
        <f>"STATE INSPEC-2016 INTL/PCT#1"</f>
        <v>STATE INSPEC-2016 INTL/PCT#1</v>
      </c>
      <c r="H266">
        <v>7</v>
      </c>
      <c r="I266" t="str">
        <f>"STATE INSPECTION-2016 INTL"</f>
        <v>STATE INSPECTION-2016 INTL</v>
      </c>
    </row>
    <row r="267" spans="1:9" x14ac:dyDescent="0.3">
      <c r="A267" t="str">
        <f>""</f>
        <v/>
      </c>
      <c r="F267" t="str">
        <f>"201803079306"</f>
        <v>201803079306</v>
      </c>
      <c r="G267" t="str">
        <f>"STATE INSP/2017 JEST/PCT#1"</f>
        <v>STATE INSP/2017 JEST/PCT#1</v>
      </c>
      <c r="H267">
        <v>7</v>
      </c>
      <c r="I267" t="str">
        <f>"STATE INSP/2017 JEST/PCT#1"</f>
        <v>STATE INSP/2017 JEST/PCT#1</v>
      </c>
    </row>
    <row r="268" spans="1:9" x14ac:dyDescent="0.3">
      <c r="A268" t="str">
        <f>""</f>
        <v/>
      </c>
      <c r="F268" t="str">
        <f>"7224"</f>
        <v>7224</v>
      </c>
      <c r="G268" t="str">
        <f>"INV 7224/ UNIT 116"</f>
        <v>INV 7224/ UNIT 116</v>
      </c>
      <c r="H268">
        <v>275.01</v>
      </c>
      <c r="I268" t="str">
        <f>"INV 7224/ UNIT 116"</f>
        <v>INV 7224/ UNIT 116</v>
      </c>
    </row>
    <row r="269" spans="1:9" x14ac:dyDescent="0.3">
      <c r="A269" t="str">
        <f>""</f>
        <v/>
      </c>
      <c r="F269" t="str">
        <f>"7249"</f>
        <v>7249</v>
      </c>
      <c r="G269" t="str">
        <f>"2013 CHEV OIL CHANGE/DETAIL"</f>
        <v>2013 CHEV OIL CHANGE/DETAIL</v>
      </c>
      <c r="H269">
        <v>125.76</v>
      </c>
      <c r="I269" t="str">
        <f>"2013 CHEV OIL CHANGE/DETAIL"</f>
        <v>2013 CHEV OIL CHANGE/DETAIL</v>
      </c>
    </row>
    <row r="270" spans="1:9" x14ac:dyDescent="0.3">
      <c r="A270" t="str">
        <f>""</f>
        <v/>
      </c>
      <c r="F270" t="str">
        <f>"7274"</f>
        <v>7274</v>
      </c>
      <c r="G270" t="str">
        <f>"INV 7274/ UNIT 4362"</f>
        <v>INV 7274/ UNIT 4362</v>
      </c>
      <c r="H270">
        <v>1120</v>
      </c>
      <c r="I270" t="str">
        <f>"INV 7274/ UNIT 4362"</f>
        <v>INV 7274/ UNIT 4362</v>
      </c>
    </row>
    <row r="271" spans="1:9" x14ac:dyDescent="0.3">
      <c r="A271" t="str">
        <f>""</f>
        <v/>
      </c>
      <c r="F271" t="str">
        <f>"7286"</f>
        <v>7286</v>
      </c>
      <c r="G271" t="str">
        <f>"2008 DODGE RAM/PCT#1"</f>
        <v>2008 DODGE RAM/PCT#1</v>
      </c>
      <c r="H271">
        <v>252.68</v>
      </c>
      <c r="I271" t="str">
        <f>"2008 DODGE RAM/PCT#1"</f>
        <v>2008 DODGE RAM/PCT#1</v>
      </c>
    </row>
    <row r="272" spans="1:9" x14ac:dyDescent="0.3">
      <c r="A272" t="str">
        <f>""</f>
        <v/>
      </c>
      <c r="F272" t="str">
        <f>"7297"</f>
        <v>7297</v>
      </c>
      <c r="G272" t="str">
        <f>"Reference # 7297"</f>
        <v>Reference # 7297</v>
      </c>
      <c r="H272">
        <v>1570.67</v>
      </c>
      <c r="I272" t="str">
        <f>"Reference # 7297"</f>
        <v>Reference # 7297</v>
      </c>
    </row>
    <row r="273" spans="1:9" x14ac:dyDescent="0.3">
      <c r="A273" t="str">
        <f>""</f>
        <v/>
      </c>
      <c r="F273" t="str">
        <f>"7301"</f>
        <v>7301</v>
      </c>
      <c r="G273" t="str">
        <f>"INV 7301/ UNIT 0117"</f>
        <v>INV 7301/ UNIT 0117</v>
      </c>
      <c r="H273">
        <v>495.4</v>
      </c>
      <c r="I273" t="str">
        <f>"INV 7301/ UNIT 0117"</f>
        <v>INV 7301/ UNIT 0117</v>
      </c>
    </row>
    <row r="274" spans="1:9" x14ac:dyDescent="0.3">
      <c r="A274" t="str">
        <f>""</f>
        <v/>
      </c>
      <c r="F274" t="str">
        <f>"7302/0313"</f>
        <v>7302/0313</v>
      </c>
      <c r="G274" t="str">
        <f>"INV 7302/UNIT 0313"</f>
        <v>INV 7302/UNIT 0313</v>
      </c>
      <c r="H274">
        <v>128.69999999999999</v>
      </c>
      <c r="I274" t="str">
        <f>"INV 7302/UNIT 0313"</f>
        <v>INV 7302/UNIT 0313</v>
      </c>
    </row>
    <row r="275" spans="1:9" x14ac:dyDescent="0.3">
      <c r="A275" t="str">
        <f>""</f>
        <v/>
      </c>
      <c r="F275" t="str">
        <f>"7319"</f>
        <v>7319</v>
      </c>
      <c r="G275" t="str">
        <f>"INV 7319 / UNIT 81"</f>
        <v>INV 7319 / UNIT 81</v>
      </c>
      <c r="H275">
        <v>118.59</v>
      </c>
      <c r="I275" t="str">
        <f>"INV 7319 / UNIT 81"</f>
        <v>INV 7319 / UNIT 81</v>
      </c>
    </row>
    <row r="276" spans="1:9" x14ac:dyDescent="0.3">
      <c r="A276" t="str">
        <f>""</f>
        <v/>
      </c>
      <c r="F276" t="str">
        <f>"7323"</f>
        <v>7323</v>
      </c>
      <c r="G276" t="str">
        <f>"INV 7323/ UNIT 8953"</f>
        <v>INV 7323/ UNIT 8953</v>
      </c>
      <c r="H276">
        <v>358.89</v>
      </c>
      <c r="I276" t="str">
        <f>"INV 7323/ UNIT 8953"</f>
        <v>INV 7323/ UNIT 8953</v>
      </c>
    </row>
    <row r="277" spans="1:9" x14ac:dyDescent="0.3">
      <c r="A277" t="str">
        <f>""</f>
        <v/>
      </c>
      <c r="F277" t="str">
        <f>"7330/1496"</f>
        <v>7330/1496</v>
      </c>
      <c r="G277" t="str">
        <f>"INV 7330/ UNIT 1496"</f>
        <v>INV 7330/ UNIT 1496</v>
      </c>
      <c r="H277">
        <v>209.74</v>
      </c>
      <c r="I277" t="str">
        <f>"INV 7330/ UNIT 1496"</f>
        <v>INV 7330/ UNIT 1496</v>
      </c>
    </row>
    <row r="278" spans="1:9" x14ac:dyDescent="0.3">
      <c r="A278" t="str">
        <f>""</f>
        <v/>
      </c>
      <c r="F278" t="str">
        <f>"7337"</f>
        <v>7337</v>
      </c>
      <c r="G278" t="str">
        <f>"INV 7337/ UNIT 126"</f>
        <v>INV 7337/ UNIT 126</v>
      </c>
      <c r="H278">
        <v>320.08999999999997</v>
      </c>
      <c r="I278" t="str">
        <f>"INV 7337/ UNIT 126"</f>
        <v>INV 7337/ UNIT 126</v>
      </c>
    </row>
    <row r="279" spans="1:9" x14ac:dyDescent="0.3">
      <c r="A279" t="str">
        <f>""</f>
        <v/>
      </c>
      <c r="F279" t="str">
        <f>"7344"</f>
        <v>7344</v>
      </c>
      <c r="G279" t="str">
        <f>"INV 7344/ UNIT 81"</f>
        <v>INV 7344/ UNIT 81</v>
      </c>
      <c r="H279">
        <v>128.69999999999999</v>
      </c>
      <c r="I279" t="str">
        <f>"INV 7344/ UNIT 81"</f>
        <v>INV 7344/ UNIT 81</v>
      </c>
    </row>
    <row r="280" spans="1:9" x14ac:dyDescent="0.3">
      <c r="A280" t="str">
        <f>""</f>
        <v/>
      </c>
      <c r="F280" t="str">
        <f>"INV7300/0125"</f>
        <v>INV7300/0125</v>
      </c>
      <c r="G280" t="str">
        <f>"INV 7300/ UNIT 0125"</f>
        <v>INV 7300/ UNIT 0125</v>
      </c>
      <c r="H280">
        <v>128.69999999999999</v>
      </c>
      <c r="I280" t="str">
        <f>"INV 7300/ UNIT 0125"</f>
        <v>INV 7300/ UNIT 0125</v>
      </c>
    </row>
    <row r="281" spans="1:9" x14ac:dyDescent="0.3">
      <c r="A281" t="str">
        <f>""</f>
        <v/>
      </c>
      <c r="F281" t="str">
        <f>"INV7312"</f>
        <v>INV7312</v>
      </c>
      <c r="G281" t="str">
        <f>"INV 7312/ UNIT 4717"</f>
        <v>INV 7312/ UNIT 4717</v>
      </c>
      <c r="H281">
        <v>329.32</v>
      </c>
      <c r="I281" t="str">
        <f>"INV 7312/ UNIT 4717"</f>
        <v>INV 7312/ UNIT 4717</v>
      </c>
    </row>
    <row r="282" spans="1:9" x14ac:dyDescent="0.3">
      <c r="A282" t="str">
        <f>""</f>
        <v/>
      </c>
      <c r="F282" t="str">
        <f>"SHERIFF VEH MAINT"</f>
        <v>SHERIFF VEH MAINT</v>
      </c>
      <c r="G282" t="str">
        <f>"INV 7222/UNIT 116"</f>
        <v>INV 7222/UNIT 116</v>
      </c>
      <c r="H282">
        <v>1145.1500000000001</v>
      </c>
      <c r="I282" t="str">
        <f>"INV 7222/UNIT 116"</f>
        <v>INV 7222/UNIT 116</v>
      </c>
    </row>
    <row r="283" spans="1:9" x14ac:dyDescent="0.3">
      <c r="A283" t="str">
        <f>""</f>
        <v/>
      </c>
      <c r="F283" t="str">
        <f>""</f>
        <v/>
      </c>
      <c r="G283" t="str">
        <f>""</f>
        <v/>
      </c>
      <c r="I283" t="str">
        <f>"INV 7236/UNIT 91"</f>
        <v>INV 7236/UNIT 91</v>
      </c>
    </row>
    <row r="284" spans="1:9" x14ac:dyDescent="0.3">
      <c r="A284" t="str">
        <f>""</f>
        <v/>
      </c>
      <c r="F284" t="str">
        <f>""</f>
        <v/>
      </c>
      <c r="G284" t="str">
        <f>""</f>
        <v/>
      </c>
      <c r="I284" t="str">
        <f>"INV 7240/UNIT 6486"</f>
        <v>INV 7240/UNIT 6486</v>
      </c>
    </row>
    <row r="285" spans="1:9" x14ac:dyDescent="0.3">
      <c r="A285" t="str">
        <f>""</f>
        <v/>
      </c>
      <c r="F285" t="str">
        <f>""</f>
        <v/>
      </c>
      <c r="G285" t="str">
        <f>""</f>
        <v/>
      </c>
      <c r="I285" t="str">
        <f>"INV 7250/UNIT 8153"</f>
        <v>INV 7250/UNIT 8153</v>
      </c>
    </row>
    <row r="286" spans="1:9" x14ac:dyDescent="0.3">
      <c r="A286" t="str">
        <f>""</f>
        <v/>
      </c>
      <c r="F286" t="str">
        <f>""</f>
        <v/>
      </c>
      <c r="G286" t="str">
        <f>""</f>
        <v/>
      </c>
      <c r="I286" t="str">
        <f>"INV 7251/ UNIT 8948"</f>
        <v>INV 7251/ UNIT 8948</v>
      </c>
    </row>
    <row r="287" spans="1:9" x14ac:dyDescent="0.3">
      <c r="A287" t="str">
        <f>""</f>
        <v/>
      </c>
      <c r="F287" t="str">
        <f>""</f>
        <v/>
      </c>
      <c r="G287" t="str">
        <f>""</f>
        <v/>
      </c>
      <c r="I287" t="str">
        <f>"INV 7252/ UNIT 6502"</f>
        <v>INV 7252/ UNIT 6502</v>
      </c>
    </row>
    <row r="288" spans="1:9" x14ac:dyDescent="0.3">
      <c r="A288" t="str">
        <f>""</f>
        <v/>
      </c>
      <c r="F288" t="str">
        <f>""</f>
        <v/>
      </c>
      <c r="G288" t="str">
        <f>""</f>
        <v/>
      </c>
      <c r="I288" t="str">
        <f>"INV 7272/ UNIT 1627"</f>
        <v>INV 7272/ UNIT 1627</v>
      </c>
    </row>
    <row r="289" spans="1:9" x14ac:dyDescent="0.3">
      <c r="A289" t="str">
        <f>""</f>
        <v/>
      </c>
      <c r="F289" t="str">
        <f>""</f>
        <v/>
      </c>
      <c r="G289" t="str">
        <f>""</f>
        <v/>
      </c>
      <c r="I289" t="str">
        <f>"INV 7280/ UNIT 6520"</f>
        <v>INV 7280/ UNIT 6520</v>
      </c>
    </row>
    <row r="290" spans="1:9" x14ac:dyDescent="0.3">
      <c r="A290" t="str">
        <f>""</f>
        <v/>
      </c>
      <c r="F290" t="str">
        <f>""</f>
        <v/>
      </c>
      <c r="G290" t="str">
        <f>""</f>
        <v/>
      </c>
      <c r="I290" t="str">
        <f>"INV 7281/ UNIT 6535"</f>
        <v>INV 7281/ UNIT 6535</v>
      </c>
    </row>
    <row r="291" spans="1:9" x14ac:dyDescent="0.3">
      <c r="A291" t="str">
        <f>""</f>
        <v/>
      </c>
      <c r="F291" t="str">
        <f>""</f>
        <v/>
      </c>
      <c r="G291" t="str">
        <f>""</f>
        <v/>
      </c>
      <c r="I291" t="str">
        <f>"INV 7285/ UNIT 4431"</f>
        <v>INV 7285/ UNIT 4431</v>
      </c>
    </row>
    <row r="292" spans="1:9" x14ac:dyDescent="0.3">
      <c r="A292" t="str">
        <f>""</f>
        <v/>
      </c>
      <c r="F292" t="str">
        <f>""</f>
        <v/>
      </c>
      <c r="G292" t="str">
        <f>""</f>
        <v/>
      </c>
      <c r="I292" t="str">
        <f>"INV 7288/ UNIT 6539"</f>
        <v>INV 7288/ UNIT 6539</v>
      </c>
    </row>
    <row r="293" spans="1:9" x14ac:dyDescent="0.3">
      <c r="A293" t="str">
        <f>""</f>
        <v/>
      </c>
      <c r="F293" t="str">
        <f>""</f>
        <v/>
      </c>
      <c r="G293" t="str">
        <f>""</f>
        <v/>
      </c>
      <c r="I293" t="str">
        <f>"INV 7289/ UNIT 311"</f>
        <v>INV 7289/ UNIT 311</v>
      </c>
    </row>
    <row r="294" spans="1:9" x14ac:dyDescent="0.3">
      <c r="A294" t="str">
        <f>""</f>
        <v/>
      </c>
      <c r="F294" t="str">
        <f>""</f>
        <v/>
      </c>
      <c r="G294" t="str">
        <f>""</f>
        <v/>
      </c>
      <c r="I294" t="str">
        <f>"INV 7292/ UNIT 6548"</f>
        <v>INV 7292/ UNIT 6548</v>
      </c>
    </row>
    <row r="295" spans="1:9" x14ac:dyDescent="0.3">
      <c r="A295" t="str">
        <f>""</f>
        <v/>
      </c>
      <c r="F295" t="str">
        <f>""</f>
        <v/>
      </c>
      <c r="G295" t="str">
        <f>""</f>
        <v/>
      </c>
      <c r="I295" t="str">
        <f>"INV 7295/ UNIT 1629"</f>
        <v>INV 7295/ UNIT 1629</v>
      </c>
    </row>
    <row r="296" spans="1:9" x14ac:dyDescent="0.3">
      <c r="A296" t="str">
        <f>""</f>
        <v/>
      </c>
      <c r="F296" t="str">
        <f>""</f>
        <v/>
      </c>
      <c r="G296" t="str">
        <f>""</f>
        <v/>
      </c>
      <c r="I296" t="str">
        <f>"INV 7316/ UNIT 1663"</f>
        <v>INV 7316/ UNIT 1663</v>
      </c>
    </row>
    <row r="297" spans="1:9" x14ac:dyDescent="0.3">
      <c r="A297" t="str">
        <f>""</f>
        <v/>
      </c>
      <c r="F297" t="str">
        <f>""</f>
        <v/>
      </c>
      <c r="G297" t="str">
        <f>""</f>
        <v/>
      </c>
      <c r="I297" t="str">
        <f>"INV 7320/ UNIT 1672"</f>
        <v>INV 7320/ UNIT 1672</v>
      </c>
    </row>
    <row r="298" spans="1:9" x14ac:dyDescent="0.3">
      <c r="A298" t="str">
        <f>""</f>
        <v/>
      </c>
      <c r="F298" t="str">
        <f>""</f>
        <v/>
      </c>
      <c r="G298" t="str">
        <f>""</f>
        <v/>
      </c>
      <c r="I298" t="str">
        <f>"INV 7324/ UNIT 311"</f>
        <v>INV 7324/ UNIT 311</v>
      </c>
    </row>
    <row r="299" spans="1:9" x14ac:dyDescent="0.3">
      <c r="A299" t="str">
        <f>""</f>
        <v/>
      </c>
      <c r="F299" t="str">
        <f>""</f>
        <v/>
      </c>
      <c r="G299" t="str">
        <f>""</f>
        <v/>
      </c>
      <c r="I299" t="str">
        <f>"INV 7327/ UNIT 0122"</f>
        <v>INV 7327/ UNIT 0122</v>
      </c>
    </row>
    <row r="300" spans="1:9" x14ac:dyDescent="0.3">
      <c r="A300" t="str">
        <f>""</f>
        <v/>
      </c>
      <c r="F300" t="str">
        <f>""</f>
        <v/>
      </c>
      <c r="G300" t="str">
        <f>""</f>
        <v/>
      </c>
      <c r="I300" t="str">
        <f>"INV 7339/ UNIT 1665"</f>
        <v>INV 7339/ UNIT 1665</v>
      </c>
    </row>
    <row r="301" spans="1:9" x14ac:dyDescent="0.3">
      <c r="A301" t="str">
        <f>""</f>
        <v/>
      </c>
      <c r="F301" t="str">
        <f>""</f>
        <v/>
      </c>
      <c r="G301" t="str">
        <f>""</f>
        <v/>
      </c>
      <c r="I301" t="str">
        <f>"INV 7333/ UNIT 0118"</f>
        <v>INV 7333/ UNIT 0118</v>
      </c>
    </row>
    <row r="302" spans="1:9" x14ac:dyDescent="0.3">
      <c r="A302" t="str">
        <f>""</f>
        <v/>
      </c>
      <c r="F302" t="str">
        <f>""</f>
        <v/>
      </c>
      <c r="G302" t="str">
        <f>""</f>
        <v/>
      </c>
      <c r="I302" t="str">
        <f>"INV 7334/ UNIT 126"</f>
        <v>INV 7334/ UNIT 126</v>
      </c>
    </row>
    <row r="303" spans="1:9" x14ac:dyDescent="0.3">
      <c r="A303" t="str">
        <f>""</f>
        <v/>
      </c>
      <c r="F303" t="str">
        <f>""</f>
        <v/>
      </c>
      <c r="G303" t="str">
        <f>""</f>
        <v/>
      </c>
      <c r="I303" t="str">
        <f>"INV 7343/ UNIT 8954"</f>
        <v>INV 7343/ UNIT 8954</v>
      </c>
    </row>
    <row r="304" spans="1:9" x14ac:dyDescent="0.3">
      <c r="A304" t="str">
        <f>""</f>
        <v/>
      </c>
      <c r="F304" t="str">
        <f>""</f>
        <v/>
      </c>
      <c r="G304" t="str">
        <f>""</f>
        <v/>
      </c>
      <c r="I304" t="str">
        <f>"INV 7349/ UNIT 1631"</f>
        <v>INV 7349/ UNIT 1631</v>
      </c>
    </row>
    <row r="305" spans="1:9" x14ac:dyDescent="0.3">
      <c r="A305" t="str">
        <f>"001367"</f>
        <v>001367</v>
      </c>
      <c r="B305" t="s">
        <v>91</v>
      </c>
      <c r="C305">
        <v>75853</v>
      </c>
      <c r="D305" s="2">
        <v>4947.84</v>
      </c>
      <c r="E305" s="1">
        <v>43185</v>
      </c>
      <c r="F305" t="str">
        <f>"7360"</f>
        <v>7360</v>
      </c>
      <c r="G305" t="str">
        <f>"INV 7360/ UNIT 85"</f>
        <v>INV 7360/ UNIT 85</v>
      </c>
      <c r="H305">
        <v>449.06</v>
      </c>
      <c r="I305" t="str">
        <f>"INV 7360/ UNIT 85"</f>
        <v>INV 7360/ UNIT 85</v>
      </c>
    </row>
    <row r="306" spans="1:9" x14ac:dyDescent="0.3">
      <c r="A306" t="str">
        <f>""</f>
        <v/>
      </c>
      <c r="F306" t="str">
        <f>"7364"</f>
        <v>7364</v>
      </c>
      <c r="G306" t="str">
        <f>"INV 7364/ UNIT 1666"</f>
        <v>INV 7364/ UNIT 1666</v>
      </c>
      <c r="H306">
        <v>821.8</v>
      </c>
      <c r="I306" t="str">
        <f>"INV 7364/ UNIT 1666"</f>
        <v>INV 7364/ UNIT 1666</v>
      </c>
    </row>
    <row r="307" spans="1:9" x14ac:dyDescent="0.3">
      <c r="A307" t="str">
        <f>""</f>
        <v/>
      </c>
      <c r="F307" t="str">
        <f>"7376"</f>
        <v>7376</v>
      </c>
      <c r="G307" t="str">
        <f>"INV.  7376 /UNIT 0126"</f>
        <v>INV.  7376 /UNIT 0126</v>
      </c>
      <c r="H307">
        <v>382.65</v>
      </c>
      <c r="I307" t="str">
        <f>"INV.        /UNIT 0126"</f>
        <v>INV.        /UNIT 0126</v>
      </c>
    </row>
    <row r="308" spans="1:9" x14ac:dyDescent="0.3">
      <c r="A308" t="str">
        <f>""</f>
        <v/>
      </c>
      <c r="F308" t="str">
        <f>"7379"</f>
        <v>7379</v>
      </c>
      <c r="G308" t="str">
        <f>"INV 7379/ UNIT 119"</f>
        <v>INV 7379/ UNIT 119</v>
      </c>
      <c r="H308">
        <v>97.26</v>
      </c>
      <c r="I308" t="str">
        <f>"INV 7379/ UNIT 119"</f>
        <v>INV 7379/ UNIT 119</v>
      </c>
    </row>
    <row r="309" spans="1:9" x14ac:dyDescent="0.3">
      <c r="A309" t="str">
        <f>""</f>
        <v/>
      </c>
      <c r="F309" t="str">
        <f>"7384"</f>
        <v>7384</v>
      </c>
      <c r="G309" t="str">
        <f>"INV 7384 /UNIT 1673"</f>
        <v>INV 7384 /UNIT 1673</v>
      </c>
      <c r="H309">
        <v>90.64</v>
      </c>
      <c r="I309" t="str">
        <f>"INV     /UNIT 1673"</f>
        <v>INV     /UNIT 1673</v>
      </c>
    </row>
    <row r="310" spans="1:9" x14ac:dyDescent="0.3">
      <c r="A310" t="str">
        <f>""</f>
        <v/>
      </c>
      <c r="F310" t="str">
        <f>"7395"</f>
        <v>7395</v>
      </c>
      <c r="G310" t="str">
        <f>"INV 7395/ UNIT 8946"</f>
        <v>INV 7395/ UNIT 8946</v>
      </c>
      <c r="H310">
        <v>128.69999999999999</v>
      </c>
      <c r="I310" t="str">
        <f>"INV 7395/ UNIT 8946"</f>
        <v>INV 7395/ UNIT 8946</v>
      </c>
    </row>
    <row r="311" spans="1:9" x14ac:dyDescent="0.3">
      <c r="A311" t="str">
        <f>""</f>
        <v/>
      </c>
      <c r="F311" t="str">
        <f>"7406"</f>
        <v>7406</v>
      </c>
      <c r="G311" t="str">
        <f>"INV 7406/ UNIT 1665"</f>
        <v>INV 7406/ UNIT 1665</v>
      </c>
      <c r="H311">
        <v>255.42</v>
      </c>
      <c r="I311" t="str">
        <f>"INV 7406/ UNIT 1665"</f>
        <v>INV 7406/ UNIT 1665</v>
      </c>
    </row>
    <row r="312" spans="1:9" x14ac:dyDescent="0.3">
      <c r="A312" t="str">
        <f>""</f>
        <v/>
      </c>
      <c r="F312" t="str">
        <f>"7408"</f>
        <v>7408</v>
      </c>
      <c r="G312" t="str">
        <f>"INV 7408/ UNIT 0313"</f>
        <v>INV 7408/ UNIT 0313</v>
      </c>
      <c r="H312">
        <v>328.96</v>
      </c>
      <c r="I312" t="str">
        <f>"INV 7408/ UNIT 0313"</f>
        <v>INV 7408/ UNIT 0313</v>
      </c>
    </row>
    <row r="313" spans="1:9" x14ac:dyDescent="0.3">
      <c r="A313" t="str">
        <f>""</f>
        <v/>
      </c>
      <c r="F313" t="str">
        <f>"7425"</f>
        <v>7425</v>
      </c>
      <c r="G313" t="str">
        <f>"INV 7425/ UNIT 6426"</f>
        <v>INV 7425/ UNIT 6426</v>
      </c>
      <c r="H313">
        <v>1761.12</v>
      </c>
      <c r="I313" t="str">
        <f>"INV 7425/ UNIT 6426"</f>
        <v>INV 7425/ UNIT 6426</v>
      </c>
    </row>
    <row r="314" spans="1:9" x14ac:dyDescent="0.3">
      <c r="A314" t="str">
        <f>""</f>
        <v/>
      </c>
      <c r="F314" t="str">
        <f>"SO-VEHICLE MAINT"</f>
        <v>SO-VEHICLE MAINT</v>
      </c>
      <c r="G314" t="str">
        <f>"INV 7363/ UNIT 1666"</f>
        <v>INV 7363/ UNIT 1666</v>
      </c>
      <c r="H314">
        <v>632.23</v>
      </c>
      <c r="I314" t="str">
        <f>"INV 7363/ UNIT 1666"</f>
        <v>INV 7363/ UNIT 1666</v>
      </c>
    </row>
    <row r="315" spans="1:9" x14ac:dyDescent="0.3">
      <c r="A315" t="str">
        <f>""</f>
        <v/>
      </c>
      <c r="F315" t="str">
        <f>""</f>
        <v/>
      </c>
      <c r="G315" t="str">
        <f>""</f>
        <v/>
      </c>
      <c r="I315" t="str">
        <f>"INV 7366/ UNIT 4362"</f>
        <v>INV 7366/ UNIT 4362</v>
      </c>
    </row>
    <row r="316" spans="1:9" x14ac:dyDescent="0.3">
      <c r="A316" t="str">
        <f>""</f>
        <v/>
      </c>
      <c r="F316" t="str">
        <f>""</f>
        <v/>
      </c>
      <c r="G316" t="str">
        <f>""</f>
        <v/>
      </c>
      <c r="I316" t="str">
        <f>"INV 7374/ UNIT 312"</f>
        <v>INV 7374/ UNIT 312</v>
      </c>
    </row>
    <row r="317" spans="1:9" x14ac:dyDescent="0.3">
      <c r="A317" t="str">
        <f>""</f>
        <v/>
      </c>
      <c r="F317" t="str">
        <f>""</f>
        <v/>
      </c>
      <c r="G317" t="str">
        <f>""</f>
        <v/>
      </c>
      <c r="I317" t="str">
        <f>"INV 7375/ UNIT 0126"</f>
        <v>INV 7375/ UNIT 0126</v>
      </c>
    </row>
    <row r="318" spans="1:9" x14ac:dyDescent="0.3">
      <c r="A318" t="str">
        <f>""</f>
        <v/>
      </c>
      <c r="F318" t="str">
        <f>""</f>
        <v/>
      </c>
      <c r="G318" t="str">
        <f>""</f>
        <v/>
      </c>
      <c r="I318" t="str">
        <f>"INV 7386/ UNIT 1672"</f>
        <v>INV 7386/ UNIT 1672</v>
      </c>
    </row>
    <row r="319" spans="1:9" x14ac:dyDescent="0.3">
      <c r="A319" t="str">
        <f>""</f>
        <v/>
      </c>
      <c r="F319" t="str">
        <f>""</f>
        <v/>
      </c>
      <c r="G319" t="str">
        <f>""</f>
        <v/>
      </c>
      <c r="I319" t="str">
        <f>"INV 7394/ UNIT 8946"</f>
        <v>INV 7394/ UNIT 8946</v>
      </c>
    </row>
    <row r="320" spans="1:9" x14ac:dyDescent="0.3">
      <c r="A320" t="str">
        <f>""</f>
        <v/>
      </c>
      <c r="F320" t="str">
        <f>""</f>
        <v/>
      </c>
      <c r="G320" t="str">
        <f>""</f>
        <v/>
      </c>
      <c r="I320" t="str">
        <f>"INV 7399/ UNIT 3102"</f>
        <v>INV 7399/ UNIT 3102</v>
      </c>
    </row>
    <row r="321" spans="1:9" x14ac:dyDescent="0.3">
      <c r="A321" t="str">
        <f>""</f>
        <v/>
      </c>
      <c r="F321" t="str">
        <f>""</f>
        <v/>
      </c>
      <c r="G321" t="str">
        <f>""</f>
        <v/>
      </c>
      <c r="I321" t="str">
        <f>"INV 7404/ UNIT 0312"</f>
        <v>INV 7404/ UNIT 0312</v>
      </c>
    </row>
    <row r="322" spans="1:9" x14ac:dyDescent="0.3">
      <c r="A322" t="str">
        <f>""</f>
        <v/>
      </c>
      <c r="F322" t="str">
        <f>""</f>
        <v/>
      </c>
      <c r="G322" t="str">
        <f>""</f>
        <v/>
      </c>
      <c r="I322" t="str">
        <f>"INV 7405/ UNIT 125"</f>
        <v>INV 7405/ UNIT 125</v>
      </c>
    </row>
    <row r="323" spans="1:9" x14ac:dyDescent="0.3">
      <c r="A323" t="str">
        <f>""</f>
        <v/>
      </c>
      <c r="F323" t="str">
        <f>""</f>
        <v/>
      </c>
      <c r="G323" t="str">
        <f>""</f>
        <v/>
      </c>
      <c r="I323" t="str">
        <f>"INV 7414/ UNIT 4719"</f>
        <v>INV 7414/ UNIT 4719</v>
      </c>
    </row>
    <row r="324" spans="1:9" x14ac:dyDescent="0.3">
      <c r="A324" t="str">
        <f>""</f>
        <v/>
      </c>
      <c r="F324" t="str">
        <f>""</f>
        <v/>
      </c>
      <c r="G324" t="str">
        <f>""</f>
        <v/>
      </c>
      <c r="I324" t="str">
        <f>"INV 7420/ UNIT 7279"</f>
        <v>INV 7420/ UNIT 7279</v>
      </c>
    </row>
    <row r="325" spans="1:9" x14ac:dyDescent="0.3">
      <c r="A325" t="str">
        <f>""</f>
        <v/>
      </c>
      <c r="F325" t="str">
        <f>""</f>
        <v/>
      </c>
      <c r="G325" t="str">
        <f>""</f>
        <v/>
      </c>
      <c r="I325" t="str">
        <f>"INV 7429/ UNIT 74"</f>
        <v>INV 7429/ UNIT 74</v>
      </c>
    </row>
    <row r="326" spans="1:9" x14ac:dyDescent="0.3">
      <c r="A326" t="str">
        <f>""</f>
        <v/>
      </c>
      <c r="F326" t="str">
        <f>""</f>
        <v/>
      </c>
      <c r="G326" t="str">
        <f>""</f>
        <v/>
      </c>
      <c r="I326" t="str">
        <f>"INV 7430/ UNIT 6554"</f>
        <v>INV 7430/ UNIT 6554</v>
      </c>
    </row>
    <row r="327" spans="1:9" x14ac:dyDescent="0.3">
      <c r="A327" t="str">
        <f>""</f>
        <v/>
      </c>
      <c r="F327" t="str">
        <f>""</f>
        <v/>
      </c>
      <c r="G327" t="str">
        <f>""</f>
        <v/>
      </c>
      <c r="I327" t="str">
        <f>"INV 7434/ UNIT 3102"</f>
        <v>INV 7434/ UNIT 3102</v>
      </c>
    </row>
    <row r="328" spans="1:9" x14ac:dyDescent="0.3">
      <c r="A328" t="str">
        <f>"003996"</f>
        <v>003996</v>
      </c>
      <c r="B328" t="s">
        <v>92</v>
      </c>
      <c r="C328">
        <v>75600</v>
      </c>
      <c r="D328" s="2">
        <v>50</v>
      </c>
      <c r="E328" s="1">
        <v>43171</v>
      </c>
      <c r="F328" t="str">
        <f>"201803089348"</f>
        <v>201803089348</v>
      </c>
      <c r="G328" t="str">
        <f>"FERAL HOGS"</f>
        <v>FERAL HOGS</v>
      </c>
      <c r="H328">
        <v>50</v>
      </c>
      <c r="I328" t="str">
        <f>"FERAL HOGS"</f>
        <v>FERAL HOGS</v>
      </c>
    </row>
    <row r="329" spans="1:9" x14ac:dyDescent="0.3">
      <c r="A329" t="str">
        <f>"005476"</f>
        <v>005476</v>
      </c>
      <c r="B329" t="s">
        <v>93</v>
      </c>
      <c r="C329">
        <v>75854</v>
      </c>
      <c r="D329" s="2">
        <v>15.99</v>
      </c>
      <c r="E329" s="1">
        <v>43185</v>
      </c>
      <c r="F329" t="str">
        <f>"REIMBURSEMENT"</f>
        <v>REIMBURSEMENT</v>
      </c>
      <c r="G329" t="str">
        <f>"BRANDON WHITE"</f>
        <v>BRANDON WHITE</v>
      </c>
      <c r="H329">
        <v>15.99</v>
      </c>
      <c r="I329" t="str">
        <f>""</f>
        <v/>
      </c>
    </row>
    <row r="330" spans="1:9" x14ac:dyDescent="0.3">
      <c r="A330" t="str">
        <f>"005454"</f>
        <v>005454</v>
      </c>
      <c r="B330" t="s">
        <v>94</v>
      </c>
      <c r="C330">
        <v>75601</v>
      </c>
      <c r="D330" s="2">
        <v>60</v>
      </c>
      <c r="E330" s="1">
        <v>43171</v>
      </c>
      <c r="F330" t="str">
        <f>"201803089349"</f>
        <v>201803089349</v>
      </c>
      <c r="G330" t="str">
        <f>"FERAL HOGS"</f>
        <v>FERAL HOGS</v>
      </c>
      <c r="H330">
        <v>60</v>
      </c>
      <c r="I330" t="str">
        <f>"FERAL HOGS"</f>
        <v>FERAL HOGS</v>
      </c>
    </row>
    <row r="331" spans="1:9" x14ac:dyDescent="0.3">
      <c r="A331" t="str">
        <f>"T14544"</f>
        <v>T14544</v>
      </c>
      <c r="B331" t="s">
        <v>95</v>
      </c>
      <c r="C331">
        <v>75602</v>
      </c>
      <c r="D331" s="2">
        <v>320.16000000000003</v>
      </c>
      <c r="E331" s="1">
        <v>43171</v>
      </c>
      <c r="F331" t="str">
        <f>"201802278887"</f>
        <v>201802278887</v>
      </c>
      <c r="G331" t="str">
        <f>"WEBSITE DOMAIN NAME"</f>
        <v>WEBSITE DOMAIN NAME</v>
      </c>
      <c r="H331">
        <v>30.16</v>
      </c>
      <c r="I331" t="str">
        <f>"WEBSITE DOMAIN NAME"</f>
        <v>WEBSITE DOMAIN NAME</v>
      </c>
    </row>
    <row r="332" spans="1:9" x14ac:dyDescent="0.3">
      <c r="A332" t="str">
        <f>""</f>
        <v/>
      </c>
      <c r="F332" t="str">
        <f>"201803079307"</f>
        <v>201803079307</v>
      </c>
      <c r="G332" t="str">
        <f>"PER DIEM-MEALS"</f>
        <v>PER DIEM-MEALS</v>
      </c>
      <c r="H332">
        <v>290</v>
      </c>
      <c r="I332" t="str">
        <f>"PER DIEM-MEALS"</f>
        <v>PER DIEM-MEALS</v>
      </c>
    </row>
    <row r="333" spans="1:9" x14ac:dyDescent="0.3">
      <c r="A333" t="str">
        <f>"000205"</f>
        <v>000205</v>
      </c>
      <c r="B333" t="s">
        <v>96</v>
      </c>
      <c r="C333">
        <v>999999</v>
      </c>
      <c r="D333" s="2">
        <v>55.5</v>
      </c>
      <c r="E333" s="1">
        <v>43186</v>
      </c>
      <c r="F333" t="str">
        <f>"90018338"</f>
        <v>90018338</v>
      </c>
      <c r="G333" t="str">
        <f>"CUST#24889/GEN SVCS"</f>
        <v>CUST#24889/GEN SVCS</v>
      </c>
      <c r="H333">
        <v>55.5</v>
      </c>
      <c r="I333" t="str">
        <f>"CUST#24889/GEN SVCS"</f>
        <v>CUST#24889/GEN SVCS</v>
      </c>
    </row>
    <row r="334" spans="1:9" x14ac:dyDescent="0.3">
      <c r="A334" t="str">
        <f>"000629"</f>
        <v>000629</v>
      </c>
      <c r="B334" t="s">
        <v>97</v>
      </c>
      <c r="C334">
        <v>75604</v>
      </c>
      <c r="D334" s="2">
        <v>3440</v>
      </c>
      <c r="E334" s="1">
        <v>43171</v>
      </c>
      <c r="F334" t="str">
        <f>"JG302082"</f>
        <v>JG302082</v>
      </c>
      <c r="G334" t="str">
        <f>"CHEVROLET CREW CAB"</f>
        <v>CHEVROLET CREW CAB</v>
      </c>
      <c r="H334">
        <v>3440</v>
      </c>
      <c r="I334" t="str">
        <f>"CHEVROLET CREW CAB"</f>
        <v>CHEVROLET CREW CAB</v>
      </c>
    </row>
    <row r="335" spans="1:9" x14ac:dyDescent="0.3">
      <c r="A335" t="str">
        <f>""</f>
        <v/>
      </c>
      <c r="F335" t="str">
        <f>""</f>
        <v/>
      </c>
      <c r="G335" t="str">
        <f>""</f>
        <v/>
      </c>
      <c r="I335" t="str">
        <f>"VEHICLE TRADE-IN"</f>
        <v>VEHICLE TRADE-IN</v>
      </c>
    </row>
    <row r="336" spans="1:9" x14ac:dyDescent="0.3">
      <c r="A336" t="str">
        <f>"002687"</f>
        <v>002687</v>
      </c>
      <c r="B336" t="s">
        <v>98</v>
      </c>
      <c r="C336">
        <v>75605</v>
      </c>
      <c r="D336" s="2">
        <v>80</v>
      </c>
      <c r="E336" s="1">
        <v>43171</v>
      </c>
      <c r="F336" t="str">
        <f>"12842"</f>
        <v>12842</v>
      </c>
      <c r="G336" t="str">
        <f>"SERVICE  12/11/17"</f>
        <v>SERVICE  12/11/17</v>
      </c>
      <c r="H336">
        <v>80</v>
      </c>
      <c r="I336" t="str">
        <f>"SERVICE  12/11/17"</f>
        <v>SERVICE  12/11/17</v>
      </c>
    </row>
    <row r="337" spans="1:9" x14ac:dyDescent="0.3">
      <c r="A337" t="str">
        <f>"003019"</f>
        <v>003019</v>
      </c>
      <c r="B337" t="s">
        <v>99</v>
      </c>
      <c r="C337">
        <v>75606</v>
      </c>
      <c r="D337" s="2">
        <v>3300</v>
      </c>
      <c r="E337" s="1">
        <v>43171</v>
      </c>
      <c r="F337" t="str">
        <f>"CAMPO-18-057"</f>
        <v>CAMPO-18-057</v>
      </c>
      <c r="G337" t="str">
        <f>"TRANSPORTATION PLANNING ACTIVI"</f>
        <v>TRANSPORTATION PLANNING ACTIVI</v>
      </c>
      <c r="H337">
        <v>3300</v>
      </c>
      <c r="I337" t="str">
        <f>"TRANSPORTATION PLANNING ACTIVI"</f>
        <v>TRANSPORTATION PLANNING ACTIVI</v>
      </c>
    </row>
    <row r="338" spans="1:9" x14ac:dyDescent="0.3">
      <c r="A338" t="str">
        <f>"003910"</f>
        <v>003910</v>
      </c>
      <c r="B338" t="s">
        <v>100</v>
      </c>
      <c r="C338">
        <v>75607</v>
      </c>
      <c r="D338" s="2">
        <v>1034</v>
      </c>
      <c r="E338" s="1">
        <v>43171</v>
      </c>
      <c r="F338" t="str">
        <f>"052626"</f>
        <v>052626</v>
      </c>
      <c r="G338" t="str">
        <f>"INV 052626"</f>
        <v>INV 052626</v>
      </c>
      <c r="H338">
        <v>1034</v>
      </c>
      <c r="I338" t="str">
        <f>"INV 052626"</f>
        <v>INV 052626</v>
      </c>
    </row>
    <row r="339" spans="1:9" x14ac:dyDescent="0.3">
      <c r="A339" t="str">
        <f>"005267"</f>
        <v>005267</v>
      </c>
      <c r="B339" t="s">
        <v>101</v>
      </c>
      <c r="C339">
        <v>75608</v>
      </c>
      <c r="D339" s="2">
        <v>2685</v>
      </c>
      <c r="E339" s="1">
        <v>43171</v>
      </c>
      <c r="F339" t="str">
        <f>"1444"</f>
        <v>1444</v>
      </c>
      <c r="G339" t="str">
        <f>"PLUMBING/JUVENILE BOOT CAMP"</f>
        <v>PLUMBING/JUVENILE BOOT CAMP</v>
      </c>
      <c r="H339">
        <v>1135</v>
      </c>
      <c r="I339" t="str">
        <f>"PLUMBING/JUVENILE BOOT CAMP"</f>
        <v>PLUMBING/JUVENILE BOOT CAMP</v>
      </c>
    </row>
    <row r="340" spans="1:9" x14ac:dyDescent="0.3">
      <c r="A340" t="str">
        <f>""</f>
        <v/>
      </c>
      <c r="F340" t="str">
        <f>"1450"</f>
        <v>1450</v>
      </c>
      <c r="G340" t="str">
        <f>"PLUMBING SVCS/GRADY TUCK BLDG"</f>
        <v>PLUMBING SVCS/GRADY TUCK BLDG</v>
      </c>
      <c r="H340">
        <v>1550</v>
      </c>
      <c r="I340" t="str">
        <f>"PLUMBING SVCS/GRADY TUCK BLDG"</f>
        <v>PLUMBING SVCS/GRADY TUCK BLDG</v>
      </c>
    </row>
    <row r="341" spans="1:9" x14ac:dyDescent="0.3">
      <c r="A341" t="str">
        <f>"CBOA"</f>
        <v>CBOA</v>
      </c>
      <c r="B341" t="s">
        <v>102</v>
      </c>
      <c r="C341">
        <v>999999</v>
      </c>
      <c r="D341" s="2">
        <v>85.23</v>
      </c>
      <c r="E341" s="1">
        <v>43172</v>
      </c>
      <c r="F341" t="str">
        <f>"1611157"</f>
        <v>1611157</v>
      </c>
      <c r="G341" t="str">
        <f>"ACCT#000690/ORD#01361247/PCT#4"</f>
        <v>ACCT#000690/ORD#01361247/PCT#4</v>
      </c>
      <c r="H341">
        <v>2.23</v>
      </c>
      <c r="I341" t="str">
        <f>"ACCT#000690/ORD#01361247/PCT#4"</f>
        <v>ACCT#000690/ORD#01361247/PCT#4</v>
      </c>
    </row>
    <row r="342" spans="1:9" x14ac:dyDescent="0.3">
      <c r="A342" t="str">
        <f>""</f>
        <v/>
      </c>
      <c r="F342" t="str">
        <f>"1611326"</f>
        <v>1611326</v>
      </c>
      <c r="G342" t="str">
        <f>"ACCT#000690/ORD#01361247/PCT#4"</f>
        <v>ACCT#000690/ORD#01361247/PCT#4</v>
      </c>
      <c r="H342">
        <v>83</v>
      </c>
      <c r="I342" t="str">
        <f>"ACCT#000690/ORD#01361247/PCT#4"</f>
        <v>ACCT#000690/ORD#01361247/PCT#4</v>
      </c>
    </row>
    <row r="343" spans="1:9" x14ac:dyDescent="0.3">
      <c r="A343" t="str">
        <f>"CARD"</f>
        <v>CARD</v>
      </c>
      <c r="B343" t="s">
        <v>103</v>
      </c>
      <c r="C343">
        <v>75609</v>
      </c>
      <c r="D343" s="2">
        <v>486.48</v>
      </c>
      <c r="E343" s="1">
        <v>43171</v>
      </c>
      <c r="F343" t="str">
        <f>"ACCT#XXXX0574"</f>
        <v>ACCT#XXXX0574</v>
      </c>
      <c r="G343" t="str">
        <f>"STATEMENT 0574"</f>
        <v>STATEMENT 0574</v>
      </c>
      <c r="H343">
        <v>486.48</v>
      </c>
      <c r="I343" t="str">
        <f>"WALMART"</f>
        <v>WALMART</v>
      </c>
    </row>
    <row r="344" spans="1:9" x14ac:dyDescent="0.3">
      <c r="A344" t="str">
        <f>""</f>
        <v/>
      </c>
      <c r="F344" t="str">
        <f>""</f>
        <v/>
      </c>
      <c r="G344" t="str">
        <f>""</f>
        <v/>
      </c>
      <c r="I344" t="str">
        <f>"CORNER STORE"</f>
        <v>CORNER STORE</v>
      </c>
    </row>
    <row r="345" spans="1:9" x14ac:dyDescent="0.3">
      <c r="A345" t="str">
        <f>""</f>
        <v/>
      </c>
      <c r="F345" t="str">
        <f>""</f>
        <v/>
      </c>
      <c r="G345" t="str">
        <f>""</f>
        <v/>
      </c>
      <c r="I345" t="str">
        <f>"CORNER STORE"</f>
        <v>CORNER STORE</v>
      </c>
    </row>
    <row r="346" spans="1:9" x14ac:dyDescent="0.3">
      <c r="A346" t="str">
        <f>""</f>
        <v/>
      </c>
      <c r="F346" t="str">
        <f>""</f>
        <v/>
      </c>
      <c r="G346" t="str">
        <f>""</f>
        <v/>
      </c>
      <c r="I346" t="str">
        <f>"CORNER STORE"</f>
        <v>CORNER STORE</v>
      </c>
    </row>
    <row r="347" spans="1:9" x14ac:dyDescent="0.3">
      <c r="A347" t="str">
        <f>""</f>
        <v/>
      </c>
      <c r="F347" t="str">
        <f>""</f>
        <v/>
      </c>
      <c r="G347" t="str">
        <f>""</f>
        <v/>
      </c>
      <c r="I347" t="str">
        <f>"BUC-EE'S"</f>
        <v>BUC-EE'S</v>
      </c>
    </row>
    <row r="348" spans="1:9" x14ac:dyDescent="0.3">
      <c r="A348" t="str">
        <f>""</f>
        <v/>
      </c>
      <c r="F348" t="str">
        <f>""</f>
        <v/>
      </c>
      <c r="G348" t="str">
        <f>""</f>
        <v/>
      </c>
      <c r="I348" t="str">
        <f>"BUC-EE'S"</f>
        <v>BUC-EE'S</v>
      </c>
    </row>
    <row r="349" spans="1:9" x14ac:dyDescent="0.3">
      <c r="A349" t="str">
        <f>""</f>
        <v/>
      </c>
      <c r="F349" t="str">
        <f>""</f>
        <v/>
      </c>
      <c r="G349" t="str">
        <f>""</f>
        <v/>
      </c>
      <c r="I349" t="str">
        <f>"BUC-EE'S"</f>
        <v>BUC-EE'S</v>
      </c>
    </row>
    <row r="350" spans="1:9" x14ac:dyDescent="0.3">
      <c r="A350" t="str">
        <f>""</f>
        <v/>
      </c>
      <c r="F350" t="str">
        <f>""</f>
        <v/>
      </c>
      <c r="G350" t="str">
        <f>""</f>
        <v/>
      </c>
      <c r="I350" t="str">
        <f>"BUC-EE'S"</f>
        <v>BUC-EE'S</v>
      </c>
    </row>
    <row r="351" spans="1:9" x14ac:dyDescent="0.3">
      <c r="A351" t="str">
        <f>""</f>
        <v/>
      </c>
      <c r="F351" t="str">
        <f>""</f>
        <v/>
      </c>
      <c r="G351" t="str">
        <f>""</f>
        <v/>
      </c>
      <c r="I351" t="str">
        <f>"EXXON - CIRCLE K"</f>
        <v>EXXON - CIRCLE K</v>
      </c>
    </row>
    <row r="352" spans="1:9" x14ac:dyDescent="0.3">
      <c r="A352" t="str">
        <f>""</f>
        <v/>
      </c>
      <c r="F352" t="str">
        <f>""</f>
        <v/>
      </c>
      <c r="G352" t="str">
        <f>""</f>
        <v/>
      </c>
      <c r="I352" t="str">
        <f>"EXXON - CIRCLE K"</f>
        <v>EXXON - CIRCLE K</v>
      </c>
    </row>
    <row r="353" spans="1:10" x14ac:dyDescent="0.3">
      <c r="A353" t="str">
        <f>""</f>
        <v/>
      </c>
      <c r="F353" t="str">
        <f>""</f>
        <v/>
      </c>
      <c r="G353" t="str">
        <f>""</f>
        <v/>
      </c>
      <c r="I353" t="str">
        <f>"EXXON - CIRCLE K"</f>
        <v>EXXON - CIRCLE K</v>
      </c>
    </row>
    <row r="354" spans="1:10" x14ac:dyDescent="0.3">
      <c r="A354" t="str">
        <f>""</f>
        <v/>
      </c>
      <c r="F354" t="str">
        <f>""</f>
        <v/>
      </c>
      <c r="G354" t="str">
        <f>""</f>
        <v/>
      </c>
      <c r="I354" t="str">
        <f>"CORNER STORE"</f>
        <v>CORNER STORE</v>
      </c>
    </row>
    <row r="355" spans="1:10" x14ac:dyDescent="0.3">
      <c r="A355" t="str">
        <f>""</f>
        <v/>
      </c>
      <c r="F355" t="str">
        <f>""</f>
        <v/>
      </c>
      <c r="G355" t="str">
        <f>""</f>
        <v/>
      </c>
      <c r="I355" t="str">
        <f>"INTEREST"</f>
        <v>INTEREST</v>
      </c>
    </row>
    <row r="356" spans="1:10" x14ac:dyDescent="0.3">
      <c r="A356" t="str">
        <f>""</f>
        <v/>
      </c>
      <c r="F356" t="str">
        <f>""</f>
        <v/>
      </c>
      <c r="G356" t="str">
        <f>""</f>
        <v/>
      </c>
      <c r="I356" t="str">
        <f>"STATEMENT 0574"</f>
        <v>STATEMENT 0574</v>
      </c>
    </row>
    <row r="357" spans="1:10" x14ac:dyDescent="0.3">
      <c r="A357" t="str">
        <f>""</f>
        <v/>
      </c>
      <c r="F357" t="str">
        <f>""</f>
        <v/>
      </c>
      <c r="G357" t="str">
        <f>""</f>
        <v/>
      </c>
      <c r="I357" t="str">
        <f>"TEXAS FACILITIES COM"</f>
        <v>TEXAS FACILITIES COM</v>
      </c>
    </row>
    <row r="358" spans="1:10" x14ac:dyDescent="0.3">
      <c r="A358" t="str">
        <f>""</f>
        <v/>
      </c>
      <c r="F358" t="str">
        <f>""</f>
        <v/>
      </c>
      <c r="G358" t="str">
        <f>""</f>
        <v/>
      </c>
      <c r="I358" t="str">
        <f>"U.S. POSTAL SERVICE"</f>
        <v>U.S. POSTAL SERVICE</v>
      </c>
    </row>
    <row r="359" spans="1:10" x14ac:dyDescent="0.3">
      <c r="A359" t="str">
        <f>"005455"</f>
        <v>005455</v>
      </c>
      <c r="B359" t="s">
        <v>104</v>
      </c>
      <c r="C359">
        <v>75610</v>
      </c>
      <c r="D359" s="2">
        <v>5</v>
      </c>
      <c r="E359" s="1">
        <v>43171</v>
      </c>
      <c r="F359" t="str">
        <f>"201803089350"</f>
        <v>201803089350</v>
      </c>
      <c r="G359" t="str">
        <f>"FERAL HOGS"</f>
        <v>FERAL HOGS</v>
      </c>
      <c r="H359">
        <v>5</v>
      </c>
      <c r="I359" t="str">
        <f>"FERAL HOGS"</f>
        <v>FERAL HOGS</v>
      </c>
    </row>
    <row r="360" spans="1:10" x14ac:dyDescent="0.3">
      <c r="A360" t="str">
        <f>"CRR"</f>
        <v>CRR</v>
      </c>
      <c r="B360" t="s">
        <v>105</v>
      </c>
      <c r="C360">
        <v>75611</v>
      </c>
      <c r="D360" s="2">
        <v>6416.25</v>
      </c>
      <c r="E360" s="1">
        <v>43171</v>
      </c>
      <c r="F360" t="s">
        <v>22</v>
      </c>
      <c r="G360" t="s">
        <v>106</v>
      </c>
      <c r="H360" t="str">
        <f>"PROF SVCS 01/18-02/28"</f>
        <v>PROF SVCS 01/18-02/28</v>
      </c>
      <c r="I360" t="str">
        <f>"995-4105"</f>
        <v>995-4105</v>
      </c>
      <c r="J360" t="str">
        <f>""</f>
        <v/>
      </c>
    </row>
    <row r="361" spans="1:10" x14ac:dyDescent="0.3">
      <c r="A361" t="str">
        <f>"T12897"</f>
        <v>T12897</v>
      </c>
      <c r="B361" t="s">
        <v>107</v>
      </c>
      <c r="C361">
        <v>75612</v>
      </c>
      <c r="D361" s="2">
        <v>4673.68</v>
      </c>
      <c r="E361" s="1">
        <v>43171</v>
      </c>
      <c r="F361" t="str">
        <f>"CID2215954"</f>
        <v>CID2215954</v>
      </c>
      <c r="G361" t="str">
        <f>"Inv# CID2215954"</f>
        <v>Inv# CID2215954</v>
      </c>
      <c r="H361">
        <v>4673.68</v>
      </c>
      <c r="I361" t="str">
        <f>"Inv# CID2215954"</f>
        <v>Inv# CID2215954</v>
      </c>
    </row>
    <row r="362" spans="1:10" x14ac:dyDescent="0.3">
      <c r="A362" t="str">
        <f>"CENTEX"</f>
        <v>CENTEX</v>
      </c>
      <c r="B362" t="s">
        <v>108</v>
      </c>
      <c r="C362">
        <v>75613</v>
      </c>
      <c r="D362" s="2">
        <v>1826.13</v>
      </c>
      <c r="E362" s="1">
        <v>43171</v>
      </c>
      <c r="F362" t="str">
        <f>"30124140"</f>
        <v>30124140</v>
      </c>
      <c r="G362" t="str">
        <f>"CUST#BASPCT1/ORD#37-19558/PCT1"</f>
        <v>CUST#BASPCT1/ORD#37-19558/PCT1</v>
      </c>
      <c r="H362">
        <v>1826.13</v>
      </c>
      <c r="I362" t="str">
        <f>"CUST#BASPCT1/ORD#37-19558/PCT1"</f>
        <v>CUST#BASPCT1/ORD#37-19558/PCT1</v>
      </c>
    </row>
    <row r="363" spans="1:10" x14ac:dyDescent="0.3">
      <c r="A363" t="str">
        <f>"CENTEX"</f>
        <v>CENTEX</v>
      </c>
      <c r="B363" t="s">
        <v>108</v>
      </c>
      <c r="C363">
        <v>75855</v>
      </c>
      <c r="D363" s="2">
        <v>1220.3699999999999</v>
      </c>
      <c r="E363" s="1">
        <v>43185</v>
      </c>
      <c r="F363" t="str">
        <f>"30124239"</f>
        <v>30124239</v>
      </c>
      <c r="G363" t="str">
        <f>"ORD#37-19558/CUST#BASPCT1"</f>
        <v>ORD#37-19558/CUST#BASPCT1</v>
      </c>
      <c r="H363">
        <v>1220.3699999999999</v>
      </c>
      <c r="I363" t="str">
        <f>"ORD#37-19558/CUST#BASPCT1"</f>
        <v>ORD#37-19558/CUST#BASPCT1</v>
      </c>
    </row>
    <row r="364" spans="1:10" x14ac:dyDescent="0.3">
      <c r="A364" t="str">
        <f>"T11963"</f>
        <v>T11963</v>
      </c>
      <c r="B364" t="s">
        <v>109</v>
      </c>
      <c r="C364">
        <v>75614</v>
      </c>
      <c r="D364" s="2">
        <v>195</v>
      </c>
      <c r="E364" s="1">
        <v>43171</v>
      </c>
      <c r="F364" t="str">
        <f>"BC2#003"</f>
        <v>BC2#003</v>
      </c>
      <c r="G364" t="str">
        <f>"WATER BARRIERS/PCT#2"</f>
        <v>WATER BARRIERS/PCT#2</v>
      </c>
      <c r="H364">
        <v>195</v>
      </c>
      <c r="I364" t="str">
        <f>"WATER BARRIERS/PCT#2"</f>
        <v>WATER BARRIERS/PCT#2</v>
      </c>
    </row>
    <row r="365" spans="1:10" x14ac:dyDescent="0.3">
      <c r="A365" t="str">
        <f>"T11963"</f>
        <v>T11963</v>
      </c>
      <c r="B365" t="s">
        <v>109</v>
      </c>
      <c r="C365">
        <v>75856</v>
      </c>
      <c r="D365" s="2">
        <v>535</v>
      </c>
      <c r="E365" s="1">
        <v>43185</v>
      </c>
      <c r="F365" t="str">
        <f>"BC2#004"</f>
        <v>BC2#004</v>
      </c>
      <c r="G365" t="str">
        <f>"WATER BARRIERS/DELIVERY FEE/P2"</f>
        <v>WATER BARRIERS/DELIVERY FEE/P2</v>
      </c>
      <c r="H365">
        <v>535</v>
      </c>
      <c r="I365" t="str">
        <f>"WATER BARRIERS/DELIVERY FEE/P2"</f>
        <v>WATER BARRIERS/DELIVERY FEE/P2</v>
      </c>
    </row>
    <row r="366" spans="1:10" x14ac:dyDescent="0.3">
      <c r="A366" t="str">
        <f>"005422"</f>
        <v>005422</v>
      </c>
      <c r="B366" t="s">
        <v>110</v>
      </c>
      <c r="C366">
        <v>75615</v>
      </c>
      <c r="D366" s="2">
        <v>562.91</v>
      </c>
      <c r="E366" s="1">
        <v>43171</v>
      </c>
      <c r="F366" t="str">
        <f>"201803079315"</f>
        <v>201803079315</v>
      </c>
      <c r="G366" t="str">
        <f>"INDIGENT HEALTH"</f>
        <v>INDIGENT HEALTH</v>
      </c>
      <c r="H366">
        <v>483.92</v>
      </c>
    </row>
    <row r="367" spans="1:10" x14ac:dyDescent="0.3">
      <c r="A367" t="str">
        <f>""</f>
        <v/>
      </c>
      <c r="F367" t="str">
        <f>"201803079316"</f>
        <v>201803079316</v>
      </c>
      <c r="G367" t="str">
        <f>"INDIGENT HEALTH"</f>
        <v>INDIGENT HEALTH</v>
      </c>
      <c r="H367">
        <v>78.989999999999995</v>
      </c>
    </row>
    <row r="368" spans="1:10" x14ac:dyDescent="0.3">
      <c r="A368" t="str">
        <f>"005422"</f>
        <v>005422</v>
      </c>
      <c r="B368" t="s">
        <v>110</v>
      </c>
      <c r="C368">
        <v>75615</v>
      </c>
      <c r="D368" s="2">
        <v>562.91</v>
      </c>
      <c r="E368" s="1">
        <v>43171</v>
      </c>
      <c r="F368" t="str">
        <f>"CHECK"</f>
        <v>CHECK</v>
      </c>
      <c r="G368" t="str">
        <f>""</f>
        <v/>
      </c>
      <c r="H368">
        <v>562.91</v>
      </c>
    </row>
    <row r="369" spans="1:9" x14ac:dyDescent="0.3">
      <c r="A369" t="str">
        <f>"005422"</f>
        <v>005422</v>
      </c>
      <c r="B369" t="s">
        <v>110</v>
      </c>
      <c r="C369">
        <v>75806</v>
      </c>
      <c r="D369" s="2">
        <v>483.92</v>
      </c>
      <c r="E369" s="1">
        <v>43171</v>
      </c>
      <c r="F369" t="str">
        <f>"201803139591"</f>
        <v>201803139591</v>
      </c>
      <c r="G369" t="str">
        <f>"INDIGENT HEALTH"</f>
        <v>INDIGENT HEALTH</v>
      </c>
      <c r="H369">
        <v>483.92</v>
      </c>
      <c r="I369" t="str">
        <f>"INDIGENT HEALTH"</f>
        <v>INDIGENT HEALTH</v>
      </c>
    </row>
    <row r="370" spans="1:9" x14ac:dyDescent="0.3">
      <c r="A370" t="str">
        <f>"002795"</f>
        <v>002795</v>
      </c>
      <c r="B370" t="s">
        <v>111</v>
      </c>
      <c r="C370">
        <v>75616</v>
      </c>
      <c r="D370" s="2">
        <v>10500</v>
      </c>
      <c r="E370" s="1">
        <v>43171</v>
      </c>
      <c r="F370" t="str">
        <f>"12116"</f>
        <v>12116</v>
      </c>
      <c r="G370" t="str">
        <f>"CTA 433-17 M. BARTSCH"</f>
        <v>CTA 433-17 M. BARTSCH</v>
      </c>
      <c r="H370">
        <v>2100</v>
      </c>
      <c r="I370" t="str">
        <f>"CTA 433-17 M. BARTSCH"</f>
        <v>CTA 433-17 M. BARTSCH</v>
      </c>
    </row>
    <row r="371" spans="1:9" x14ac:dyDescent="0.3">
      <c r="A371" t="str">
        <f>""</f>
        <v/>
      </c>
      <c r="F371" t="str">
        <f>"12117"</f>
        <v>12117</v>
      </c>
      <c r="G371" t="str">
        <f>"CTA 464-17 R. SWEARINGEN"</f>
        <v>CTA 464-17 R. SWEARINGEN</v>
      </c>
      <c r="H371">
        <v>2100</v>
      </c>
      <c r="I371" t="str">
        <f>"CTA 464-17 R. SWEARINGEN"</f>
        <v>CTA 464-17 R. SWEARINGEN</v>
      </c>
    </row>
    <row r="372" spans="1:9" x14ac:dyDescent="0.3">
      <c r="A372" t="str">
        <f>""</f>
        <v/>
      </c>
      <c r="F372" t="str">
        <f>"12118"</f>
        <v>12118</v>
      </c>
      <c r="G372" t="str">
        <f>"CTA 477-17 B. P. MAGGI"</f>
        <v>CTA 477-17 B. P. MAGGI</v>
      </c>
      <c r="H372">
        <v>2100</v>
      </c>
      <c r="I372" t="str">
        <f>"CTA 477-17 B. P. MAGGI"</f>
        <v>CTA 477-17 B. P. MAGGI</v>
      </c>
    </row>
    <row r="373" spans="1:9" x14ac:dyDescent="0.3">
      <c r="A373" t="str">
        <f>""</f>
        <v/>
      </c>
      <c r="F373" t="str">
        <f>"12119"</f>
        <v>12119</v>
      </c>
      <c r="G373" t="str">
        <f>"CTA 486-17 A.R. JONES"</f>
        <v>CTA 486-17 A.R. JONES</v>
      </c>
      <c r="H373">
        <v>2100</v>
      </c>
      <c r="I373" t="str">
        <f>"CTA 486-17 A.R. JONES"</f>
        <v>CTA 486-17 A.R. JONES</v>
      </c>
    </row>
    <row r="374" spans="1:9" x14ac:dyDescent="0.3">
      <c r="A374" t="str">
        <f>""</f>
        <v/>
      </c>
      <c r="F374" t="str">
        <f>"12120"</f>
        <v>12120</v>
      </c>
      <c r="G374" t="str">
        <f>"CTA 527-17 B.R.CADZOW"</f>
        <v>CTA 527-17 B.R.CADZOW</v>
      </c>
      <c r="H374">
        <v>2100</v>
      </c>
      <c r="I374" t="str">
        <f>"CTA 527-17 B.R.CADZOW"</f>
        <v>CTA 527-17 B.R.CADZOW</v>
      </c>
    </row>
    <row r="375" spans="1:9" x14ac:dyDescent="0.3">
      <c r="A375" t="str">
        <f>"002795"</f>
        <v>002795</v>
      </c>
      <c r="B375" t="s">
        <v>111</v>
      </c>
      <c r="C375">
        <v>75857</v>
      </c>
      <c r="D375" s="2">
        <v>10500</v>
      </c>
      <c r="E375" s="1">
        <v>43185</v>
      </c>
      <c r="F375" t="str">
        <f>"12143"</f>
        <v>12143</v>
      </c>
      <c r="G375" t="str">
        <f>"CTA250-17/N.B. ALVATER"</f>
        <v>CTA250-17/N.B. ALVATER</v>
      </c>
      <c r="H375">
        <v>2100</v>
      </c>
      <c r="I375" t="str">
        <f>"CTA250-17/N.B. ALVATER"</f>
        <v>CTA250-17/N.B. ALVATER</v>
      </c>
    </row>
    <row r="376" spans="1:9" x14ac:dyDescent="0.3">
      <c r="A376" t="str">
        <f>""</f>
        <v/>
      </c>
      <c r="F376" t="str">
        <f>"12145"</f>
        <v>12145</v>
      </c>
      <c r="G376" t="str">
        <f>"CTA300-17 K.P.SIDDALL"</f>
        <v>CTA300-17 K.P.SIDDALL</v>
      </c>
      <c r="H376">
        <v>2100</v>
      </c>
      <c r="I376" t="str">
        <f>"CTA300-17 K.P.SIDDALL"</f>
        <v>CTA300-17 K.P.SIDDALL</v>
      </c>
    </row>
    <row r="377" spans="1:9" x14ac:dyDescent="0.3">
      <c r="A377" t="str">
        <f>""</f>
        <v/>
      </c>
      <c r="F377" t="str">
        <f>"12147"</f>
        <v>12147</v>
      </c>
      <c r="G377" t="str">
        <f>"CTA368-17/R.L. GILDON"</f>
        <v>CTA368-17/R.L. GILDON</v>
      </c>
      <c r="H377">
        <v>2100</v>
      </c>
      <c r="I377" t="str">
        <f>"CTA368-17/R.L. GILDON"</f>
        <v>CTA368-17/R.L. GILDON</v>
      </c>
    </row>
    <row r="378" spans="1:9" x14ac:dyDescent="0.3">
      <c r="A378" t="str">
        <f>""</f>
        <v/>
      </c>
      <c r="F378" t="str">
        <f>"12191"</f>
        <v>12191</v>
      </c>
      <c r="G378" t="str">
        <f>"CTA 523-17-S. BLOUNT"</f>
        <v>CTA 523-17-S. BLOUNT</v>
      </c>
      <c r="H378">
        <v>2100</v>
      </c>
      <c r="I378" t="str">
        <f>"CTA 523-17-S. BLOUNT"</f>
        <v>CTA 523-17-S. BLOUNT</v>
      </c>
    </row>
    <row r="379" spans="1:9" x14ac:dyDescent="0.3">
      <c r="A379" t="str">
        <f>""</f>
        <v/>
      </c>
      <c r="F379" t="str">
        <f>"12193"</f>
        <v>12193</v>
      </c>
      <c r="G379" t="str">
        <f>"CTA 536-17 O.D. JOHNSON"</f>
        <v>CTA 536-17 O.D. JOHNSON</v>
      </c>
      <c r="H379">
        <v>2100</v>
      </c>
      <c r="I379" t="str">
        <f>"CTA 536-17 O.D. JOHNSON"</f>
        <v>CTA 536-17 O.D. JOHNSON</v>
      </c>
    </row>
    <row r="380" spans="1:9" x14ac:dyDescent="0.3">
      <c r="A380" t="str">
        <f>"T9145"</f>
        <v>T9145</v>
      </c>
      <c r="B380" t="s">
        <v>112</v>
      </c>
      <c r="C380">
        <v>999999</v>
      </c>
      <c r="D380" s="2">
        <v>925</v>
      </c>
      <c r="E380" s="1">
        <v>43172</v>
      </c>
      <c r="F380" t="str">
        <f>"201803028931"</f>
        <v>201803028931</v>
      </c>
      <c r="G380" t="str">
        <f>"JUVE 2/13/18"</f>
        <v>JUVE 2/13/18</v>
      </c>
      <c r="H380">
        <v>100</v>
      </c>
      <c r="I380" t="str">
        <f>"JUVE 2/13/18"</f>
        <v>JUVE 2/13/18</v>
      </c>
    </row>
    <row r="381" spans="1:9" x14ac:dyDescent="0.3">
      <c r="A381" t="str">
        <f>""</f>
        <v/>
      </c>
      <c r="F381" t="str">
        <f>"201803028939"</f>
        <v>201803028939</v>
      </c>
      <c r="G381" t="str">
        <f>"17-18578"</f>
        <v>17-18578</v>
      </c>
      <c r="H381">
        <v>100</v>
      </c>
      <c r="I381" t="str">
        <f>"17-18578"</f>
        <v>17-18578</v>
      </c>
    </row>
    <row r="382" spans="1:9" x14ac:dyDescent="0.3">
      <c r="A382" t="str">
        <f>""</f>
        <v/>
      </c>
      <c r="F382" t="str">
        <f>"201803028940"</f>
        <v>201803028940</v>
      </c>
      <c r="G382" t="str">
        <f>"18-18824"</f>
        <v>18-18824</v>
      </c>
      <c r="H382">
        <v>100</v>
      </c>
      <c r="I382" t="str">
        <f>"18-18824"</f>
        <v>18-18824</v>
      </c>
    </row>
    <row r="383" spans="1:9" x14ac:dyDescent="0.3">
      <c r="A383" t="str">
        <f>""</f>
        <v/>
      </c>
      <c r="F383" t="str">
        <f>"201803028943"</f>
        <v>201803028943</v>
      </c>
      <c r="G383" t="str">
        <f>"18-18854"</f>
        <v>18-18854</v>
      </c>
      <c r="H383">
        <v>250</v>
      </c>
      <c r="I383" t="str">
        <f>"18-18854"</f>
        <v>18-18854</v>
      </c>
    </row>
    <row r="384" spans="1:9" x14ac:dyDescent="0.3">
      <c r="A384" t="str">
        <f>""</f>
        <v/>
      </c>
      <c r="F384" t="str">
        <f>"201803028954"</f>
        <v>201803028954</v>
      </c>
      <c r="G384" t="str">
        <f>"54 964  54 965"</f>
        <v>54 964  54 965</v>
      </c>
      <c r="H384">
        <v>375</v>
      </c>
      <c r="I384" t="str">
        <f>"54 964  54 965"</f>
        <v>54 964  54 965</v>
      </c>
    </row>
    <row r="385" spans="1:9" x14ac:dyDescent="0.3">
      <c r="A385" t="str">
        <f>"004228"</f>
        <v>004228</v>
      </c>
      <c r="B385" t="s">
        <v>113</v>
      </c>
      <c r="C385">
        <v>999999</v>
      </c>
      <c r="D385" s="2">
        <v>208.79</v>
      </c>
      <c r="E385" s="1">
        <v>43172</v>
      </c>
      <c r="F385" t="str">
        <f>"201802288895"</f>
        <v>201802288895</v>
      </c>
      <c r="G385" t="str">
        <f>"REIMBURSE-MEAL"</f>
        <v>REIMBURSE-MEAL</v>
      </c>
      <c r="H385">
        <v>12.99</v>
      </c>
      <c r="I385" t="str">
        <f>"REIMBURSE-MEAL"</f>
        <v>REIMBURSE-MEAL</v>
      </c>
    </row>
    <row r="386" spans="1:9" x14ac:dyDescent="0.3">
      <c r="A386" t="str">
        <f>""</f>
        <v/>
      </c>
      <c r="F386" t="str">
        <f>"201802288896"</f>
        <v>201802288896</v>
      </c>
      <c r="G386" t="str">
        <f>"REIMBURSE-REGISTRATION"</f>
        <v>REIMBURSE-REGISTRATION</v>
      </c>
      <c r="H386">
        <v>65</v>
      </c>
      <c r="I386" t="str">
        <f>"REIMBURSE-REGISTRATION"</f>
        <v>REIMBURSE-REGISTRATION</v>
      </c>
    </row>
    <row r="387" spans="1:9" x14ac:dyDescent="0.3">
      <c r="A387" t="str">
        <f>""</f>
        <v/>
      </c>
      <c r="F387" t="str">
        <f>"201802288897"</f>
        <v>201802288897</v>
      </c>
      <c r="G387" t="str">
        <f>"MILEAGE REIMBURSEMENT"</f>
        <v>MILEAGE REIMBURSEMENT</v>
      </c>
      <c r="H387">
        <v>130.80000000000001</v>
      </c>
      <c r="I387" t="str">
        <f>"MILEAGE REIMBURSEMENT"</f>
        <v>MILEAGE REIMBURSEMENT</v>
      </c>
    </row>
    <row r="388" spans="1:9" x14ac:dyDescent="0.3">
      <c r="A388" t="str">
        <f>"004228"</f>
        <v>004228</v>
      </c>
      <c r="B388" t="s">
        <v>113</v>
      </c>
      <c r="C388">
        <v>999999</v>
      </c>
      <c r="D388" s="2">
        <v>661.02</v>
      </c>
      <c r="E388" s="1">
        <v>43186</v>
      </c>
      <c r="F388" t="str">
        <f>"201803159639"</f>
        <v>201803159639</v>
      </c>
      <c r="G388" t="str">
        <f>"MILEAGE REIMBURSEMENT"</f>
        <v>MILEAGE REIMBURSEMENT</v>
      </c>
      <c r="H388">
        <v>143.88</v>
      </c>
      <c r="I388" t="str">
        <f>"MILEAGE REIMBURSEMENT"</f>
        <v>MILEAGE REIMBURSEMENT</v>
      </c>
    </row>
    <row r="389" spans="1:9" x14ac:dyDescent="0.3">
      <c r="A389" t="str">
        <f>""</f>
        <v/>
      </c>
      <c r="F389" t="str">
        <f>"201803159640"</f>
        <v>201803159640</v>
      </c>
      <c r="G389" t="str">
        <f>"REIMBURSE HOTEL/HOUSTON RODEO"</f>
        <v>REIMBURSE HOTEL/HOUSTON RODEO</v>
      </c>
      <c r="H389">
        <v>517.14</v>
      </c>
      <c r="I389" t="str">
        <f>"REIMBURSE HOTEL/HOUSTON RODEO"</f>
        <v>REIMBURSE HOTEL/HOUSTON RODEO</v>
      </c>
    </row>
    <row r="390" spans="1:9" x14ac:dyDescent="0.3">
      <c r="A390" t="str">
        <f>"005132"</f>
        <v>005132</v>
      </c>
      <c r="B390" t="s">
        <v>114</v>
      </c>
      <c r="C390">
        <v>75617</v>
      </c>
      <c r="D390" s="2">
        <v>233.52</v>
      </c>
      <c r="E390" s="1">
        <v>43171</v>
      </c>
      <c r="F390" t="str">
        <f>"8403548606"</f>
        <v>8403548606</v>
      </c>
      <c r="G390" t="str">
        <f>"CUST#10377368/PCT#3"</f>
        <v>CUST#10377368/PCT#3</v>
      </c>
      <c r="H390">
        <v>233.52</v>
      </c>
      <c r="I390" t="str">
        <f>"CUST#10377368/PCT#3"</f>
        <v>CUST#10377368/PCT#3</v>
      </c>
    </row>
    <row r="391" spans="1:9" x14ac:dyDescent="0.3">
      <c r="A391" t="str">
        <f>"004728"</f>
        <v>004728</v>
      </c>
      <c r="B391" t="s">
        <v>115</v>
      </c>
      <c r="C391">
        <v>75618</v>
      </c>
      <c r="D391" s="2">
        <v>3674.5</v>
      </c>
      <c r="E391" s="1">
        <v>43171</v>
      </c>
      <c r="F391" t="str">
        <f>"201803059216"</f>
        <v>201803059216</v>
      </c>
      <c r="G391" t="str">
        <f>"ACCT#086-11451"</f>
        <v>ACCT#086-11451</v>
      </c>
      <c r="H391">
        <v>41.56</v>
      </c>
      <c r="I391" t="str">
        <f>"ACCT#086-11451"</f>
        <v>ACCT#086-11451</v>
      </c>
    </row>
    <row r="392" spans="1:9" x14ac:dyDescent="0.3">
      <c r="A392" t="str">
        <f>""</f>
        <v/>
      </c>
      <c r="F392" t="str">
        <f>"201803059217"</f>
        <v>201803059217</v>
      </c>
      <c r="G392" t="str">
        <f>"ACCT#086-11451"</f>
        <v>ACCT#086-11451</v>
      </c>
      <c r="H392">
        <v>665.68</v>
      </c>
      <c r="I392" t="str">
        <f>"ACCT#086-11451"</f>
        <v>ACCT#086-11451</v>
      </c>
    </row>
    <row r="393" spans="1:9" x14ac:dyDescent="0.3">
      <c r="A393" t="str">
        <f>""</f>
        <v/>
      </c>
      <c r="F393" t="str">
        <f>"201803069218"</f>
        <v>201803069218</v>
      </c>
      <c r="G393" t="str">
        <f>"ACCT#086-11386/PCT#4"</f>
        <v>ACCT#086-11386/PCT#4</v>
      </c>
      <c r="H393">
        <v>1176.18</v>
      </c>
      <c r="I393" t="str">
        <f>"ACCT#086-11386/PCT#4"</f>
        <v>ACCT#086-11386/PCT#4</v>
      </c>
    </row>
    <row r="394" spans="1:9" x14ac:dyDescent="0.3">
      <c r="A394" t="str">
        <f>""</f>
        <v/>
      </c>
      <c r="F394" t="str">
        <f>"201803069223"</f>
        <v>201803069223</v>
      </c>
      <c r="G394" t="str">
        <f>"ACCT#086-11381/GEN SVCS"</f>
        <v>ACCT#086-11381/GEN SVCS</v>
      </c>
      <c r="H394">
        <v>854.5</v>
      </c>
      <c r="I394" t="str">
        <f>"ACCT#086-11381/GEN SVCS"</f>
        <v>ACCT#086-11381/GEN SVCS</v>
      </c>
    </row>
    <row r="395" spans="1:9" x14ac:dyDescent="0.3">
      <c r="A395" t="str">
        <f>""</f>
        <v/>
      </c>
      <c r="F395" t="str">
        <f>"201803079258"</f>
        <v>201803079258</v>
      </c>
      <c r="G395" t="str">
        <f>"ACCT#086-11458/ANIMAL SHELTER"</f>
        <v>ACCT#086-11458/ANIMAL SHELTER</v>
      </c>
      <c r="H395">
        <v>175.12</v>
      </c>
      <c r="I395" t="str">
        <f>"ACCT#086-11458/ANIMAL SHELTER"</f>
        <v>ACCT#086-11458/ANIMAL SHELTER</v>
      </c>
    </row>
    <row r="396" spans="1:9" x14ac:dyDescent="0.3">
      <c r="A396" t="str">
        <f>""</f>
        <v/>
      </c>
      <c r="F396" t="str">
        <f>"201803079267"</f>
        <v>201803079267</v>
      </c>
      <c r="G396" t="str">
        <f>"ACCT#086-11375/PCT#2"</f>
        <v>ACCT#086-11375/PCT#2</v>
      </c>
      <c r="H396">
        <v>761.46</v>
      </c>
      <c r="I396" t="str">
        <f>"ACCT#086-11375/PCT#2"</f>
        <v>ACCT#086-11375/PCT#2</v>
      </c>
    </row>
    <row r="397" spans="1:9" x14ac:dyDescent="0.3">
      <c r="A397" t="str">
        <f>"BCO"</f>
        <v>BCO</v>
      </c>
      <c r="B397" t="s">
        <v>116</v>
      </c>
      <c r="C397">
        <v>75498</v>
      </c>
      <c r="D397" s="2">
        <v>37778.39</v>
      </c>
      <c r="E397" s="1">
        <v>43166</v>
      </c>
      <c r="F397" t="str">
        <f>"201803069241"</f>
        <v>201803069241</v>
      </c>
      <c r="G397" t="str">
        <f>"ACCT#02-2083-04 / 02282018"</f>
        <v>ACCT#02-2083-04 / 02282018</v>
      </c>
      <c r="H397">
        <v>460.12</v>
      </c>
      <c r="I397" t="str">
        <f>"ACCT#02-2083-04 / 02282018"</f>
        <v>ACCT#02-2083-04 / 02282018</v>
      </c>
    </row>
    <row r="398" spans="1:9" x14ac:dyDescent="0.3">
      <c r="A398" t="str">
        <f>""</f>
        <v/>
      </c>
      <c r="F398" t="str">
        <f>"201803069242"</f>
        <v>201803069242</v>
      </c>
      <c r="G398" t="str">
        <f>"COUNTY DEVELOPMENT CENTER"</f>
        <v>COUNTY DEVELOPMENT CENTER</v>
      </c>
      <c r="H398">
        <v>1746.28</v>
      </c>
      <c r="I398" t="str">
        <f>"COUNTY DEVELOPMENT CENTER"</f>
        <v>COUNTY DEVELOPMENT CENTER</v>
      </c>
    </row>
    <row r="399" spans="1:9" x14ac:dyDescent="0.3">
      <c r="A399" t="str">
        <f>""</f>
        <v/>
      </c>
      <c r="F399" t="str">
        <f>"201803069243"</f>
        <v>201803069243</v>
      </c>
      <c r="G399" t="str">
        <f>"LAW ENFORCEMENT CENTER"</f>
        <v>LAW ENFORCEMENT CENTER</v>
      </c>
      <c r="H399">
        <v>21573.71</v>
      </c>
      <c r="I399" t="str">
        <f>"LAW ENFORCEMENT CENTER"</f>
        <v>LAW ENFORCEMENT CENTER</v>
      </c>
    </row>
    <row r="400" spans="1:9" x14ac:dyDescent="0.3">
      <c r="A400" t="str">
        <f>""</f>
        <v/>
      </c>
      <c r="F400" t="str">
        <f>"201803069244"</f>
        <v>201803069244</v>
      </c>
      <c r="G400" t="str">
        <f>"BASTROP COUNTY COURTHOUSE"</f>
        <v>BASTROP COUNTY COURTHOUSE</v>
      </c>
      <c r="H400">
        <v>13998.28</v>
      </c>
      <c r="I400" t="str">
        <f>"BASTROP COUNTY COURTHOUSE"</f>
        <v>BASTROP COUNTY COURTHOUSE</v>
      </c>
    </row>
    <row r="401" spans="1:10" x14ac:dyDescent="0.3">
      <c r="A401" t="str">
        <f>"COB"</f>
        <v>COB</v>
      </c>
      <c r="B401" t="s">
        <v>116</v>
      </c>
      <c r="C401">
        <v>75619</v>
      </c>
      <c r="D401" s="2">
        <v>75</v>
      </c>
      <c r="E401" s="1">
        <v>43171</v>
      </c>
      <c r="F401" t="s">
        <v>117</v>
      </c>
      <c r="G401" t="s">
        <v>118</v>
      </c>
      <c r="H401" t="str">
        <f>"RESTITUTION-A.M. LAWRENCCE"</f>
        <v>RESTITUTION-A.M. LAWRENCCE</v>
      </c>
      <c r="I401" t="str">
        <f>"210-0000"</f>
        <v>210-0000</v>
      </c>
      <c r="J401" t="str">
        <f>""</f>
        <v/>
      </c>
    </row>
    <row r="402" spans="1:10" x14ac:dyDescent="0.3">
      <c r="A402" t="str">
        <f>"COB"</f>
        <v>COB</v>
      </c>
      <c r="B402" t="s">
        <v>116</v>
      </c>
      <c r="C402">
        <v>75858</v>
      </c>
      <c r="D402" s="2">
        <v>500</v>
      </c>
      <c r="E402" s="1">
        <v>43185</v>
      </c>
      <c r="F402" t="str">
        <f>"201803149597"</f>
        <v>201803149597</v>
      </c>
      <c r="G402" t="str">
        <f>"RENTAL-PARKING LOT"</f>
        <v>RENTAL-PARKING LOT</v>
      </c>
      <c r="H402">
        <v>500</v>
      </c>
      <c r="I402" t="str">
        <f>"RENTAL-PARKING LOT"</f>
        <v>RENTAL-PARKING LOT</v>
      </c>
    </row>
    <row r="403" spans="1:10" x14ac:dyDescent="0.3">
      <c r="A403" t="str">
        <f>"003318"</f>
        <v>003318</v>
      </c>
      <c r="B403" t="s">
        <v>119</v>
      </c>
      <c r="C403">
        <v>75620</v>
      </c>
      <c r="D403" s="2">
        <v>180</v>
      </c>
      <c r="E403" s="1">
        <v>43171</v>
      </c>
      <c r="F403" t="str">
        <f>"201803089351"</f>
        <v>201803089351</v>
      </c>
      <c r="G403" t="str">
        <f>"FERAL HOGS"</f>
        <v>FERAL HOGS</v>
      </c>
      <c r="H403">
        <v>75</v>
      </c>
      <c r="I403" t="str">
        <f>"FERAL HOGS"</f>
        <v>FERAL HOGS</v>
      </c>
    </row>
    <row r="404" spans="1:10" x14ac:dyDescent="0.3">
      <c r="A404" t="str">
        <f>""</f>
        <v/>
      </c>
      <c r="F404" t="str">
        <f>"201803089352"</f>
        <v>201803089352</v>
      </c>
      <c r="G404" t="str">
        <f>"FERAL HOGS"</f>
        <v>FERAL HOGS</v>
      </c>
      <c r="H404">
        <v>105</v>
      </c>
      <c r="I404" t="str">
        <f>"FERAL HOGS"</f>
        <v>FERAL HOGS</v>
      </c>
    </row>
    <row r="405" spans="1:10" x14ac:dyDescent="0.3">
      <c r="A405" t="str">
        <f>"004344"</f>
        <v>004344</v>
      </c>
      <c r="B405" t="s">
        <v>120</v>
      </c>
      <c r="C405">
        <v>75621</v>
      </c>
      <c r="D405" s="2">
        <v>10</v>
      </c>
      <c r="E405" s="1">
        <v>43171</v>
      </c>
      <c r="F405" t="str">
        <f>"201803089353"</f>
        <v>201803089353</v>
      </c>
      <c r="G405" t="str">
        <f>"FERAL HOGS"</f>
        <v>FERAL HOGS</v>
      </c>
      <c r="H405">
        <v>10</v>
      </c>
      <c r="I405" t="str">
        <f>"FERAL HOGS"</f>
        <v>FERAL HOGS</v>
      </c>
    </row>
    <row r="406" spans="1:10" x14ac:dyDescent="0.3">
      <c r="A406" t="str">
        <f>"T6748"</f>
        <v>T6748</v>
      </c>
      <c r="B406" t="s">
        <v>121</v>
      </c>
      <c r="C406">
        <v>75859</v>
      </c>
      <c r="D406" s="2">
        <v>44.29</v>
      </c>
      <c r="E406" s="1">
        <v>43185</v>
      </c>
      <c r="F406" t="str">
        <f>"201803209680"</f>
        <v>201803209680</v>
      </c>
      <c r="G406" t="str">
        <f>"REIMBURSEMENT-MEALS"</f>
        <v>REIMBURSEMENT-MEALS</v>
      </c>
      <c r="H406">
        <v>44.29</v>
      </c>
      <c r="I406" t="str">
        <f>"REIMBURSEMENT-MEALS"</f>
        <v>REIMBURSEMENT-MEALS</v>
      </c>
    </row>
    <row r="407" spans="1:10" x14ac:dyDescent="0.3">
      <c r="A407" t="str">
        <f>"005469"</f>
        <v>005469</v>
      </c>
      <c r="B407" t="s">
        <v>122</v>
      </c>
      <c r="C407">
        <v>75860</v>
      </c>
      <c r="D407" s="2">
        <v>174</v>
      </c>
      <c r="E407" s="1">
        <v>43185</v>
      </c>
      <c r="F407" t="str">
        <f>"201803149600"</f>
        <v>201803149600</v>
      </c>
      <c r="G407" t="str">
        <f>"REFUND LPHCP/RECEIPT#2018-1275"</f>
        <v>REFUND LPHCP/RECEIPT#2018-1275</v>
      </c>
      <c r="H407">
        <v>174</v>
      </c>
      <c r="I407" t="str">
        <f>"REFUND LPHCP/RECEIPT#2018-1275"</f>
        <v>REFUND LPHCP/RECEIPT#2018-1275</v>
      </c>
    </row>
    <row r="408" spans="1:10" x14ac:dyDescent="0.3">
      <c r="A408" t="str">
        <f>""</f>
        <v/>
      </c>
      <c r="F408" t="str">
        <f>""</f>
        <v/>
      </c>
      <c r="G408" t="str">
        <f>""</f>
        <v/>
      </c>
      <c r="I408" t="str">
        <f>"REFUND LPHCP/RECEIPT#2018-1275"</f>
        <v>REFUND LPHCP/RECEIPT#2018-1275</v>
      </c>
    </row>
    <row r="409" spans="1:10" x14ac:dyDescent="0.3">
      <c r="A409" t="str">
        <f>"002198"</f>
        <v>002198</v>
      </c>
      <c r="B409" t="s">
        <v>123</v>
      </c>
      <c r="C409">
        <v>999999</v>
      </c>
      <c r="D409" s="2">
        <v>749</v>
      </c>
      <c r="E409" s="1">
        <v>43172</v>
      </c>
      <c r="F409" t="str">
        <f>"PMA-0037036"</f>
        <v>PMA-0037036</v>
      </c>
      <c r="G409" t="str">
        <f>"INV PMA-0037036"</f>
        <v>INV PMA-0037036</v>
      </c>
      <c r="H409">
        <v>749</v>
      </c>
      <c r="I409" t="str">
        <f>"INV PMA-0037036"</f>
        <v>INV PMA-0037036</v>
      </c>
    </row>
    <row r="410" spans="1:10" x14ac:dyDescent="0.3">
      <c r="A410" t="str">
        <f>"CPA"</f>
        <v>CPA</v>
      </c>
      <c r="B410" t="s">
        <v>124</v>
      </c>
      <c r="C410">
        <v>75622</v>
      </c>
      <c r="D410" s="2">
        <v>19.8</v>
      </c>
      <c r="E410" s="1">
        <v>43171</v>
      </c>
      <c r="F410" t="str">
        <f>"2093912"</f>
        <v>2093912</v>
      </c>
      <c r="G410" t="str">
        <f>"ACCOUNT 2093912-QCPAL"</f>
        <v>ACCOUNT 2093912-QCPAL</v>
      </c>
      <c r="H410">
        <v>19.8</v>
      </c>
      <c r="I410" t="str">
        <f>"ACCOUNT 2093912-QCPAL"</f>
        <v>ACCOUNT 2093912-QCPAL</v>
      </c>
    </row>
    <row r="411" spans="1:10" x14ac:dyDescent="0.3">
      <c r="A411" t="str">
        <f>"CPA"</f>
        <v>CPA</v>
      </c>
      <c r="B411" t="s">
        <v>124</v>
      </c>
      <c r="C411">
        <v>75807</v>
      </c>
      <c r="D411" s="2">
        <v>78.989999999999995</v>
      </c>
      <c r="E411" s="1">
        <v>43171</v>
      </c>
      <c r="F411" t="str">
        <f>"201803139592"</f>
        <v>201803139592</v>
      </c>
      <c r="G411" t="str">
        <f>"INDIGENT HEALTH"</f>
        <v>INDIGENT HEALTH</v>
      </c>
      <c r="H411">
        <v>78.989999999999995</v>
      </c>
      <c r="I411" t="str">
        <f>"INDIGENT HEALTH"</f>
        <v>INDIGENT HEALTH</v>
      </c>
    </row>
    <row r="412" spans="1:10" x14ac:dyDescent="0.3">
      <c r="A412" t="str">
        <f>"CLINIC"</f>
        <v>CLINIC</v>
      </c>
      <c r="B412" t="s">
        <v>125</v>
      </c>
      <c r="C412">
        <v>999999</v>
      </c>
      <c r="D412" s="2">
        <v>1220.5899999999999</v>
      </c>
      <c r="E412" s="1">
        <v>43172</v>
      </c>
      <c r="F412" t="str">
        <f>"201803079317"</f>
        <v>201803079317</v>
      </c>
      <c r="G412" t="str">
        <f>"INDIGENT HEALTH"</f>
        <v>INDIGENT HEALTH</v>
      </c>
      <c r="H412">
        <v>254.19</v>
      </c>
      <c r="I412" t="str">
        <f>"INDIGENT HEALTH"</f>
        <v>INDIGENT HEALTH</v>
      </c>
    </row>
    <row r="413" spans="1:10" x14ac:dyDescent="0.3">
      <c r="A413" t="str">
        <f>""</f>
        <v/>
      </c>
      <c r="F413" t="str">
        <f>"201803079318"</f>
        <v>201803079318</v>
      </c>
      <c r="G413" t="str">
        <f>"INDIGENT HEALTH"</f>
        <v>INDIGENT HEALTH</v>
      </c>
      <c r="H413">
        <v>966.4</v>
      </c>
      <c r="I413" t="str">
        <f>"INDIGENT HEALTH"</f>
        <v>INDIGENT HEALTH</v>
      </c>
    </row>
    <row r="414" spans="1:10" x14ac:dyDescent="0.3">
      <c r="A414" t="str">
        <f>""</f>
        <v/>
      </c>
      <c r="F414" t="str">
        <f>""</f>
        <v/>
      </c>
      <c r="G414" t="str">
        <f>""</f>
        <v/>
      </c>
      <c r="I414" t="str">
        <f>"INDIGENT HEALTH"</f>
        <v>INDIGENT HEALTH</v>
      </c>
    </row>
    <row r="415" spans="1:10" x14ac:dyDescent="0.3">
      <c r="A415" t="str">
        <f>"CLINIC"</f>
        <v>CLINIC</v>
      </c>
      <c r="B415" t="s">
        <v>125</v>
      </c>
      <c r="C415">
        <v>999999</v>
      </c>
      <c r="D415" s="2">
        <v>272.06</v>
      </c>
      <c r="E415" s="1">
        <v>43186</v>
      </c>
      <c r="F415" t="str">
        <f>"201802-0"</f>
        <v>201802-0</v>
      </c>
      <c r="G415" t="str">
        <f>"INV 201802-0"</f>
        <v>INV 201802-0</v>
      </c>
      <c r="H415">
        <v>272.06</v>
      </c>
      <c r="I415" t="str">
        <f>"INV 201802-0"</f>
        <v>INV 201802-0</v>
      </c>
    </row>
    <row r="416" spans="1:10" x14ac:dyDescent="0.3">
      <c r="A416" t="str">
        <f>"002809"</f>
        <v>002809</v>
      </c>
      <c r="B416" t="s">
        <v>126</v>
      </c>
      <c r="C416">
        <v>75861</v>
      </c>
      <c r="D416" s="2">
        <v>473</v>
      </c>
      <c r="E416" s="1">
        <v>43185</v>
      </c>
      <c r="F416" t="str">
        <f>"12457807390"</f>
        <v>12457807390</v>
      </c>
      <c r="G416" t="str">
        <f>"INV 12457807390"</f>
        <v>INV 12457807390</v>
      </c>
      <c r="H416">
        <v>473</v>
      </c>
      <c r="I416" t="str">
        <f>"INV 12457807390"</f>
        <v>INV 12457807390</v>
      </c>
    </row>
    <row r="417" spans="1:10" x14ac:dyDescent="0.3">
      <c r="A417" t="str">
        <f>"000266"</f>
        <v>000266</v>
      </c>
      <c r="B417" t="s">
        <v>127</v>
      </c>
      <c r="C417">
        <v>75623</v>
      </c>
      <c r="D417" s="2">
        <v>25</v>
      </c>
      <c r="E417" s="1">
        <v>43171</v>
      </c>
      <c r="F417" t="s">
        <v>128</v>
      </c>
      <c r="G417" t="s">
        <v>129</v>
      </c>
      <c r="H417" t="str">
        <f>"RESTITUTION-K. PURCELL 1/4/18"</f>
        <v>RESTITUTION-K. PURCELL 1/4/18</v>
      </c>
      <c r="I417" t="str">
        <f>"210-0000"</f>
        <v>210-0000</v>
      </c>
      <c r="J417" t="str">
        <f>""</f>
        <v/>
      </c>
    </row>
    <row r="418" spans="1:10" x14ac:dyDescent="0.3">
      <c r="A418" t="str">
        <f>"CONTEC"</f>
        <v>CONTEC</v>
      </c>
      <c r="B418" t="s">
        <v>130</v>
      </c>
      <c r="C418">
        <v>75862</v>
      </c>
      <c r="D418" s="2">
        <v>20971.400000000001</v>
      </c>
      <c r="E418" s="1">
        <v>43185</v>
      </c>
      <c r="F418" t="str">
        <f>"16308794"</f>
        <v>16308794</v>
      </c>
      <c r="G418" t="str">
        <f>"ACCT#434304/PCT#3"</f>
        <v>ACCT#434304/PCT#3</v>
      </c>
      <c r="H418">
        <v>9046.4</v>
      </c>
      <c r="I418" t="str">
        <f>"ACCT#434304/PCT#3"</f>
        <v>ACCT#434304/PCT#3</v>
      </c>
    </row>
    <row r="419" spans="1:10" x14ac:dyDescent="0.3">
      <c r="A419" t="str">
        <f>""</f>
        <v/>
      </c>
      <c r="F419" t="str">
        <f>"16317763"</f>
        <v>16317763</v>
      </c>
      <c r="G419" t="str">
        <f>"ACCT#434304/PCT#4"</f>
        <v>ACCT#434304/PCT#4</v>
      </c>
      <c r="H419">
        <v>1845</v>
      </c>
      <c r="I419" t="str">
        <f>"ACCT#434304/PCT#4"</f>
        <v>ACCT#434304/PCT#4</v>
      </c>
    </row>
    <row r="420" spans="1:10" x14ac:dyDescent="0.3">
      <c r="A420" t="str">
        <f>""</f>
        <v/>
      </c>
      <c r="F420" t="str">
        <f>"16358925"</f>
        <v>16358925</v>
      </c>
      <c r="G420" t="str">
        <f>"ACCT#434304/PCT#3"</f>
        <v>ACCT#434304/PCT#3</v>
      </c>
      <c r="H420">
        <v>10080</v>
      </c>
      <c r="I420" t="str">
        <f>"ACCT#434304/PCT#3"</f>
        <v>ACCT#434304/PCT#3</v>
      </c>
    </row>
    <row r="421" spans="1:10" x14ac:dyDescent="0.3">
      <c r="A421" t="str">
        <f>"001457"</f>
        <v>001457</v>
      </c>
      <c r="B421" t="s">
        <v>131</v>
      </c>
      <c r="C421">
        <v>75863</v>
      </c>
      <c r="D421" s="2">
        <v>746.5</v>
      </c>
      <c r="E421" s="1">
        <v>43185</v>
      </c>
      <c r="F421" t="str">
        <f>"201803209682"</f>
        <v>201803209682</v>
      </c>
      <c r="G421" t="str">
        <f>"ACCT#2449"</f>
        <v>ACCT#2449</v>
      </c>
      <c r="H421">
        <v>746.5</v>
      </c>
      <c r="I421" t="str">
        <f>"ACCT#2449"</f>
        <v>ACCT#2449</v>
      </c>
    </row>
    <row r="422" spans="1:10" x14ac:dyDescent="0.3">
      <c r="A422" t="str">
        <f>"004106"</f>
        <v>004106</v>
      </c>
      <c r="B422" t="s">
        <v>132</v>
      </c>
      <c r="C422">
        <v>75864</v>
      </c>
      <c r="D422" s="2">
        <v>500</v>
      </c>
      <c r="E422" s="1">
        <v>43185</v>
      </c>
      <c r="F422" t="str">
        <f>"FEBRUARY EVALS"</f>
        <v>FEBRUARY EVALS</v>
      </c>
      <c r="G422" t="str">
        <f>"FEBRUARY EVALS"</f>
        <v>FEBRUARY EVALS</v>
      </c>
      <c r="H422">
        <v>500</v>
      </c>
      <c r="I422" t="str">
        <f>"FEBRUARY EVALS"</f>
        <v>FEBRUARY EVALS</v>
      </c>
    </row>
    <row r="423" spans="1:10" x14ac:dyDescent="0.3">
      <c r="A423" t="str">
        <f>"005436"</f>
        <v>005436</v>
      </c>
      <c r="B423" t="s">
        <v>133</v>
      </c>
      <c r="C423">
        <v>75625</v>
      </c>
      <c r="D423" s="2">
        <v>39.99</v>
      </c>
      <c r="E423" s="1">
        <v>43171</v>
      </c>
      <c r="F423" t="str">
        <f>"21658"</f>
        <v>21658</v>
      </c>
      <c r="G423" t="str">
        <f>"INV 21658"</f>
        <v>INV 21658</v>
      </c>
      <c r="H423">
        <v>39.99</v>
      </c>
      <c r="I423" t="str">
        <f>"INV 21658"</f>
        <v>INV 21658</v>
      </c>
    </row>
    <row r="424" spans="1:10" x14ac:dyDescent="0.3">
      <c r="A424" t="str">
        <f>"T7302"</f>
        <v>T7302</v>
      </c>
      <c r="B424" t="s">
        <v>134</v>
      </c>
      <c r="C424">
        <v>75865</v>
      </c>
      <c r="D424" s="2">
        <v>373.99</v>
      </c>
      <c r="E424" s="1">
        <v>43185</v>
      </c>
      <c r="F424" t="str">
        <f>"201803219718"</f>
        <v>201803219718</v>
      </c>
      <c r="G424" t="str">
        <f>"ACCT#1839"</f>
        <v>ACCT#1839</v>
      </c>
      <c r="H424">
        <v>373.99</v>
      </c>
      <c r="I424" t="str">
        <f>"ACCT#1839"</f>
        <v>ACCT#1839</v>
      </c>
    </row>
    <row r="425" spans="1:10" x14ac:dyDescent="0.3">
      <c r="A425" t="str">
        <f>"T11708"</f>
        <v>T11708</v>
      </c>
      <c r="B425" t="s">
        <v>135</v>
      </c>
      <c r="C425">
        <v>75626</v>
      </c>
      <c r="D425" s="2">
        <v>150</v>
      </c>
      <c r="E425" s="1">
        <v>43171</v>
      </c>
      <c r="F425" t="str">
        <f>"201802278891"</f>
        <v>201802278891</v>
      </c>
      <c r="G425" t="str">
        <f>"CLEANING SVCS-FEB 7 &amp; 23/PCT#2"</f>
        <v>CLEANING SVCS-FEB 7 &amp; 23/PCT#2</v>
      </c>
      <c r="H425">
        <v>150</v>
      </c>
      <c r="I425" t="str">
        <f>"CLEANING SVCS-FEB 7 &amp; 23/PCT#2"</f>
        <v>CLEANING SVCS-FEB 7 &amp; 23/PCT#2</v>
      </c>
    </row>
    <row r="426" spans="1:10" x14ac:dyDescent="0.3">
      <c r="A426" t="str">
        <f>"003136"</f>
        <v>003136</v>
      </c>
      <c r="B426" t="s">
        <v>136</v>
      </c>
      <c r="C426">
        <v>75866</v>
      </c>
      <c r="D426" s="2">
        <v>9.81</v>
      </c>
      <c r="E426" s="1">
        <v>43185</v>
      </c>
      <c r="F426" t="str">
        <f>"VXB230/WAZ792"</f>
        <v>VXB230/WAZ792</v>
      </c>
      <c r="G426" t="str">
        <f>"REF. ID# VXB230 &amp; WAZ792"</f>
        <v>REF. ID# VXB230 &amp; WAZ792</v>
      </c>
      <c r="H426">
        <v>9.81</v>
      </c>
      <c r="I426" t="str">
        <f>"REF. ID# VXB230"</f>
        <v>REF. ID# VXB230</v>
      </c>
    </row>
    <row r="427" spans="1:10" x14ac:dyDescent="0.3">
      <c r="A427" t="str">
        <f>""</f>
        <v/>
      </c>
      <c r="F427" t="str">
        <f>""</f>
        <v/>
      </c>
      <c r="G427" t="str">
        <f>""</f>
        <v/>
      </c>
      <c r="I427" t="str">
        <f>"REF. ID# WAZ792"</f>
        <v>REF. ID# WAZ792</v>
      </c>
    </row>
    <row r="428" spans="1:10" x14ac:dyDescent="0.3">
      <c r="A428" t="str">
        <f>"T13909"</f>
        <v>T13909</v>
      </c>
      <c r="B428" t="s">
        <v>137</v>
      </c>
      <c r="C428">
        <v>75867</v>
      </c>
      <c r="D428" s="2">
        <v>5100</v>
      </c>
      <c r="E428" s="1">
        <v>43185</v>
      </c>
      <c r="F428" t="str">
        <f>"1164"</f>
        <v>1164</v>
      </c>
      <c r="G428" t="str">
        <f>"SITE WORK/JONES RD/PCT#2"</f>
        <v>SITE WORK/JONES RD/PCT#2</v>
      </c>
      <c r="H428">
        <v>2700</v>
      </c>
      <c r="I428" t="str">
        <f>"SITE WORK/JONES RD/PCT#2"</f>
        <v>SITE WORK/JONES RD/PCT#2</v>
      </c>
    </row>
    <row r="429" spans="1:10" x14ac:dyDescent="0.3">
      <c r="A429" t="str">
        <f>""</f>
        <v/>
      </c>
      <c r="F429" t="str">
        <f>"1165"</f>
        <v>1165</v>
      </c>
      <c r="G429" t="str">
        <f>"SITE WORK/PINE SHADOW/PCT#2"</f>
        <v>SITE WORK/PINE SHADOW/PCT#2</v>
      </c>
      <c r="H429">
        <v>2400</v>
      </c>
      <c r="I429" t="str">
        <f>"SITE WORK/PINE SHADOW/PCT#2"</f>
        <v>SITE WORK/PINE SHADOW/PCT#2</v>
      </c>
    </row>
    <row r="430" spans="1:10" x14ac:dyDescent="0.3">
      <c r="A430" t="str">
        <f>"T9280"</f>
        <v>T9280</v>
      </c>
      <c r="B430" t="s">
        <v>138</v>
      </c>
      <c r="C430">
        <v>75627</v>
      </c>
      <c r="D430" s="2">
        <v>463.64</v>
      </c>
      <c r="E430" s="1">
        <v>43171</v>
      </c>
      <c r="F430" t="str">
        <f>"301065"</f>
        <v>301065</v>
      </c>
      <c r="G430" t="str">
        <f>"4X8 YELLOW DELINEATORS"</f>
        <v>4X8 YELLOW DELINEATORS</v>
      </c>
      <c r="H430">
        <v>463.64</v>
      </c>
      <c r="I430" t="str">
        <f>"BA080HYE0408D"</f>
        <v>BA080HYE0408D</v>
      </c>
    </row>
    <row r="431" spans="1:10" x14ac:dyDescent="0.3">
      <c r="A431" t="str">
        <f>""</f>
        <v/>
      </c>
      <c r="F431" t="str">
        <f>""</f>
        <v/>
      </c>
      <c r="G431" t="str">
        <f>""</f>
        <v/>
      </c>
      <c r="I431" t="str">
        <f>"FREIGHT"</f>
        <v>FREIGHT</v>
      </c>
    </row>
    <row r="432" spans="1:10" x14ac:dyDescent="0.3">
      <c r="A432" t="str">
        <f>"004346"</f>
        <v>004346</v>
      </c>
      <c r="B432" t="s">
        <v>139</v>
      </c>
      <c r="C432">
        <v>75628</v>
      </c>
      <c r="D432" s="2">
        <v>330</v>
      </c>
      <c r="E432" s="1">
        <v>43171</v>
      </c>
      <c r="F432" t="str">
        <f>"201803089354"</f>
        <v>201803089354</v>
      </c>
      <c r="G432" t="str">
        <f>"FERAL HOGS"</f>
        <v>FERAL HOGS</v>
      </c>
      <c r="H432">
        <v>165</v>
      </c>
      <c r="I432" t="str">
        <f>"FERAL HOGS"</f>
        <v>FERAL HOGS</v>
      </c>
    </row>
    <row r="433" spans="1:9" x14ac:dyDescent="0.3">
      <c r="A433" t="str">
        <f>""</f>
        <v/>
      </c>
      <c r="F433" t="str">
        <f>"201803089355"</f>
        <v>201803089355</v>
      </c>
      <c r="G433" t="str">
        <f>"FERAL HOGS"</f>
        <v>FERAL HOGS</v>
      </c>
      <c r="H433">
        <v>165</v>
      </c>
      <c r="I433" t="str">
        <f>"FERAL HOGS"</f>
        <v>FERAL HOGS</v>
      </c>
    </row>
    <row r="434" spans="1:9" x14ac:dyDescent="0.3">
      <c r="A434" t="str">
        <f>"005456"</f>
        <v>005456</v>
      </c>
      <c r="B434" t="s">
        <v>140</v>
      </c>
      <c r="C434">
        <v>75629</v>
      </c>
      <c r="D434" s="2">
        <v>90</v>
      </c>
      <c r="E434" s="1">
        <v>43171</v>
      </c>
      <c r="F434" t="str">
        <f>"201803089356"</f>
        <v>201803089356</v>
      </c>
      <c r="G434" t="str">
        <f>"FERAL HOGS"</f>
        <v>FERAL HOGS</v>
      </c>
      <c r="H434">
        <v>90</v>
      </c>
      <c r="I434" t="str">
        <f>"FERAL HOGS"</f>
        <v>FERAL HOGS</v>
      </c>
    </row>
    <row r="435" spans="1:9" x14ac:dyDescent="0.3">
      <c r="A435" t="str">
        <f>"002352"</f>
        <v>002352</v>
      </c>
      <c r="B435" t="s">
        <v>141</v>
      </c>
      <c r="C435">
        <v>75868</v>
      </c>
      <c r="D435" s="2">
        <v>240</v>
      </c>
      <c r="E435" s="1">
        <v>43185</v>
      </c>
      <c r="F435" t="str">
        <f>"12645"</f>
        <v>12645</v>
      </c>
      <c r="G435" t="str">
        <f>"ABST FEE  01/05/18"</f>
        <v>ABST FEE  01/05/18</v>
      </c>
      <c r="H435">
        <v>160</v>
      </c>
      <c r="I435" t="str">
        <f>"ABST FEE  01/05/18"</f>
        <v>ABST FEE  01/05/18</v>
      </c>
    </row>
    <row r="436" spans="1:9" x14ac:dyDescent="0.3">
      <c r="A436" t="str">
        <f>""</f>
        <v/>
      </c>
      <c r="F436" t="str">
        <f>"12646"</f>
        <v>12646</v>
      </c>
      <c r="G436" t="str">
        <f>"SERVICE  12/27/17"</f>
        <v>SERVICE  12/27/17</v>
      </c>
      <c r="H436">
        <v>80</v>
      </c>
      <c r="I436" t="str">
        <f>"SERVICE  12/27/17"</f>
        <v>SERVICE  12/27/17</v>
      </c>
    </row>
    <row r="437" spans="1:9" x14ac:dyDescent="0.3">
      <c r="A437" t="str">
        <f>"003402"</f>
        <v>003402</v>
      </c>
      <c r="B437" t="s">
        <v>142</v>
      </c>
      <c r="C437">
        <v>75630</v>
      </c>
      <c r="D437" s="2">
        <v>65</v>
      </c>
      <c r="E437" s="1">
        <v>43171</v>
      </c>
      <c r="F437" t="str">
        <f>"201803089357"</f>
        <v>201803089357</v>
      </c>
      <c r="G437" t="str">
        <f>"FERAL HOGS"</f>
        <v>FERAL HOGS</v>
      </c>
      <c r="H437">
        <v>65</v>
      </c>
      <c r="I437" t="str">
        <f>"FERAL HOGS"</f>
        <v>FERAL HOGS</v>
      </c>
    </row>
    <row r="438" spans="1:9" x14ac:dyDescent="0.3">
      <c r="A438" t="str">
        <f>"005457"</f>
        <v>005457</v>
      </c>
      <c r="B438" t="s">
        <v>143</v>
      </c>
      <c r="C438">
        <v>75631</v>
      </c>
      <c r="D438" s="2">
        <v>20</v>
      </c>
      <c r="E438" s="1">
        <v>43171</v>
      </c>
      <c r="F438" t="str">
        <f>"201803089358"</f>
        <v>201803089358</v>
      </c>
      <c r="G438" t="str">
        <f>"FERAL HOGS"</f>
        <v>FERAL HOGS</v>
      </c>
      <c r="H438">
        <v>20</v>
      </c>
      <c r="I438" t="str">
        <f>"FERAL HOGS"</f>
        <v>FERAL HOGS</v>
      </c>
    </row>
    <row r="439" spans="1:9" x14ac:dyDescent="0.3">
      <c r="A439" t="str">
        <f>"BROOKS"</f>
        <v>BROOKS</v>
      </c>
      <c r="B439" t="s">
        <v>144</v>
      </c>
      <c r="C439">
        <v>75869</v>
      </c>
      <c r="D439" s="2">
        <v>100</v>
      </c>
      <c r="E439" s="1">
        <v>43185</v>
      </c>
      <c r="F439" t="str">
        <f>"201803149596"</f>
        <v>201803149596</v>
      </c>
      <c r="G439" t="str">
        <f>"LEGAL CONSULT SVCS-FEB 2018"</f>
        <v>LEGAL CONSULT SVCS-FEB 2018</v>
      </c>
      <c r="H439">
        <v>100</v>
      </c>
      <c r="I439" t="str">
        <f>"LEGAL CONSULT SVCS-FEB 2018"</f>
        <v>LEGAL CONSULT SVCS-FEB 2018</v>
      </c>
    </row>
    <row r="440" spans="1:9" x14ac:dyDescent="0.3">
      <c r="A440" t="str">
        <f>"002028"</f>
        <v>002028</v>
      </c>
      <c r="B440" t="s">
        <v>145</v>
      </c>
      <c r="C440">
        <v>75632</v>
      </c>
      <c r="D440" s="2">
        <v>630.67999999999995</v>
      </c>
      <c r="E440" s="1">
        <v>43171</v>
      </c>
      <c r="F440" t="str">
        <f>"201803069228"</f>
        <v>201803069228</v>
      </c>
      <c r="G440" t="str">
        <f>"MILEAGE REIMBURSEMENT"</f>
        <v>MILEAGE REIMBURSEMENT</v>
      </c>
      <c r="H440">
        <v>203.28</v>
      </c>
      <c r="I440" t="str">
        <f>"MILEAGE REIMBURSEMENT"</f>
        <v>MILEAGE REIMBURSEMENT</v>
      </c>
    </row>
    <row r="441" spans="1:9" x14ac:dyDescent="0.3">
      <c r="A441" t="str">
        <f>""</f>
        <v/>
      </c>
      <c r="F441" t="str">
        <f>"201803069229"</f>
        <v>201803069229</v>
      </c>
      <c r="G441" t="str">
        <f>"REIMBURSE LODGING"</f>
        <v>REIMBURSE LODGING</v>
      </c>
      <c r="H441">
        <v>427.4</v>
      </c>
      <c r="I441" t="str">
        <f>"REIMBURSE LODGING"</f>
        <v>REIMBURSE LODGING</v>
      </c>
    </row>
    <row r="442" spans="1:9" x14ac:dyDescent="0.3">
      <c r="A442" t="str">
        <f>"003335"</f>
        <v>003335</v>
      </c>
      <c r="B442" t="s">
        <v>146</v>
      </c>
      <c r="C442">
        <v>999999</v>
      </c>
      <c r="D442" s="2">
        <v>328.1</v>
      </c>
      <c r="E442" s="1">
        <v>43172</v>
      </c>
      <c r="F442" t="str">
        <f>"201803028937"</f>
        <v>201803028937</v>
      </c>
      <c r="G442" t="str">
        <f>"18-18877"</f>
        <v>18-18877</v>
      </c>
      <c r="H442">
        <v>145.6</v>
      </c>
      <c r="I442" t="str">
        <f>"18-18877"</f>
        <v>18-18877</v>
      </c>
    </row>
    <row r="443" spans="1:9" x14ac:dyDescent="0.3">
      <c r="A443" t="str">
        <f>""</f>
        <v/>
      </c>
      <c r="F443" t="str">
        <f>"201803028942"</f>
        <v>201803028942</v>
      </c>
      <c r="G443" t="str">
        <f>"16-17819"</f>
        <v>16-17819</v>
      </c>
      <c r="H443">
        <v>182.5</v>
      </c>
      <c r="I443" t="str">
        <f>"16-17819"</f>
        <v>16-17819</v>
      </c>
    </row>
    <row r="444" spans="1:9" x14ac:dyDescent="0.3">
      <c r="A444" t="str">
        <f>"003335"</f>
        <v>003335</v>
      </c>
      <c r="B444" t="s">
        <v>146</v>
      </c>
      <c r="C444">
        <v>999999</v>
      </c>
      <c r="D444" s="2">
        <v>500</v>
      </c>
      <c r="E444" s="1">
        <v>43186</v>
      </c>
      <c r="F444" t="str">
        <f>"201803209692"</f>
        <v>201803209692</v>
      </c>
      <c r="G444" t="str">
        <f>"J-3045"</f>
        <v>J-3045</v>
      </c>
      <c r="H444">
        <v>250</v>
      </c>
      <c r="I444" t="str">
        <f>"J-3045"</f>
        <v>J-3045</v>
      </c>
    </row>
    <row r="445" spans="1:9" x14ac:dyDescent="0.3">
      <c r="A445" t="str">
        <f>""</f>
        <v/>
      </c>
      <c r="F445" t="str">
        <f>"201803209693"</f>
        <v>201803209693</v>
      </c>
      <c r="G445" t="str">
        <f>"J-3124"</f>
        <v>J-3124</v>
      </c>
      <c r="H445">
        <v>250</v>
      </c>
      <c r="I445" t="str">
        <f>"J-3124"</f>
        <v>J-3124</v>
      </c>
    </row>
    <row r="446" spans="1:9" x14ac:dyDescent="0.3">
      <c r="A446" t="str">
        <f>"DELL"</f>
        <v>DELL</v>
      </c>
      <c r="B446" t="s">
        <v>147</v>
      </c>
      <c r="C446">
        <v>75633</v>
      </c>
      <c r="D446" s="2">
        <v>1839.19</v>
      </c>
      <c r="E446" s="1">
        <v>43171</v>
      </c>
      <c r="F446" t="str">
        <f>"10225578370"</f>
        <v>10225578370</v>
      </c>
      <c r="G446" t="str">
        <f>"DELL"</f>
        <v>DELL</v>
      </c>
      <c r="H446">
        <v>1695.55</v>
      </c>
      <c r="I446" t="str">
        <f>"Dell Optiplex 7050"</f>
        <v>Dell Optiplex 7050</v>
      </c>
    </row>
    <row r="447" spans="1:9" x14ac:dyDescent="0.3">
      <c r="A447" t="str">
        <f>""</f>
        <v/>
      </c>
      <c r="F447" t="str">
        <f>"DELL DOCKING STAT"</f>
        <v>DELL DOCKING STAT</v>
      </c>
      <c r="G447" t="str">
        <f>"DELL"</f>
        <v>DELL</v>
      </c>
      <c r="H447">
        <v>143.63999999999999</v>
      </c>
      <c r="I447" t="str">
        <f>"Dell Docking Station"</f>
        <v>Dell Docking Station</v>
      </c>
    </row>
    <row r="448" spans="1:9" x14ac:dyDescent="0.3">
      <c r="A448" t="str">
        <f>"DELL"</f>
        <v>DELL</v>
      </c>
      <c r="B448" t="s">
        <v>147</v>
      </c>
      <c r="C448">
        <v>75870</v>
      </c>
      <c r="D448" s="2">
        <v>112.62</v>
      </c>
      <c r="E448" s="1">
        <v>43185</v>
      </c>
      <c r="F448" t="str">
        <f>"10229476782"</f>
        <v>10229476782</v>
      </c>
      <c r="G448" t="str">
        <f>"Sound Bar"</f>
        <v>Sound Bar</v>
      </c>
      <c r="H448">
        <v>59.84</v>
      </c>
      <c r="I448" t="str">
        <f>"Sku [318-2885]"</f>
        <v>Sku [318-2885]</v>
      </c>
    </row>
    <row r="449" spans="1:9" x14ac:dyDescent="0.3">
      <c r="A449" t="str">
        <f>""</f>
        <v/>
      </c>
      <c r="F449" t="str">
        <f>"10230075653"</f>
        <v>10230075653</v>
      </c>
      <c r="G449" t="str">
        <f>"LG GP50NB40"</f>
        <v>LG GP50NB40</v>
      </c>
      <c r="H449">
        <v>52.78</v>
      </c>
      <c r="I449" t="str">
        <f>"LG GP50NB40"</f>
        <v>LG GP50NB40</v>
      </c>
    </row>
    <row r="450" spans="1:9" x14ac:dyDescent="0.3">
      <c r="A450" t="str">
        <f>"004805"</f>
        <v>004805</v>
      </c>
      <c r="B450" t="s">
        <v>148</v>
      </c>
      <c r="C450">
        <v>75634</v>
      </c>
      <c r="D450" s="2">
        <v>5</v>
      </c>
      <c r="E450" s="1">
        <v>43171</v>
      </c>
      <c r="F450" t="str">
        <f>"201803089359"</f>
        <v>201803089359</v>
      </c>
      <c r="G450" t="str">
        <f>"FERAL HOGS"</f>
        <v>FERAL HOGS</v>
      </c>
      <c r="H450">
        <v>5</v>
      </c>
      <c r="I450" t="str">
        <f>"FERAL HOGS"</f>
        <v>FERAL HOGS</v>
      </c>
    </row>
    <row r="451" spans="1:9" x14ac:dyDescent="0.3">
      <c r="A451" t="str">
        <f>"005447"</f>
        <v>005447</v>
      </c>
      <c r="B451" t="s">
        <v>149</v>
      </c>
      <c r="C451">
        <v>75635</v>
      </c>
      <c r="D451" s="2">
        <v>62</v>
      </c>
      <c r="E451" s="1">
        <v>43171</v>
      </c>
      <c r="F451" t="str">
        <f>"201803079271"</f>
        <v>201803079271</v>
      </c>
      <c r="G451" t="str">
        <f>"REIMBURSEMENT/PCT#2"</f>
        <v>REIMBURSEMENT/PCT#2</v>
      </c>
      <c r="H451">
        <v>62</v>
      </c>
      <c r="I451" t="str">
        <f>"REIMBURSEMENT/PCT#2"</f>
        <v>REIMBURSEMENT/PCT#2</v>
      </c>
    </row>
    <row r="452" spans="1:9" x14ac:dyDescent="0.3">
      <c r="A452" t="str">
        <f>"003605"</f>
        <v>003605</v>
      </c>
      <c r="B452" t="s">
        <v>150</v>
      </c>
      <c r="C452">
        <v>75636</v>
      </c>
      <c r="D452" s="2">
        <v>240</v>
      </c>
      <c r="E452" s="1">
        <v>43171</v>
      </c>
      <c r="F452" t="str">
        <f>"201803089360"</f>
        <v>201803089360</v>
      </c>
      <c r="G452" t="str">
        <f>"FERAL HOGS"</f>
        <v>FERAL HOGS</v>
      </c>
      <c r="H452">
        <v>240</v>
      </c>
      <c r="I452" t="str">
        <f>"FERAL HOGS"</f>
        <v>FERAL HOGS</v>
      </c>
    </row>
    <row r="453" spans="1:9" x14ac:dyDescent="0.3">
      <c r="A453" t="str">
        <f>"003826"</f>
        <v>003826</v>
      </c>
      <c r="B453" t="s">
        <v>151</v>
      </c>
      <c r="C453">
        <v>75637</v>
      </c>
      <c r="D453" s="2">
        <v>10</v>
      </c>
      <c r="E453" s="1">
        <v>43171</v>
      </c>
      <c r="F453" t="str">
        <f>"201803089361"</f>
        <v>201803089361</v>
      </c>
      <c r="G453" t="str">
        <f>"FERAL HOGS"</f>
        <v>FERAL HOGS</v>
      </c>
      <c r="H453">
        <v>10</v>
      </c>
      <c r="I453" t="str">
        <f>"FERAL HOGS"</f>
        <v>FERAL HOGS</v>
      </c>
    </row>
    <row r="454" spans="1:9" x14ac:dyDescent="0.3">
      <c r="A454" t="str">
        <f>"004311"</f>
        <v>004311</v>
      </c>
      <c r="B454" t="s">
        <v>152</v>
      </c>
      <c r="C454">
        <v>75638</v>
      </c>
      <c r="D454" s="2">
        <v>50</v>
      </c>
      <c r="E454" s="1">
        <v>43171</v>
      </c>
      <c r="F454" t="str">
        <f>"201803089362"</f>
        <v>201803089362</v>
      </c>
      <c r="G454" t="str">
        <f>"FERAL HOGS"</f>
        <v>FERAL HOGS</v>
      </c>
      <c r="H454">
        <v>15</v>
      </c>
      <c r="I454" t="str">
        <f>"FERAL HOGS"</f>
        <v>FERAL HOGS</v>
      </c>
    </row>
    <row r="455" spans="1:9" x14ac:dyDescent="0.3">
      <c r="A455" t="str">
        <f>""</f>
        <v/>
      </c>
      <c r="F455" t="str">
        <f>"201803089363"</f>
        <v>201803089363</v>
      </c>
      <c r="G455" t="str">
        <f>"FERAL HOGS"</f>
        <v>FERAL HOGS</v>
      </c>
      <c r="H455">
        <v>25</v>
      </c>
      <c r="I455" t="str">
        <f>"FERAL HOGS"</f>
        <v>FERAL HOGS</v>
      </c>
    </row>
    <row r="456" spans="1:9" x14ac:dyDescent="0.3">
      <c r="A456" t="str">
        <f>""</f>
        <v/>
      </c>
      <c r="F456" t="str">
        <f>"201803089364"</f>
        <v>201803089364</v>
      </c>
      <c r="G456" t="str">
        <f>"FERAL HOGS"</f>
        <v>FERAL HOGS</v>
      </c>
      <c r="H456">
        <v>10</v>
      </c>
      <c r="I456" t="str">
        <f>"FERAL HOGS"</f>
        <v>FERAL HOGS</v>
      </c>
    </row>
    <row r="457" spans="1:9" x14ac:dyDescent="0.3">
      <c r="A457" t="str">
        <f>"T5686"</f>
        <v>T5686</v>
      </c>
      <c r="B457" t="s">
        <v>153</v>
      </c>
      <c r="C457">
        <v>75639</v>
      </c>
      <c r="D457" s="2">
        <v>2279.39</v>
      </c>
      <c r="E457" s="1">
        <v>43171</v>
      </c>
      <c r="F457" t="str">
        <f>"24218"</f>
        <v>24218</v>
      </c>
      <c r="G457" t="str">
        <f>"DUPLICATE KEYS/GRADY TUCK"</f>
        <v>DUPLICATE KEYS/GRADY TUCK</v>
      </c>
      <c r="H457">
        <v>32.49</v>
      </c>
      <c r="I457" t="str">
        <f>"DUPLICATE KEYS/GRADY TUCK"</f>
        <v>DUPLICATE KEYS/GRADY TUCK</v>
      </c>
    </row>
    <row r="458" spans="1:9" x14ac:dyDescent="0.3">
      <c r="A458" t="str">
        <f>""</f>
        <v/>
      </c>
      <c r="F458" t="str">
        <f>"24220"</f>
        <v>24220</v>
      </c>
      <c r="G458" t="str">
        <f>"MASTER KEYS/DUPLICATE KEYS"</f>
        <v>MASTER KEYS/DUPLICATE KEYS</v>
      </c>
      <c r="H458">
        <v>71.900000000000006</v>
      </c>
      <c r="I458" t="str">
        <f>"MASTER KEYS/DUPLICATE KEYS"</f>
        <v>MASTER KEYS/DUPLICATE KEYS</v>
      </c>
    </row>
    <row r="459" spans="1:9" x14ac:dyDescent="0.3">
      <c r="A459" t="str">
        <f>""</f>
        <v/>
      </c>
      <c r="F459" t="str">
        <f>"24232"</f>
        <v>24232</v>
      </c>
      <c r="G459" t="str">
        <f>"REKEY FOR INDIGENT HEALTH MOVE"</f>
        <v>REKEY FOR INDIGENT HEALTH MOVE</v>
      </c>
      <c r="H459">
        <v>2175</v>
      </c>
      <c r="I459" t="str">
        <f>"REKEY FOR INDIGENT HEALTH MOVE"</f>
        <v>REKEY FOR INDIGENT HEALTH MOVE</v>
      </c>
    </row>
    <row r="460" spans="1:9" x14ac:dyDescent="0.3">
      <c r="A460" t="str">
        <f>"T5686"</f>
        <v>T5686</v>
      </c>
      <c r="B460" t="s">
        <v>153</v>
      </c>
      <c r="C460">
        <v>75871</v>
      </c>
      <c r="D460" s="2">
        <v>357.35</v>
      </c>
      <c r="E460" s="1">
        <v>43185</v>
      </c>
      <c r="F460" t="str">
        <f>"24200"</f>
        <v>24200</v>
      </c>
      <c r="G460" t="str">
        <f>"LOCK FOR GATE/IT DEPT"</f>
        <v>LOCK FOR GATE/IT DEPT</v>
      </c>
      <c r="H460">
        <v>31.95</v>
      </c>
      <c r="I460" t="str">
        <f>"LOCK FOR GATE/IT DEPT"</f>
        <v>LOCK FOR GATE/IT DEPT</v>
      </c>
    </row>
    <row r="461" spans="1:9" x14ac:dyDescent="0.3">
      <c r="A461" t="str">
        <f>""</f>
        <v/>
      </c>
      <c r="F461" t="str">
        <f>"24263"</f>
        <v>24263</v>
      </c>
      <c r="G461" t="str">
        <f>"INV 24263"</f>
        <v>INV 24263</v>
      </c>
      <c r="H461">
        <v>185</v>
      </c>
      <c r="I461" t="str">
        <f>"INV 24263"</f>
        <v>INV 24263</v>
      </c>
    </row>
    <row r="462" spans="1:9" x14ac:dyDescent="0.3">
      <c r="A462" t="str">
        <f>""</f>
        <v/>
      </c>
      <c r="F462" t="str">
        <f>"24280"</f>
        <v>24280</v>
      </c>
      <c r="G462" t="str">
        <f>"DUPLICATE KEYS/COUNTY CLERK"</f>
        <v>DUPLICATE KEYS/COUNTY CLERK</v>
      </c>
      <c r="H462">
        <v>12</v>
      </c>
      <c r="I462" t="str">
        <f>"DUPLICATE KEYS/COUNTY CLERK"</f>
        <v>DUPLICATE KEYS/COUNTY CLERK</v>
      </c>
    </row>
    <row r="463" spans="1:9" x14ac:dyDescent="0.3">
      <c r="A463" t="str">
        <f>""</f>
        <v/>
      </c>
      <c r="F463" t="str">
        <f>"24281"</f>
        <v>24281</v>
      </c>
      <c r="G463" t="str">
        <f>"DUPLICATE KEYS"</f>
        <v>DUPLICATE KEYS</v>
      </c>
      <c r="H463">
        <v>8</v>
      </c>
      <c r="I463" t="str">
        <f>"DUPLICATE KEYS"</f>
        <v>DUPLICATE KEYS</v>
      </c>
    </row>
    <row r="464" spans="1:9" x14ac:dyDescent="0.3">
      <c r="A464" t="str">
        <f>""</f>
        <v/>
      </c>
      <c r="F464" t="str">
        <f>"24291"</f>
        <v>24291</v>
      </c>
      <c r="G464" t="str">
        <f>"LOCKS/PCT#1"</f>
        <v>LOCKS/PCT#1</v>
      </c>
      <c r="H464">
        <v>120.4</v>
      </c>
      <c r="I464" t="str">
        <f>"LOCKS/PCT#1"</f>
        <v>LOCKS/PCT#1</v>
      </c>
    </row>
    <row r="465" spans="1:9" x14ac:dyDescent="0.3">
      <c r="A465" t="str">
        <f>"001911"</f>
        <v>001911</v>
      </c>
      <c r="B465" t="s">
        <v>154</v>
      </c>
      <c r="C465">
        <v>75872</v>
      </c>
      <c r="D465" s="2">
        <v>2335.16</v>
      </c>
      <c r="E465" s="1">
        <v>43185</v>
      </c>
      <c r="F465" t="str">
        <f>"18021120N"</f>
        <v>18021120N</v>
      </c>
      <c r="G465" t="str">
        <f>"CUST CODE:PKE5000"</f>
        <v>CUST CODE:PKE5000</v>
      </c>
      <c r="H465">
        <v>2335.16</v>
      </c>
      <c r="I465" t="str">
        <f>"CUST CODE:PKE5000"</f>
        <v>CUST CODE:PKE5000</v>
      </c>
    </row>
    <row r="466" spans="1:9" x14ac:dyDescent="0.3">
      <c r="A466" t="str">
        <f>""</f>
        <v/>
      </c>
      <c r="F466" t="str">
        <f>""</f>
        <v/>
      </c>
      <c r="G466" t="str">
        <f>""</f>
        <v/>
      </c>
      <c r="I466" t="str">
        <f>"CUST CODE:PKE5000"</f>
        <v>CUST CODE:PKE5000</v>
      </c>
    </row>
    <row r="467" spans="1:9" x14ac:dyDescent="0.3">
      <c r="A467" t="str">
        <f>"002868"</f>
        <v>002868</v>
      </c>
      <c r="B467" t="s">
        <v>155</v>
      </c>
      <c r="C467">
        <v>75640</v>
      </c>
      <c r="D467" s="2">
        <v>956</v>
      </c>
      <c r="E467" s="1">
        <v>43171</v>
      </c>
      <c r="F467" t="str">
        <f>"2708298"</f>
        <v>2708298</v>
      </c>
      <c r="G467" t="str">
        <f>"WASTE TIRE DISPOSAL FEE/PCT#4"</f>
        <v>WASTE TIRE DISPOSAL FEE/PCT#4</v>
      </c>
      <c r="H467">
        <v>-10</v>
      </c>
      <c r="I467" t="str">
        <f>"WASTE TIRE DISPOSAL FEE/PCT#4"</f>
        <v>WASTE TIRE DISPOSAL FEE/PCT#4</v>
      </c>
    </row>
    <row r="468" spans="1:9" x14ac:dyDescent="0.3">
      <c r="A468" t="str">
        <f>""</f>
        <v/>
      </c>
      <c r="F468" t="str">
        <f>"2708297"</f>
        <v>2708297</v>
      </c>
      <c r="G468" t="str">
        <f>"ACCT#27917/PCT#4"</f>
        <v>ACCT#27917/PCT#4</v>
      </c>
      <c r="H468">
        <v>966</v>
      </c>
      <c r="I468" t="str">
        <f>"ACCT#27917/PCT#4"</f>
        <v>ACCT#27917/PCT#4</v>
      </c>
    </row>
    <row r="469" spans="1:9" x14ac:dyDescent="0.3">
      <c r="A469" t="str">
        <f>"T12751"</f>
        <v>T12751</v>
      </c>
      <c r="B469" t="s">
        <v>156</v>
      </c>
      <c r="C469">
        <v>75641</v>
      </c>
      <c r="D469" s="2">
        <v>90</v>
      </c>
      <c r="E469" s="1">
        <v>43171</v>
      </c>
      <c r="F469" t="str">
        <f>"201803089365"</f>
        <v>201803089365</v>
      </c>
      <c r="G469" t="str">
        <f>"FERAL HOGS"</f>
        <v>FERAL HOGS</v>
      </c>
      <c r="H469">
        <v>90</v>
      </c>
      <c r="I469" t="str">
        <f>"FERAL HOGS"</f>
        <v>FERAL HOGS</v>
      </c>
    </row>
    <row r="470" spans="1:9" x14ac:dyDescent="0.3">
      <c r="A470" t="str">
        <f>"003853"</f>
        <v>003853</v>
      </c>
      <c r="B470" t="s">
        <v>157</v>
      </c>
      <c r="C470">
        <v>75873</v>
      </c>
      <c r="D470" s="2">
        <v>140.94999999999999</v>
      </c>
      <c r="E470" s="1">
        <v>43185</v>
      </c>
      <c r="F470" t="str">
        <f>"MILEAGE REIMBURSEM"</f>
        <v>MILEAGE REIMBURSEM</v>
      </c>
      <c r="G470" t="str">
        <f>"MILEAGE REIMBURSEMENT"</f>
        <v>MILEAGE REIMBURSEMENT</v>
      </c>
      <c r="H470">
        <v>80.95</v>
      </c>
      <c r="I470" t="str">
        <f>"MILEAGE REIMBURSEMENT"</f>
        <v>MILEAGE REIMBURSEMENT</v>
      </c>
    </row>
    <row r="471" spans="1:9" x14ac:dyDescent="0.3">
      <c r="A471" t="str">
        <f>""</f>
        <v/>
      </c>
      <c r="F471" t="str">
        <f>"REIMBURSEMENT"</f>
        <v>REIMBURSEMENT</v>
      </c>
      <c r="G471" t="str">
        <f>"DORENA MARTINEZ"</f>
        <v>DORENA MARTINEZ</v>
      </c>
      <c r="H471">
        <v>60</v>
      </c>
      <c r="I471" t="str">
        <f>""</f>
        <v/>
      </c>
    </row>
    <row r="472" spans="1:9" x14ac:dyDescent="0.3">
      <c r="A472" t="str">
        <f>"T13918"</f>
        <v>T13918</v>
      </c>
      <c r="B472" t="s">
        <v>158</v>
      </c>
      <c r="C472">
        <v>75874</v>
      </c>
      <c r="D472" s="2">
        <v>3680.47</v>
      </c>
      <c r="E472" s="1">
        <v>43185</v>
      </c>
      <c r="F472" t="str">
        <f>"31538"</f>
        <v>31538</v>
      </c>
      <c r="G472" t="str">
        <f>"PARTS/PCT#4"</f>
        <v>PARTS/PCT#4</v>
      </c>
      <c r="H472">
        <v>1585.88</v>
      </c>
      <c r="I472" t="str">
        <f>"PARTS/PCT#4"</f>
        <v>PARTS/PCT#4</v>
      </c>
    </row>
    <row r="473" spans="1:9" x14ac:dyDescent="0.3">
      <c r="A473" t="str">
        <f>""</f>
        <v/>
      </c>
      <c r="F473" t="str">
        <f>"31539"</f>
        <v>31539</v>
      </c>
      <c r="G473" t="str">
        <f>"PARTS/PCT#4"</f>
        <v>PARTS/PCT#4</v>
      </c>
      <c r="H473">
        <v>1292.47</v>
      </c>
      <c r="I473" t="str">
        <f>"PARTS/PCT#4"</f>
        <v>PARTS/PCT#4</v>
      </c>
    </row>
    <row r="474" spans="1:9" x14ac:dyDescent="0.3">
      <c r="A474" t="str">
        <f>""</f>
        <v/>
      </c>
      <c r="F474" t="str">
        <f>"31549"</f>
        <v>31549</v>
      </c>
      <c r="G474" t="str">
        <f>"PARTS/PCT#1"</f>
        <v>PARTS/PCT#1</v>
      </c>
      <c r="H474">
        <v>802.12</v>
      </c>
      <c r="I474" t="str">
        <f>"PARTS/PCT#1"</f>
        <v>PARTS/PCT#1</v>
      </c>
    </row>
    <row r="475" spans="1:9" x14ac:dyDescent="0.3">
      <c r="A475" t="str">
        <f>"T9323"</f>
        <v>T9323</v>
      </c>
      <c r="B475" t="s">
        <v>159</v>
      </c>
      <c r="C475">
        <v>999999</v>
      </c>
      <c r="D475" s="2">
        <v>875</v>
      </c>
      <c r="E475" s="1">
        <v>43172</v>
      </c>
      <c r="F475" t="str">
        <f>"201803028927"</f>
        <v>201803028927</v>
      </c>
      <c r="G475" t="str">
        <f>"NO CAUSE # LISTED/DETENTION HR"</f>
        <v>NO CAUSE # LISTED/DETENTION HR</v>
      </c>
      <c r="H475">
        <v>100</v>
      </c>
      <c r="I475" t="str">
        <f>"NO CAUSE # LISTED/DETENTION HR"</f>
        <v>NO CAUSE # LISTED/DETENTION HR</v>
      </c>
    </row>
    <row r="476" spans="1:9" x14ac:dyDescent="0.3">
      <c r="A476" t="str">
        <f>""</f>
        <v/>
      </c>
      <c r="F476" t="str">
        <f>"201803028928"</f>
        <v>201803028928</v>
      </c>
      <c r="G476" t="str">
        <f>"J-3116"</f>
        <v>J-3116</v>
      </c>
      <c r="H476">
        <v>250</v>
      </c>
      <c r="I476" t="str">
        <f>"J-3116"</f>
        <v>J-3116</v>
      </c>
    </row>
    <row r="477" spans="1:9" x14ac:dyDescent="0.3">
      <c r="A477" t="str">
        <f>""</f>
        <v/>
      </c>
      <c r="F477" t="str">
        <f>"201803028938"</f>
        <v>201803028938</v>
      </c>
      <c r="G477" t="str">
        <f>"18-18854"</f>
        <v>18-18854</v>
      </c>
      <c r="H477">
        <v>175</v>
      </c>
      <c r="I477" t="str">
        <f>"18-18854"</f>
        <v>18-18854</v>
      </c>
    </row>
    <row r="478" spans="1:9" x14ac:dyDescent="0.3">
      <c r="A478" t="str">
        <f>""</f>
        <v/>
      </c>
      <c r="F478" t="str">
        <f>"201803028941"</f>
        <v>201803028941</v>
      </c>
      <c r="G478" t="str">
        <f>"17-18617"</f>
        <v>17-18617</v>
      </c>
      <c r="H478">
        <v>100</v>
      </c>
      <c r="I478" t="str">
        <f>"17-18617"</f>
        <v>17-18617</v>
      </c>
    </row>
    <row r="479" spans="1:9" x14ac:dyDescent="0.3">
      <c r="A479" t="str">
        <f>""</f>
        <v/>
      </c>
      <c r="F479" t="str">
        <f>"201803028961"</f>
        <v>201803028961</v>
      </c>
      <c r="G479" t="str">
        <f>"55670"</f>
        <v>55670</v>
      </c>
      <c r="H479">
        <v>250</v>
      </c>
      <c r="I479" t="str">
        <f>"55670"</f>
        <v>55670</v>
      </c>
    </row>
    <row r="480" spans="1:9" x14ac:dyDescent="0.3">
      <c r="A480" t="str">
        <f>"T9323"</f>
        <v>T9323</v>
      </c>
      <c r="B480" t="s">
        <v>159</v>
      </c>
      <c r="C480">
        <v>999999</v>
      </c>
      <c r="D480" s="2">
        <v>600</v>
      </c>
      <c r="E480" s="1">
        <v>43186</v>
      </c>
      <c r="F480" t="str">
        <f>"201803209690"</f>
        <v>201803209690</v>
      </c>
      <c r="G480" t="str">
        <f>"18-18915"</f>
        <v>18-18915</v>
      </c>
      <c r="H480">
        <v>100</v>
      </c>
      <c r="I480" t="str">
        <f>"18-18915"</f>
        <v>18-18915</v>
      </c>
    </row>
    <row r="481" spans="1:9" x14ac:dyDescent="0.3">
      <c r="A481" t="str">
        <f>""</f>
        <v/>
      </c>
      <c r="F481" t="str">
        <f>"201803209691"</f>
        <v>201803209691</v>
      </c>
      <c r="G481" t="str">
        <f>"18-18911"</f>
        <v>18-18911</v>
      </c>
      <c r="H481">
        <v>100</v>
      </c>
      <c r="I481" t="str">
        <f>"18-18911"</f>
        <v>18-18911</v>
      </c>
    </row>
    <row r="482" spans="1:9" x14ac:dyDescent="0.3">
      <c r="A482" t="str">
        <f>""</f>
        <v/>
      </c>
      <c r="F482" t="str">
        <f>"201803219709"</f>
        <v>201803219709</v>
      </c>
      <c r="G482" t="str">
        <f>"1JP32817B"</f>
        <v>1JP32817B</v>
      </c>
      <c r="H482">
        <v>400</v>
      </c>
      <c r="I482" t="str">
        <f>"1JP32817B"</f>
        <v>1JP32817B</v>
      </c>
    </row>
    <row r="483" spans="1:9" x14ac:dyDescent="0.3">
      <c r="A483" t="str">
        <f>"DURAN"</f>
        <v>DURAN</v>
      </c>
      <c r="B483" t="s">
        <v>160</v>
      </c>
      <c r="C483">
        <v>75642</v>
      </c>
      <c r="D483" s="2">
        <v>4404</v>
      </c>
      <c r="E483" s="1">
        <v>43171</v>
      </c>
      <c r="F483" t="str">
        <f>"15-494"</f>
        <v>15-494</v>
      </c>
      <c r="G483" t="str">
        <f>"ROAD BASE/PCT#3"</f>
        <v>ROAD BASE/PCT#3</v>
      </c>
      <c r="H483">
        <v>4404</v>
      </c>
      <c r="I483" t="str">
        <f>"ROAD BASE/PCT#3"</f>
        <v>ROAD BASE/PCT#3</v>
      </c>
    </row>
    <row r="484" spans="1:9" x14ac:dyDescent="0.3">
      <c r="A484" t="str">
        <f>"DURAN"</f>
        <v>DURAN</v>
      </c>
      <c r="B484" t="s">
        <v>160</v>
      </c>
      <c r="C484">
        <v>75875</v>
      </c>
      <c r="D484" s="2">
        <v>8954</v>
      </c>
      <c r="E484" s="1">
        <v>43185</v>
      </c>
      <c r="F484" t="str">
        <f>"15-513"</f>
        <v>15-513</v>
      </c>
      <c r="G484" t="str">
        <f>"YARD ROCK/PCT#3"</f>
        <v>YARD ROCK/PCT#3</v>
      </c>
      <c r="H484">
        <v>8954</v>
      </c>
      <c r="I484" t="str">
        <f>"YARD ROCK/PCT#3"</f>
        <v>YARD ROCK/PCT#3</v>
      </c>
    </row>
    <row r="485" spans="1:9" x14ac:dyDescent="0.3">
      <c r="A485" t="str">
        <f>"005448"</f>
        <v>005448</v>
      </c>
      <c r="B485" t="s">
        <v>161</v>
      </c>
      <c r="C485">
        <v>75643</v>
      </c>
      <c r="D485" s="2">
        <v>57</v>
      </c>
      <c r="E485" s="1">
        <v>43171</v>
      </c>
      <c r="F485" t="str">
        <f>"201803079272"</f>
        <v>201803079272</v>
      </c>
      <c r="G485" t="str">
        <f>"REIMBURSEMENT/PCT#2"</f>
        <v>REIMBURSEMENT/PCT#2</v>
      </c>
      <c r="H485">
        <v>57</v>
      </c>
      <c r="I485" t="str">
        <f>"REIMBURSEMENT/PCT#2"</f>
        <v>REIMBURSEMENT/PCT#2</v>
      </c>
    </row>
    <row r="486" spans="1:9" x14ac:dyDescent="0.3">
      <c r="A486" t="str">
        <f>"005477"</f>
        <v>005477</v>
      </c>
      <c r="B486" t="s">
        <v>162</v>
      </c>
      <c r="C486">
        <v>75876</v>
      </c>
      <c r="D486" s="2">
        <v>400</v>
      </c>
      <c r="E486" s="1">
        <v>43185</v>
      </c>
      <c r="F486" t="str">
        <f>"201803209688"</f>
        <v>201803209688</v>
      </c>
      <c r="G486" t="str">
        <f>"EXHIBITOR-INTDOOR GOV AGENCY"</f>
        <v>EXHIBITOR-INTDOOR GOV AGENCY</v>
      </c>
      <c r="H486">
        <v>400</v>
      </c>
      <c r="I486" t="str">
        <f>"EXHIBITOR-INTDOOR GOV AGENCY"</f>
        <v>EXHIBITOR-INTDOOR GOV AGENCY</v>
      </c>
    </row>
    <row r="487" spans="1:9" x14ac:dyDescent="0.3">
      <c r="A487" t="str">
        <f>"005348"</f>
        <v>005348</v>
      </c>
      <c r="B487" t="s">
        <v>163</v>
      </c>
      <c r="C487">
        <v>75644</v>
      </c>
      <c r="D487" s="2">
        <v>6685</v>
      </c>
      <c r="E487" s="1">
        <v>43171</v>
      </c>
      <c r="F487" t="str">
        <f>"1369"</f>
        <v>1369</v>
      </c>
      <c r="G487" t="str">
        <f>"Inv# 1369"</f>
        <v>Inv# 1369</v>
      </c>
      <c r="H487">
        <v>6685</v>
      </c>
      <c r="I487" t="str">
        <f>"Service/Repairs"</f>
        <v>Service/Repairs</v>
      </c>
    </row>
    <row r="488" spans="1:9" x14ac:dyDescent="0.3">
      <c r="A488" t="str">
        <f>""</f>
        <v/>
      </c>
      <c r="F488" t="str">
        <f>""</f>
        <v/>
      </c>
      <c r="G488" t="str">
        <f>""</f>
        <v/>
      </c>
      <c r="I488" t="str">
        <f>"Supplies&amp; Materials"</f>
        <v>Supplies&amp; Materials</v>
      </c>
    </row>
    <row r="489" spans="1:9" x14ac:dyDescent="0.3">
      <c r="A489" t="str">
        <f>""</f>
        <v/>
      </c>
      <c r="F489" t="str">
        <f>""</f>
        <v/>
      </c>
      <c r="G489" t="str">
        <f>""</f>
        <v/>
      </c>
      <c r="I489" t="str">
        <f>"Refund"</f>
        <v>Refund</v>
      </c>
    </row>
    <row r="490" spans="1:9" x14ac:dyDescent="0.3">
      <c r="A490" t="str">
        <f>"ECOLAB"</f>
        <v>ECOLAB</v>
      </c>
      <c r="B490" t="s">
        <v>164</v>
      </c>
      <c r="C490">
        <v>999999</v>
      </c>
      <c r="D490" s="2">
        <v>702.16</v>
      </c>
      <c r="E490" s="1">
        <v>43172</v>
      </c>
      <c r="F490" t="str">
        <f>"8626495"</f>
        <v>8626495</v>
      </c>
      <c r="G490" t="str">
        <f>"INV 8626495"</f>
        <v>INV 8626495</v>
      </c>
      <c r="H490">
        <v>702.16</v>
      </c>
      <c r="I490" t="str">
        <f>"INV 8626495"</f>
        <v>INV 8626495</v>
      </c>
    </row>
    <row r="491" spans="1:9" x14ac:dyDescent="0.3">
      <c r="A491" t="str">
        <f>"005458"</f>
        <v>005458</v>
      </c>
      <c r="B491" t="s">
        <v>165</v>
      </c>
      <c r="C491">
        <v>75645</v>
      </c>
      <c r="D491" s="2">
        <v>90</v>
      </c>
      <c r="E491" s="1">
        <v>43171</v>
      </c>
      <c r="F491" t="str">
        <f>"201803089366"</f>
        <v>201803089366</v>
      </c>
      <c r="G491" t="str">
        <f>"FERAL HOGS"</f>
        <v>FERAL HOGS</v>
      </c>
      <c r="H491">
        <v>90</v>
      </c>
      <c r="I491" t="str">
        <f>"FERAL HOGS"</f>
        <v>FERAL HOGS</v>
      </c>
    </row>
    <row r="492" spans="1:9" x14ac:dyDescent="0.3">
      <c r="A492" t="str">
        <f>"004447"</f>
        <v>004447</v>
      </c>
      <c r="B492" t="s">
        <v>166</v>
      </c>
      <c r="C492">
        <v>75646</v>
      </c>
      <c r="D492" s="2">
        <v>395</v>
      </c>
      <c r="E492" s="1">
        <v>43171</v>
      </c>
      <c r="F492" t="str">
        <f>"201803089367"</f>
        <v>201803089367</v>
      </c>
      <c r="G492" t="str">
        <f>"FERAL HOGS"</f>
        <v>FERAL HOGS</v>
      </c>
      <c r="H492">
        <v>395</v>
      </c>
      <c r="I492" t="str">
        <f>"FERAL HOGS"</f>
        <v>FERAL HOGS</v>
      </c>
    </row>
    <row r="493" spans="1:9" x14ac:dyDescent="0.3">
      <c r="A493" t="str">
        <f>"004788"</f>
        <v>004788</v>
      </c>
      <c r="B493" t="s">
        <v>167</v>
      </c>
      <c r="C493">
        <v>75877</v>
      </c>
      <c r="D493" s="2">
        <v>216.45</v>
      </c>
      <c r="E493" s="1">
        <v>43185</v>
      </c>
      <c r="F493" t="str">
        <f>"201803159637"</f>
        <v>201803159637</v>
      </c>
      <c r="G493" t="str">
        <f>"REIMBURSE HOTEL"</f>
        <v>REIMBURSE HOTEL</v>
      </c>
      <c r="H493">
        <v>216.45</v>
      </c>
      <c r="I493" t="str">
        <f>"REIMBURSE HOTEL"</f>
        <v>REIMBURSE HOTEL</v>
      </c>
    </row>
    <row r="494" spans="1:9" x14ac:dyDescent="0.3">
      <c r="A494" t="str">
        <f>"EU"</f>
        <v>EU</v>
      </c>
      <c r="B494" t="s">
        <v>168</v>
      </c>
      <c r="C494">
        <v>75499</v>
      </c>
      <c r="D494" s="2">
        <v>1265.5</v>
      </c>
      <c r="E494" s="1">
        <v>43166</v>
      </c>
      <c r="F494" t="str">
        <f>"201803079273"</f>
        <v>201803079273</v>
      </c>
      <c r="G494" t="str">
        <f>"ACCT#007-0008410-002/02282018"</f>
        <v>ACCT#007-0008410-002/02282018</v>
      </c>
      <c r="H494">
        <v>154.69999999999999</v>
      </c>
      <c r="I494" t="str">
        <f>"ACCT#007-0008410-002/02282018"</f>
        <v>ACCT#007-0008410-002/02282018</v>
      </c>
    </row>
    <row r="495" spans="1:9" x14ac:dyDescent="0.3">
      <c r="A495" t="str">
        <f>""</f>
        <v/>
      </c>
      <c r="F495" t="str">
        <f>"201803079274"</f>
        <v>201803079274</v>
      </c>
      <c r="G495" t="str">
        <f>"ACCT#007-0011501-000/02282018"</f>
        <v>ACCT#007-0011501-000/02282018</v>
      </c>
      <c r="H495">
        <v>93.76</v>
      </c>
      <c r="I495" t="str">
        <f>"ACCT#007-0011501-000/02282018"</f>
        <v>ACCT#007-0011501-000/02282018</v>
      </c>
    </row>
    <row r="496" spans="1:9" x14ac:dyDescent="0.3">
      <c r="A496" t="str">
        <f>""</f>
        <v/>
      </c>
      <c r="F496" t="str">
        <f>"201803079275"</f>
        <v>201803079275</v>
      </c>
      <c r="G496" t="str">
        <f>"ACCT#007-0011510-000/02282018"</f>
        <v>ACCT#007-0011510-000/02282018</v>
      </c>
      <c r="H496">
        <v>222.55</v>
      </c>
      <c r="I496" t="str">
        <f>"ACCT#007-0011510-000/02282018"</f>
        <v>ACCT#007-0011510-000/02282018</v>
      </c>
    </row>
    <row r="497" spans="1:9" x14ac:dyDescent="0.3">
      <c r="A497" t="str">
        <f>""</f>
        <v/>
      </c>
      <c r="F497" t="str">
        <f>"201803079276"</f>
        <v>201803079276</v>
      </c>
      <c r="G497" t="str">
        <f>"ACCT#007-0011530-000/02282018"</f>
        <v>ACCT#007-0011530-000/02282018</v>
      </c>
      <c r="H497">
        <v>94.09</v>
      </c>
      <c r="I497" t="str">
        <f>"ACCT#007-0011530-000/02282018"</f>
        <v>ACCT#007-0011530-000/02282018</v>
      </c>
    </row>
    <row r="498" spans="1:9" x14ac:dyDescent="0.3">
      <c r="A498" t="str">
        <f>""</f>
        <v/>
      </c>
      <c r="F498" t="str">
        <f>"201803079277"</f>
        <v>201803079277</v>
      </c>
      <c r="G498" t="str">
        <f>"ACCT#007-0011534-001/02282018"</f>
        <v>ACCT#007-0011534-001/02282018</v>
      </c>
      <c r="H498">
        <v>145.81</v>
      </c>
      <c r="I498" t="str">
        <f>"ACCT#007-0011534-001/02282018"</f>
        <v>ACCT#007-0011534-001/02282018</v>
      </c>
    </row>
    <row r="499" spans="1:9" x14ac:dyDescent="0.3">
      <c r="A499" t="str">
        <f>""</f>
        <v/>
      </c>
      <c r="F499" t="str">
        <f>"201803079278"</f>
        <v>201803079278</v>
      </c>
      <c r="G499" t="str">
        <f>"ACCT#007-0011535-000/02282018"</f>
        <v>ACCT#007-0011535-000/02282018</v>
      </c>
      <c r="H499">
        <v>415.93</v>
      </c>
      <c r="I499" t="str">
        <f>"ACCT#007-0011535-000/02282018"</f>
        <v>ACCT#007-0011535-000/02282018</v>
      </c>
    </row>
    <row r="500" spans="1:9" x14ac:dyDescent="0.3">
      <c r="A500" t="str">
        <f>""</f>
        <v/>
      </c>
      <c r="F500" t="str">
        <f>"201803079279"</f>
        <v>201803079279</v>
      </c>
      <c r="G500" t="str">
        <f>"ACCT#007-0011544-001/02282018"</f>
        <v>ACCT#007-0011544-001/02282018</v>
      </c>
      <c r="H500">
        <v>106.34</v>
      </c>
      <c r="I500" t="str">
        <f>"ACCT#007-0011544-001/02282018"</f>
        <v>ACCT#007-0011544-001/02282018</v>
      </c>
    </row>
    <row r="501" spans="1:9" x14ac:dyDescent="0.3">
      <c r="A501" t="str">
        <f>""</f>
        <v/>
      </c>
      <c r="F501" t="str">
        <f>"201803079280"</f>
        <v>201803079280</v>
      </c>
      <c r="G501" t="str">
        <f>"ACCT#007-0071128-001/02282018"</f>
        <v>ACCT#007-0071128-001/02282018</v>
      </c>
      <c r="H501">
        <v>32.32</v>
      </c>
      <c r="I501" t="str">
        <f>"ACCT#007-0071128-001/02282018"</f>
        <v>ACCT#007-0071128-001/02282018</v>
      </c>
    </row>
    <row r="502" spans="1:9" x14ac:dyDescent="0.3">
      <c r="A502" t="str">
        <f>"003027"</f>
        <v>003027</v>
      </c>
      <c r="B502" t="s">
        <v>169</v>
      </c>
      <c r="C502">
        <v>75647</v>
      </c>
      <c r="D502" s="2">
        <v>1057</v>
      </c>
      <c r="E502" s="1">
        <v>43171</v>
      </c>
      <c r="F502" t="str">
        <f>"145-13106/145-1526"</f>
        <v>145-13106/145-1526</v>
      </c>
      <c r="G502" t="str">
        <f>"CUST#0888336"</f>
        <v>CUST#0888336</v>
      </c>
      <c r="H502">
        <v>1057</v>
      </c>
      <c r="I502" t="str">
        <f>"CUST#0888336"</f>
        <v>CUST#0888336</v>
      </c>
    </row>
    <row r="503" spans="1:9" x14ac:dyDescent="0.3">
      <c r="A503" t="str">
        <f>"003027"</f>
        <v>003027</v>
      </c>
      <c r="B503" t="s">
        <v>169</v>
      </c>
      <c r="C503">
        <v>75878</v>
      </c>
      <c r="D503" s="2">
        <v>775.74</v>
      </c>
      <c r="E503" s="1">
        <v>43185</v>
      </c>
      <c r="F503" t="str">
        <f>"145-15535-01"</f>
        <v>145-15535-01</v>
      </c>
      <c r="G503" t="str">
        <f>"CUST#0888336"</f>
        <v>CUST#0888336</v>
      </c>
      <c r="H503">
        <v>775.74</v>
      </c>
      <c r="I503" t="str">
        <f>"CUST#0888336"</f>
        <v>CUST#0888336</v>
      </c>
    </row>
    <row r="504" spans="1:9" x14ac:dyDescent="0.3">
      <c r="A504" t="str">
        <f>"002424"</f>
        <v>002424</v>
      </c>
      <c r="B504" t="s">
        <v>170</v>
      </c>
      <c r="C504">
        <v>75503</v>
      </c>
      <c r="D504" s="2">
        <v>220.07</v>
      </c>
      <c r="E504" s="1">
        <v>43167</v>
      </c>
      <c r="F504" t="str">
        <f>"201803089396"</f>
        <v>201803089396</v>
      </c>
      <c r="G504" t="str">
        <f>"INDIGENT HEALTH - REISSUE"</f>
        <v>INDIGENT HEALTH - REISSUE</v>
      </c>
      <c r="H504">
        <v>220.07</v>
      </c>
      <c r="I504" t="str">
        <f>"INDIGENT HEALTH - REISSUE"</f>
        <v>INDIGENT HEALTH - REISSUE</v>
      </c>
    </row>
    <row r="505" spans="1:9" x14ac:dyDescent="0.3">
      <c r="A505" t="str">
        <f>"002424"</f>
        <v>002424</v>
      </c>
      <c r="B505" t="s">
        <v>170</v>
      </c>
      <c r="C505">
        <v>75648</v>
      </c>
      <c r="D505" s="2">
        <v>267.29000000000002</v>
      </c>
      <c r="E505" s="1">
        <v>43171</v>
      </c>
      <c r="F505" t="str">
        <f>"201803079319"</f>
        <v>201803079319</v>
      </c>
      <c r="G505" t="str">
        <f>"INDIGENT HEALTH"</f>
        <v>INDIGENT HEALTH</v>
      </c>
      <c r="H505">
        <v>267.29000000000002</v>
      </c>
      <c r="I505" t="str">
        <f>"INDIGENT HEALTH"</f>
        <v>INDIGENT HEALTH</v>
      </c>
    </row>
    <row r="506" spans="1:9" x14ac:dyDescent="0.3">
      <c r="A506" t="str">
        <f>"005218"</f>
        <v>005218</v>
      </c>
      <c r="B506" t="s">
        <v>171</v>
      </c>
      <c r="C506">
        <v>999999</v>
      </c>
      <c r="D506" s="2">
        <v>193.98</v>
      </c>
      <c r="E506" s="1">
        <v>43172</v>
      </c>
      <c r="F506" t="str">
        <f>"201802288893"</f>
        <v>201802288893</v>
      </c>
      <c r="G506" t="str">
        <f>"AG022018"</f>
        <v>AG022018</v>
      </c>
      <c r="H506">
        <v>193.98</v>
      </c>
      <c r="I506" t="str">
        <f>"AG022018"</f>
        <v>AG022018</v>
      </c>
    </row>
    <row r="507" spans="1:9" x14ac:dyDescent="0.3">
      <c r="A507" t="str">
        <f>"005218"</f>
        <v>005218</v>
      </c>
      <c r="B507" t="s">
        <v>171</v>
      </c>
      <c r="C507">
        <v>999999</v>
      </c>
      <c r="D507" s="2">
        <v>186.07</v>
      </c>
      <c r="E507" s="1">
        <v>43186</v>
      </c>
      <c r="F507" t="str">
        <f>"201803169647"</f>
        <v>201803169647</v>
      </c>
      <c r="G507" t="str">
        <f>"423-5253"</f>
        <v>423-5253</v>
      </c>
      <c r="H507">
        <v>186.07</v>
      </c>
      <c r="I507" t="str">
        <f>"423-5253"</f>
        <v>423-5253</v>
      </c>
    </row>
    <row r="508" spans="1:9" x14ac:dyDescent="0.3">
      <c r="A508" t="str">
        <f>"000589"</f>
        <v>000589</v>
      </c>
      <c r="B508" t="s">
        <v>172</v>
      </c>
      <c r="C508">
        <v>75879</v>
      </c>
      <c r="D508" s="2">
        <v>13846.26</v>
      </c>
      <c r="E508" s="1">
        <v>43185</v>
      </c>
      <c r="F508" t="str">
        <f>"9401796500"</f>
        <v>9401796500</v>
      </c>
      <c r="G508" t="str">
        <f>"ACCT#912904/BOL#21815/PCT#2"</f>
        <v>ACCT#912904/BOL#21815/PCT#2</v>
      </c>
      <c r="H508">
        <v>9399.91</v>
      </c>
    </row>
    <row r="509" spans="1:9" x14ac:dyDescent="0.3">
      <c r="A509" t="str">
        <f>""</f>
        <v/>
      </c>
      <c r="F509" t="str">
        <f>"9401798457"</f>
        <v>9401798457</v>
      </c>
      <c r="G509" t="str">
        <f>"ACCT#912922/BOL#21871/PCT#1"</f>
        <v>ACCT#912922/BOL#21871/PCT#1</v>
      </c>
      <c r="H509">
        <v>1141.96</v>
      </c>
    </row>
    <row r="510" spans="1:9" x14ac:dyDescent="0.3">
      <c r="A510" t="str">
        <f>""</f>
        <v/>
      </c>
      <c r="F510" t="str">
        <f>"9401799810"</f>
        <v>9401799810</v>
      </c>
      <c r="G510" t="str">
        <f>"ACCT#912922/BOL#21892/PCT#1"</f>
        <v>ACCT#912922/BOL#21892/PCT#1</v>
      </c>
      <c r="H510">
        <v>3304.39</v>
      </c>
    </row>
    <row r="511" spans="1:9" x14ac:dyDescent="0.3">
      <c r="A511" t="str">
        <f>"005198"</f>
        <v>005198</v>
      </c>
      <c r="B511" t="s">
        <v>173</v>
      </c>
      <c r="C511">
        <v>75880</v>
      </c>
      <c r="D511" s="2">
        <v>15</v>
      </c>
      <c r="E511" s="1">
        <v>43185</v>
      </c>
      <c r="F511" t="str">
        <f>"PER DIEM-TRAINING"</f>
        <v>PER DIEM-TRAINING</v>
      </c>
      <c r="G511" t="str">
        <f>"PER DIEM"</f>
        <v>PER DIEM</v>
      </c>
      <c r="H511">
        <v>15</v>
      </c>
      <c r="I511" t="str">
        <f>"PER DIEM"</f>
        <v>PER DIEM</v>
      </c>
    </row>
    <row r="512" spans="1:9" x14ac:dyDescent="0.3">
      <c r="A512" t="str">
        <f>"T12811"</f>
        <v>T12811</v>
      </c>
      <c r="B512" t="s">
        <v>174</v>
      </c>
      <c r="C512">
        <v>75881</v>
      </c>
      <c r="D512" s="2">
        <v>7</v>
      </c>
      <c r="E512" s="1">
        <v>43185</v>
      </c>
      <c r="F512" t="str">
        <f>"201803199663"</f>
        <v>201803199663</v>
      </c>
      <c r="G512" t="str">
        <f>"ACCT#9290502"</f>
        <v>ACCT#9290502</v>
      </c>
      <c r="H512">
        <v>7</v>
      </c>
      <c r="I512" t="str">
        <f>"ACCT#9290502"</f>
        <v>ACCT#9290502</v>
      </c>
    </row>
    <row r="513" spans="1:10" x14ac:dyDescent="0.3">
      <c r="A513" t="str">
        <f>"FCC"</f>
        <v>FCC</v>
      </c>
      <c r="B513" t="s">
        <v>175</v>
      </c>
      <c r="C513">
        <v>75649</v>
      </c>
      <c r="D513" s="2">
        <v>1520</v>
      </c>
      <c r="E513" s="1">
        <v>43171</v>
      </c>
      <c r="F513" t="str">
        <f>"201803079252"</f>
        <v>201803079252</v>
      </c>
      <c r="G513" t="str">
        <f>"SANE EXAM  18-S-01093"</f>
        <v>SANE EXAM  18-S-01093</v>
      </c>
      <c r="H513">
        <v>489</v>
      </c>
      <c r="I513" t="str">
        <f>"SANE EXAM  18-S-01093"</f>
        <v>SANE EXAM  18-S-01093</v>
      </c>
    </row>
    <row r="514" spans="1:10" x14ac:dyDescent="0.3">
      <c r="A514" t="str">
        <f>""</f>
        <v/>
      </c>
      <c r="F514" t="str">
        <f>"201803079253"</f>
        <v>201803079253</v>
      </c>
      <c r="G514" t="str">
        <f>"SANE EXAM  18-S-00973"</f>
        <v>SANE EXAM  18-S-00973</v>
      </c>
      <c r="H514">
        <v>542</v>
      </c>
      <c r="I514" t="str">
        <f>"SANE EXAM  18-S-00973"</f>
        <v>SANE EXAM  18-S-00973</v>
      </c>
    </row>
    <row r="515" spans="1:10" x14ac:dyDescent="0.3">
      <c r="A515" t="str">
        <f>""</f>
        <v/>
      </c>
      <c r="F515" t="str">
        <f>"201803079254"</f>
        <v>201803079254</v>
      </c>
      <c r="G515" t="str">
        <f>"SANE EXAM  18-S-00842"</f>
        <v>SANE EXAM  18-S-00842</v>
      </c>
      <c r="H515">
        <v>489</v>
      </c>
      <c r="I515" t="str">
        <f>"SANE EXAM  18-S-00842"</f>
        <v>SANE EXAM  18-S-00842</v>
      </c>
    </row>
    <row r="516" spans="1:10" x14ac:dyDescent="0.3">
      <c r="A516" t="str">
        <f>"FCC"</f>
        <v>FCC</v>
      </c>
      <c r="B516" t="s">
        <v>175</v>
      </c>
      <c r="C516">
        <v>75882</v>
      </c>
      <c r="D516" s="2">
        <v>542</v>
      </c>
      <c r="E516" s="1">
        <v>43185</v>
      </c>
      <c r="F516" t="str">
        <f>"201803219711"</f>
        <v>201803219711</v>
      </c>
      <c r="G516" t="str">
        <f>"SANE EXAM-CASE#18-S-01237"</f>
        <v>SANE EXAM-CASE#18-S-01237</v>
      </c>
      <c r="H516">
        <v>542</v>
      </c>
      <c r="I516" t="str">
        <f>"SANE EXAM-CASE#18-S-01237"</f>
        <v>SANE EXAM-CASE#18-S-01237</v>
      </c>
    </row>
    <row r="517" spans="1:10" x14ac:dyDescent="0.3">
      <c r="A517" t="str">
        <f>"003066"</f>
        <v>003066</v>
      </c>
      <c r="B517" t="s">
        <v>176</v>
      </c>
      <c r="C517">
        <v>75650</v>
      </c>
      <c r="D517" s="2">
        <v>40.270000000000003</v>
      </c>
      <c r="E517" s="1">
        <v>43171</v>
      </c>
      <c r="F517" t="str">
        <f>"201803079320"</f>
        <v>201803079320</v>
      </c>
      <c r="G517" t="str">
        <f>"INDIGENT HEALTH"</f>
        <v>INDIGENT HEALTH</v>
      </c>
      <c r="H517">
        <v>40.270000000000003</v>
      </c>
      <c r="I517" t="str">
        <f>"INDIGENT HEALTH"</f>
        <v>INDIGENT HEALTH</v>
      </c>
    </row>
    <row r="518" spans="1:10" x14ac:dyDescent="0.3">
      <c r="A518" t="str">
        <f>"000700"</f>
        <v>000700</v>
      </c>
      <c r="B518" t="s">
        <v>177</v>
      </c>
      <c r="C518">
        <v>75651</v>
      </c>
      <c r="D518" s="2">
        <v>215</v>
      </c>
      <c r="E518" s="1">
        <v>43171</v>
      </c>
      <c r="F518" t="str">
        <f>"201803079321"</f>
        <v>201803079321</v>
      </c>
      <c r="G518" t="str">
        <f>"INDIGENT HEALTH"</f>
        <v>INDIGENT HEALTH</v>
      </c>
      <c r="H518">
        <v>215</v>
      </c>
      <c r="I518" t="str">
        <f>"INDIGENT HEALTH"</f>
        <v>INDIGENT HEALTH</v>
      </c>
    </row>
    <row r="519" spans="1:10" x14ac:dyDescent="0.3">
      <c r="A519" t="str">
        <f>"T526"</f>
        <v>T526</v>
      </c>
      <c r="B519" t="s">
        <v>178</v>
      </c>
      <c r="C519">
        <v>75652</v>
      </c>
      <c r="D519" s="2">
        <v>71.540000000000006</v>
      </c>
      <c r="E519" s="1">
        <v>43171</v>
      </c>
      <c r="F519" t="str">
        <f>"6-089-30144"</f>
        <v>6-089-30144</v>
      </c>
      <c r="G519" t="str">
        <f>"ACCT#1772-6380-0/SHERIFF'S OFF"</f>
        <v>ACCT#1772-6380-0/SHERIFF'S OFF</v>
      </c>
      <c r="H519">
        <v>27.4</v>
      </c>
      <c r="I519" t="str">
        <f>"ACCT#1772-6380-0/SHERIFF'S OFF"</f>
        <v>ACCT#1772-6380-0/SHERIFF'S OFF</v>
      </c>
    </row>
    <row r="520" spans="1:10" x14ac:dyDescent="0.3">
      <c r="A520" t="str">
        <f>""</f>
        <v/>
      </c>
      <c r="F520" t="str">
        <f>"6-089-81510"</f>
        <v>6-089-81510</v>
      </c>
      <c r="G520" t="str">
        <f>"ACCT#1230-5243-9/TAX OFFICE"</f>
        <v>ACCT#1230-5243-9/TAX OFFICE</v>
      </c>
      <c r="H520">
        <v>44.14</v>
      </c>
      <c r="I520" t="str">
        <f>"ACCT#1230-5243-9/TAX OFFICE"</f>
        <v>ACCT#1230-5243-9/TAX OFFICE</v>
      </c>
    </row>
    <row r="521" spans="1:10" x14ac:dyDescent="0.3">
      <c r="A521" t="str">
        <f>"005459"</f>
        <v>005459</v>
      </c>
      <c r="B521" t="s">
        <v>179</v>
      </c>
      <c r="C521">
        <v>75653</v>
      </c>
      <c r="D521" s="2">
        <v>5</v>
      </c>
      <c r="E521" s="1">
        <v>43171</v>
      </c>
      <c r="F521" t="str">
        <f>"201803089368"</f>
        <v>201803089368</v>
      </c>
      <c r="G521" t="str">
        <f>"FERAL HOGS"</f>
        <v>FERAL HOGS</v>
      </c>
      <c r="H521">
        <v>5</v>
      </c>
      <c r="I521" t="str">
        <f>"FERAL HOGS"</f>
        <v>FERAL HOGS</v>
      </c>
    </row>
    <row r="522" spans="1:10" x14ac:dyDescent="0.3">
      <c r="A522" t="str">
        <f>"005438"</f>
        <v>005438</v>
      </c>
      <c r="B522" t="s">
        <v>180</v>
      </c>
      <c r="C522">
        <v>75654</v>
      </c>
      <c r="D522" s="2">
        <v>433</v>
      </c>
      <c r="E522" s="1">
        <v>43171</v>
      </c>
      <c r="F522" t="str">
        <f>"3736"</f>
        <v>3736</v>
      </c>
      <c r="G522" t="str">
        <f>"FIRE SPRINKLER SERVICE"</f>
        <v>FIRE SPRINKLER SERVICE</v>
      </c>
      <c r="H522">
        <v>433</v>
      </c>
      <c r="I522" t="str">
        <f>"FIRE SPRINKLER SERVICE"</f>
        <v>FIRE SPRINKLER SERVICE</v>
      </c>
    </row>
    <row r="523" spans="1:10" x14ac:dyDescent="0.3">
      <c r="A523" t="str">
        <f>"T9733"</f>
        <v>T9733</v>
      </c>
      <c r="B523" t="s">
        <v>181</v>
      </c>
      <c r="C523">
        <v>75655</v>
      </c>
      <c r="D523" s="2">
        <v>25</v>
      </c>
      <c r="E523" s="1">
        <v>43171</v>
      </c>
      <c r="F523" t="s">
        <v>182</v>
      </c>
      <c r="G523" t="s">
        <v>183</v>
      </c>
      <c r="H523" t="str">
        <f>"RESTITUTION-K. PURCELL"</f>
        <v>RESTITUTION-K. PURCELL</v>
      </c>
      <c r="I523" t="str">
        <f>"210-0000"</f>
        <v>210-0000</v>
      </c>
      <c r="J523" t="str">
        <f>""</f>
        <v/>
      </c>
    </row>
    <row r="524" spans="1:10" x14ac:dyDescent="0.3">
      <c r="A524" t="str">
        <f>"004691"</f>
        <v>004691</v>
      </c>
      <c r="B524" t="s">
        <v>184</v>
      </c>
      <c r="C524">
        <v>75656</v>
      </c>
      <c r="D524" s="2">
        <v>12611.92</v>
      </c>
      <c r="E524" s="1">
        <v>43171</v>
      </c>
      <c r="F524" t="str">
        <f>"NP52600102"</f>
        <v>NP52600102</v>
      </c>
      <c r="G524" t="str">
        <f>"INV NP52600102"</f>
        <v>INV NP52600102</v>
      </c>
      <c r="H524">
        <v>11398.25</v>
      </c>
      <c r="I524" t="str">
        <f>"INV NP52600102"</f>
        <v>INV NP52600102</v>
      </c>
    </row>
    <row r="525" spans="1:10" x14ac:dyDescent="0.3">
      <c r="A525" t="str">
        <f>""</f>
        <v/>
      </c>
      <c r="F525" t="str">
        <f>"STMT#NP52759547"</f>
        <v>STMT#NP52759547</v>
      </c>
      <c r="G525" t="str">
        <f>"Stm# NP52759547"</f>
        <v>Stm# NP52759547</v>
      </c>
      <c r="H525">
        <v>716.04</v>
      </c>
      <c r="I525" t="str">
        <f>"IT"</f>
        <v>IT</v>
      </c>
    </row>
    <row r="526" spans="1:10" x14ac:dyDescent="0.3">
      <c r="A526" t="str">
        <f>""</f>
        <v/>
      </c>
      <c r="F526" t="str">
        <f>""</f>
        <v/>
      </c>
      <c r="G526" t="str">
        <f>""</f>
        <v/>
      </c>
      <c r="I526" t="str">
        <f>"General Service"</f>
        <v>General Service</v>
      </c>
    </row>
    <row r="527" spans="1:10" x14ac:dyDescent="0.3">
      <c r="A527" t="str">
        <f>""</f>
        <v/>
      </c>
      <c r="F527" t="str">
        <f>""</f>
        <v/>
      </c>
      <c r="G527" t="str">
        <f>""</f>
        <v/>
      </c>
      <c r="I527" t="str">
        <f>"Sign Shop"</f>
        <v>Sign Shop</v>
      </c>
    </row>
    <row r="528" spans="1:10" x14ac:dyDescent="0.3">
      <c r="A528" t="str">
        <f>""</f>
        <v/>
      </c>
      <c r="F528" t="str">
        <f>""</f>
        <v/>
      </c>
      <c r="G528" t="str">
        <f>""</f>
        <v/>
      </c>
      <c r="I528" t="str">
        <f>"Animal Shelter"</f>
        <v>Animal Shelter</v>
      </c>
    </row>
    <row r="529" spans="1:9" x14ac:dyDescent="0.3">
      <c r="A529" t="str">
        <f>""</f>
        <v/>
      </c>
      <c r="F529" t="str">
        <f>""</f>
        <v/>
      </c>
      <c r="G529" t="str">
        <f>""</f>
        <v/>
      </c>
      <c r="I529" t="str">
        <f>"Habitat"</f>
        <v>Habitat</v>
      </c>
    </row>
    <row r="530" spans="1:9" x14ac:dyDescent="0.3">
      <c r="A530" t="str">
        <f>""</f>
        <v/>
      </c>
      <c r="F530" t="str">
        <f>""</f>
        <v/>
      </c>
      <c r="G530" t="str">
        <f>""</f>
        <v/>
      </c>
      <c r="I530" t="str">
        <f>"Pct 1"</f>
        <v>Pct 1</v>
      </c>
    </row>
    <row r="531" spans="1:9" x14ac:dyDescent="0.3">
      <c r="A531" t="str">
        <f>""</f>
        <v/>
      </c>
      <c r="F531" t="str">
        <f>"STMT#NP52759748"</f>
        <v>STMT#NP52759748</v>
      </c>
      <c r="G531" t="str">
        <f>"Stmt# NP52759748"</f>
        <v>Stmt# NP52759748</v>
      </c>
      <c r="H531">
        <v>497.63</v>
      </c>
      <c r="I531" t="str">
        <f>"Stmt# NP52759748"</f>
        <v>Stmt# NP52759748</v>
      </c>
    </row>
    <row r="532" spans="1:9" x14ac:dyDescent="0.3">
      <c r="A532" t="str">
        <f>"004691"</f>
        <v>004691</v>
      </c>
      <c r="B532" t="s">
        <v>184</v>
      </c>
      <c r="C532">
        <v>75883</v>
      </c>
      <c r="D532" s="2">
        <v>13516.96</v>
      </c>
      <c r="E532" s="1">
        <v>43185</v>
      </c>
      <c r="F532" t="str">
        <f>"NP52759717"</f>
        <v>NP52759717</v>
      </c>
      <c r="G532" t="str">
        <f>"FLEET COR TECHNOLOGIES INC"</f>
        <v>FLEET COR TECHNOLOGIES INC</v>
      </c>
      <c r="H532">
        <v>12018.1</v>
      </c>
      <c r="I532" t="str">
        <f>""</f>
        <v/>
      </c>
    </row>
    <row r="533" spans="1:9" x14ac:dyDescent="0.3">
      <c r="A533" t="str">
        <f>""</f>
        <v/>
      </c>
      <c r="F533" t="str">
        <f>"NP52831425"</f>
        <v>NP52831425</v>
      </c>
      <c r="G533" t="str">
        <f>"Stmt# NP52831425"</f>
        <v>Stmt# NP52831425</v>
      </c>
      <c r="H533">
        <v>982.95</v>
      </c>
      <c r="I533" t="str">
        <f>"IT"</f>
        <v>IT</v>
      </c>
    </row>
    <row r="534" spans="1:9" x14ac:dyDescent="0.3">
      <c r="A534" t="str">
        <f>""</f>
        <v/>
      </c>
      <c r="F534" t="str">
        <f>""</f>
        <v/>
      </c>
      <c r="G534" t="str">
        <f>""</f>
        <v/>
      </c>
      <c r="I534" t="str">
        <f>"General Service"</f>
        <v>General Service</v>
      </c>
    </row>
    <row r="535" spans="1:9" x14ac:dyDescent="0.3">
      <c r="A535" t="str">
        <f>""</f>
        <v/>
      </c>
      <c r="F535" t="str">
        <f>""</f>
        <v/>
      </c>
      <c r="G535" t="str">
        <f>""</f>
        <v/>
      </c>
      <c r="I535" t="str">
        <f>"Sign Shop"</f>
        <v>Sign Shop</v>
      </c>
    </row>
    <row r="536" spans="1:9" x14ac:dyDescent="0.3">
      <c r="A536" t="str">
        <f>""</f>
        <v/>
      </c>
      <c r="F536" t="str">
        <f>""</f>
        <v/>
      </c>
      <c r="G536" t="str">
        <f>""</f>
        <v/>
      </c>
      <c r="I536" t="str">
        <f>"Animal Shelter"</f>
        <v>Animal Shelter</v>
      </c>
    </row>
    <row r="537" spans="1:9" x14ac:dyDescent="0.3">
      <c r="A537" t="str">
        <f>""</f>
        <v/>
      </c>
      <c r="F537" t="str">
        <f>""</f>
        <v/>
      </c>
      <c r="G537" t="str">
        <f>""</f>
        <v/>
      </c>
      <c r="I537" t="str">
        <f>"Habitat Conservation"</f>
        <v>Habitat Conservation</v>
      </c>
    </row>
    <row r="538" spans="1:9" x14ac:dyDescent="0.3">
      <c r="A538" t="str">
        <f>""</f>
        <v/>
      </c>
      <c r="F538" t="str">
        <f>""</f>
        <v/>
      </c>
      <c r="G538" t="str">
        <f>""</f>
        <v/>
      </c>
      <c r="I538" t="str">
        <f>"Ag Extension"</f>
        <v>Ag Extension</v>
      </c>
    </row>
    <row r="539" spans="1:9" x14ac:dyDescent="0.3">
      <c r="A539" t="str">
        <f>""</f>
        <v/>
      </c>
      <c r="F539" t="str">
        <f>""</f>
        <v/>
      </c>
      <c r="G539" t="str">
        <f>""</f>
        <v/>
      </c>
      <c r="I539" t="str">
        <f>"Pct 1"</f>
        <v>Pct 1</v>
      </c>
    </row>
    <row r="540" spans="1:9" x14ac:dyDescent="0.3">
      <c r="A540" t="str">
        <f>""</f>
        <v/>
      </c>
      <c r="F540" t="str">
        <f>"NP52831622"</f>
        <v>NP52831622</v>
      </c>
      <c r="G540" t="str">
        <f>"Stmt# NP52831622"</f>
        <v>Stmt# NP52831622</v>
      </c>
      <c r="H540">
        <v>515.91</v>
      </c>
      <c r="I540" t="str">
        <f>"Stmt# NP52831622"</f>
        <v>Stmt# NP52831622</v>
      </c>
    </row>
    <row r="541" spans="1:9" x14ac:dyDescent="0.3">
      <c r="A541" t="str">
        <f>"T5062"</f>
        <v>T5062</v>
      </c>
      <c r="B541" t="s">
        <v>185</v>
      </c>
      <c r="C541">
        <v>75657</v>
      </c>
      <c r="D541" s="2">
        <v>570.38</v>
      </c>
      <c r="E541" s="1">
        <v>43171</v>
      </c>
      <c r="F541" t="str">
        <f>"92442418"</f>
        <v>92442418</v>
      </c>
      <c r="G541" t="str">
        <f>"PARTS/PCT#2"</f>
        <v>PARTS/PCT#2</v>
      </c>
      <c r="H541">
        <v>541.98</v>
      </c>
      <c r="I541" t="str">
        <f>"PARTS/PCT#2"</f>
        <v>PARTS/PCT#2</v>
      </c>
    </row>
    <row r="542" spans="1:9" x14ac:dyDescent="0.3">
      <c r="A542" t="str">
        <f>""</f>
        <v/>
      </c>
      <c r="F542" t="str">
        <f>"92452317"</f>
        <v>92452317</v>
      </c>
      <c r="G542" t="str">
        <f>"PART#2020109P/PCT#2"</f>
        <v>PART#2020109P/PCT#2</v>
      </c>
      <c r="H542">
        <v>28.4</v>
      </c>
      <c r="I542" t="str">
        <f>"PART#2020109P/PCT#2"</f>
        <v>PART#2020109P/PCT#2</v>
      </c>
    </row>
    <row r="543" spans="1:9" x14ac:dyDescent="0.3">
      <c r="A543" t="str">
        <f>"T5062"</f>
        <v>T5062</v>
      </c>
      <c r="B543" t="s">
        <v>185</v>
      </c>
      <c r="C543">
        <v>75884</v>
      </c>
      <c r="D543" s="2">
        <v>812.58</v>
      </c>
      <c r="E543" s="1">
        <v>43185</v>
      </c>
      <c r="F543" t="str">
        <f>"92620102"</f>
        <v>92620102</v>
      </c>
      <c r="G543" t="str">
        <f>"PARTS/PCT#2"</f>
        <v>PARTS/PCT#2</v>
      </c>
      <c r="H543">
        <v>792.24</v>
      </c>
      <c r="I543" t="str">
        <f>"PARTS/PCT#2"</f>
        <v>PARTS/PCT#2</v>
      </c>
    </row>
    <row r="544" spans="1:9" x14ac:dyDescent="0.3">
      <c r="A544" t="str">
        <f>""</f>
        <v/>
      </c>
      <c r="F544" t="str">
        <f>"92667251"</f>
        <v>92667251</v>
      </c>
      <c r="G544" t="str">
        <f>"ACCT#80975/PCT#2"</f>
        <v>ACCT#80975/PCT#2</v>
      </c>
      <c r="H544">
        <v>20.34</v>
      </c>
      <c r="I544" t="str">
        <f>"ACCT#80975/PCT#2"</f>
        <v>ACCT#80975/PCT#2</v>
      </c>
    </row>
    <row r="545" spans="1:9" x14ac:dyDescent="0.3">
      <c r="A545" t="str">
        <f>"005450"</f>
        <v>005450</v>
      </c>
      <c r="B545" t="s">
        <v>186</v>
      </c>
      <c r="C545">
        <v>75658</v>
      </c>
      <c r="D545" s="2">
        <v>595</v>
      </c>
      <c r="E545" s="1">
        <v>43171</v>
      </c>
      <c r="F545" t="str">
        <f>"TRAINING-M. GARCIA"</f>
        <v>TRAINING-M. GARCIA</v>
      </c>
      <c r="G545" t="str">
        <f>"TRAINING"</f>
        <v>TRAINING</v>
      </c>
      <c r="H545">
        <v>595</v>
      </c>
      <c r="I545" t="str">
        <f>"TRAINING"</f>
        <v>TRAINING</v>
      </c>
    </row>
    <row r="546" spans="1:9" x14ac:dyDescent="0.3">
      <c r="A546" t="str">
        <f>"FLS"</f>
        <v>FLS</v>
      </c>
      <c r="B546" t="s">
        <v>187</v>
      </c>
      <c r="C546">
        <v>999999</v>
      </c>
      <c r="D546" s="2">
        <v>300</v>
      </c>
      <c r="E546" s="1">
        <v>43172</v>
      </c>
      <c r="F546" t="str">
        <f>"201803028929"</f>
        <v>201803028929</v>
      </c>
      <c r="G546" t="str">
        <f>"N/A"</f>
        <v>N/A</v>
      </c>
      <c r="H546">
        <v>100</v>
      </c>
      <c r="I546" t="str">
        <f>"N/A"</f>
        <v>N/A</v>
      </c>
    </row>
    <row r="547" spans="1:9" x14ac:dyDescent="0.3">
      <c r="A547" t="str">
        <f>""</f>
        <v/>
      </c>
      <c r="F547" t="str">
        <f>"201803028930"</f>
        <v>201803028930</v>
      </c>
      <c r="G547" t="str">
        <f>"N/A"</f>
        <v>N/A</v>
      </c>
      <c r="H547">
        <v>100</v>
      </c>
      <c r="I547" t="str">
        <f>"N/A"</f>
        <v>N/A</v>
      </c>
    </row>
    <row r="548" spans="1:9" x14ac:dyDescent="0.3">
      <c r="A548" t="str">
        <f>""</f>
        <v/>
      </c>
      <c r="F548" t="str">
        <f>"201803079293"</f>
        <v>201803079293</v>
      </c>
      <c r="G548" t="str">
        <f>"N/A ASSAULT"</f>
        <v>N/A ASSAULT</v>
      </c>
      <c r="H548">
        <v>100</v>
      </c>
      <c r="I548" t="str">
        <f>"N/A ASSAULT"</f>
        <v>N/A ASSAULT</v>
      </c>
    </row>
    <row r="549" spans="1:9" x14ac:dyDescent="0.3">
      <c r="A549" t="str">
        <f>"FLS"</f>
        <v>FLS</v>
      </c>
      <c r="B549" t="s">
        <v>187</v>
      </c>
      <c r="C549">
        <v>999999</v>
      </c>
      <c r="D549" s="2">
        <v>1000</v>
      </c>
      <c r="E549" s="1">
        <v>43186</v>
      </c>
      <c r="F549" t="str">
        <f>"201803149619"</f>
        <v>201803149619</v>
      </c>
      <c r="G549" t="str">
        <f>"15 258"</f>
        <v>15 258</v>
      </c>
      <c r="H549">
        <v>400</v>
      </c>
      <c r="I549" t="str">
        <f>"15 258"</f>
        <v>15 258</v>
      </c>
    </row>
    <row r="550" spans="1:9" x14ac:dyDescent="0.3">
      <c r="A550" t="str">
        <f>""</f>
        <v/>
      </c>
      <c r="F550" t="str">
        <f>"201803199657"</f>
        <v>201803199657</v>
      </c>
      <c r="G550" t="str">
        <f>"N/A UNINDICTED"</f>
        <v>N/A UNINDICTED</v>
      </c>
      <c r="H550">
        <v>400</v>
      </c>
      <c r="I550" t="str">
        <f>"N/A UNINDICTED"</f>
        <v>N/A UNINDICTED</v>
      </c>
    </row>
    <row r="551" spans="1:9" x14ac:dyDescent="0.3">
      <c r="A551" t="str">
        <f>""</f>
        <v/>
      </c>
      <c r="F551" t="str">
        <f>"201803199658"</f>
        <v>201803199658</v>
      </c>
      <c r="G551" t="str">
        <f>"727-335"</f>
        <v>727-335</v>
      </c>
      <c r="H551">
        <v>100</v>
      </c>
      <c r="I551" t="str">
        <f>"727-335"</f>
        <v>727-335</v>
      </c>
    </row>
    <row r="552" spans="1:9" x14ac:dyDescent="0.3">
      <c r="A552" t="str">
        <f>""</f>
        <v/>
      </c>
      <c r="F552" t="str">
        <f>"201803209699"</f>
        <v>201803209699</v>
      </c>
      <c r="G552" t="str">
        <f>"J-3095"</f>
        <v>J-3095</v>
      </c>
      <c r="H552">
        <v>100</v>
      </c>
      <c r="I552" t="str">
        <f>"J-3095"</f>
        <v>J-3095</v>
      </c>
    </row>
    <row r="553" spans="1:9" x14ac:dyDescent="0.3">
      <c r="A553" t="str">
        <f>"002555"</f>
        <v>002555</v>
      </c>
      <c r="B553" t="s">
        <v>188</v>
      </c>
      <c r="C553">
        <v>75885</v>
      </c>
      <c r="D553" s="2">
        <v>80</v>
      </c>
      <c r="E553" s="1">
        <v>43185</v>
      </c>
      <c r="F553" t="str">
        <f>"12265"</f>
        <v>12265</v>
      </c>
      <c r="G553" t="str">
        <f>"SERVICE  12/08/17"</f>
        <v>SERVICE  12/08/17</v>
      </c>
      <c r="H553">
        <v>80</v>
      </c>
      <c r="I553" t="str">
        <f>"SERVICE  12/08/17"</f>
        <v>SERVICE  12/08/17</v>
      </c>
    </row>
    <row r="554" spans="1:9" x14ac:dyDescent="0.3">
      <c r="A554" t="str">
        <f>"002426"</f>
        <v>002426</v>
      </c>
      <c r="B554" t="s">
        <v>189</v>
      </c>
      <c r="C554">
        <v>75659</v>
      </c>
      <c r="D554" s="2">
        <v>65</v>
      </c>
      <c r="E554" s="1">
        <v>43171</v>
      </c>
      <c r="F554" t="str">
        <f>"11514"</f>
        <v>11514</v>
      </c>
      <c r="G554" t="str">
        <f>"SERVICE  12/12/17"</f>
        <v>SERVICE  12/12/17</v>
      </c>
      <c r="H554">
        <v>65</v>
      </c>
      <c r="I554" t="str">
        <f>"SERVICE  12/12/17"</f>
        <v>SERVICE  12/12/17</v>
      </c>
    </row>
    <row r="555" spans="1:9" x14ac:dyDescent="0.3">
      <c r="A555" t="str">
        <f>"PPLAN"</f>
        <v>PPLAN</v>
      </c>
      <c r="B555" t="s">
        <v>190</v>
      </c>
      <c r="C555">
        <v>75660</v>
      </c>
      <c r="D555" s="2">
        <v>6745.26</v>
      </c>
      <c r="E555" s="1">
        <v>43171</v>
      </c>
      <c r="F555" t="str">
        <f>"201803079265"</f>
        <v>201803079265</v>
      </c>
      <c r="G555" t="str">
        <f>"ACCT#8850283308/PCT#2"</f>
        <v>ACCT#8850283308/PCT#2</v>
      </c>
      <c r="H555">
        <v>1446.87</v>
      </c>
      <c r="I555" t="str">
        <f>"ACCT#8850283308/PCT#2"</f>
        <v>ACCT#8850283308/PCT#2</v>
      </c>
    </row>
    <row r="556" spans="1:9" x14ac:dyDescent="0.3">
      <c r="A556" t="str">
        <f>""</f>
        <v/>
      </c>
      <c r="F556" t="str">
        <f>"P59304"</f>
        <v>P59304</v>
      </c>
      <c r="G556" t="str">
        <f>"ACCT#8850283308/PCT#1"</f>
        <v>ACCT#8850283308/PCT#1</v>
      </c>
      <c r="H556">
        <v>292.13</v>
      </c>
      <c r="I556" t="str">
        <f>"ACCT#8850283308/PCT#1"</f>
        <v>ACCT#8850283308/PCT#1</v>
      </c>
    </row>
    <row r="557" spans="1:9" x14ac:dyDescent="0.3">
      <c r="A557" t="str">
        <f>""</f>
        <v/>
      </c>
      <c r="F557" t="str">
        <f>"P60141"</f>
        <v>P60141</v>
      </c>
      <c r="G557" t="str">
        <f>"ACCT#8850283308/PCT#3"</f>
        <v>ACCT#8850283308/PCT#3</v>
      </c>
      <c r="H557">
        <v>567.71</v>
      </c>
      <c r="I557" t="str">
        <f>"ACCT#8850283308/PCT#3"</f>
        <v>ACCT#8850283308/PCT#3</v>
      </c>
    </row>
    <row r="558" spans="1:9" x14ac:dyDescent="0.3">
      <c r="A558" t="str">
        <f>""</f>
        <v/>
      </c>
      <c r="F558" t="str">
        <f>"W93104/W94376"</f>
        <v>W93104/W94376</v>
      </c>
      <c r="G558" t="str">
        <f>"ACCT#8850283308/PCT#4"</f>
        <v>ACCT#8850283308/PCT#4</v>
      </c>
      <c r="H558">
        <v>4438.55</v>
      </c>
      <c r="I558" t="str">
        <f>"ACCT#8850283308/PCT#4"</f>
        <v>ACCT#8850283308/PCT#4</v>
      </c>
    </row>
    <row r="559" spans="1:9" x14ac:dyDescent="0.3">
      <c r="A559" t="str">
        <f>"AT&amp;EI"</f>
        <v>AT&amp;EI</v>
      </c>
      <c r="B559" t="s">
        <v>191</v>
      </c>
      <c r="C559">
        <v>75661</v>
      </c>
      <c r="D559" s="2">
        <v>634.67999999999995</v>
      </c>
      <c r="E559" s="1">
        <v>43171</v>
      </c>
      <c r="F559" t="str">
        <f>"AP361374"</f>
        <v>AP361374</v>
      </c>
      <c r="G559" t="str">
        <f>"ACCT#3325/PCT#2"</f>
        <v>ACCT#3325/PCT#2</v>
      </c>
      <c r="H559">
        <v>16.02</v>
      </c>
      <c r="I559" t="str">
        <f>"ACCT#3325/PCT#2"</f>
        <v>ACCT#3325/PCT#2</v>
      </c>
    </row>
    <row r="560" spans="1:9" x14ac:dyDescent="0.3">
      <c r="A560" t="str">
        <f>""</f>
        <v/>
      </c>
      <c r="F560" t="str">
        <f>"AP363583"</f>
        <v>AP363583</v>
      </c>
      <c r="G560" t="str">
        <f>"ACCT#3325/PCT#2"</f>
        <v>ACCT#3325/PCT#2</v>
      </c>
      <c r="H560">
        <v>187.13</v>
      </c>
      <c r="I560" t="str">
        <f>"ACCT#3325/PCT#2"</f>
        <v>ACCT#3325/PCT#2</v>
      </c>
    </row>
    <row r="561" spans="1:9" x14ac:dyDescent="0.3">
      <c r="A561" t="str">
        <f>""</f>
        <v/>
      </c>
      <c r="F561" t="str">
        <f>"AS69963"</f>
        <v>AS69963</v>
      </c>
      <c r="G561" t="str">
        <f>"2016 FRHT/PCT#2"</f>
        <v>2016 FRHT/PCT#2</v>
      </c>
      <c r="H561">
        <v>431.53</v>
      </c>
      <c r="I561" t="str">
        <f>"2016 FRHT/PCT#2"</f>
        <v>2016 FRHT/PCT#2</v>
      </c>
    </row>
    <row r="562" spans="1:9" x14ac:dyDescent="0.3">
      <c r="A562" t="str">
        <f>"AT&amp;EI"</f>
        <v>AT&amp;EI</v>
      </c>
      <c r="B562" t="s">
        <v>191</v>
      </c>
      <c r="C562">
        <v>75886</v>
      </c>
      <c r="D562" s="2">
        <v>449.67</v>
      </c>
      <c r="E562" s="1">
        <v>43185</v>
      </c>
      <c r="F562" t="str">
        <f>"AP364919"</f>
        <v>AP364919</v>
      </c>
      <c r="G562" t="str">
        <f>"ACCT#3325/PCT#2"</f>
        <v>ACCT#3325/PCT#2</v>
      </c>
      <c r="H562">
        <v>449.67</v>
      </c>
      <c r="I562" t="str">
        <f>"ACCT#3325/PCT#2"</f>
        <v>ACCT#3325/PCT#2</v>
      </c>
    </row>
    <row r="563" spans="1:9" x14ac:dyDescent="0.3">
      <c r="A563" t="str">
        <f>"G&amp;C"</f>
        <v>G&amp;C</v>
      </c>
      <c r="B563" t="s">
        <v>192</v>
      </c>
      <c r="C563">
        <v>999999</v>
      </c>
      <c r="D563" s="2">
        <v>369.52</v>
      </c>
      <c r="E563" s="1">
        <v>43172</v>
      </c>
      <c r="F563" t="str">
        <f>"104586"</f>
        <v>104586</v>
      </c>
      <c r="G563" t="str">
        <f>"OFF SUPPLIES/EXTENTION OFFICE"</f>
        <v>OFF SUPPLIES/EXTENTION OFFICE</v>
      </c>
      <c r="H563">
        <v>120</v>
      </c>
      <c r="I563" t="str">
        <f>"OFF SUPPLIES/EXTENTION OFFICE"</f>
        <v>OFF SUPPLIES/EXTENTION OFFICE</v>
      </c>
    </row>
    <row r="564" spans="1:9" x14ac:dyDescent="0.3">
      <c r="A564" t="str">
        <f>""</f>
        <v/>
      </c>
      <c r="F564" t="str">
        <f>"104657"</f>
        <v>104657</v>
      </c>
      <c r="G564" t="str">
        <f>"BUSINESS CARDS-NOTICE OF VIOLA"</f>
        <v>BUSINESS CARDS-NOTICE OF VIOLA</v>
      </c>
      <c r="H564">
        <v>208.56</v>
      </c>
      <c r="I564" t="str">
        <f>"BUSINESS CARDS-NOTICE OF VIOLA"</f>
        <v>BUSINESS CARDS-NOTICE OF VIOLA</v>
      </c>
    </row>
    <row r="565" spans="1:9" x14ac:dyDescent="0.3">
      <c r="A565" t="str">
        <f>""</f>
        <v/>
      </c>
      <c r="F565" t="str">
        <f>"104692"</f>
        <v>104692</v>
      </c>
      <c r="G565" t="str">
        <f>"INV GC 104692"</f>
        <v>INV GC 104692</v>
      </c>
      <c r="H565">
        <v>40.96</v>
      </c>
      <c r="I565" t="str">
        <f>"INV GC 104692"</f>
        <v>INV GC 104692</v>
      </c>
    </row>
    <row r="566" spans="1:9" x14ac:dyDescent="0.3">
      <c r="A566" t="str">
        <f>"G&amp;C"</f>
        <v>G&amp;C</v>
      </c>
      <c r="B566" t="s">
        <v>192</v>
      </c>
      <c r="C566">
        <v>999999</v>
      </c>
      <c r="D566" s="2">
        <v>325.14999999999998</v>
      </c>
      <c r="E566" s="1">
        <v>43186</v>
      </c>
      <c r="F566" t="str">
        <f>"104549"</f>
        <v>104549</v>
      </c>
      <c r="G566" t="str">
        <f>"NOTE CARDS W/ENVELOPES"</f>
        <v>NOTE CARDS W/ENVELOPES</v>
      </c>
      <c r="H566">
        <v>60</v>
      </c>
      <c r="I566" t="str">
        <f>"NOTE CARDS W/ENVELOPES"</f>
        <v>NOTE CARDS W/ENVELOPES</v>
      </c>
    </row>
    <row r="567" spans="1:9" x14ac:dyDescent="0.3">
      <c r="A567" t="str">
        <f>""</f>
        <v/>
      </c>
      <c r="F567" t="str">
        <f>"104984"</f>
        <v>104984</v>
      </c>
      <c r="G567" t="str">
        <f>"TINTED ENVELOPES/DIST CLERK"</f>
        <v>TINTED ENVELOPES/DIST CLERK</v>
      </c>
      <c r="H567">
        <v>265.14999999999998</v>
      </c>
      <c r="I567" t="str">
        <f>"TINTED ENVELOPES/DIST CLERK"</f>
        <v>TINTED ENVELOPES/DIST CLERK</v>
      </c>
    </row>
    <row r="568" spans="1:9" x14ac:dyDescent="0.3">
      <c r="A568" t="str">
        <f>"002605"</f>
        <v>002605</v>
      </c>
      <c r="B568" t="s">
        <v>193</v>
      </c>
      <c r="C568">
        <v>75887</v>
      </c>
      <c r="D568" s="2">
        <v>330.28</v>
      </c>
      <c r="E568" s="1">
        <v>43185</v>
      </c>
      <c r="F568" t="str">
        <f>"201803149629"</f>
        <v>201803149629</v>
      </c>
      <c r="G568" t="str">
        <f>"CUST#2179855/PCT#3"</f>
        <v>CUST#2179855/PCT#3</v>
      </c>
      <c r="H568">
        <v>330.28</v>
      </c>
      <c r="I568" t="str">
        <f>"CUST#2179855/PCT#3"</f>
        <v>CUST#2179855/PCT#3</v>
      </c>
    </row>
    <row r="569" spans="1:9" x14ac:dyDescent="0.3">
      <c r="A569" t="str">
        <f>"004055"</f>
        <v>004055</v>
      </c>
      <c r="B569" t="s">
        <v>194</v>
      </c>
      <c r="C569">
        <v>75888</v>
      </c>
      <c r="D569" s="2">
        <v>796.62</v>
      </c>
      <c r="E569" s="1">
        <v>43185</v>
      </c>
      <c r="F569" t="str">
        <f>"1155"</f>
        <v>1155</v>
      </c>
      <c r="G569" t="str">
        <f>"INV 1155"</f>
        <v>INV 1155</v>
      </c>
      <c r="H569">
        <v>43.85</v>
      </c>
      <c r="I569" t="str">
        <f>"INV 1155; UNIT 118"</f>
        <v>INV 1155; UNIT 118</v>
      </c>
    </row>
    <row r="570" spans="1:9" x14ac:dyDescent="0.3">
      <c r="A570" t="str">
        <f>""</f>
        <v/>
      </c>
      <c r="F570" t="str">
        <f>"1192/1197"</f>
        <v>1192/1197</v>
      </c>
      <c r="G570" t="str">
        <f>"INV 1192"</f>
        <v>INV 1192</v>
      </c>
      <c r="H570">
        <v>752.77</v>
      </c>
      <c r="I570" t="str">
        <f>"INV 1192; UNIT 87"</f>
        <v>INV 1192; UNIT 87</v>
      </c>
    </row>
    <row r="571" spans="1:9" x14ac:dyDescent="0.3">
      <c r="A571" t="str">
        <f>""</f>
        <v/>
      </c>
      <c r="F571" t="str">
        <f>""</f>
        <v/>
      </c>
      <c r="G571" t="str">
        <f>""</f>
        <v/>
      </c>
      <c r="I571" t="str">
        <f>"INV 1197; UNIT 88"</f>
        <v>INV 1197; UNIT 88</v>
      </c>
    </row>
    <row r="572" spans="1:9" x14ac:dyDescent="0.3">
      <c r="A572" t="str">
        <f>"T5794"</f>
        <v>T5794</v>
      </c>
      <c r="B572" t="s">
        <v>195</v>
      </c>
      <c r="C572">
        <v>999999</v>
      </c>
      <c r="D572" s="2">
        <v>187.14</v>
      </c>
      <c r="E572" s="1">
        <v>43186</v>
      </c>
      <c r="F572" t="str">
        <f>"N51838"</f>
        <v>N51838</v>
      </c>
      <c r="G572" t="str">
        <f>"INV N51838"</f>
        <v>INV N51838</v>
      </c>
      <c r="H572">
        <v>187.14</v>
      </c>
      <c r="I572" t="str">
        <f>"INV N51838"</f>
        <v>INV N51838</v>
      </c>
    </row>
    <row r="573" spans="1:9" x14ac:dyDescent="0.3">
      <c r="A573" t="str">
        <f>"004906"</f>
        <v>004906</v>
      </c>
      <c r="B573" t="s">
        <v>196</v>
      </c>
      <c r="C573">
        <v>75662</v>
      </c>
      <c r="D573" s="2">
        <v>5</v>
      </c>
      <c r="E573" s="1">
        <v>43171</v>
      </c>
      <c r="F573" t="str">
        <f>"201803089369"</f>
        <v>201803089369</v>
      </c>
      <c r="G573" t="str">
        <f>"FERAL HOGS"</f>
        <v>FERAL HOGS</v>
      </c>
      <c r="H573">
        <v>5</v>
      </c>
      <c r="I573" t="str">
        <f>"FERAL HOGS"</f>
        <v>FERAL HOGS</v>
      </c>
    </row>
    <row r="574" spans="1:9" x14ac:dyDescent="0.3">
      <c r="A574" t="str">
        <f>"004353"</f>
        <v>004353</v>
      </c>
      <c r="B574" t="s">
        <v>197</v>
      </c>
      <c r="C574">
        <v>75889</v>
      </c>
      <c r="D574" s="2">
        <v>750</v>
      </c>
      <c r="E574" s="1">
        <v>43185</v>
      </c>
      <c r="F574" t="str">
        <f>"1011"</f>
        <v>1011</v>
      </c>
      <c r="G574" t="str">
        <f>"TRANSPORT-J. GRINSTEAD"</f>
        <v>TRANSPORT-J. GRINSTEAD</v>
      </c>
      <c r="H574">
        <v>350</v>
      </c>
      <c r="I574" t="str">
        <f>"TRANSPORT-J. GRINSTEAD"</f>
        <v>TRANSPORT-J. GRINSTEAD</v>
      </c>
    </row>
    <row r="575" spans="1:9" x14ac:dyDescent="0.3">
      <c r="A575" t="str">
        <f>""</f>
        <v/>
      </c>
      <c r="F575" t="str">
        <f>"1013"</f>
        <v>1013</v>
      </c>
      <c r="G575" t="str">
        <f>"TRANSPORT-UNIDENTIFIED"</f>
        <v>TRANSPORT-UNIDENTIFIED</v>
      </c>
      <c r="H575">
        <v>400</v>
      </c>
      <c r="I575" t="str">
        <f>"TRANSPORT-UNIDENTIFIED"</f>
        <v>TRANSPORT-UNIDENTIFIED</v>
      </c>
    </row>
    <row r="576" spans="1:9" x14ac:dyDescent="0.3">
      <c r="A576" t="str">
        <f>"000790"</f>
        <v>000790</v>
      </c>
      <c r="B576" t="s">
        <v>198</v>
      </c>
      <c r="C576">
        <v>999999</v>
      </c>
      <c r="D576" s="2">
        <v>360.99</v>
      </c>
      <c r="E576" s="1">
        <v>43172</v>
      </c>
      <c r="F576" t="str">
        <f>"112258192"</f>
        <v>112258192</v>
      </c>
      <c r="G576" t="str">
        <f>"Chair for Jim Allen"</f>
        <v>Chair for Jim Allen</v>
      </c>
      <c r="H576">
        <v>360.99</v>
      </c>
      <c r="I576" t="str">
        <f>"Chair for James Allen"</f>
        <v>Chair for James Allen</v>
      </c>
    </row>
    <row r="577" spans="1:9" x14ac:dyDescent="0.3">
      <c r="A577" t="str">
        <f>""</f>
        <v/>
      </c>
      <c r="F577" t="str">
        <f>""</f>
        <v/>
      </c>
      <c r="G577" t="str">
        <f>""</f>
        <v/>
      </c>
      <c r="I577" t="str">
        <f>"Shipping"</f>
        <v>Shipping</v>
      </c>
    </row>
    <row r="578" spans="1:9" x14ac:dyDescent="0.3">
      <c r="A578" t="str">
        <f>"005443"</f>
        <v>005443</v>
      </c>
      <c r="B578" t="s">
        <v>199</v>
      </c>
      <c r="C578">
        <v>75663</v>
      </c>
      <c r="D578" s="2">
        <v>100</v>
      </c>
      <c r="E578" s="1">
        <v>43171</v>
      </c>
      <c r="F578" t="str">
        <f>"201802288913"</f>
        <v>201802288913</v>
      </c>
      <c r="G578" t="str">
        <f>"REFUND FOR SUBDIVISION REVIEW"</f>
        <v>REFUND FOR SUBDIVISION REVIEW</v>
      </c>
      <c r="H578">
        <v>100</v>
      </c>
      <c r="I578" t="str">
        <f>"REFUND FOR SUBDIVISION REVIEW"</f>
        <v>REFUND FOR SUBDIVISION REVIEW</v>
      </c>
    </row>
    <row r="579" spans="1:9" x14ac:dyDescent="0.3">
      <c r="A579" t="str">
        <f>"T12726"</f>
        <v>T12726</v>
      </c>
      <c r="B579" t="s">
        <v>200</v>
      </c>
      <c r="C579">
        <v>75890</v>
      </c>
      <c r="D579" s="2">
        <v>505</v>
      </c>
      <c r="E579" s="1">
        <v>43185</v>
      </c>
      <c r="F579" t="str">
        <f>"201803209689"</f>
        <v>201803209689</v>
      </c>
      <c r="G579" t="str">
        <f>"CAFR-09/30/2016"</f>
        <v>CAFR-09/30/2016</v>
      </c>
      <c r="H579">
        <v>505</v>
      </c>
      <c r="I579" t="str">
        <f>"CAFR-09/30/2016"</f>
        <v>CAFR-09/30/2016</v>
      </c>
    </row>
    <row r="580" spans="1:9" x14ac:dyDescent="0.3">
      <c r="A580" t="str">
        <f>"WWGI"</f>
        <v>WWGI</v>
      </c>
      <c r="B580" t="s">
        <v>201</v>
      </c>
      <c r="C580">
        <v>75891</v>
      </c>
      <c r="D580" s="2">
        <v>10.32</v>
      </c>
      <c r="E580" s="1">
        <v>43185</v>
      </c>
      <c r="F580" t="str">
        <f>"9727285141"</f>
        <v>9727285141</v>
      </c>
      <c r="G580" t="str">
        <f>"INV 9727285141"</f>
        <v>INV 9727285141</v>
      </c>
      <c r="H580">
        <v>10.32</v>
      </c>
      <c r="I580" t="str">
        <f>"INV 9727285141"</f>
        <v>INV 9727285141</v>
      </c>
    </row>
    <row r="581" spans="1:9" x14ac:dyDescent="0.3">
      <c r="A581" t="str">
        <f>"005357"</f>
        <v>005357</v>
      </c>
      <c r="B581" t="s">
        <v>202</v>
      </c>
      <c r="C581">
        <v>75892</v>
      </c>
      <c r="D581" s="2">
        <v>423.36</v>
      </c>
      <c r="E581" s="1">
        <v>43185</v>
      </c>
      <c r="F581" t="str">
        <f>"0000311510-01"</f>
        <v>0000311510-01</v>
      </c>
      <c r="G581" t="str">
        <f>"Hist Arch Public Notice"</f>
        <v>Hist Arch Public Notice</v>
      </c>
      <c r="H581">
        <v>423.36</v>
      </c>
      <c r="I581" t="str">
        <f>"Run Date 02/22/2018"</f>
        <v>Run Date 02/22/2018</v>
      </c>
    </row>
    <row r="582" spans="1:9" x14ac:dyDescent="0.3">
      <c r="A582" t="str">
        <f>""</f>
        <v/>
      </c>
      <c r="F582" t="str">
        <f>""</f>
        <v/>
      </c>
      <c r="G582" t="str">
        <f>""</f>
        <v/>
      </c>
      <c r="I582" t="str">
        <f>"Run Date 03/01/2018"</f>
        <v>Run Date 03/01/2018</v>
      </c>
    </row>
    <row r="583" spans="1:9" x14ac:dyDescent="0.3">
      <c r="A583" t="str">
        <f>"GTDI"</f>
        <v>GTDI</v>
      </c>
      <c r="B583" t="s">
        <v>203</v>
      </c>
      <c r="C583">
        <v>75664</v>
      </c>
      <c r="D583" s="2">
        <v>189.9</v>
      </c>
      <c r="E583" s="1">
        <v>43171</v>
      </c>
      <c r="F583" t="str">
        <f>"0648493"</f>
        <v>0648493</v>
      </c>
      <c r="G583" t="str">
        <f>"INV 0648493"</f>
        <v>INV 0648493</v>
      </c>
      <c r="H583">
        <v>189.9</v>
      </c>
      <c r="I583" t="str">
        <f>"INV 0648493"</f>
        <v>INV 0648493</v>
      </c>
    </row>
    <row r="584" spans="1:9" x14ac:dyDescent="0.3">
      <c r="A584" t="str">
        <f>""</f>
        <v/>
      </c>
      <c r="F584" t="str">
        <f>""</f>
        <v/>
      </c>
      <c r="G584" t="str">
        <f>""</f>
        <v/>
      </c>
      <c r="I584" t="str">
        <f>"INV 0648493"</f>
        <v>INV 0648493</v>
      </c>
    </row>
    <row r="585" spans="1:9" x14ac:dyDescent="0.3">
      <c r="A585" t="str">
        <f>"T3667"</f>
        <v>T3667</v>
      </c>
      <c r="B585" t="s">
        <v>204</v>
      </c>
      <c r="C585">
        <v>75665</v>
      </c>
      <c r="D585" s="2">
        <v>576.20000000000005</v>
      </c>
      <c r="E585" s="1">
        <v>43171</v>
      </c>
      <c r="F585" t="str">
        <f>"1457479"</f>
        <v>1457479</v>
      </c>
      <c r="G585" t="str">
        <f>"INV 1457479"</f>
        <v>INV 1457479</v>
      </c>
      <c r="H585">
        <v>130.47999999999999</v>
      </c>
      <c r="I585" t="str">
        <f>"INV 1457479"</f>
        <v>INV 1457479</v>
      </c>
    </row>
    <row r="586" spans="1:9" x14ac:dyDescent="0.3">
      <c r="A586" t="str">
        <f>""</f>
        <v/>
      </c>
      <c r="F586" t="str">
        <f>"1461240"</f>
        <v>1461240</v>
      </c>
      <c r="G586" t="str">
        <f>"CUST#0007014928/GENERAL SVCS"</f>
        <v>CUST#0007014928/GENERAL SVCS</v>
      </c>
      <c r="H586">
        <v>445.72</v>
      </c>
      <c r="I586" t="str">
        <f>"CUST#0007014928/GENERAL SVCS"</f>
        <v>CUST#0007014928/GENERAL SVCS</v>
      </c>
    </row>
    <row r="587" spans="1:9" x14ac:dyDescent="0.3">
      <c r="A587" t="str">
        <f>"T3667"</f>
        <v>T3667</v>
      </c>
      <c r="B587" t="s">
        <v>204</v>
      </c>
      <c r="C587">
        <v>75893</v>
      </c>
      <c r="D587" s="2">
        <v>752.4</v>
      </c>
      <c r="E587" s="1">
        <v>43185</v>
      </c>
      <c r="F587" t="str">
        <f>"1468691"</f>
        <v>1468691</v>
      </c>
      <c r="G587" t="str">
        <f>"CUST#0007014928/GENERAL SVCS"</f>
        <v>CUST#0007014928/GENERAL SVCS</v>
      </c>
      <c r="H587">
        <v>752.4</v>
      </c>
      <c r="I587" t="str">
        <f>"CUST#0007014928/GENERAL SVCS"</f>
        <v>CUST#0007014928/GENERAL SVCS</v>
      </c>
    </row>
    <row r="588" spans="1:9" x14ac:dyDescent="0.3">
      <c r="A588" t="str">
        <f>"T14120"</f>
        <v>T14120</v>
      </c>
      <c r="B588" t="s">
        <v>205</v>
      </c>
      <c r="C588">
        <v>999999</v>
      </c>
      <c r="D588" s="2">
        <v>560.54999999999995</v>
      </c>
      <c r="E588" s="1">
        <v>43186</v>
      </c>
      <c r="F588" t="str">
        <f>"477548"</f>
        <v>477548</v>
      </c>
      <c r="G588" t="str">
        <f>"ACCT#37758/PCT#1"</f>
        <v>ACCT#37758/PCT#1</v>
      </c>
      <c r="H588">
        <v>560.54999999999995</v>
      </c>
      <c r="I588" t="str">
        <f>"ACCT#37758/PCT#1"</f>
        <v>ACCT#37758/PCT#1</v>
      </c>
    </row>
    <row r="589" spans="1:9" x14ac:dyDescent="0.3">
      <c r="A589" t="str">
        <f>"T13876"</f>
        <v>T13876</v>
      </c>
      <c r="B589" t="s">
        <v>206</v>
      </c>
      <c r="C589">
        <v>75894</v>
      </c>
      <c r="D589" s="2">
        <v>34930</v>
      </c>
      <c r="E589" s="1">
        <v>43185</v>
      </c>
      <c r="F589" t="str">
        <f>"201803169646"</f>
        <v>201803169646</v>
      </c>
      <c r="G589" t="str">
        <f>"ENGINEERING SVCS"</f>
        <v>ENGINEERING SVCS</v>
      </c>
      <c r="H589">
        <v>11001.25</v>
      </c>
      <c r="I589" t="str">
        <f>"ENGINEERING SVCS"</f>
        <v>ENGINEERING SVCS</v>
      </c>
    </row>
    <row r="590" spans="1:9" x14ac:dyDescent="0.3">
      <c r="A590" t="str">
        <f>""</f>
        <v/>
      </c>
      <c r="F590" t="str">
        <f>"201803169653"</f>
        <v>201803169653</v>
      </c>
      <c r="G590" t="str">
        <f>"17BCP09D/DR-4245/DR-4332/PCT#2"</f>
        <v>17BCP09D/DR-4245/DR-4332/PCT#2</v>
      </c>
      <c r="H590">
        <v>15466.25</v>
      </c>
      <c r="I590" t="str">
        <f>"17BCP09D/DR-4245/DR-4332/PCT#2"</f>
        <v>17BCP09D/DR-4245/DR-4332/PCT#2</v>
      </c>
    </row>
    <row r="591" spans="1:9" x14ac:dyDescent="0.3">
      <c r="A591" t="str">
        <f>""</f>
        <v/>
      </c>
      <c r="F591" t="str">
        <f>"201803169654"</f>
        <v>201803169654</v>
      </c>
      <c r="G591" t="str">
        <f>"WO-007-BAS025C-2/PCT#2"</f>
        <v>WO-007-BAS025C-2/PCT#2</v>
      </c>
      <c r="H591">
        <v>8462.5</v>
      </c>
      <c r="I591" t="str">
        <f>"WO-007-BAS025C-2/PCT#2"</f>
        <v>WO-007-BAS025C-2/PCT#2</v>
      </c>
    </row>
    <row r="592" spans="1:9" x14ac:dyDescent="0.3">
      <c r="A592" t="str">
        <f>"003170"</f>
        <v>003170</v>
      </c>
      <c r="B592" t="s">
        <v>207</v>
      </c>
      <c r="C592">
        <v>75895</v>
      </c>
      <c r="D592" s="2">
        <v>300</v>
      </c>
      <c r="E592" s="1">
        <v>43185</v>
      </c>
      <c r="F592" t="str">
        <f>"12220"</f>
        <v>12220</v>
      </c>
      <c r="G592" t="str">
        <f>"SERVICE 12/08/17"</f>
        <v>SERVICE 12/08/17</v>
      </c>
      <c r="H592">
        <v>75</v>
      </c>
      <c r="I592" t="str">
        <f>"SERVICE 12/08/17"</f>
        <v>SERVICE 12/08/17</v>
      </c>
    </row>
    <row r="593" spans="1:10" x14ac:dyDescent="0.3">
      <c r="A593" t="str">
        <f>""</f>
        <v/>
      </c>
      <c r="F593" t="str">
        <f>"12265"</f>
        <v>12265</v>
      </c>
      <c r="G593" t="str">
        <f>"SERVICE  12/08/17"</f>
        <v>SERVICE  12/08/17</v>
      </c>
      <c r="H593">
        <v>150</v>
      </c>
      <c r="I593" t="str">
        <f>"SERVICE  12/08/17"</f>
        <v>SERVICE  12/08/17</v>
      </c>
    </row>
    <row r="594" spans="1:10" x14ac:dyDescent="0.3">
      <c r="A594" t="str">
        <f>""</f>
        <v/>
      </c>
      <c r="F594" t="str">
        <f>"12398"</f>
        <v>12398</v>
      </c>
      <c r="G594" t="str">
        <f>"SERVICE  12/08/17"</f>
        <v>SERVICE  12/08/17</v>
      </c>
      <c r="H594">
        <v>75</v>
      </c>
      <c r="I594" t="str">
        <f>"SERVICE  12/08/17"</f>
        <v>SERVICE  12/08/17</v>
      </c>
    </row>
    <row r="595" spans="1:10" x14ac:dyDescent="0.3">
      <c r="A595" t="str">
        <f>"002751"</f>
        <v>002751</v>
      </c>
      <c r="B595" t="s">
        <v>208</v>
      </c>
      <c r="C595">
        <v>75896</v>
      </c>
      <c r="D595" s="2">
        <v>75</v>
      </c>
      <c r="E595" s="1">
        <v>43185</v>
      </c>
      <c r="F595" t="str">
        <f>"12497"</f>
        <v>12497</v>
      </c>
      <c r="G595" t="str">
        <f>"SERVICE  12/08/17"</f>
        <v>SERVICE  12/08/17</v>
      </c>
      <c r="H595">
        <v>75</v>
      </c>
      <c r="I595" t="str">
        <f>"SERVICE  12/08/17"</f>
        <v>SERVICE  12/08/17</v>
      </c>
    </row>
    <row r="596" spans="1:10" x14ac:dyDescent="0.3">
      <c r="A596" t="str">
        <f>"005221"</f>
        <v>005221</v>
      </c>
      <c r="B596" t="s">
        <v>209</v>
      </c>
      <c r="C596">
        <v>75666</v>
      </c>
      <c r="D596" s="2">
        <v>1167</v>
      </c>
      <c r="E596" s="1">
        <v>43171</v>
      </c>
      <c r="F596" t="str">
        <f>"22470"</f>
        <v>22470</v>
      </c>
      <c r="G596" t="str">
        <f>"TICKET#94600/RIP RAP/PCT#3"</f>
        <v>TICKET#94600/RIP RAP/PCT#3</v>
      </c>
      <c r="H596">
        <v>274.2</v>
      </c>
      <c r="I596" t="str">
        <f>"TICKET#94600/RIP RAP/PCT#3"</f>
        <v>TICKET#94600/RIP RAP/PCT#3</v>
      </c>
    </row>
    <row r="597" spans="1:10" x14ac:dyDescent="0.3">
      <c r="A597" t="str">
        <f>""</f>
        <v/>
      </c>
      <c r="F597" t="str">
        <f>"22509"</f>
        <v>22509</v>
      </c>
      <c r="G597" t="str">
        <f>"RIP RAP/PCT#3"</f>
        <v>RIP RAP/PCT#3</v>
      </c>
      <c r="H597">
        <v>892.8</v>
      </c>
      <c r="I597" t="str">
        <f>"RIP RAP/PCT#3"</f>
        <v>RIP RAP/PCT#3</v>
      </c>
    </row>
    <row r="598" spans="1:10" x14ac:dyDescent="0.3">
      <c r="A598" t="str">
        <f>"004368"</f>
        <v>004368</v>
      </c>
      <c r="B598" t="s">
        <v>210</v>
      </c>
      <c r="C598">
        <v>75667</v>
      </c>
      <c r="D598" s="2">
        <v>5</v>
      </c>
      <c r="E598" s="1">
        <v>43171</v>
      </c>
      <c r="F598" t="str">
        <f>"201803089370"</f>
        <v>201803089370</v>
      </c>
      <c r="G598" t="str">
        <f>"FERAL HOGS"</f>
        <v>FERAL HOGS</v>
      </c>
      <c r="H598">
        <v>5</v>
      </c>
      <c r="I598" t="str">
        <f>"FERAL HOGS"</f>
        <v>FERAL HOGS</v>
      </c>
    </row>
    <row r="599" spans="1:10" x14ac:dyDescent="0.3">
      <c r="A599" t="str">
        <f>"004624"</f>
        <v>004624</v>
      </c>
      <c r="B599" t="s">
        <v>211</v>
      </c>
      <c r="C599">
        <v>75668</v>
      </c>
      <c r="D599" s="2">
        <v>100</v>
      </c>
      <c r="E599" s="1">
        <v>43171</v>
      </c>
      <c r="F599" t="s">
        <v>212</v>
      </c>
      <c r="G599" t="s">
        <v>213</v>
      </c>
      <c r="H599" t="str">
        <f>"RESTITUTION-M. FELTS"</f>
        <v>RESTITUTION-M. FELTS</v>
      </c>
      <c r="I599" t="str">
        <f>"210-0000"</f>
        <v>210-0000</v>
      </c>
      <c r="J599" t="str">
        <f>""</f>
        <v/>
      </c>
    </row>
    <row r="600" spans="1:10" x14ac:dyDescent="0.3">
      <c r="A600" t="str">
        <f>"000728"</f>
        <v>000728</v>
      </c>
      <c r="B600" t="s">
        <v>214</v>
      </c>
      <c r="C600">
        <v>75897</v>
      </c>
      <c r="D600" s="2">
        <v>250</v>
      </c>
      <c r="E600" s="1">
        <v>43185</v>
      </c>
      <c r="F600" t="str">
        <f>"5456"</f>
        <v>5456</v>
      </c>
      <c r="G600" t="str">
        <f>"INV 5456"</f>
        <v>INV 5456</v>
      </c>
      <c r="H600">
        <v>250</v>
      </c>
      <c r="I600" t="str">
        <f>"INV 5456"</f>
        <v>INV 5456</v>
      </c>
    </row>
    <row r="601" spans="1:10" x14ac:dyDescent="0.3">
      <c r="A601" t="str">
        <f>"HPC"</f>
        <v>HPC</v>
      </c>
      <c r="B601" t="s">
        <v>215</v>
      </c>
      <c r="C601">
        <v>999999</v>
      </c>
      <c r="D601" s="2">
        <v>650</v>
      </c>
      <c r="E601" s="1">
        <v>43186</v>
      </c>
      <c r="F601" t="str">
        <f>"MARCH '18 PEST CON"</f>
        <v>MARCH '18 PEST CON</v>
      </c>
      <c r="G601" t="str">
        <f>"BASCOM L HODGES JR"</f>
        <v>BASCOM L HODGES JR</v>
      </c>
      <c r="H601">
        <v>650</v>
      </c>
      <c r="I601" t="str">
        <f>""</f>
        <v/>
      </c>
    </row>
    <row r="602" spans="1:10" x14ac:dyDescent="0.3">
      <c r="A602" t="str">
        <f>"ECKEL"</f>
        <v>ECKEL</v>
      </c>
      <c r="B602" t="s">
        <v>216</v>
      </c>
      <c r="C602">
        <v>75669</v>
      </c>
      <c r="D602" s="2">
        <v>175</v>
      </c>
      <c r="E602" s="1">
        <v>43171</v>
      </c>
      <c r="F602" t="str">
        <f>"201803028936"</f>
        <v>201803028936</v>
      </c>
      <c r="G602" t="str">
        <f>"17-18535"</f>
        <v>17-18535</v>
      </c>
      <c r="H602">
        <v>175</v>
      </c>
      <c r="I602" t="str">
        <f>"17-18535"</f>
        <v>17-18535</v>
      </c>
    </row>
    <row r="603" spans="1:10" x14ac:dyDescent="0.3">
      <c r="A603" t="str">
        <f>"T7901"</f>
        <v>T7901</v>
      </c>
      <c r="B603" t="s">
        <v>217</v>
      </c>
      <c r="C603">
        <v>75898</v>
      </c>
      <c r="D603" s="2">
        <v>81.900000000000006</v>
      </c>
      <c r="E603" s="1">
        <v>43185</v>
      </c>
      <c r="F603" t="str">
        <f>"201803199664"</f>
        <v>201803199664</v>
      </c>
      <c r="G603" t="str">
        <f>"REIMBURSE SEMINAR/MILEAGE"</f>
        <v>REIMBURSE SEMINAR/MILEAGE</v>
      </c>
      <c r="H603">
        <v>81.900000000000006</v>
      </c>
      <c r="I603" t="str">
        <f>"REIMBURSE SEMINAR/MILEAGE"</f>
        <v>REIMBURSE SEMINAR/MILEAGE</v>
      </c>
    </row>
    <row r="604" spans="1:10" x14ac:dyDescent="0.3">
      <c r="A604" t="str">
        <f>"HM"</f>
        <v>HM</v>
      </c>
      <c r="B604" t="s">
        <v>218</v>
      </c>
      <c r="C604">
        <v>75670</v>
      </c>
      <c r="D604" s="2">
        <v>615.16</v>
      </c>
      <c r="E604" s="1">
        <v>43171</v>
      </c>
      <c r="F604" t="str">
        <f>"WIMA0102174"</f>
        <v>WIMA0102174</v>
      </c>
      <c r="G604" t="str">
        <f>"CUST#0129150/PCT#3"</f>
        <v>CUST#0129150/PCT#3</v>
      </c>
      <c r="H604">
        <v>43.16</v>
      </c>
      <c r="I604" t="str">
        <f>"CUST#0129150/PCT#3"</f>
        <v>CUST#0129150/PCT#3</v>
      </c>
    </row>
    <row r="605" spans="1:10" x14ac:dyDescent="0.3">
      <c r="A605" t="str">
        <f>""</f>
        <v/>
      </c>
      <c r="F605" t="str">
        <f>"WIMA0102269"</f>
        <v>WIMA0102269</v>
      </c>
      <c r="G605" t="str">
        <f>"CUST#0129200/PCT#4"</f>
        <v>CUST#0129200/PCT#4</v>
      </c>
      <c r="H605">
        <v>572</v>
      </c>
      <c r="I605" t="str">
        <f>"CUST#0129200/PCT#4"</f>
        <v>CUST#0129200/PCT#4</v>
      </c>
    </row>
    <row r="606" spans="1:10" x14ac:dyDescent="0.3">
      <c r="A606" t="str">
        <f>"HM"</f>
        <v>HM</v>
      </c>
      <c r="B606" t="s">
        <v>218</v>
      </c>
      <c r="C606">
        <v>75899</v>
      </c>
      <c r="D606" s="2">
        <v>1179.8</v>
      </c>
      <c r="E606" s="1">
        <v>43185</v>
      </c>
      <c r="F606" t="str">
        <f>"PIMA0282107"</f>
        <v>PIMA0282107</v>
      </c>
      <c r="G606" t="str">
        <f>"CUST#0129100/PCT#2"</f>
        <v>CUST#0129100/PCT#2</v>
      </c>
      <c r="H606">
        <v>317.60000000000002</v>
      </c>
      <c r="I606" t="str">
        <f>"CUST#0129100/PCT#2"</f>
        <v>CUST#0129100/PCT#2</v>
      </c>
    </row>
    <row r="607" spans="1:10" x14ac:dyDescent="0.3">
      <c r="A607" t="str">
        <f>""</f>
        <v/>
      </c>
      <c r="F607" t="str">
        <f>"PIMA0282250"</f>
        <v>PIMA0282250</v>
      </c>
      <c r="G607" t="str">
        <f>"CUST#0129150/PCT#3"</f>
        <v>CUST#0129150/PCT#3</v>
      </c>
      <c r="H607">
        <v>862.2</v>
      </c>
      <c r="I607" t="str">
        <f>"CUST#0129150/PCT#3"</f>
        <v>CUST#0129150/PCT#3</v>
      </c>
    </row>
    <row r="608" spans="1:10" x14ac:dyDescent="0.3">
      <c r="A608" t="str">
        <f>"T8869"</f>
        <v>T8869</v>
      </c>
      <c r="B608" t="s">
        <v>219</v>
      </c>
      <c r="C608">
        <v>75671</v>
      </c>
      <c r="D608" s="2">
        <v>9518.57</v>
      </c>
      <c r="E608" s="1">
        <v>43171</v>
      </c>
      <c r="F608" t="str">
        <f>"ACCT#3780/02/28/18"</f>
        <v>ACCT#3780/02/28/18</v>
      </c>
      <c r="G608" t="str">
        <f>"Acct# 3780"</f>
        <v>Acct# 3780</v>
      </c>
      <c r="H608">
        <v>9518.57</v>
      </c>
      <c r="I608" t="str">
        <f>"Inv# 233589"</f>
        <v>Inv# 233589</v>
      </c>
    </row>
    <row r="609" spans="1:9" x14ac:dyDescent="0.3">
      <c r="A609" t="str">
        <f>""</f>
        <v/>
      </c>
      <c r="F609" t="str">
        <f>""</f>
        <v/>
      </c>
      <c r="G609" t="str">
        <f>""</f>
        <v/>
      </c>
      <c r="I609" t="str">
        <f>"Inv# 5110275"</f>
        <v>Inv# 5110275</v>
      </c>
    </row>
    <row r="610" spans="1:9" x14ac:dyDescent="0.3">
      <c r="A610" t="str">
        <f>""</f>
        <v/>
      </c>
      <c r="F610" t="str">
        <f>""</f>
        <v/>
      </c>
      <c r="G610" t="str">
        <f>""</f>
        <v/>
      </c>
      <c r="I610" t="str">
        <f>"Inv# 3011935"</f>
        <v>Inv# 3011935</v>
      </c>
    </row>
    <row r="611" spans="1:9" x14ac:dyDescent="0.3">
      <c r="A611" t="str">
        <f>""</f>
        <v/>
      </c>
      <c r="F611" t="str">
        <f>""</f>
        <v/>
      </c>
      <c r="G611" t="str">
        <f>""</f>
        <v/>
      </c>
      <c r="I611" t="str">
        <f>"Inv# 3011952"</f>
        <v>Inv# 3011952</v>
      </c>
    </row>
    <row r="612" spans="1:9" x14ac:dyDescent="0.3">
      <c r="A612" t="str">
        <f>""</f>
        <v/>
      </c>
      <c r="F612" t="str">
        <f>""</f>
        <v/>
      </c>
      <c r="G612" t="str">
        <f>""</f>
        <v/>
      </c>
      <c r="I612" t="str">
        <f>"Inv# 2022939"</f>
        <v>Inv# 2022939</v>
      </c>
    </row>
    <row r="613" spans="1:9" x14ac:dyDescent="0.3">
      <c r="A613" t="str">
        <f>""</f>
        <v/>
      </c>
      <c r="F613" t="str">
        <f>""</f>
        <v/>
      </c>
      <c r="G613" t="str">
        <f>""</f>
        <v/>
      </c>
      <c r="I613" t="str">
        <f>"Inv# 1012078"</f>
        <v>Inv# 1012078</v>
      </c>
    </row>
    <row r="614" spans="1:9" x14ac:dyDescent="0.3">
      <c r="A614" t="str">
        <f>""</f>
        <v/>
      </c>
      <c r="F614" t="str">
        <f>""</f>
        <v/>
      </c>
      <c r="G614" t="str">
        <f>""</f>
        <v/>
      </c>
      <c r="I614" t="str">
        <f>"Inv# 1023033"</f>
        <v>Inv# 1023033</v>
      </c>
    </row>
    <row r="615" spans="1:9" x14ac:dyDescent="0.3">
      <c r="A615" t="str">
        <f>""</f>
        <v/>
      </c>
      <c r="F615" t="str">
        <f>""</f>
        <v/>
      </c>
      <c r="G615" t="str">
        <f>""</f>
        <v/>
      </c>
      <c r="I615" t="str">
        <f>"Inv# 1120531"</f>
        <v>Inv# 1120531</v>
      </c>
    </row>
    <row r="616" spans="1:9" x14ac:dyDescent="0.3">
      <c r="A616" t="str">
        <f>""</f>
        <v/>
      </c>
      <c r="F616" t="str">
        <f>""</f>
        <v/>
      </c>
      <c r="G616" t="str">
        <f>""</f>
        <v/>
      </c>
      <c r="I616" t="str">
        <f>"Inv# 12165"</f>
        <v>Inv# 12165</v>
      </c>
    </row>
    <row r="617" spans="1:9" x14ac:dyDescent="0.3">
      <c r="A617" t="str">
        <f>""</f>
        <v/>
      </c>
      <c r="F617" t="str">
        <f>""</f>
        <v/>
      </c>
      <c r="G617" t="str">
        <f>""</f>
        <v/>
      </c>
      <c r="I617" t="str">
        <f>"Inv# 5023656"</f>
        <v>Inv# 5023656</v>
      </c>
    </row>
    <row r="618" spans="1:9" x14ac:dyDescent="0.3">
      <c r="A618" t="str">
        <f>""</f>
        <v/>
      </c>
      <c r="F618" t="str">
        <f>""</f>
        <v/>
      </c>
      <c r="G618" t="str">
        <f>""</f>
        <v/>
      </c>
      <c r="I618" t="str">
        <f>"Inv# 1023978"</f>
        <v>Inv# 1023978</v>
      </c>
    </row>
    <row r="619" spans="1:9" x14ac:dyDescent="0.3">
      <c r="A619" t="str">
        <f>""</f>
        <v/>
      </c>
      <c r="F619" t="str">
        <f>""</f>
        <v/>
      </c>
      <c r="G619" t="str">
        <f>""</f>
        <v/>
      </c>
      <c r="I619" t="str">
        <f>"Inv# 9010421"</f>
        <v>Inv# 9010421</v>
      </c>
    </row>
    <row r="620" spans="1:9" x14ac:dyDescent="0.3">
      <c r="A620" t="str">
        <f>""</f>
        <v/>
      </c>
      <c r="F620" t="str">
        <f>""</f>
        <v/>
      </c>
      <c r="G620" t="str">
        <f>""</f>
        <v/>
      </c>
      <c r="I620" t="str">
        <f>"Inv# 9010457"</f>
        <v>Inv# 9010457</v>
      </c>
    </row>
    <row r="621" spans="1:9" x14ac:dyDescent="0.3">
      <c r="A621" t="str">
        <f>""</f>
        <v/>
      </c>
      <c r="F621" t="str">
        <f>""</f>
        <v/>
      </c>
      <c r="G621" t="str">
        <f>""</f>
        <v/>
      </c>
      <c r="I621" t="str">
        <f>"Inv# 8120209"</f>
        <v>Inv# 8120209</v>
      </c>
    </row>
    <row r="622" spans="1:9" x14ac:dyDescent="0.3">
      <c r="A622" t="str">
        <f>""</f>
        <v/>
      </c>
      <c r="F622" t="str">
        <f>""</f>
        <v/>
      </c>
      <c r="G622" t="str">
        <f>""</f>
        <v/>
      </c>
      <c r="I622" t="str">
        <f>"Inv# 7021547"</f>
        <v>Inv# 7021547</v>
      </c>
    </row>
    <row r="623" spans="1:9" x14ac:dyDescent="0.3">
      <c r="A623" t="str">
        <f>""</f>
        <v/>
      </c>
      <c r="F623" t="str">
        <f>""</f>
        <v/>
      </c>
      <c r="G623" t="str">
        <f>""</f>
        <v/>
      </c>
      <c r="I623" t="str">
        <f>"Inv# 7200858"</f>
        <v>Inv# 7200858</v>
      </c>
    </row>
    <row r="624" spans="1:9" x14ac:dyDescent="0.3">
      <c r="A624" t="str">
        <f>""</f>
        <v/>
      </c>
      <c r="F624" t="str">
        <f>""</f>
        <v/>
      </c>
      <c r="G624" t="str">
        <f>""</f>
        <v/>
      </c>
      <c r="I624" t="str">
        <f>"Inv# 6021651"</f>
        <v>Inv# 6021651</v>
      </c>
    </row>
    <row r="625" spans="1:9" x14ac:dyDescent="0.3">
      <c r="A625" t="str">
        <f>""</f>
        <v/>
      </c>
      <c r="F625" t="str">
        <f>""</f>
        <v/>
      </c>
      <c r="G625" t="str">
        <f>""</f>
        <v/>
      </c>
      <c r="I625" t="str">
        <f>"Inv# 6591540"</f>
        <v>Inv# 6591540</v>
      </c>
    </row>
    <row r="626" spans="1:9" x14ac:dyDescent="0.3">
      <c r="A626" t="str">
        <f>""</f>
        <v/>
      </c>
      <c r="F626" t="str">
        <f>""</f>
        <v/>
      </c>
      <c r="G626" t="str">
        <f>""</f>
        <v/>
      </c>
      <c r="I626" t="str">
        <f>"Inv# 6604382"</f>
        <v>Inv# 6604382</v>
      </c>
    </row>
    <row r="627" spans="1:9" x14ac:dyDescent="0.3">
      <c r="A627" t="str">
        <f>""</f>
        <v/>
      </c>
      <c r="F627" t="str">
        <f>""</f>
        <v/>
      </c>
      <c r="G627" t="str">
        <f>""</f>
        <v/>
      </c>
      <c r="I627" t="str">
        <f>"Inv# 5021768"</f>
        <v>Inv# 5021768</v>
      </c>
    </row>
    <row r="628" spans="1:9" x14ac:dyDescent="0.3">
      <c r="A628" t="str">
        <f>""</f>
        <v/>
      </c>
      <c r="F628" t="str">
        <f>""</f>
        <v/>
      </c>
      <c r="G628" t="str">
        <f>""</f>
        <v/>
      </c>
      <c r="I628" t="str">
        <f>"Inv# 5200880"</f>
        <v>Inv# 5200880</v>
      </c>
    </row>
    <row r="629" spans="1:9" x14ac:dyDescent="0.3">
      <c r="A629" t="str">
        <f>""</f>
        <v/>
      </c>
      <c r="F629" t="str">
        <f>""</f>
        <v/>
      </c>
      <c r="G629" t="str">
        <f>""</f>
        <v/>
      </c>
      <c r="I629" t="str">
        <f>"Inv# 2011139"</f>
        <v>Inv# 2011139</v>
      </c>
    </row>
    <row r="630" spans="1:9" x14ac:dyDescent="0.3">
      <c r="A630" t="str">
        <f>""</f>
        <v/>
      </c>
      <c r="F630" t="str">
        <f>""</f>
        <v/>
      </c>
      <c r="G630" t="str">
        <f>""</f>
        <v/>
      </c>
      <c r="I630" t="str">
        <f>"Inv# 2011149"</f>
        <v>Inv# 2011149</v>
      </c>
    </row>
    <row r="631" spans="1:9" x14ac:dyDescent="0.3">
      <c r="A631" t="str">
        <f>""</f>
        <v/>
      </c>
      <c r="F631" t="str">
        <f>""</f>
        <v/>
      </c>
      <c r="G631" t="str">
        <f>""</f>
        <v/>
      </c>
      <c r="I631" t="str">
        <f>"Inv# 2471709"</f>
        <v>Inv# 2471709</v>
      </c>
    </row>
    <row r="632" spans="1:9" x14ac:dyDescent="0.3">
      <c r="A632" t="str">
        <f>""</f>
        <v/>
      </c>
      <c r="F632" t="str">
        <f>""</f>
        <v/>
      </c>
      <c r="G632" t="str">
        <f>""</f>
        <v/>
      </c>
      <c r="I632" t="str">
        <f>"Inv# 1200886"</f>
        <v>Inv# 1200886</v>
      </c>
    </row>
    <row r="633" spans="1:9" x14ac:dyDescent="0.3">
      <c r="A633" t="str">
        <f>""</f>
        <v/>
      </c>
      <c r="F633" t="str">
        <f>""</f>
        <v/>
      </c>
      <c r="G633" t="str">
        <f>""</f>
        <v/>
      </c>
      <c r="I633" t="str">
        <f>"Inv# 3232429"</f>
        <v>Inv# 3232429</v>
      </c>
    </row>
    <row r="634" spans="1:9" x14ac:dyDescent="0.3">
      <c r="A634" t="str">
        <f>""</f>
        <v/>
      </c>
      <c r="F634" t="str">
        <f>""</f>
        <v/>
      </c>
      <c r="G634" t="str">
        <f>""</f>
        <v/>
      </c>
      <c r="I634" t="str">
        <f>"Inv# 8012355"</f>
        <v>Inv# 8012355</v>
      </c>
    </row>
    <row r="635" spans="1:9" x14ac:dyDescent="0.3">
      <c r="A635" t="str">
        <f>""</f>
        <v/>
      </c>
      <c r="F635" t="str">
        <f>""</f>
        <v/>
      </c>
      <c r="G635" t="str">
        <f>""</f>
        <v/>
      </c>
      <c r="I635" t="str">
        <f>"Inv# 1200885"</f>
        <v>Inv# 1200885</v>
      </c>
    </row>
    <row r="636" spans="1:9" x14ac:dyDescent="0.3">
      <c r="A636" t="str">
        <f>""</f>
        <v/>
      </c>
      <c r="F636" t="str">
        <f>""</f>
        <v/>
      </c>
      <c r="G636" t="str">
        <f>""</f>
        <v/>
      </c>
      <c r="I636" t="str">
        <f>"Inv# 4150539"</f>
        <v>Inv# 4150539</v>
      </c>
    </row>
    <row r="637" spans="1:9" x14ac:dyDescent="0.3">
      <c r="A637" t="str">
        <f>""</f>
        <v/>
      </c>
      <c r="F637" t="str">
        <f>""</f>
        <v/>
      </c>
      <c r="G637" t="str">
        <f>""</f>
        <v/>
      </c>
      <c r="I637" t="str">
        <f>"Inv# 11361"</f>
        <v>Inv# 11361</v>
      </c>
    </row>
    <row r="638" spans="1:9" x14ac:dyDescent="0.3">
      <c r="A638" t="str">
        <f>""</f>
        <v/>
      </c>
      <c r="F638" t="str">
        <f>""</f>
        <v/>
      </c>
      <c r="G638" t="str">
        <f>""</f>
        <v/>
      </c>
      <c r="I638" t="str">
        <f>"Inv# 5581261"</f>
        <v>Inv# 5581261</v>
      </c>
    </row>
    <row r="639" spans="1:9" x14ac:dyDescent="0.3">
      <c r="A639" t="str">
        <f>""</f>
        <v/>
      </c>
      <c r="F639" t="str">
        <f>""</f>
        <v/>
      </c>
      <c r="G639" t="str">
        <f>""</f>
        <v/>
      </c>
      <c r="I639" t="str">
        <f>"Inv# 2021978"</f>
        <v>Inv# 2021978</v>
      </c>
    </row>
    <row r="640" spans="1:9" x14ac:dyDescent="0.3">
      <c r="A640" t="str">
        <f>""</f>
        <v/>
      </c>
      <c r="F640" t="str">
        <f>""</f>
        <v/>
      </c>
      <c r="G640" t="str">
        <f>""</f>
        <v/>
      </c>
      <c r="I640" t="str">
        <f>"Inv# 5572260"</f>
        <v>Inv# 5572260</v>
      </c>
    </row>
    <row r="641" spans="1:9" x14ac:dyDescent="0.3">
      <c r="A641" t="str">
        <f>""</f>
        <v/>
      </c>
      <c r="F641" t="str">
        <f>""</f>
        <v/>
      </c>
      <c r="G641" t="str">
        <f>""</f>
        <v/>
      </c>
      <c r="I641" t="str">
        <f>"Inv# 9022284"</f>
        <v>Inv# 9022284</v>
      </c>
    </row>
    <row r="642" spans="1:9" x14ac:dyDescent="0.3">
      <c r="A642" t="str">
        <f>""</f>
        <v/>
      </c>
      <c r="F642" t="str">
        <f>""</f>
        <v/>
      </c>
      <c r="G642" t="str">
        <f>""</f>
        <v/>
      </c>
      <c r="I642" t="str">
        <f>"Inv# 9022292"</f>
        <v>Inv# 9022292</v>
      </c>
    </row>
    <row r="643" spans="1:9" x14ac:dyDescent="0.3">
      <c r="A643" t="str">
        <f>""</f>
        <v/>
      </c>
      <c r="F643" t="str">
        <f>""</f>
        <v/>
      </c>
      <c r="G643" t="str">
        <f>""</f>
        <v/>
      </c>
      <c r="I643" t="str">
        <f>"Inv# 7022483"</f>
        <v>Inv# 7022483</v>
      </c>
    </row>
    <row r="644" spans="1:9" x14ac:dyDescent="0.3">
      <c r="A644" t="str">
        <f>""</f>
        <v/>
      </c>
      <c r="F644" t="str">
        <f>""</f>
        <v/>
      </c>
      <c r="G644" t="str">
        <f>""</f>
        <v/>
      </c>
      <c r="I644" t="str">
        <f>"Inv# 5022627"</f>
        <v>Inv# 5022627</v>
      </c>
    </row>
    <row r="645" spans="1:9" x14ac:dyDescent="0.3">
      <c r="A645" t="str">
        <f>""</f>
        <v/>
      </c>
      <c r="F645" t="str">
        <f>""</f>
        <v/>
      </c>
      <c r="G645" t="str">
        <f>""</f>
        <v/>
      </c>
      <c r="I645" t="str">
        <f>"Inv# 4012711"</f>
        <v>Inv# 4012711</v>
      </c>
    </row>
    <row r="646" spans="1:9" x14ac:dyDescent="0.3">
      <c r="A646" t="str">
        <f>""</f>
        <v/>
      </c>
      <c r="F646" t="str">
        <f>""</f>
        <v/>
      </c>
      <c r="G646" t="str">
        <f>""</f>
        <v/>
      </c>
      <c r="I646" t="str">
        <f>"Inv# 24105"</f>
        <v>Inv# 24105</v>
      </c>
    </row>
    <row r="647" spans="1:9" x14ac:dyDescent="0.3">
      <c r="A647" t="str">
        <f>""</f>
        <v/>
      </c>
      <c r="F647" t="str">
        <f>""</f>
        <v/>
      </c>
      <c r="G647" t="str">
        <f>""</f>
        <v/>
      </c>
      <c r="I647" t="str">
        <f>"Inv# 8021452"</f>
        <v>Inv# 8021452</v>
      </c>
    </row>
    <row r="648" spans="1:9" x14ac:dyDescent="0.3">
      <c r="A648" t="str">
        <f>""</f>
        <v/>
      </c>
      <c r="F648" t="str">
        <f>""</f>
        <v/>
      </c>
      <c r="G648" t="str">
        <f>""</f>
        <v/>
      </c>
      <c r="I648" t="str">
        <f>"Inv# 7010651"</f>
        <v>Inv# 7010651</v>
      </c>
    </row>
    <row r="649" spans="1:9" x14ac:dyDescent="0.3">
      <c r="A649" t="str">
        <f>""</f>
        <v/>
      </c>
      <c r="F649" t="str">
        <f>""</f>
        <v/>
      </c>
      <c r="G649" t="str">
        <f>""</f>
        <v/>
      </c>
      <c r="I649" t="str">
        <f>"Inv# 2021981"</f>
        <v>Inv# 2021981</v>
      </c>
    </row>
    <row r="650" spans="1:9" x14ac:dyDescent="0.3">
      <c r="A650" t="str">
        <f>""</f>
        <v/>
      </c>
      <c r="F650" t="str">
        <f>""</f>
        <v/>
      </c>
      <c r="G650" t="str">
        <f>""</f>
        <v/>
      </c>
      <c r="I650" t="str">
        <f>"Inv# 4022741"</f>
        <v>Inv# 4022741</v>
      </c>
    </row>
    <row r="651" spans="1:9" x14ac:dyDescent="0.3">
      <c r="A651" t="str">
        <f>""</f>
        <v/>
      </c>
      <c r="F651" t="str">
        <f>""</f>
        <v/>
      </c>
      <c r="G651" t="str">
        <f>""</f>
        <v/>
      </c>
      <c r="I651" t="str">
        <f>"Inv# 7023420"</f>
        <v>Inv# 7023420</v>
      </c>
    </row>
    <row r="652" spans="1:9" x14ac:dyDescent="0.3">
      <c r="A652" t="str">
        <f>""</f>
        <v/>
      </c>
      <c r="F652" t="str">
        <f>""</f>
        <v/>
      </c>
      <c r="G652" t="str">
        <f>""</f>
        <v/>
      </c>
      <c r="I652" t="str">
        <f>"Inv# 6012560"</f>
        <v>Inv# 6012560</v>
      </c>
    </row>
    <row r="653" spans="1:9" x14ac:dyDescent="0.3">
      <c r="A653" t="str">
        <f>""</f>
        <v/>
      </c>
      <c r="F653" t="str">
        <f>""</f>
        <v/>
      </c>
      <c r="G653" t="str">
        <f>""</f>
        <v/>
      </c>
      <c r="I653" t="str">
        <f>"Inv# 592127"</f>
        <v>Inv# 592127</v>
      </c>
    </row>
    <row r="654" spans="1:9" x14ac:dyDescent="0.3">
      <c r="A654" t="str">
        <f>""</f>
        <v/>
      </c>
      <c r="F654" t="str">
        <f>""</f>
        <v/>
      </c>
      <c r="G654" t="str">
        <f>""</f>
        <v/>
      </c>
      <c r="I654" t="str">
        <f>"Inv# 1023975"</f>
        <v>Inv# 1023975</v>
      </c>
    </row>
    <row r="655" spans="1:9" x14ac:dyDescent="0.3">
      <c r="A655" t="str">
        <f>"005449"</f>
        <v>005449</v>
      </c>
      <c r="B655" t="s">
        <v>220</v>
      </c>
      <c r="C655">
        <v>75672</v>
      </c>
      <c r="D655" s="2">
        <v>300</v>
      </c>
      <c r="E655" s="1">
        <v>43171</v>
      </c>
      <c r="F655" t="str">
        <f>"201803059212"</f>
        <v>201803059212</v>
      </c>
      <c r="G655" t="str">
        <f>"REFUND DUE TO EXCESS COLLECTIO"</f>
        <v>REFUND DUE TO EXCESS COLLECTIO</v>
      </c>
      <c r="H655">
        <v>300</v>
      </c>
      <c r="I655" t="str">
        <f>"REFUND DUE TO EXCESS COLLECTIO"</f>
        <v>REFUND DUE TO EXCESS COLLECTIO</v>
      </c>
    </row>
    <row r="656" spans="1:9" x14ac:dyDescent="0.3">
      <c r="A656" t="str">
        <f>"003653"</f>
        <v>003653</v>
      </c>
      <c r="B656" t="s">
        <v>221</v>
      </c>
      <c r="C656">
        <v>75500</v>
      </c>
      <c r="D656" s="2">
        <v>1807.87</v>
      </c>
      <c r="E656" s="1">
        <v>43166</v>
      </c>
      <c r="F656" t="str">
        <f>"S1803020001-00039"</f>
        <v>S1803020001-00039</v>
      </c>
      <c r="G656" t="str">
        <f>"ACCT# 100402264 / 03022018"</f>
        <v>ACCT# 100402264 / 03022018</v>
      </c>
      <c r="H656">
        <v>1807.87</v>
      </c>
      <c r="I656" t="str">
        <f>"ACCT# 100402264 / 03022018"</f>
        <v>ACCT# 100402264 / 03022018</v>
      </c>
    </row>
    <row r="657" spans="1:9" x14ac:dyDescent="0.3">
      <c r="A657" t="str">
        <f>""</f>
        <v/>
      </c>
      <c r="F657" t="str">
        <f>""</f>
        <v/>
      </c>
      <c r="G657" t="str">
        <f>""</f>
        <v/>
      </c>
      <c r="I657" t="str">
        <f>"ACCT# 100402264 / 03022018"</f>
        <v>ACCT# 100402264 / 03022018</v>
      </c>
    </row>
    <row r="658" spans="1:9" x14ac:dyDescent="0.3">
      <c r="A658" t="str">
        <f>""</f>
        <v/>
      </c>
      <c r="F658" t="str">
        <f>""</f>
        <v/>
      </c>
      <c r="G658" t="str">
        <f>""</f>
        <v/>
      </c>
      <c r="I658" t="str">
        <f>"ACCT# 100402264 / 03022018"</f>
        <v>ACCT# 100402264 / 03022018</v>
      </c>
    </row>
    <row r="659" spans="1:9" x14ac:dyDescent="0.3">
      <c r="A659" t="str">
        <f>"004973"</f>
        <v>004973</v>
      </c>
      <c r="B659" t="s">
        <v>222</v>
      </c>
      <c r="C659">
        <v>75673</v>
      </c>
      <c r="D659" s="2">
        <v>120</v>
      </c>
      <c r="E659" s="1">
        <v>43171</v>
      </c>
      <c r="F659" t="str">
        <f>"201803089371"</f>
        <v>201803089371</v>
      </c>
      <c r="G659" t="str">
        <f>"FERAL HOGS"</f>
        <v>FERAL HOGS</v>
      </c>
      <c r="H659">
        <v>120</v>
      </c>
      <c r="I659" t="str">
        <f>"FERAL HOGS"</f>
        <v>FERAL HOGS</v>
      </c>
    </row>
    <row r="660" spans="1:9" x14ac:dyDescent="0.3">
      <c r="A660" t="str">
        <f>"003545"</f>
        <v>003545</v>
      </c>
      <c r="B660" t="s">
        <v>223</v>
      </c>
      <c r="C660">
        <v>75674</v>
      </c>
      <c r="D660" s="2">
        <v>83.38</v>
      </c>
      <c r="E660" s="1">
        <v>43171</v>
      </c>
      <c r="F660" t="str">
        <f>"170926"</f>
        <v>170926</v>
      </c>
      <c r="G660" t="str">
        <f>"HIGH PRESSURE HOSE/PCT#3"</f>
        <v>HIGH PRESSURE HOSE/PCT#3</v>
      </c>
      <c r="H660">
        <v>83.38</v>
      </c>
      <c r="I660" t="str">
        <f>"HIGH PRESSURE HOSE/PCT#3"</f>
        <v>HIGH PRESSURE HOSE/PCT#3</v>
      </c>
    </row>
    <row r="661" spans="1:9" x14ac:dyDescent="0.3">
      <c r="A661" t="str">
        <f>"003545"</f>
        <v>003545</v>
      </c>
      <c r="B661" t="s">
        <v>223</v>
      </c>
      <c r="C661">
        <v>75900</v>
      </c>
      <c r="D661" s="2">
        <v>138</v>
      </c>
      <c r="E661" s="1">
        <v>43185</v>
      </c>
      <c r="F661" t="str">
        <f>"171130"</f>
        <v>171130</v>
      </c>
      <c r="G661" t="str">
        <f>"ITEM:KT08/PCT#3"</f>
        <v>ITEM:KT08/PCT#3</v>
      </c>
      <c r="H661">
        <v>138</v>
      </c>
      <c r="I661" t="str">
        <f>"ITEM:KT08/PCT#3"</f>
        <v>ITEM:KT08/PCT#3</v>
      </c>
    </row>
    <row r="662" spans="1:9" x14ac:dyDescent="0.3">
      <c r="A662" t="str">
        <f>"005474"</f>
        <v>005474</v>
      </c>
      <c r="B662" t="s">
        <v>224</v>
      </c>
      <c r="C662">
        <v>75901</v>
      </c>
      <c r="D662" s="2">
        <v>476</v>
      </c>
      <c r="E662" s="1">
        <v>43185</v>
      </c>
      <c r="F662" t="str">
        <f>" 12827"</f>
        <v xml:space="preserve"> 12827</v>
      </c>
      <c r="G662" t="str">
        <f>"REFUND OF COURT COSTS"</f>
        <v>REFUND OF COURT COSTS</v>
      </c>
      <c r="H662">
        <v>137</v>
      </c>
      <c r="I662" t="str">
        <f t="shared" ref="I662:I673" si="7">"REFUND OF COURT COSTS"</f>
        <v>REFUND OF COURT COSTS</v>
      </c>
    </row>
    <row r="663" spans="1:9" x14ac:dyDescent="0.3">
      <c r="A663" t="str">
        <f>""</f>
        <v/>
      </c>
      <c r="F663" t="str">
        <f>""</f>
        <v/>
      </c>
      <c r="G663" t="str">
        <f>""</f>
        <v/>
      </c>
      <c r="I663" t="str">
        <f t="shared" si="7"/>
        <v>REFUND OF COURT COSTS</v>
      </c>
    </row>
    <row r="664" spans="1:9" x14ac:dyDescent="0.3">
      <c r="A664" t="str">
        <f>""</f>
        <v/>
      </c>
      <c r="F664" t="str">
        <f>""</f>
        <v/>
      </c>
      <c r="G664" t="str">
        <f>""</f>
        <v/>
      </c>
      <c r="I664" t="str">
        <f t="shared" si="7"/>
        <v>REFUND OF COURT COSTS</v>
      </c>
    </row>
    <row r="665" spans="1:9" x14ac:dyDescent="0.3">
      <c r="A665" t="str">
        <f>""</f>
        <v/>
      </c>
      <c r="F665" t="str">
        <f>""</f>
        <v/>
      </c>
      <c r="G665" t="str">
        <f>""</f>
        <v/>
      </c>
      <c r="I665" t="str">
        <f t="shared" si="7"/>
        <v>REFUND OF COURT COSTS</v>
      </c>
    </row>
    <row r="666" spans="1:9" x14ac:dyDescent="0.3">
      <c r="A666" t="str">
        <f>""</f>
        <v/>
      </c>
      <c r="F666" t="str">
        <f>""</f>
        <v/>
      </c>
      <c r="G666" t="str">
        <f>""</f>
        <v/>
      </c>
      <c r="I666" t="str">
        <f t="shared" si="7"/>
        <v>REFUND OF COURT COSTS</v>
      </c>
    </row>
    <row r="667" spans="1:9" x14ac:dyDescent="0.3">
      <c r="A667" t="str">
        <f>""</f>
        <v/>
      </c>
      <c r="F667" t="str">
        <f>"12827"</f>
        <v>12827</v>
      </c>
      <c r="G667" t="str">
        <f>"REFUND OF COURT COSTS"</f>
        <v>REFUND OF COURT COSTS</v>
      </c>
      <c r="H667">
        <v>339</v>
      </c>
      <c r="I667" t="str">
        <f t="shared" si="7"/>
        <v>REFUND OF COURT COSTS</v>
      </c>
    </row>
    <row r="668" spans="1:9" x14ac:dyDescent="0.3">
      <c r="A668" t="str">
        <f>""</f>
        <v/>
      </c>
      <c r="F668" t="str">
        <f>""</f>
        <v/>
      </c>
      <c r="G668" t="str">
        <f>""</f>
        <v/>
      </c>
      <c r="I668" t="str">
        <f t="shared" si="7"/>
        <v>REFUND OF COURT COSTS</v>
      </c>
    </row>
    <row r="669" spans="1:9" x14ac:dyDescent="0.3">
      <c r="A669" t="str">
        <f>""</f>
        <v/>
      </c>
      <c r="F669" t="str">
        <f>""</f>
        <v/>
      </c>
      <c r="G669" t="str">
        <f>""</f>
        <v/>
      </c>
      <c r="I669" t="str">
        <f t="shared" si="7"/>
        <v>REFUND OF COURT COSTS</v>
      </c>
    </row>
    <row r="670" spans="1:9" x14ac:dyDescent="0.3">
      <c r="A670" t="str">
        <f>""</f>
        <v/>
      </c>
      <c r="F670" t="str">
        <f>""</f>
        <v/>
      </c>
      <c r="G670" t="str">
        <f>""</f>
        <v/>
      </c>
      <c r="I670" t="str">
        <f t="shared" si="7"/>
        <v>REFUND OF COURT COSTS</v>
      </c>
    </row>
    <row r="671" spans="1:9" x14ac:dyDescent="0.3">
      <c r="A671" t="str">
        <f>""</f>
        <v/>
      </c>
      <c r="F671" t="str">
        <f>""</f>
        <v/>
      </c>
      <c r="G671" t="str">
        <f>""</f>
        <v/>
      </c>
      <c r="I671" t="str">
        <f t="shared" si="7"/>
        <v>REFUND OF COURT COSTS</v>
      </c>
    </row>
    <row r="672" spans="1:9" x14ac:dyDescent="0.3">
      <c r="A672" t="str">
        <f>""</f>
        <v/>
      </c>
      <c r="F672" t="str">
        <f>""</f>
        <v/>
      </c>
      <c r="G672" t="str">
        <f>""</f>
        <v/>
      </c>
      <c r="I672" t="str">
        <f t="shared" si="7"/>
        <v>REFUND OF COURT COSTS</v>
      </c>
    </row>
    <row r="673" spans="1:9" x14ac:dyDescent="0.3">
      <c r="A673" t="str">
        <f>""</f>
        <v/>
      </c>
      <c r="F673" t="str">
        <f>""</f>
        <v/>
      </c>
      <c r="G673" t="str">
        <f>""</f>
        <v/>
      </c>
      <c r="I673" t="str">
        <f t="shared" si="7"/>
        <v>REFUND OF COURT COSTS</v>
      </c>
    </row>
    <row r="674" spans="1:9" x14ac:dyDescent="0.3">
      <c r="A674" t="str">
        <f>"T11576"</f>
        <v>T11576</v>
      </c>
      <c r="B674" t="s">
        <v>225</v>
      </c>
      <c r="C674">
        <v>999999</v>
      </c>
      <c r="D674" s="2">
        <v>2624</v>
      </c>
      <c r="E674" s="1">
        <v>43172</v>
      </c>
      <c r="F674" t="str">
        <f>"65577"</f>
        <v>65577</v>
      </c>
      <c r="G674" t="str">
        <f>"PROF SVCS FOR APRIL 2018"</f>
        <v>PROF SVCS FOR APRIL 2018</v>
      </c>
      <c r="H674">
        <v>2430</v>
      </c>
      <c r="I674" t="str">
        <f>"PROF SVCS FOR APRIL 2018"</f>
        <v>PROF SVCS FOR APRIL 2018</v>
      </c>
    </row>
    <row r="675" spans="1:9" x14ac:dyDescent="0.3">
      <c r="A675" t="str">
        <f>""</f>
        <v/>
      </c>
      <c r="F675" t="str">
        <f>""</f>
        <v/>
      </c>
      <c r="G675" t="str">
        <f>""</f>
        <v/>
      </c>
      <c r="I675" t="str">
        <f>"PROF SVCS FOR APRIL 2018"</f>
        <v>PROF SVCS FOR APRIL 2018</v>
      </c>
    </row>
    <row r="676" spans="1:9" x14ac:dyDescent="0.3">
      <c r="A676" t="str">
        <f>""</f>
        <v/>
      </c>
      <c r="F676" t="str">
        <f>"65696"</f>
        <v>65696</v>
      </c>
      <c r="G676" t="str">
        <f>"2018 IHS CUST ADVISORY CONF"</f>
        <v>2018 IHS CUST ADVISORY CONF</v>
      </c>
      <c r="H676">
        <v>194</v>
      </c>
      <c r="I676" t="str">
        <f>"2018 IHS CUST ADVISORY CONF"</f>
        <v>2018 IHS CUST ADVISORY CONF</v>
      </c>
    </row>
    <row r="677" spans="1:9" x14ac:dyDescent="0.3">
      <c r="A677" t="str">
        <f>"T11576"</f>
        <v>T11576</v>
      </c>
      <c r="B677" t="s">
        <v>225</v>
      </c>
      <c r="C677">
        <v>999999</v>
      </c>
      <c r="D677" s="2">
        <v>97</v>
      </c>
      <c r="E677" s="1">
        <v>43186</v>
      </c>
      <c r="F677" t="str">
        <f>"65526"</f>
        <v>65526</v>
      </c>
      <c r="G677" t="str">
        <f>"TRAINING"</f>
        <v>TRAINING</v>
      </c>
      <c r="H677">
        <v>97</v>
      </c>
      <c r="I677" t="str">
        <f>"TRAINING"</f>
        <v>TRAINING</v>
      </c>
    </row>
    <row r="678" spans="1:9" x14ac:dyDescent="0.3">
      <c r="A678" t="str">
        <f>"002858"</f>
        <v>002858</v>
      </c>
      <c r="B678" t="s">
        <v>226</v>
      </c>
      <c r="C678">
        <v>75676</v>
      </c>
      <c r="D678" s="2">
        <v>999</v>
      </c>
      <c r="E678" s="1">
        <v>43171</v>
      </c>
      <c r="F678" t="str">
        <f>"241653050"</f>
        <v>241653050</v>
      </c>
      <c r="G678" t="str">
        <f>"ORD#1105780154/ANIMAL CONTROL"</f>
        <v>ORD#1105780154/ANIMAL CONTROL</v>
      </c>
      <c r="H678">
        <v>999</v>
      </c>
      <c r="I678" t="str">
        <f>"ORD#1105780154/ANIMAL CONTROL"</f>
        <v>ORD#1105780154/ANIMAL CONTROL</v>
      </c>
    </row>
    <row r="679" spans="1:9" x14ac:dyDescent="0.3">
      <c r="A679" t="str">
        <f>"IRON"</f>
        <v>IRON</v>
      </c>
      <c r="B679" t="s">
        <v>227</v>
      </c>
      <c r="C679">
        <v>75677</v>
      </c>
      <c r="D679" s="2">
        <v>66.12</v>
      </c>
      <c r="E679" s="1">
        <v>43171</v>
      </c>
      <c r="F679" t="str">
        <f>"PVP3433"</f>
        <v>PVP3433</v>
      </c>
      <c r="G679" t="str">
        <f>"CUST ID:AX773/COUNTY CLERK"</f>
        <v>CUST ID:AX773/COUNTY CLERK</v>
      </c>
      <c r="H679">
        <v>66.12</v>
      </c>
      <c r="I679" t="str">
        <f>"CUST ID:AX773/COUNTY CLERK"</f>
        <v>CUST ID:AX773/COUNTY CLERK</v>
      </c>
    </row>
    <row r="680" spans="1:9" x14ac:dyDescent="0.3">
      <c r="A680" t="str">
        <f>"004547"</f>
        <v>004547</v>
      </c>
      <c r="B680" t="s">
        <v>228</v>
      </c>
      <c r="C680">
        <v>75675</v>
      </c>
      <c r="D680" s="2">
        <v>325</v>
      </c>
      <c r="E680" s="1">
        <v>43171</v>
      </c>
      <c r="F680" t="str">
        <f>"SUMMER 2018 REG"</f>
        <v>SUMMER 2018 REG</v>
      </c>
      <c r="G680" t="str">
        <f>"Summer 2018 Seminar"</f>
        <v>Summer 2018 Seminar</v>
      </c>
      <c r="H680">
        <v>325</v>
      </c>
      <c r="I680" t="str">
        <f>"Summer 2018 Seminar"</f>
        <v>Summer 2018 Seminar</v>
      </c>
    </row>
    <row r="681" spans="1:9" x14ac:dyDescent="0.3">
      <c r="A681" t="str">
        <f>"T4603"</f>
        <v>T4603</v>
      </c>
      <c r="B681" t="s">
        <v>229</v>
      </c>
      <c r="C681">
        <v>75678</v>
      </c>
      <c r="D681" s="2">
        <v>560</v>
      </c>
      <c r="E681" s="1">
        <v>43171</v>
      </c>
      <c r="F681" t="str">
        <f>"404280"</f>
        <v>404280</v>
      </c>
      <c r="G681" t="str">
        <f>"BLADE WORK/PCT#2"</f>
        <v>BLADE WORK/PCT#2</v>
      </c>
      <c r="H681">
        <v>560</v>
      </c>
      <c r="I681" t="str">
        <f>"BLADE WORK/PCT#2"</f>
        <v>BLADE WORK/PCT#2</v>
      </c>
    </row>
    <row r="682" spans="1:9" x14ac:dyDescent="0.3">
      <c r="A682" t="str">
        <f>"JOB"</f>
        <v>JOB</v>
      </c>
      <c r="B682" t="s">
        <v>230</v>
      </c>
      <c r="C682">
        <v>75679</v>
      </c>
      <c r="D682" s="2">
        <v>250</v>
      </c>
      <c r="E682" s="1">
        <v>43171</v>
      </c>
      <c r="F682" t="str">
        <f>"201803028956"</f>
        <v>201803028956</v>
      </c>
      <c r="G682" t="str">
        <f>"55 645"</f>
        <v>55 645</v>
      </c>
      <c r="H682">
        <v>250</v>
      </c>
      <c r="I682" t="str">
        <f>"55 645"</f>
        <v>55 645</v>
      </c>
    </row>
    <row r="683" spans="1:9" x14ac:dyDescent="0.3">
      <c r="A683" t="str">
        <f>"005460"</f>
        <v>005460</v>
      </c>
      <c r="B683" t="s">
        <v>231</v>
      </c>
      <c r="C683">
        <v>75680</v>
      </c>
      <c r="D683" s="2">
        <v>25</v>
      </c>
      <c r="E683" s="1">
        <v>43171</v>
      </c>
      <c r="F683" t="str">
        <f>"201803089372"</f>
        <v>201803089372</v>
      </c>
      <c r="G683" t="str">
        <f>"FERAL HOGS"</f>
        <v>FERAL HOGS</v>
      </c>
      <c r="H683">
        <v>25</v>
      </c>
      <c r="I683" t="str">
        <f>"FERAL HOGS"</f>
        <v>FERAL HOGS</v>
      </c>
    </row>
    <row r="684" spans="1:9" x14ac:dyDescent="0.3">
      <c r="A684" t="str">
        <f>"T13801"</f>
        <v>T13801</v>
      </c>
      <c r="B684" t="s">
        <v>232</v>
      </c>
      <c r="C684">
        <v>999999</v>
      </c>
      <c r="D684" s="2">
        <v>43.49</v>
      </c>
      <c r="E684" s="1">
        <v>43172</v>
      </c>
      <c r="F684" t="str">
        <f>"201803079251"</f>
        <v>201803079251</v>
      </c>
      <c r="G684" t="str">
        <f>"JAIL MEDICAL"</f>
        <v>JAIL MEDICAL</v>
      </c>
      <c r="H684">
        <v>43.49</v>
      </c>
      <c r="I684" t="str">
        <f>"JAIL MEDICAL"</f>
        <v>JAIL MEDICAL</v>
      </c>
    </row>
    <row r="685" spans="1:9" x14ac:dyDescent="0.3">
      <c r="A685" t="str">
        <f>"T7860"</f>
        <v>T7860</v>
      </c>
      <c r="B685" t="s">
        <v>233</v>
      </c>
      <c r="C685">
        <v>999999</v>
      </c>
      <c r="D685" s="2">
        <v>950</v>
      </c>
      <c r="E685" s="1">
        <v>43172</v>
      </c>
      <c r="F685" t="str">
        <f>"11514"</f>
        <v>11514</v>
      </c>
      <c r="G685" t="str">
        <f>"AD LITEM FEE  12/12/17"</f>
        <v>AD LITEM FEE  12/12/17</v>
      </c>
      <c r="H685">
        <v>150</v>
      </c>
      <c r="I685" t="str">
        <f>"AD LITEM FEE"</f>
        <v>AD LITEM FEE</v>
      </c>
    </row>
    <row r="686" spans="1:9" x14ac:dyDescent="0.3">
      <c r="A686" t="str">
        <f>""</f>
        <v/>
      </c>
      <c r="F686" t="str">
        <f>"12163"</f>
        <v>12163</v>
      </c>
      <c r="G686" t="str">
        <f>"AD LITEM  12/05/17"</f>
        <v>AD LITEM  12/05/17</v>
      </c>
      <c r="H686">
        <v>150</v>
      </c>
      <c r="I686" t="str">
        <f>"AD LITEM  12/05/17"</f>
        <v>AD LITEM  12/05/17</v>
      </c>
    </row>
    <row r="687" spans="1:9" x14ac:dyDescent="0.3">
      <c r="A687" t="str">
        <f>""</f>
        <v/>
      </c>
      <c r="F687" t="str">
        <f>"12644"</f>
        <v>12644</v>
      </c>
      <c r="G687" t="str">
        <f>"AD LITEM FEE"</f>
        <v>AD LITEM FEE</v>
      </c>
      <c r="H687">
        <v>150</v>
      </c>
      <c r="I687" t="str">
        <f>"AD LITEM FEE"</f>
        <v>AD LITEM FEE</v>
      </c>
    </row>
    <row r="688" spans="1:9" x14ac:dyDescent="0.3">
      <c r="A688" t="str">
        <f>""</f>
        <v/>
      </c>
      <c r="F688" t="str">
        <f>"201803079246"</f>
        <v>201803079246</v>
      </c>
      <c r="G688" t="str">
        <f>"55 664  404286-3  404286-1"</f>
        <v>55 664  404286-3  404286-1</v>
      </c>
      <c r="H688">
        <v>500</v>
      </c>
      <c r="I688" t="str">
        <f>"55 664  404286-3  404286-1"</f>
        <v>55 664  404286-3  404286-1</v>
      </c>
    </row>
    <row r="689" spans="1:10" x14ac:dyDescent="0.3">
      <c r="A689" t="str">
        <f>"T7860"</f>
        <v>T7860</v>
      </c>
      <c r="B689" t="s">
        <v>233</v>
      </c>
      <c r="C689">
        <v>999999</v>
      </c>
      <c r="D689" s="2">
        <v>1400</v>
      </c>
      <c r="E689" s="1">
        <v>43186</v>
      </c>
      <c r="F689" t="str">
        <f>"12220"</f>
        <v>12220</v>
      </c>
      <c r="G689" t="str">
        <f>"AD LITEM FEE  12/08/17"</f>
        <v>AD LITEM FEE  12/08/17</v>
      </c>
      <c r="H689">
        <v>150</v>
      </c>
      <c r="I689" t="str">
        <f>"AD LITEM FEE  12/08/17"</f>
        <v>AD LITEM FEE  12/08/17</v>
      </c>
    </row>
    <row r="690" spans="1:10" x14ac:dyDescent="0.3">
      <c r="A690" t="str">
        <f>""</f>
        <v/>
      </c>
      <c r="F690" t="str">
        <f>"12265"</f>
        <v>12265</v>
      </c>
      <c r="G690" t="str">
        <f>"AD LITEM FEE  12/08/17"</f>
        <v>AD LITEM FEE  12/08/17</v>
      </c>
      <c r="H690">
        <v>150</v>
      </c>
      <c r="I690" t="str">
        <f>"AD LITEM FEE  12/08/17"</f>
        <v>AD LITEM FEE  12/08/17</v>
      </c>
    </row>
    <row r="691" spans="1:10" x14ac:dyDescent="0.3">
      <c r="A691" t="str">
        <f>""</f>
        <v/>
      </c>
      <c r="F691" t="str">
        <f>"12398"</f>
        <v>12398</v>
      </c>
      <c r="G691" t="str">
        <f>"AD LITEM FEE  12/08/17"</f>
        <v>AD LITEM FEE  12/08/17</v>
      </c>
      <c r="H691">
        <v>150</v>
      </c>
      <c r="I691" t="str">
        <f>"AD LITEM FEE  12/08/17"</f>
        <v>AD LITEM FEE  12/08/17</v>
      </c>
    </row>
    <row r="692" spans="1:10" x14ac:dyDescent="0.3">
      <c r="A692" t="str">
        <f>""</f>
        <v/>
      </c>
      <c r="F692" t="str">
        <f>"12433"</f>
        <v>12433</v>
      </c>
      <c r="G692" t="str">
        <f>"AD LITEM FEE"</f>
        <v>AD LITEM FEE</v>
      </c>
      <c r="H692">
        <v>150</v>
      </c>
      <c r="I692" t="str">
        <f>"AD LITEM FEE"</f>
        <v>AD LITEM FEE</v>
      </c>
    </row>
    <row r="693" spans="1:10" x14ac:dyDescent="0.3">
      <c r="A693" t="str">
        <f>""</f>
        <v/>
      </c>
      <c r="F693" t="str">
        <f>"12463"</f>
        <v>12463</v>
      </c>
      <c r="G693" t="str">
        <f>"AD LITEM FEE  12/08/17"</f>
        <v>AD LITEM FEE  12/08/17</v>
      </c>
      <c r="H693">
        <v>150</v>
      </c>
      <c r="I693" t="str">
        <f>"AD LITEM FEE  12/08/17"</f>
        <v>AD LITEM FEE  12/08/17</v>
      </c>
    </row>
    <row r="694" spans="1:10" x14ac:dyDescent="0.3">
      <c r="A694" t="str">
        <f>""</f>
        <v/>
      </c>
      <c r="F694" t="str">
        <f>"12496"</f>
        <v>12496</v>
      </c>
      <c r="G694" t="str">
        <f>"AD LITEM FEE  12/08/17"</f>
        <v>AD LITEM FEE  12/08/17</v>
      </c>
      <c r="H694">
        <v>150</v>
      </c>
      <c r="I694" t="str">
        <f>"AD LITEM FEE  12/08/17"</f>
        <v>AD LITEM FEE  12/08/17</v>
      </c>
    </row>
    <row r="695" spans="1:10" x14ac:dyDescent="0.3">
      <c r="A695" t="str">
        <f>""</f>
        <v/>
      </c>
      <c r="F695" t="str">
        <f>"12497"</f>
        <v>12497</v>
      </c>
      <c r="G695" t="str">
        <f>"AD LITEM FEE  12/08/17"</f>
        <v>AD LITEM FEE  12/08/17</v>
      </c>
      <c r="H695">
        <v>150</v>
      </c>
      <c r="I695" t="str">
        <f>"AD LITEM FEE  12/08/17"</f>
        <v>AD LITEM FEE  12/08/17</v>
      </c>
    </row>
    <row r="696" spans="1:10" x14ac:dyDescent="0.3">
      <c r="A696" t="str">
        <f>""</f>
        <v/>
      </c>
      <c r="F696" t="str">
        <f>"201803209696"</f>
        <v>201803209696</v>
      </c>
      <c r="G696" t="str">
        <f>"J-3127"</f>
        <v>J-3127</v>
      </c>
      <c r="H696">
        <v>250</v>
      </c>
      <c r="I696" t="str">
        <f>"J-3127"</f>
        <v>J-3127</v>
      </c>
    </row>
    <row r="697" spans="1:10" x14ac:dyDescent="0.3">
      <c r="A697" t="str">
        <f>""</f>
        <v/>
      </c>
      <c r="F697" t="str">
        <f>"201803209697"</f>
        <v>201803209697</v>
      </c>
      <c r="G697" t="str">
        <f>"18-18908"</f>
        <v>18-18908</v>
      </c>
      <c r="H697">
        <v>100</v>
      </c>
      <c r="I697" t="str">
        <f>"18-18908"</f>
        <v>18-18908</v>
      </c>
    </row>
    <row r="698" spans="1:10" x14ac:dyDescent="0.3">
      <c r="A698" t="str">
        <f>"004891"</f>
        <v>004891</v>
      </c>
      <c r="B698" t="s">
        <v>234</v>
      </c>
      <c r="C698">
        <v>75681</v>
      </c>
      <c r="D698" s="2">
        <v>50</v>
      </c>
      <c r="E698" s="1">
        <v>43171</v>
      </c>
      <c r="F698" t="s">
        <v>182</v>
      </c>
      <c r="G698" t="s">
        <v>235</v>
      </c>
      <c r="H698" t="str">
        <f>"RESTITUTION-M. ALMS"</f>
        <v>RESTITUTION-M. ALMS</v>
      </c>
      <c r="I698" t="str">
        <f>"210-0000"</f>
        <v>210-0000</v>
      </c>
      <c r="J698" t="str">
        <f>""</f>
        <v/>
      </c>
    </row>
    <row r="699" spans="1:10" x14ac:dyDescent="0.3">
      <c r="A699" t="str">
        <f>"002183"</f>
        <v>002183</v>
      </c>
      <c r="B699" t="s">
        <v>236</v>
      </c>
      <c r="C699">
        <v>75682</v>
      </c>
      <c r="D699" s="2">
        <v>70</v>
      </c>
      <c r="E699" s="1">
        <v>43171</v>
      </c>
      <c r="F699" t="str">
        <f>"201803089373"</f>
        <v>201803089373</v>
      </c>
      <c r="G699" t="str">
        <f>"FERAL HOGS"</f>
        <v>FERAL HOGS</v>
      </c>
      <c r="H699">
        <v>55</v>
      </c>
      <c r="I699" t="str">
        <f>"FERAL HOGS"</f>
        <v>FERAL HOGS</v>
      </c>
    </row>
    <row r="700" spans="1:10" x14ac:dyDescent="0.3">
      <c r="A700" t="str">
        <f>""</f>
        <v/>
      </c>
      <c r="F700" t="str">
        <f>"201803089374"</f>
        <v>201803089374</v>
      </c>
      <c r="G700" t="str">
        <f>"FERAL HOGS"</f>
        <v>FERAL HOGS</v>
      </c>
      <c r="H700">
        <v>15</v>
      </c>
      <c r="I700" t="str">
        <f>"FERAL HOGS"</f>
        <v>FERAL HOGS</v>
      </c>
    </row>
    <row r="701" spans="1:10" x14ac:dyDescent="0.3">
      <c r="A701" t="str">
        <f>"003848"</f>
        <v>003848</v>
      </c>
      <c r="B701" t="s">
        <v>237</v>
      </c>
      <c r="C701">
        <v>999999</v>
      </c>
      <c r="D701" s="2">
        <v>1600</v>
      </c>
      <c r="E701" s="1">
        <v>43186</v>
      </c>
      <c r="F701" t="str">
        <f>"201803149614"</f>
        <v>201803149614</v>
      </c>
      <c r="G701" t="str">
        <f>"20170107A"</f>
        <v>20170107A</v>
      </c>
      <c r="H701">
        <v>400</v>
      </c>
      <c r="I701" t="str">
        <f>"20170107A"</f>
        <v>20170107A</v>
      </c>
    </row>
    <row r="702" spans="1:10" x14ac:dyDescent="0.3">
      <c r="A702" t="str">
        <f>""</f>
        <v/>
      </c>
      <c r="F702" t="str">
        <f>"201803149615"</f>
        <v>201803149615</v>
      </c>
      <c r="G702" t="str">
        <f>"CH20170531.H/F/G"</f>
        <v>CH20170531.H/F/G</v>
      </c>
      <c r="H702">
        <v>800</v>
      </c>
      <c r="I702" t="str">
        <f>"CH20170531.H/F/G"</f>
        <v>CH20170531.H/F/G</v>
      </c>
    </row>
    <row r="703" spans="1:10" x14ac:dyDescent="0.3">
      <c r="A703" t="str">
        <f>""</f>
        <v/>
      </c>
      <c r="F703" t="str">
        <f>"201803169648"</f>
        <v>201803169648</v>
      </c>
      <c r="G703" t="str">
        <f>"AC20170327B"</f>
        <v>AC20170327B</v>
      </c>
      <c r="H703">
        <v>400</v>
      </c>
      <c r="I703" t="str">
        <f>"AC20170327B"</f>
        <v>AC20170327B</v>
      </c>
    </row>
    <row r="704" spans="1:10" x14ac:dyDescent="0.3">
      <c r="A704" t="str">
        <f>"T2784"</f>
        <v>T2784</v>
      </c>
      <c r="B704" t="s">
        <v>238</v>
      </c>
      <c r="C704">
        <v>75683</v>
      </c>
      <c r="D704" s="2">
        <v>15</v>
      </c>
      <c r="E704" s="1">
        <v>43171</v>
      </c>
      <c r="F704" t="str">
        <f>"201803079338"</f>
        <v>201803079338</v>
      </c>
      <c r="G704" t="str">
        <f>"REIMBURSE VEHICLE REGISTRATION"</f>
        <v>REIMBURSE VEHICLE REGISTRATION</v>
      </c>
      <c r="H704">
        <v>15</v>
      </c>
      <c r="I704" t="str">
        <f>"REIMBURSE VEHICLE REGISTRATION"</f>
        <v>REIMBURSE VEHICLE REGISTRATION</v>
      </c>
    </row>
    <row r="705" spans="1:10" x14ac:dyDescent="0.3">
      <c r="A705" t="str">
        <f>"005282"</f>
        <v>005282</v>
      </c>
      <c r="B705" t="s">
        <v>239</v>
      </c>
      <c r="C705">
        <v>75684</v>
      </c>
      <c r="D705" s="2">
        <v>25</v>
      </c>
      <c r="E705" s="1">
        <v>43171</v>
      </c>
      <c r="F705" t="str">
        <f>"201803089375"</f>
        <v>201803089375</v>
      </c>
      <c r="G705" t="str">
        <f>"FERAL HOGS"</f>
        <v>FERAL HOGS</v>
      </c>
      <c r="H705">
        <v>25</v>
      </c>
      <c r="I705" t="str">
        <f>"FERAL HOGS"</f>
        <v>FERAL HOGS</v>
      </c>
    </row>
    <row r="706" spans="1:10" x14ac:dyDescent="0.3">
      <c r="A706" t="str">
        <f>"001889"</f>
        <v>001889</v>
      </c>
      <c r="B706" t="s">
        <v>240</v>
      </c>
      <c r="C706">
        <v>999999</v>
      </c>
      <c r="D706" s="2">
        <v>300</v>
      </c>
      <c r="E706" s="1">
        <v>43186</v>
      </c>
      <c r="F706" t="str">
        <f>"201803219714"</f>
        <v>201803219714</v>
      </c>
      <c r="G706" t="str">
        <f>"MOWING MAINTENANCE"</f>
        <v>MOWING MAINTENANCE</v>
      </c>
      <c r="H706">
        <v>300</v>
      </c>
      <c r="I706" t="str">
        <f>"MOWING MAINTENANCE"</f>
        <v>MOWING MAINTENANCE</v>
      </c>
    </row>
    <row r="707" spans="1:10" x14ac:dyDescent="0.3">
      <c r="A707" t="str">
        <f>"T14548"</f>
        <v>T14548</v>
      </c>
      <c r="B707" t="s">
        <v>241</v>
      </c>
      <c r="C707">
        <v>999999</v>
      </c>
      <c r="D707" s="2">
        <v>750</v>
      </c>
      <c r="E707" s="1">
        <v>43172</v>
      </c>
      <c r="F707" t="str">
        <f>"201803028958"</f>
        <v>201803028958</v>
      </c>
      <c r="G707" t="str">
        <f>"55637"</f>
        <v>55637</v>
      </c>
      <c r="H707">
        <v>250</v>
      </c>
      <c r="I707" t="str">
        <f>"55637"</f>
        <v>55637</v>
      </c>
    </row>
    <row r="708" spans="1:10" x14ac:dyDescent="0.3">
      <c r="A708" t="str">
        <f>""</f>
        <v/>
      </c>
      <c r="F708" t="str">
        <f>"201803028959"</f>
        <v>201803028959</v>
      </c>
      <c r="G708" t="str">
        <f>"02-0126-4"</f>
        <v>02-0126-4</v>
      </c>
      <c r="H708">
        <v>250</v>
      </c>
      <c r="I708" t="str">
        <f>"02-0126-4"</f>
        <v>02-0126-4</v>
      </c>
    </row>
    <row r="709" spans="1:10" x14ac:dyDescent="0.3">
      <c r="A709" t="str">
        <f>""</f>
        <v/>
      </c>
      <c r="F709" t="str">
        <f>"201803028962"</f>
        <v>201803028962</v>
      </c>
      <c r="G709" t="str">
        <f>"55143"</f>
        <v>55143</v>
      </c>
      <c r="H709">
        <v>250</v>
      </c>
      <c r="I709" t="str">
        <f>"55143"</f>
        <v>55143</v>
      </c>
    </row>
    <row r="710" spans="1:10" x14ac:dyDescent="0.3">
      <c r="A710" t="str">
        <f>"005475"</f>
        <v>005475</v>
      </c>
      <c r="B710" t="s">
        <v>242</v>
      </c>
      <c r="C710">
        <v>75902</v>
      </c>
      <c r="D710" s="2">
        <v>36.36</v>
      </c>
      <c r="E710" s="1">
        <v>43185</v>
      </c>
      <c r="F710" t="str">
        <f>"201803209679"</f>
        <v>201803209679</v>
      </c>
      <c r="G710" t="str">
        <f>"REIMBURSEMENT-MEALS"</f>
        <v>REIMBURSEMENT-MEALS</v>
      </c>
      <c r="H710">
        <v>36.36</v>
      </c>
      <c r="I710" t="str">
        <f>"REIMBURSEMENT-MEALS"</f>
        <v>REIMBURSEMENT-MEALS</v>
      </c>
    </row>
    <row r="711" spans="1:10" x14ac:dyDescent="0.3">
      <c r="A711" t="str">
        <f>"003677"</f>
        <v>003677</v>
      </c>
      <c r="B711" t="s">
        <v>243</v>
      </c>
      <c r="C711">
        <v>75685</v>
      </c>
      <c r="D711" s="2">
        <v>25</v>
      </c>
      <c r="E711" s="1">
        <v>43171</v>
      </c>
      <c r="F711" t="s">
        <v>212</v>
      </c>
      <c r="G711" t="s">
        <v>244</v>
      </c>
      <c r="H711" t="str">
        <f>"RESTITUTION-D. SPURK"</f>
        <v>RESTITUTION-D. SPURK</v>
      </c>
      <c r="I711" t="str">
        <f>"210-0000"</f>
        <v>210-0000</v>
      </c>
      <c r="J711" t="str">
        <f>""</f>
        <v/>
      </c>
    </row>
    <row r="712" spans="1:10" x14ac:dyDescent="0.3">
      <c r="A712" t="str">
        <f>"KMPC"</f>
        <v>KMPC</v>
      </c>
      <c r="B712" t="s">
        <v>245</v>
      </c>
      <c r="C712">
        <v>75686</v>
      </c>
      <c r="D712" s="2">
        <v>29.94</v>
      </c>
      <c r="E712" s="1">
        <v>43171</v>
      </c>
      <c r="F712" t="str">
        <f>"135644/135667"</f>
        <v>135644/135667</v>
      </c>
      <c r="G712" t="str">
        <f>"ACCT#1520-BA2437/OEM/GEN SVCS"</f>
        <v>ACCT#1520-BA2437/OEM/GEN SVCS</v>
      </c>
      <c r="H712">
        <v>29.94</v>
      </c>
      <c r="I712" t="str">
        <f>"ACCT#1520-BA2437/OEM/GEN SVCS"</f>
        <v>ACCT#1520-BA2437/OEM/GEN SVCS</v>
      </c>
    </row>
    <row r="713" spans="1:10" x14ac:dyDescent="0.3">
      <c r="A713" t="str">
        <f>"KMPC"</f>
        <v>KMPC</v>
      </c>
      <c r="B713" t="s">
        <v>245</v>
      </c>
      <c r="C713">
        <v>75903</v>
      </c>
      <c r="D713" s="2">
        <v>385.2</v>
      </c>
      <c r="E713" s="1">
        <v>43185</v>
      </c>
      <c r="F713" t="str">
        <f>"1520-00000137134"</f>
        <v>1520-00000137134</v>
      </c>
      <c r="G713" t="str">
        <f>"INV 1520-00000137134"</f>
        <v>INV 1520-00000137134</v>
      </c>
      <c r="H713">
        <v>237.12</v>
      </c>
      <c r="I713" t="str">
        <f>"INV 1520-00000137134"</f>
        <v>INV 1520-00000137134</v>
      </c>
    </row>
    <row r="714" spans="1:10" x14ac:dyDescent="0.3">
      <c r="A714" t="str">
        <f>""</f>
        <v/>
      </c>
      <c r="F714" t="str">
        <f>"1520-00000137258"</f>
        <v>1520-00000137258</v>
      </c>
      <c r="G714" t="str">
        <f>"INV 1520-00000137258"</f>
        <v>INV 1520-00000137258</v>
      </c>
      <c r="H714">
        <v>148.08000000000001</v>
      </c>
      <c r="I714" t="str">
        <f>"INV 1520-00000137258"</f>
        <v>INV 1520-00000137258</v>
      </c>
    </row>
    <row r="715" spans="1:10" x14ac:dyDescent="0.3">
      <c r="A715" t="str">
        <f>"KBTRI"</f>
        <v>KBTRI</v>
      </c>
      <c r="B715" t="s">
        <v>246</v>
      </c>
      <c r="C715">
        <v>75687</v>
      </c>
      <c r="D715" s="2">
        <v>2617</v>
      </c>
      <c r="E715" s="1">
        <v>43171</v>
      </c>
      <c r="F715" t="str">
        <f>"43"</f>
        <v>43</v>
      </c>
      <c r="G715" t="str">
        <f>"TOWER RENT"</f>
        <v>TOWER RENT</v>
      </c>
      <c r="H715">
        <v>2617</v>
      </c>
      <c r="I715" t="str">
        <f>"TOWER RENT"</f>
        <v>TOWER RENT</v>
      </c>
    </row>
    <row r="716" spans="1:10" x14ac:dyDescent="0.3">
      <c r="A716" t="str">
        <f>"003465"</f>
        <v>003465</v>
      </c>
      <c r="B716" t="s">
        <v>247</v>
      </c>
      <c r="C716">
        <v>75688</v>
      </c>
      <c r="D716" s="2">
        <v>230</v>
      </c>
      <c r="E716" s="1">
        <v>43171</v>
      </c>
      <c r="F716" t="str">
        <f>"201803089376"</f>
        <v>201803089376</v>
      </c>
      <c r="G716" t="str">
        <f>"FERAL HOGS"</f>
        <v>FERAL HOGS</v>
      </c>
      <c r="H716">
        <v>65</v>
      </c>
      <c r="I716" t="str">
        <f>"FERAL HOGS"</f>
        <v>FERAL HOGS</v>
      </c>
    </row>
    <row r="717" spans="1:10" x14ac:dyDescent="0.3">
      <c r="A717" t="str">
        <f>""</f>
        <v/>
      </c>
      <c r="F717" t="str">
        <f>"201803089377"</f>
        <v>201803089377</v>
      </c>
      <c r="G717" t="str">
        <f>"FERAL HOGS"</f>
        <v>FERAL HOGS</v>
      </c>
      <c r="H717">
        <v>70</v>
      </c>
      <c r="I717" t="str">
        <f>"FERAL HOGS"</f>
        <v>FERAL HOGS</v>
      </c>
    </row>
    <row r="718" spans="1:10" x14ac:dyDescent="0.3">
      <c r="A718" t="str">
        <f>""</f>
        <v/>
      </c>
      <c r="F718" t="str">
        <f>"201803089378"</f>
        <v>201803089378</v>
      </c>
      <c r="G718" t="str">
        <f>"FERAL HOGS"</f>
        <v>FERAL HOGS</v>
      </c>
      <c r="H718">
        <v>95</v>
      </c>
      <c r="I718" t="str">
        <f>"FERAL HOGS"</f>
        <v>FERAL HOGS</v>
      </c>
    </row>
    <row r="719" spans="1:10" x14ac:dyDescent="0.3">
      <c r="A719" t="str">
        <f>"005442"</f>
        <v>005442</v>
      </c>
      <c r="B719" t="s">
        <v>248</v>
      </c>
      <c r="C719">
        <v>75689</v>
      </c>
      <c r="D719" s="2">
        <v>403</v>
      </c>
      <c r="E719" s="1">
        <v>43171</v>
      </c>
      <c r="F719" t="s">
        <v>249</v>
      </c>
      <c r="G719" t="s">
        <v>250</v>
      </c>
      <c r="H719" t="str">
        <f>"RESTITUTION-T.L. HENRY 1/22/18"</f>
        <v>RESTITUTION-T.L. HENRY 1/22/18</v>
      </c>
      <c r="I719" t="str">
        <f>"210-0000"</f>
        <v>210-0000</v>
      </c>
      <c r="J719" t="str">
        <f>""</f>
        <v/>
      </c>
    </row>
    <row r="720" spans="1:10" x14ac:dyDescent="0.3">
      <c r="A720" t="str">
        <f>""</f>
        <v/>
      </c>
      <c r="F720" t="s">
        <v>249</v>
      </c>
      <c r="G720" t="s">
        <v>251</v>
      </c>
      <c r="H720" t="str">
        <f>"RESTITUTION-T.L. HENRY 1/22/18"</f>
        <v>RESTITUTION-T.L. HENRY 1/22/18</v>
      </c>
      <c r="I720" t="str">
        <f>"210-0000"</f>
        <v>210-0000</v>
      </c>
      <c r="J720" t="str">
        <f>""</f>
        <v/>
      </c>
    </row>
    <row r="721" spans="1:9" x14ac:dyDescent="0.3">
      <c r="A721" t="str">
        <f>"LIE"</f>
        <v>LIE</v>
      </c>
      <c r="B721" t="s">
        <v>252</v>
      </c>
      <c r="C721">
        <v>75699</v>
      </c>
      <c r="D721" s="2">
        <v>2110.0500000000002</v>
      </c>
      <c r="E721" s="1">
        <v>43171</v>
      </c>
      <c r="F721" t="str">
        <f>"X301002337:01"</f>
        <v>X301002337:01</v>
      </c>
      <c r="G721" t="str">
        <f>"ACCT#104992/FILTER RECIR/PCT#1"</f>
        <v>ACCT#104992/FILTER RECIR/PCT#1</v>
      </c>
      <c r="H721">
        <v>-9.2200000000000006</v>
      </c>
      <c r="I721" t="str">
        <f>"ACCT#104992/FILTER RECIR/PCT#1"</f>
        <v>ACCT#104992/FILTER RECIR/PCT#1</v>
      </c>
    </row>
    <row r="722" spans="1:9" x14ac:dyDescent="0.3">
      <c r="A722" t="str">
        <f>""</f>
        <v/>
      </c>
      <c r="F722" t="str">
        <f>"R301000371:01"</f>
        <v>R301000371:01</v>
      </c>
      <c r="G722" t="str">
        <f>"2007 INTL/PCT#1"</f>
        <v>2007 INTL/PCT#1</v>
      </c>
      <c r="H722">
        <v>1007.88</v>
      </c>
      <c r="I722" t="str">
        <f>"2007 INTL/PCT#1"</f>
        <v>2007 INTL/PCT#1</v>
      </c>
    </row>
    <row r="723" spans="1:9" x14ac:dyDescent="0.3">
      <c r="A723" t="str">
        <f>""</f>
        <v/>
      </c>
      <c r="F723" t="str">
        <f>"X301002223:01"</f>
        <v>X301002223:01</v>
      </c>
      <c r="G723" t="str">
        <f>"FILTER/PCT#1"</f>
        <v>FILTER/PCT#1</v>
      </c>
      <c r="H723">
        <v>419.9</v>
      </c>
      <c r="I723" t="str">
        <f>"FILTER/PCT#1"</f>
        <v>FILTER/PCT#1</v>
      </c>
    </row>
    <row r="724" spans="1:9" x14ac:dyDescent="0.3">
      <c r="A724" t="str">
        <f>""</f>
        <v/>
      </c>
      <c r="F724" t="str">
        <f>"X301002337:01"</f>
        <v>X301002337:01</v>
      </c>
      <c r="G724" t="str">
        <f>"FILTER/COVER/PCT#1"</f>
        <v>FILTER/COVER/PCT#1</v>
      </c>
      <c r="H724">
        <v>382.21</v>
      </c>
      <c r="I724" t="str">
        <f>"FILTER/COVER/PCT#1"</f>
        <v>FILTER/COVER/PCT#1</v>
      </c>
    </row>
    <row r="725" spans="1:9" x14ac:dyDescent="0.3">
      <c r="A725" t="str">
        <f>""</f>
        <v/>
      </c>
      <c r="F725" t="str">
        <f>"X301002448:01"</f>
        <v>X301002448:01</v>
      </c>
      <c r="G725" t="str">
        <f>"PACK/FILTER/PCT#1"</f>
        <v>PACK/FILTER/PCT#1</v>
      </c>
      <c r="H725">
        <v>64.819999999999993</v>
      </c>
      <c r="I725" t="str">
        <f>"PACK/FILTER/PCT#1"</f>
        <v>PACK/FILTER/PCT#1</v>
      </c>
    </row>
    <row r="726" spans="1:9" x14ac:dyDescent="0.3">
      <c r="A726" t="str">
        <f>""</f>
        <v/>
      </c>
      <c r="F726" t="str">
        <f>"X301002448:02"</f>
        <v>X301002448:02</v>
      </c>
      <c r="G726" t="str">
        <f>"FILTER ASSY/PCT#1"</f>
        <v>FILTER ASSY/PCT#1</v>
      </c>
      <c r="H726">
        <v>37.090000000000003</v>
      </c>
      <c r="I726" t="str">
        <f>"FILTER ASSY/PCT#1"</f>
        <v>FILTER ASSY/PCT#1</v>
      </c>
    </row>
    <row r="727" spans="1:9" x14ac:dyDescent="0.3">
      <c r="A727" t="str">
        <f>""</f>
        <v/>
      </c>
      <c r="F727" t="str">
        <f>"X301002571:01"</f>
        <v>X301002571:01</v>
      </c>
      <c r="G727" t="str">
        <f>"ACCT#104992/PCT#1"</f>
        <v>ACCT#104992/PCT#1</v>
      </c>
      <c r="H727">
        <v>33.76</v>
      </c>
      <c r="I727" t="str">
        <f>"ACCT#104992/PCT#1"</f>
        <v>ACCT#104992/PCT#1</v>
      </c>
    </row>
    <row r="728" spans="1:9" x14ac:dyDescent="0.3">
      <c r="A728" t="str">
        <f>""</f>
        <v/>
      </c>
      <c r="F728" t="str">
        <f>"X301003222:01"</f>
        <v>X301003222:01</v>
      </c>
      <c r="G728" t="str">
        <f>"ACCT#104992/PCT#1"</f>
        <v>ACCT#104992/PCT#1</v>
      </c>
      <c r="H728">
        <v>173.61</v>
      </c>
      <c r="I728" t="str">
        <f>"ACCT#104992/PCT#1"</f>
        <v>ACCT#104992/PCT#1</v>
      </c>
    </row>
    <row r="729" spans="1:9" x14ac:dyDescent="0.3">
      <c r="A729" t="str">
        <f>"004130"</f>
        <v>004130</v>
      </c>
      <c r="B729" t="s">
        <v>253</v>
      </c>
      <c r="C729">
        <v>75690</v>
      </c>
      <c r="D729" s="2">
        <v>285.11</v>
      </c>
      <c r="E729" s="1">
        <v>43171</v>
      </c>
      <c r="F729" t="str">
        <f>"FOCS137421"</f>
        <v>FOCS137421</v>
      </c>
      <c r="G729" t="str">
        <f>"INV FOCS137421"</f>
        <v>INV FOCS137421</v>
      </c>
      <c r="H729">
        <v>285.11</v>
      </c>
      <c r="I729" t="str">
        <f>"INV FOCS137421"</f>
        <v>INV FOCS137421</v>
      </c>
    </row>
    <row r="730" spans="1:9" x14ac:dyDescent="0.3">
      <c r="A730" t="str">
        <f>"001722"</f>
        <v>001722</v>
      </c>
      <c r="B730" t="s">
        <v>254</v>
      </c>
      <c r="C730">
        <v>75691</v>
      </c>
      <c r="D730" s="2">
        <v>2331.91</v>
      </c>
      <c r="E730" s="1">
        <v>43171</v>
      </c>
      <c r="F730" t="str">
        <f>"02218521/02287103"</f>
        <v>02218521/02287103</v>
      </c>
      <c r="G730" t="str">
        <f>"INV 02218521"</f>
        <v>INV 02218521</v>
      </c>
      <c r="H730">
        <v>2331.91</v>
      </c>
      <c r="I730" t="str">
        <f>"INV 02218521"</f>
        <v>INV 02218521</v>
      </c>
    </row>
    <row r="731" spans="1:9" x14ac:dyDescent="0.3">
      <c r="A731" t="str">
        <f>""</f>
        <v/>
      </c>
      <c r="F731" t="str">
        <f>""</f>
        <v/>
      </c>
      <c r="G731" t="str">
        <f>""</f>
        <v/>
      </c>
      <c r="I731" t="str">
        <f>"INV 02287103"</f>
        <v>INV 02287103</v>
      </c>
    </row>
    <row r="732" spans="1:9" x14ac:dyDescent="0.3">
      <c r="A732" t="str">
        <f>"001722"</f>
        <v>001722</v>
      </c>
      <c r="B732" t="s">
        <v>254</v>
      </c>
      <c r="C732">
        <v>75904</v>
      </c>
      <c r="D732" s="2">
        <v>2301.34</v>
      </c>
      <c r="E732" s="1">
        <v>43185</v>
      </c>
      <c r="F732" t="str">
        <f>"03075802/03147560"</f>
        <v>03075802/03147560</v>
      </c>
      <c r="G732" t="str">
        <f>"INV 03075802"</f>
        <v>INV 03075802</v>
      </c>
      <c r="H732">
        <v>2301.34</v>
      </c>
      <c r="I732" t="str">
        <f>"INV 03075802"</f>
        <v>INV 03075802</v>
      </c>
    </row>
    <row r="733" spans="1:9" x14ac:dyDescent="0.3">
      <c r="A733" t="str">
        <f>""</f>
        <v/>
      </c>
      <c r="F733" t="str">
        <f>""</f>
        <v/>
      </c>
      <c r="G733" t="str">
        <f>""</f>
        <v/>
      </c>
      <c r="I733" t="str">
        <f>"INV 03147560"</f>
        <v>INV 03147560</v>
      </c>
    </row>
    <row r="734" spans="1:9" x14ac:dyDescent="0.3">
      <c r="A734" t="str">
        <f>"005440"</f>
        <v>005440</v>
      </c>
      <c r="B734" t="s">
        <v>255</v>
      </c>
      <c r="C734">
        <v>75692</v>
      </c>
      <c r="D734" s="2">
        <v>375</v>
      </c>
      <c r="E734" s="1">
        <v>43171</v>
      </c>
      <c r="F734" t="str">
        <f>"TRAINING-E.SHERMAN"</f>
        <v>TRAINING-E.SHERMAN</v>
      </c>
      <c r="G734" t="str">
        <f>"INV 208660  TRAINING"</f>
        <v>INV 208660  TRAINING</v>
      </c>
      <c r="H734">
        <v>375</v>
      </c>
      <c r="I734" t="str">
        <f>"TRAINING"</f>
        <v>TRAINING</v>
      </c>
    </row>
    <row r="735" spans="1:9" x14ac:dyDescent="0.3">
      <c r="A735" t="str">
        <f>"T10129"</f>
        <v>T10129</v>
      </c>
      <c r="B735" t="s">
        <v>256</v>
      </c>
      <c r="C735">
        <v>75905</v>
      </c>
      <c r="D735" s="2">
        <v>58.64</v>
      </c>
      <c r="E735" s="1">
        <v>43185</v>
      </c>
      <c r="F735" t="str">
        <f>"201803209681"</f>
        <v>201803209681</v>
      </c>
      <c r="G735" t="str">
        <f>"REIMBURSEMENT-MEALS"</f>
        <v>REIMBURSEMENT-MEALS</v>
      </c>
      <c r="H735">
        <v>58.64</v>
      </c>
      <c r="I735" t="str">
        <f>"REIMBURSEMENT-MEALS"</f>
        <v>REIMBURSEMENT-MEALS</v>
      </c>
    </row>
    <row r="736" spans="1:9" x14ac:dyDescent="0.3">
      <c r="A736" t="str">
        <f>"001530"</f>
        <v>001530</v>
      </c>
      <c r="B736" t="s">
        <v>257</v>
      </c>
      <c r="C736">
        <v>75693</v>
      </c>
      <c r="D736" s="2">
        <v>795.4</v>
      </c>
      <c r="E736" s="1">
        <v>43171</v>
      </c>
      <c r="F736" t="str">
        <f>"1361725-20180131"</f>
        <v>1361725-20180131</v>
      </c>
      <c r="G736" t="str">
        <f>"BILLING ID:1361725/INDIGENT HE"</f>
        <v>BILLING ID:1361725/INDIGENT HE</v>
      </c>
      <c r="H736">
        <v>146.75</v>
      </c>
      <c r="I736" t="str">
        <f>"BILLING ID:1361725/INDIGENT HE"</f>
        <v>BILLING ID:1361725/INDIGENT HE</v>
      </c>
    </row>
    <row r="737" spans="1:9" x14ac:dyDescent="0.3">
      <c r="A737" t="str">
        <f>""</f>
        <v/>
      </c>
      <c r="F737" t="str">
        <f>"1361725-20180228"</f>
        <v>1361725-20180228</v>
      </c>
      <c r="G737" t="str">
        <f>"BILLING ID:1361725/INDIGENT HE"</f>
        <v>BILLING ID:1361725/INDIGENT HE</v>
      </c>
      <c r="H737">
        <v>140.4</v>
      </c>
      <c r="I737" t="str">
        <f>"BILLING ID:1361725/INDIGENT HE"</f>
        <v>BILLING ID:1361725/INDIGENT HE</v>
      </c>
    </row>
    <row r="738" spans="1:9" x14ac:dyDescent="0.3">
      <c r="A738" t="str">
        <f>""</f>
        <v/>
      </c>
      <c r="F738" t="str">
        <f>"1394645-20180228"</f>
        <v>1394645-20180228</v>
      </c>
      <c r="G738" t="str">
        <f>"BILLING#1394645/COUNTY CLERK"</f>
        <v>BILLING#1394645/COUNTY CLERK</v>
      </c>
      <c r="H738">
        <v>458.25</v>
      </c>
      <c r="I738" t="str">
        <f>"BILLING#1394645/COUNTY CLERK"</f>
        <v>BILLING#1394645/COUNTY CLERK</v>
      </c>
    </row>
    <row r="739" spans="1:9" x14ac:dyDescent="0.3">
      <c r="A739" t="str">
        <f>""</f>
        <v/>
      </c>
      <c r="F739" t="str">
        <f>"1420944-20180228"</f>
        <v>1420944-20180228</v>
      </c>
      <c r="G739" t="str">
        <f>"BILLING#1420944/SHERIFF'S OFF"</f>
        <v>BILLING#1420944/SHERIFF'S OFF</v>
      </c>
      <c r="H739">
        <v>50</v>
      </c>
      <c r="I739" t="str">
        <f>"BILLING#1420944/SHERIFF'S OFF"</f>
        <v>BILLING#1420944/SHERIFF'S OFF</v>
      </c>
    </row>
    <row r="740" spans="1:9" x14ac:dyDescent="0.3">
      <c r="A740" t="str">
        <f>"001530"</f>
        <v>001530</v>
      </c>
      <c r="B740" t="s">
        <v>257</v>
      </c>
      <c r="C740">
        <v>75906</v>
      </c>
      <c r="D740" s="2">
        <v>312.8</v>
      </c>
      <c r="E740" s="1">
        <v>43185</v>
      </c>
      <c r="F740" t="str">
        <f>"1420944-20180228A"</f>
        <v>1420944-20180228A</v>
      </c>
      <c r="G740" t="str">
        <f>"BILLING#1420944/SHERIFF'S OFF"</f>
        <v>BILLING#1420944/SHERIFF'S OFF</v>
      </c>
      <c r="H740">
        <v>262.8</v>
      </c>
      <c r="I740" t="str">
        <f>"BILLING#1420944/SHERIFF'S OFF"</f>
        <v>BILLING#1420944/SHERIFF'S OFF</v>
      </c>
    </row>
    <row r="741" spans="1:9" x14ac:dyDescent="0.3">
      <c r="A741" t="str">
        <f>""</f>
        <v/>
      </c>
      <c r="F741" t="str">
        <f>"1489870-20180228"</f>
        <v>1489870-20180228</v>
      </c>
      <c r="G741" t="str">
        <f>"BILLING#1489870/DIST CLERK"</f>
        <v>BILLING#1489870/DIST CLERK</v>
      </c>
      <c r="H741">
        <v>50</v>
      </c>
      <c r="I741" t="str">
        <f>"BILLING#1489870/DIST CLERK"</f>
        <v>BILLING#1489870/DIST CLERK</v>
      </c>
    </row>
    <row r="742" spans="1:9" x14ac:dyDescent="0.3">
      <c r="A742" t="str">
        <f>"T11113"</f>
        <v>T11113</v>
      </c>
      <c r="B742" t="s">
        <v>258</v>
      </c>
      <c r="C742">
        <v>999999</v>
      </c>
      <c r="D742" s="2">
        <v>459.8</v>
      </c>
      <c r="E742" s="1">
        <v>43172</v>
      </c>
      <c r="F742" t="str">
        <f>"201802278884"</f>
        <v>201802278884</v>
      </c>
      <c r="G742" t="str">
        <f>"ACCT#188664/ORDER CKS/DEPOSIT"</f>
        <v>ACCT#188664/ORDER CKS/DEPOSIT</v>
      </c>
      <c r="H742">
        <v>210.05</v>
      </c>
      <c r="I742" t="str">
        <f>"ACCT#188664/ORDER CKS/DEPOSIT"</f>
        <v>ACCT#188664/ORDER CKS/DEPOSIT</v>
      </c>
    </row>
    <row r="743" spans="1:9" x14ac:dyDescent="0.3">
      <c r="A743" t="str">
        <f>""</f>
        <v/>
      </c>
      <c r="F743" t="str">
        <f>"201803069224"</f>
        <v>201803069224</v>
      </c>
      <c r="G743" t="str">
        <f>"REIMBURSE FOR COUNTERFEIT $100"</f>
        <v>REIMBURSE FOR COUNTERFEIT $100</v>
      </c>
      <c r="H743">
        <v>100</v>
      </c>
      <c r="I743" t="str">
        <f>"REIMBURSE FOR COUNTERFEIT $100"</f>
        <v>REIMBURSE FOR COUNTERFEIT $100</v>
      </c>
    </row>
    <row r="744" spans="1:9" x14ac:dyDescent="0.3">
      <c r="A744" t="str">
        <f>""</f>
        <v/>
      </c>
      <c r="F744" t="str">
        <f>"201803069226"</f>
        <v>201803069226</v>
      </c>
      <c r="G744" t="str">
        <f>"TITLE TRANSFER-2018 CHEV/EXT"</f>
        <v>TITLE TRANSFER-2018 CHEV/EXT</v>
      </c>
      <c r="H744">
        <v>16.75</v>
      </c>
      <c r="I744" t="str">
        <f>"TITLE TRANSFER-2018 CHEV/EXT"</f>
        <v>TITLE TRANSFER-2018 CHEV/EXT</v>
      </c>
    </row>
    <row r="745" spans="1:9" x14ac:dyDescent="0.3">
      <c r="A745" t="str">
        <f>""</f>
        <v/>
      </c>
      <c r="F745" t="str">
        <f>"201803069227"</f>
        <v>201803069227</v>
      </c>
      <c r="G745" t="str">
        <f>"REGISTRATION-1999 GMC"</f>
        <v>REGISTRATION-1999 GMC</v>
      </c>
      <c r="H745">
        <v>7.5</v>
      </c>
      <c r="I745" t="str">
        <f>"REGISTRATION-1999 GMC"</f>
        <v>REGISTRATION-1999 GMC</v>
      </c>
    </row>
    <row r="746" spans="1:9" x14ac:dyDescent="0.3">
      <c r="A746" t="str">
        <f>""</f>
        <v/>
      </c>
      <c r="F746" t="str">
        <f>"201803079245"</f>
        <v>201803079245</v>
      </c>
      <c r="G746" t="str">
        <f>"VEHICLE REGISTRATIONS-SHERIFF"</f>
        <v>VEHICLE REGISTRATIONS-SHERIFF</v>
      </c>
      <c r="H746">
        <v>82.5</v>
      </c>
      <c r="I746" t="str">
        <f>"VEHICLE REGISTRATIONS-SHERIFF"</f>
        <v>VEHICLE REGISTRATIONS-SHERIFF</v>
      </c>
    </row>
    <row r="747" spans="1:9" x14ac:dyDescent="0.3">
      <c r="A747" t="str">
        <f>""</f>
        <v/>
      </c>
      <c r="F747" t="str">
        <f>"201803079281"</f>
        <v>201803079281</v>
      </c>
      <c r="G747" t="str">
        <f>"VEHICLE REGISTRATIONS-PCT#1"</f>
        <v>VEHICLE REGISTRATIONS-PCT#1</v>
      </c>
      <c r="H747">
        <v>15</v>
      </c>
      <c r="I747" t="str">
        <f>"VEHICLE REGISTRATIONS-PCT#1"</f>
        <v>VEHICLE REGISTRATIONS-PCT#1</v>
      </c>
    </row>
    <row r="748" spans="1:9" x14ac:dyDescent="0.3">
      <c r="A748" t="str">
        <f>""</f>
        <v/>
      </c>
      <c r="F748" t="str">
        <f>"WIRELESS MOUSE"</f>
        <v>WIRELESS MOUSE</v>
      </c>
      <c r="G748" t="str">
        <f>"Payment for Mistake"</f>
        <v>Payment for Mistake</v>
      </c>
      <c r="H748">
        <v>28</v>
      </c>
      <c r="I748" t="str">
        <f>"AGPtex Wireless Mous"</f>
        <v>AGPtex Wireless Mous</v>
      </c>
    </row>
    <row r="749" spans="1:9" x14ac:dyDescent="0.3">
      <c r="A749" t="str">
        <f>"T11113"</f>
        <v>T11113</v>
      </c>
      <c r="B749" t="s">
        <v>258</v>
      </c>
      <c r="C749">
        <v>999999</v>
      </c>
      <c r="D749" s="2">
        <v>146.51</v>
      </c>
      <c r="E749" s="1">
        <v>43186</v>
      </c>
      <c r="F749" t="str">
        <f>"12220"</f>
        <v>12220</v>
      </c>
      <c r="G749" t="str">
        <f>"REFUND FOR SVC  12/08/17"</f>
        <v>REFUND FOR SVC  12/08/17</v>
      </c>
      <c r="H749">
        <v>60</v>
      </c>
      <c r="I749" t="str">
        <f>"REFUND FOR SVC  12/08/17"</f>
        <v>REFUND FOR SVC  12/08/17</v>
      </c>
    </row>
    <row r="750" spans="1:9" x14ac:dyDescent="0.3">
      <c r="A750" t="str">
        <f>""</f>
        <v/>
      </c>
      <c r="F750" t="str">
        <f>"201803209700"</f>
        <v>201803209700</v>
      </c>
      <c r="G750" t="str">
        <f>"R457191/2017 SUPP STATEMENT"</f>
        <v>R457191/2017 SUPP STATEMENT</v>
      </c>
      <c r="H750">
        <v>5.01</v>
      </c>
      <c r="I750" t="str">
        <f>"R457191/2017 SUPP STATEMENT"</f>
        <v>R457191/2017 SUPP STATEMENT</v>
      </c>
    </row>
    <row r="751" spans="1:9" x14ac:dyDescent="0.3">
      <c r="A751" t="str">
        <f>""</f>
        <v/>
      </c>
      <c r="F751" t="str">
        <f>"201803209706"</f>
        <v>201803209706</v>
      </c>
      <c r="G751" t="str">
        <f>"VEHICLE REGISTRATIONS-SHERIFF"</f>
        <v>VEHICLE REGISTRATIONS-SHERIFF</v>
      </c>
      <c r="H751">
        <v>37.5</v>
      </c>
      <c r="I751" t="str">
        <f>"VEHICLE REGISTRATIONS-SHERIFF"</f>
        <v>VEHICLE REGISTRATIONS-SHERIFF</v>
      </c>
    </row>
    <row r="752" spans="1:9" x14ac:dyDescent="0.3">
      <c r="A752" t="str">
        <f>""</f>
        <v/>
      </c>
      <c r="F752" t="str">
        <f>"201803219719"</f>
        <v>201803219719</v>
      </c>
      <c r="G752" t="str">
        <f>"VEHICLE REGISTRATIONS/PCT#4"</f>
        <v>VEHICLE REGISTRATIONS/PCT#4</v>
      </c>
      <c r="H752">
        <v>44</v>
      </c>
      <c r="I752" t="str">
        <f>"VEHICLE REGISTRATIONS/PCT#4"</f>
        <v>VEHICLE REGISTRATIONS/PCT#4</v>
      </c>
    </row>
    <row r="753" spans="1:9" x14ac:dyDescent="0.3">
      <c r="A753" t="str">
        <f>"T6551"</f>
        <v>T6551</v>
      </c>
      <c r="B753" t="s">
        <v>259</v>
      </c>
      <c r="C753">
        <v>75907</v>
      </c>
      <c r="D753" s="2">
        <v>1596.24</v>
      </c>
      <c r="E753" s="1">
        <v>43185</v>
      </c>
      <c r="F753" t="str">
        <f>"INV00985391"</f>
        <v>INV00985391</v>
      </c>
      <c r="G753" t="str">
        <f>"INV00985391"</f>
        <v>INV00985391</v>
      </c>
      <c r="H753">
        <v>1596.24</v>
      </c>
      <c r="I753" t="str">
        <f>"INV00985391"</f>
        <v>INV00985391</v>
      </c>
    </row>
    <row r="754" spans="1:9" x14ac:dyDescent="0.3">
      <c r="A754" t="str">
        <f>"005366"</f>
        <v>005366</v>
      </c>
      <c r="B754" t="s">
        <v>260</v>
      </c>
      <c r="C754">
        <v>75694</v>
      </c>
      <c r="D754" s="2">
        <v>5</v>
      </c>
      <c r="E754" s="1">
        <v>43171</v>
      </c>
      <c r="F754" t="str">
        <f>"201803089379"</f>
        <v>201803089379</v>
      </c>
      <c r="G754" t="str">
        <f>"FERAL HOGS"</f>
        <v>FERAL HOGS</v>
      </c>
      <c r="H754">
        <v>5</v>
      </c>
      <c r="I754" t="str">
        <f>"FERAL HOGS"</f>
        <v>FERAL HOGS</v>
      </c>
    </row>
    <row r="755" spans="1:9" x14ac:dyDescent="0.3">
      <c r="A755" t="str">
        <f>"T12652"</f>
        <v>T12652</v>
      </c>
      <c r="B755" t="s">
        <v>261</v>
      </c>
      <c r="C755">
        <v>75695</v>
      </c>
      <c r="D755" s="2">
        <v>1250</v>
      </c>
      <c r="E755" s="1">
        <v>43171</v>
      </c>
      <c r="F755" t="str">
        <f>"201803079294"</f>
        <v>201803079294</v>
      </c>
      <c r="G755" t="str">
        <f>"55 427"</f>
        <v>55 427</v>
      </c>
      <c r="H755">
        <v>250</v>
      </c>
      <c r="I755" t="str">
        <f>"55 427"</f>
        <v>55 427</v>
      </c>
    </row>
    <row r="756" spans="1:9" x14ac:dyDescent="0.3">
      <c r="A756" t="str">
        <f>""</f>
        <v/>
      </c>
      <c r="F756" t="str">
        <f>"201803079295"</f>
        <v>201803079295</v>
      </c>
      <c r="G756" t="str">
        <f>"55 527"</f>
        <v>55 527</v>
      </c>
      <c r="H756">
        <v>250</v>
      </c>
      <c r="I756" t="str">
        <f>"55 527"</f>
        <v>55 527</v>
      </c>
    </row>
    <row r="757" spans="1:9" x14ac:dyDescent="0.3">
      <c r="A757" t="str">
        <f>""</f>
        <v/>
      </c>
      <c r="F757" t="str">
        <f>"201803079296"</f>
        <v>201803079296</v>
      </c>
      <c r="G757" t="str">
        <f>"54 990"</f>
        <v>54 990</v>
      </c>
      <c r="H757">
        <v>250</v>
      </c>
      <c r="I757" t="str">
        <f>"54 990"</f>
        <v>54 990</v>
      </c>
    </row>
    <row r="758" spans="1:9" x14ac:dyDescent="0.3">
      <c r="A758" t="str">
        <f>""</f>
        <v/>
      </c>
      <c r="F758" t="str">
        <f>"201803079297"</f>
        <v>201803079297</v>
      </c>
      <c r="G758" t="str">
        <f>"54 998"</f>
        <v>54 998</v>
      </c>
      <c r="H758">
        <v>250</v>
      </c>
      <c r="I758" t="str">
        <f>"54 998"</f>
        <v>54 998</v>
      </c>
    </row>
    <row r="759" spans="1:9" x14ac:dyDescent="0.3">
      <c r="A759" t="str">
        <f>""</f>
        <v/>
      </c>
      <c r="F759" t="str">
        <f>"201803079298"</f>
        <v>201803079298</v>
      </c>
      <c r="G759" t="str">
        <f>"55 438"</f>
        <v>55 438</v>
      </c>
      <c r="H759">
        <v>250</v>
      </c>
      <c r="I759" t="str">
        <f>"55 438"</f>
        <v>55 438</v>
      </c>
    </row>
    <row r="760" spans="1:9" x14ac:dyDescent="0.3">
      <c r="A760" t="str">
        <f>"003706"</f>
        <v>003706</v>
      </c>
      <c r="B760" t="s">
        <v>262</v>
      </c>
      <c r="C760">
        <v>999999</v>
      </c>
      <c r="D760" s="2">
        <v>7368.9</v>
      </c>
      <c r="E760" s="1">
        <v>43172</v>
      </c>
      <c r="F760" t="str">
        <f>"97489713"</f>
        <v>97489713</v>
      </c>
      <c r="G760" t="str">
        <f>"CLIENT:3619/NELSON COMPLAINT"</f>
        <v>CLIENT:3619/NELSON COMPLAINT</v>
      </c>
      <c r="H760">
        <v>7368.9</v>
      </c>
      <c r="I760" t="str">
        <f>"CLIENT:3619/NELSON COMPLAINT"</f>
        <v>CLIENT:3619/NELSON COMPLAINT</v>
      </c>
    </row>
    <row r="761" spans="1:9" x14ac:dyDescent="0.3">
      <c r="A761" t="str">
        <f>"003706"</f>
        <v>003706</v>
      </c>
      <c r="B761" t="s">
        <v>262</v>
      </c>
      <c r="C761">
        <v>999999</v>
      </c>
      <c r="D761" s="2">
        <v>976</v>
      </c>
      <c r="E761" s="1">
        <v>43186</v>
      </c>
      <c r="F761" t="str">
        <f>"97490346"</f>
        <v>97490346</v>
      </c>
      <c r="G761" t="str">
        <f>"CLIENT#3619/RE:NELSON COMPLAIN"</f>
        <v>CLIENT#3619/RE:NELSON COMPLAIN</v>
      </c>
      <c r="H761">
        <v>457.5</v>
      </c>
      <c r="I761" t="str">
        <f>"CLIENT#3619/RE:NELSON COMPLAIN"</f>
        <v>CLIENT#3619/RE:NELSON COMPLAIN</v>
      </c>
    </row>
    <row r="762" spans="1:9" x14ac:dyDescent="0.3">
      <c r="A762" t="str">
        <f>""</f>
        <v/>
      </c>
      <c r="F762" t="str">
        <f>"97490347"</f>
        <v>97490347</v>
      </c>
      <c r="G762" t="str">
        <f>"PROF SVCS THRU 2/28/18/RE:GEN"</f>
        <v>PROF SVCS THRU 2/28/18/RE:GEN</v>
      </c>
      <c r="H762">
        <v>518.5</v>
      </c>
      <c r="I762" t="str">
        <f>"PROF SVCS THRU 2/28/18/RE:GEN"</f>
        <v>PROF SVCS THRU 2/28/18/RE:GEN</v>
      </c>
    </row>
    <row r="763" spans="1:9" x14ac:dyDescent="0.3">
      <c r="A763" t="str">
        <f>"003434"</f>
        <v>003434</v>
      </c>
      <c r="B763" t="s">
        <v>263</v>
      </c>
      <c r="C763">
        <v>75696</v>
      </c>
      <c r="D763" s="2">
        <v>100</v>
      </c>
      <c r="E763" s="1">
        <v>43171</v>
      </c>
      <c r="F763" t="str">
        <f>"201803089380"</f>
        <v>201803089380</v>
      </c>
      <c r="G763" t="str">
        <f>"FERAL HOGS"</f>
        <v>FERAL HOGS</v>
      </c>
      <c r="H763">
        <v>25</v>
      </c>
      <c r="I763" t="str">
        <f>"FERAL HOGS"</f>
        <v>FERAL HOGS</v>
      </c>
    </row>
    <row r="764" spans="1:9" x14ac:dyDescent="0.3">
      <c r="A764" t="str">
        <f>""</f>
        <v/>
      </c>
      <c r="F764" t="str">
        <f>"201803089381"</f>
        <v>201803089381</v>
      </c>
      <c r="G764" t="str">
        <f>"FERAL HOGS"</f>
        <v>FERAL HOGS</v>
      </c>
      <c r="H764">
        <v>75</v>
      </c>
      <c r="I764" t="str">
        <f>"FERAL HOGS"</f>
        <v>FERAL HOGS</v>
      </c>
    </row>
    <row r="765" spans="1:9" x14ac:dyDescent="0.3">
      <c r="A765" t="str">
        <f>"004851"</f>
        <v>004851</v>
      </c>
      <c r="B765" t="s">
        <v>264</v>
      </c>
      <c r="C765">
        <v>75697</v>
      </c>
      <c r="D765" s="2">
        <v>944.27</v>
      </c>
      <c r="E765" s="1">
        <v>43171</v>
      </c>
      <c r="F765" t="str">
        <f>"201803079322"</f>
        <v>201803079322</v>
      </c>
      <c r="G765" t="str">
        <f>"INDIGENT HEALTH"</f>
        <v>INDIGENT HEALTH</v>
      </c>
      <c r="H765">
        <v>944.27</v>
      </c>
      <c r="I765" t="str">
        <f>"INDIGENT HEALTH"</f>
        <v>INDIGENT HEALTH</v>
      </c>
    </row>
    <row r="766" spans="1:9" x14ac:dyDescent="0.3">
      <c r="A766" t="str">
        <f>""</f>
        <v/>
      </c>
      <c r="F766" t="str">
        <f>""</f>
        <v/>
      </c>
      <c r="G766" t="str">
        <f>""</f>
        <v/>
      </c>
      <c r="I766" t="str">
        <f>"INDIGENT HEALTH"</f>
        <v>INDIGENT HEALTH</v>
      </c>
    </row>
    <row r="767" spans="1:9" x14ac:dyDescent="0.3">
      <c r="A767" t="str">
        <f>"004557"</f>
        <v>004557</v>
      </c>
      <c r="B767" t="s">
        <v>265</v>
      </c>
      <c r="C767">
        <v>999999</v>
      </c>
      <c r="D767" s="2">
        <v>92</v>
      </c>
      <c r="E767" s="1">
        <v>43172</v>
      </c>
      <c r="F767" t="str">
        <f>"LS-1496-BCSO"</f>
        <v>LS-1496-BCSO</v>
      </c>
      <c r="G767" t="str">
        <f>"INV LS-1496-BCSO"</f>
        <v>INV LS-1496-BCSO</v>
      </c>
      <c r="H767">
        <v>92</v>
      </c>
      <c r="I767" t="str">
        <f>"INV LS-1496-BCSO"</f>
        <v>INV LS-1496-BCSO</v>
      </c>
    </row>
    <row r="768" spans="1:9" x14ac:dyDescent="0.3">
      <c r="A768" t="str">
        <f>"004557"</f>
        <v>004557</v>
      </c>
      <c r="B768" t="s">
        <v>265</v>
      </c>
      <c r="C768">
        <v>999999</v>
      </c>
      <c r="D768" s="2">
        <v>2633.44</v>
      </c>
      <c r="E768" s="1">
        <v>43186</v>
      </c>
      <c r="F768" t="str">
        <f>"LS-15EXP-BCSO"</f>
        <v>LS-15EXP-BCSO</v>
      </c>
      <c r="G768" t="str">
        <f>"INV LS-15EXP-BCSO"</f>
        <v>INV LS-15EXP-BCSO</v>
      </c>
      <c r="H768">
        <v>2500</v>
      </c>
      <c r="I768" t="str">
        <f>"INV LS-15EXP-BCSO"</f>
        <v>INV LS-15EXP-BCSO</v>
      </c>
    </row>
    <row r="769" spans="1:9" x14ac:dyDescent="0.3">
      <c r="A769" t="str">
        <f>""</f>
        <v/>
      </c>
      <c r="F769" t="str">
        <f>"PO-12IMPALA-RC"</f>
        <v>PO-12IMPALA-RC</v>
      </c>
      <c r="G769" t="str">
        <f>"INV PO-12IMPALA-RC / 6424"</f>
        <v>INV PO-12IMPALA-RC / 6424</v>
      </c>
      <c r="H769">
        <v>133.44</v>
      </c>
      <c r="I769" t="str">
        <f>"INV PO-12IMPALA-RC"</f>
        <v>INV PO-12IMPALA-RC</v>
      </c>
    </row>
    <row r="770" spans="1:9" x14ac:dyDescent="0.3">
      <c r="A770" t="str">
        <f>"004109"</f>
        <v>004109</v>
      </c>
      <c r="B770" t="s">
        <v>266</v>
      </c>
      <c r="C770">
        <v>75698</v>
      </c>
      <c r="D770" s="2">
        <v>163.35</v>
      </c>
      <c r="E770" s="1">
        <v>43171</v>
      </c>
      <c r="F770" t="str">
        <f>"201803079323"</f>
        <v>201803079323</v>
      </c>
      <c r="G770" t="str">
        <f>"INDIGENT HEALTH"</f>
        <v>INDIGENT HEALTH</v>
      </c>
      <c r="H770">
        <v>163.35</v>
      </c>
      <c r="I770" t="str">
        <f>"INDIGENT HEALTH"</f>
        <v>INDIGENT HEALTH</v>
      </c>
    </row>
    <row r="771" spans="1:9" x14ac:dyDescent="0.3">
      <c r="A771" t="str">
        <f>"T7598"</f>
        <v>T7598</v>
      </c>
      <c r="B771" t="s">
        <v>267</v>
      </c>
      <c r="C771">
        <v>75700</v>
      </c>
      <c r="D771" s="2">
        <v>295</v>
      </c>
      <c r="E771" s="1">
        <v>43171</v>
      </c>
      <c r="F771" t="str">
        <f>"094930"</f>
        <v>094930</v>
      </c>
      <c r="G771" t="str">
        <f>"MOBILE SERVICE/PCT#2"</f>
        <v>MOBILE SERVICE/PCT#2</v>
      </c>
      <c r="H771">
        <v>295</v>
      </c>
      <c r="I771" t="str">
        <f>"MOBILE SERVICE/PCT#2"</f>
        <v>MOBILE SERVICE/PCT#2</v>
      </c>
    </row>
    <row r="772" spans="1:9" x14ac:dyDescent="0.3">
      <c r="A772" t="str">
        <f>"005452"</f>
        <v>005452</v>
      </c>
      <c r="B772" t="s">
        <v>268</v>
      </c>
      <c r="C772">
        <v>75701</v>
      </c>
      <c r="D772" s="2">
        <v>585</v>
      </c>
      <c r="E772" s="1">
        <v>43171</v>
      </c>
      <c r="F772" t="str">
        <f>"201803079339"</f>
        <v>201803079339</v>
      </c>
      <c r="G772" t="str">
        <f>"TRASH REMOVAL/3/1-3/8"</f>
        <v>TRASH REMOVAL/3/1-3/8</v>
      </c>
      <c r="H772">
        <v>364</v>
      </c>
      <c r="I772" t="str">
        <f>"TRASH REMOVAL/3/1-3/8"</f>
        <v>TRASH REMOVAL/3/1-3/8</v>
      </c>
    </row>
    <row r="773" spans="1:9" x14ac:dyDescent="0.3">
      <c r="A773" t="str">
        <f>""</f>
        <v/>
      </c>
      <c r="F773" t="str">
        <f>"201803079340"</f>
        <v>201803079340</v>
      </c>
      <c r="G773" t="str">
        <f>"TRASH REMOVAL/02/22-02/28"</f>
        <v>TRASH REMOVAL/02/22-02/28</v>
      </c>
      <c r="H773">
        <v>221</v>
      </c>
      <c r="I773" t="str">
        <f>"TRASH REMOVAL/02/22-02/28"</f>
        <v>TRASH REMOVAL/02/22-02/28</v>
      </c>
    </row>
    <row r="774" spans="1:9" x14ac:dyDescent="0.3">
      <c r="A774" t="str">
        <f>"005452"</f>
        <v>005452</v>
      </c>
      <c r="B774" t="s">
        <v>268</v>
      </c>
      <c r="C774">
        <v>75908</v>
      </c>
      <c r="D774" s="2">
        <v>851.5</v>
      </c>
      <c r="E774" s="1">
        <v>43185</v>
      </c>
      <c r="F774" t="str">
        <f>"201803209685"</f>
        <v>201803209685</v>
      </c>
      <c r="G774" t="str">
        <f>"TRASH REMOVAL PCT#4/3/12-3/23"</f>
        <v>TRASH REMOVAL PCT#4/3/12-3/23</v>
      </c>
      <c r="H774">
        <v>851.5</v>
      </c>
      <c r="I774" t="str">
        <f>"TRASH REMOVAL PCT#4/3/12-3/23"</f>
        <v>TRASH REMOVAL PCT#4/3/12-3/23</v>
      </c>
    </row>
    <row r="775" spans="1:9" x14ac:dyDescent="0.3">
      <c r="A775" t="str">
        <f>"T13085"</f>
        <v>T13085</v>
      </c>
      <c r="B775" t="s">
        <v>269</v>
      </c>
      <c r="C775">
        <v>999999</v>
      </c>
      <c r="D775" s="2">
        <v>242</v>
      </c>
      <c r="E775" s="1">
        <v>43172</v>
      </c>
      <c r="F775" t="str">
        <f>"10-000130"</f>
        <v>10-000130</v>
      </c>
      <c r="G775" t="str">
        <f>"INV 10-000130"</f>
        <v>INV 10-000130</v>
      </c>
      <c r="H775">
        <v>242</v>
      </c>
      <c r="I775" t="str">
        <f>"INV 10-000130"</f>
        <v>INV 10-000130</v>
      </c>
    </row>
    <row r="776" spans="1:9" x14ac:dyDescent="0.3">
      <c r="A776" t="str">
        <f>"MARIA"</f>
        <v>MARIA</v>
      </c>
      <c r="B776" t="s">
        <v>270</v>
      </c>
      <c r="C776">
        <v>999999</v>
      </c>
      <c r="D776" s="2">
        <v>499.51</v>
      </c>
      <c r="E776" s="1">
        <v>43172</v>
      </c>
      <c r="F776" t="str">
        <f>"201803028924"</f>
        <v>201803028924</v>
      </c>
      <c r="G776" t="str">
        <f>"CRIMINAL CCL 03/01/18"</f>
        <v>CRIMINAL CCL 03/01/18</v>
      </c>
      <c r="H776">
        <v>183.17</v>
      </c>
      <c r="I776" t="str">
        <f>"CRIMINAL CCL 03/01/18"</f>
        <v>CRIMINAL CCL 03/01/18</v>
      </c>
    </row>
    <row r="777" spans="1:9" x14ac:dyDescent="0.3">
      <c r="A777" t="str">
        <f>""</f>
        <v/>
      </c>
      <c r="F777" t="str">
        <f>"201803028925"</f>
        <v>201803028925</v>
      </c>
      <c r="G777" t="str">
        <f>"CRIMINAL CCL 02/22/18"</f>
        <v>CRIMINAL CCL 02/22/18</v>
      </c>
      <c r="H777">
        <v>183.17</v>
      </c>
      <c r="I777" t="str">
        <f>"CRIMINAL CCL 02/22/18"</f>
        <v>CRIMINAL CCL 02/22/18</v>
      </c>
    </row>
    <row r="778" spans="1:9" x14ac:dyDescent="0.3">
      <c r="A778" t="str">
        <f>""</f>
        <v/>
      </c>
      <c r="F778" t="str">
        <f>"201803028926"</f>
        <v>201803028926</v>
      </c>
      <c r="G778" t="str">
        <f>"17-18119"</f>
        <v>17-18119</v>
      </c>
      <c r="H778">
        <v>133.16999999999999</v>
      </c>
      <c r="I778" t="str">
        <f>"17-18119"</f>
        <v>17-18119</v>
      </c>
    </row>
    <row r="779" spans="1:9" x14ac:dyDescent="0.3">
      <c r="A779" t="str">
        <f>"MARIA"</f>
        <v>MARIA</v>
      </c>
      <c r="B779" t="s">
        <v>270</v>
      </c>
      <c r="C779">
        <v>999999</v>
      </c>
      <c r="D779" s="2">
        <v>240.08</v>
      </c>
      <c r="E779" s="1">
        <v>43186</v>
      </c>
      <c r="F779" t="str">
        <f>"201803209698"</f>
        <v>201803209698</v>
      </c>
      <c r="G779" t="str">
        <f>"06-10656"</f>
        <v>06-10656</v>
      </c>
      <c r="H779">
        <v>108.79</v>
      </c>
      <c r="I779" t="str">
        <f>"06-10656"</f>
        <v>06-10656</v>
      </c>
    </row>
    <row r="780" spans="1:9" x14ac:dyDescent="0.3">
      <c r="A780" t="str">
        <f>""</f>
        <v/>
      </c>
      <c r="F780" t="str">
        <f>"201803219707"</f>
        <v>201803219707</v>
      </c>
      <c r="G780" t="str">
        <f>"423-5462"</f>
        <v>423-5462</v>
      </c>
      <c r="H780">
        <v>131.29</v>
      </c>
      <c r="I780" t="str">
        <f>"423-5462"</f>
        <v>423-5462</v>
      </c>
    </row>
    <row r="781" spans="1:9" x14ac:dyDescent="0.3">
      <c r="A781" t="str">
        <f>"002282"</f>
        <v>002282</v>
      </c>
      <c r="B781" t="s">
        <v>271</v>
      </c>
      <c r="C781">
        <v>75702</v>
      </c>
      <c r="D781" s="2">
        <v>2700</v>
      </c>
      <c r="E781" s="1">
        <v>43171</v>
      </c>
      <c r="F781" t="str">
        <f>"201803079259"</f>
        <v>201803079259</v>
      </c>
      <c r="G781" t="str">
        <f>"VETERINARY SVCS/FEBRUARY 2018"</f>
        <v>VETERINARY SVCS/FEBRUARY 2018</v>
      </c>
      <c r="H781">
        <v>2700</v>
      </c>
      <c r="I781" t="str">
        <f>"VETERINARY SVCS/FEBRUARY 2018"</f>
        <v>VETERINARY SVCS/FEBRUARY 2018</v>
      </c>
    </row>
    <row r="782" spans="1:9" x14ac:dyDescent="0.3">
      <c r="A782" t="str">
        <f>"005242"</f>
        <v>005242</v>
      </c>
      <c r="B782" t="s">
        <v>272</v>
      </c>
      <c r="C782">
        <v>75703</v>
      </c>
      <c r="D782" s="2">
        <v>325</v>
      </c>
      <c r="E782" s="1">
        <v>43171</v>
      </c>
      <c r="F782" t="str">
        <f>"201803079314"</f>
        <v>201803079314</v>
      </c>
      <c r="G782" t="str">
        <f>"INDIGENT HEALTH"</f>
        <v>INDIGENT HEALTH</v>
      </c>
      <c r="H782">
        <v>325</v>
      </c>
      <c r="I782" t="str">
        <f>"INDIGENT HEALTH"</f>
        <v>INDIGENT HEALTH</v>
      </c>
    </row>
    <row r="783" spans="1:9" x14ac:dyDescent="0.3">
      <c r="A783" t="str">
        <f>"004909"</f>
        <v>004909</v>
      </c>
      <c r="B783" t="s">
        <v>273</v>
      </c>
      <c r="C783">
        <v>999999</v>
      </c>
      <c r="D783" s="2">
        <v>305.95999999999998</v>
      </c>
      <c r="E783" s="1">
        <v>43172</v>
      </c>
      <c r="F783" t="str">
        <f>"201802278883"</f>
        <v>201802278883</v>
      </c>
      <c r="G783" t="str">
        <f>"REIMBURSE PER DIEM/LODGING"</f>
        <v>REIMBURSE PER DIEM/LODGING</v>
      </c>
      <c r="H783">
        <v>305.95999999999998</v>
      </c>
      <c r="I783" t="str">
        <f>"REIMBURSE PER DIEM/LODGING"</f>
        <v>REIMBURSE PER DIEM/LODGING</v>
      </c>
    </row>
    <row r="784" spans="1:9" x14ac:dyDescent="0.3">
      <c r="A784" t="str">
        <f>"T13936"</f>
        <v>T13936</v>
      </c>
      <c r="B784" t="s">
        <v>274</v>
      </c>
      <c r="C784">
        <v>75704</v>
      </c>
      <c r="D784" s="2">
        <v>343.16</v>
      </c>
      <c r="E784" s="1">
        <v>43171</v>
      </c>
      <c r="F784" t="str">
        <f>"201803079324"</f>
        <v>201803079324</v>
      </c>
      <c r="G784" t="str">
        <f>"INDIGENT HEALTH"</f>
        <v>INDIGENT HEALTH</v>
      </c>
      <c r="H784">
        <v>343.16</v>
      </c>
      <c r="I784" t="str">
        <f>"INDIGENT HEALTH"</f>
        <v>INDIGENT HEALTH</v>
      </c>
    </row>
    <row r="785" spans="1:10" x14ac:dyDescent="0.3">
      <c r="A785" t="str">
        <f>"005472"</f>
        <v>005472</v>
      </c>
      <c r="B785" t="s">
        <v>275</v>
      </c>
      <c r="C785">
        <v>75928</v>
      </c>
      <c r="D785" s="2">
        <v>314.14</v>
      </c>
      <c r="E785" s="1">
        <v>43185</v>
      </c>
      <c r="F785" t="str">
        <f>"LODGING-TRAINING"</f>
        <v>LODGING-TRAINING</v>
      </c>
      <c r="G785" t="str">
        <f>"LODGING"</f>
        <v>LODGING</v>
      </c>
      <c r="H785">
        <v>314.14</v>
      </c>
      <c r="I785" t="str">
        <f>"LODGING"</f>
        <v>LODGING</v>
      </c>
    </row>
    <row r="786" spans="1:10" x14ac:dyDescent="0.3">
      <c r="A786" t="str">
        <f>"T9432"</f>
        <v>T9432</v>
      </c>
      <c r="B786" t="s">
        <v>276</v>
      </c>
      <c r="C786">
        <v>999999</v>
      </c>
      <c r="D786" s="2">
        <v>9.99</v>
      </c>
      <c r="E786" s="1">
        <v>43172</v>
      </c>
      <c r="F786" t="str">
        <f>"201802278889"</f>
        <v>201802278889</v>
      </c>
      <c r="G786" t="str">
        <f>"LUBRICANT SHEETS FOR SHREDDER"</f>
        <v>LUBRICANT SHEETS FOR SHREDDER</v>
      </c>
      <c r="H786">
        <v>9.99</v>
      </c>
      <c r="I786" t="str">
        <f>"LUBRICANT SHEETS FOR SHREDDER"</f>
        <v>LUBRICANT SHEETS FOR SHREDDER</v>
      </c>
    </row>
    <row r="787" spans="1:10" x14ac:dyDescent="0.3">
      <c r="A787" t="str">
        <f>"004144"</f>
        <v>004144</v>
      </c>
      <c r="B787" t="s">
        <v>277</v>
      </c>
      <c r="C787">
        <v>999999</v>
      </c>
      <c r="D787" s="2">
        <v>250</v>
      </c>
      <c r="E787" s="1">
        <v>43172</v>
      </c>
      <c r="F787" t="str">
        <f>"201803028957"</f>
        <v>201803028957</v>
      </c>
      <c r="G787" t="str">
        <f>"55 423"</f>
        <v>55 423</v>
      </c>
      <c r="H787">
        <v>250</v>
      </c>
      <c r="I787" t="str">
        <f>"55 423"</f>
        <v>55 423</v>
      </c>
    </row>
    <row r="788" spans="1:10" x14ac:dyDescent="0.3">
      <c r="A788" t="str">
        <f>"004144"</f>
        <v>004144</v>
      </c>
      <c r="B788" t="s">
        <v>277</v>
      </c>
      <c r="C788">
        <v>999999</v>
      </c>
      <c r="D788" s="2">
        <v>450</v>
      </c>
      <c r="E788" s="1">
        <v>43186</v>
      </c>
      <c r="F788" t="str">
        <f>"201803209694"</f>
        <v>201803209694</v>
      </c>
      <c r="G788" t="str">
        <f>"18 18885"</f>
        <v>18 18885</v>
      </c>
      <c r="H788">
        <v>200</v>
      </c>
      <c r="I788" t="str">
        <f>"18 18885"</f>
        <v>18 18885</v>
      </c>
    </row>
    <row r="789" spans="1:10" x14ac:dyDescent="0.3">
      <c r="A789" t="str">
        <f>""</f>
        <v/>
      </c>
      <c r="F789" t="str">
        <f>"201803209695"</f>
        <v>201803209695</v>
      </c>
      <c r="G789" t="str">
        <f>"J-3100"</f>
        <v>J-3100</v>
      </c>
      <c r="H789">
        <v>250</v>
      </c>
      <c r="I789" t="str">
        <f>"J-3100"</f>
        <v>J-3100</v>
      </c>
    </row>
    <row r="790" spans="1:10" x14ac:dyDescent="0.3">
      <c r="A790" t="str">
        <f>"TRIGA"</f>
        <v>TRIGA</v>
      </c>
      <c r="B790" t="s">
        <v>278</v>
      </c>
      <c r="C790">
        <v>75909</v>
      </c>
      <c r="D790" s="2">
        <v>579.15</v>
      </c>
      <c r="E790" s="1">
        <v>43185</v>
      </c>
      <c r="F790" t="str">
        <f>"17127907"</f>
        <v>17127907</v>
      </c>
      <c r="G790" t="str">
        <f>"CUST#41472/PCT#1"</f>
        <v>CUST#41472/PCT#1</v>
      </c>
      <c r="H790">
        <v>22.23</v>
      </c>
      <c r="I790" t="str">
        <f>"CUST#41472/PCT#1"</f>
        <v>CUST#41472/PCT#1</v>
      </c>
    </row>
    <row r="791" spans="1:10" x14ac:dyDescent="0.3">
      <c r="A791" t="str">
        <f>""</f>
        <v/>
      </c>
      <c r="F791" t="str">
        <f>"17128010"</f>
        <v>17128010</v>
      </c>
      <c r="G791" t="str">
        <f>"CUST#45057/PCT#4"</f>
        <v>CUST#45057/PCT#4</v>
      </c>
      <c r="H791">
        <v>39.729999999999997</v>
      </c>
      <c r="I791" t="str">
        <f>"CUST#45057/PCT#4"</f>
        <v>CUST#45057/PCT#4</v>
      </c>
    </row>
    <row r="792" spans="1:10" x14ac:dyDescent="0.3">
      <c r="A792" t="str">
        <f>""</f>
        <v/>
      </c>
      <c r="F792" t="str">
        <f>"17128074"</f>
        <v>17128074</v>
      </c>
      <c r="G792" t="str">
        <f>"INV 17128074"</f>
        <v>INV 17128074</v>
      </c>
      <c r="H792">
        <v>44.67</v>
      </c>
      <c r="I792" t="str">
        <f>"INV 17128074"</f>
        <v>INV 17128074</v>
      </c>
    </row>
    <row r="793" spans="1:10" x14ac:dyDescent="0.3">
      <c r="A793" t="str">
        <f>""</f>
        <v/>
      </c>
      <c r="F793" t="str">
        <f>"201803149627"</f>
        <v>201803149627</v>
      </c>
      <c r="G793" t="str">
        <f>"CUST#S9547/PCT#1"</f>
        <v>CUST#S9547/PCT#1</v>
      </c>
      <c r="H793">
        <v>90</v>
      </c>
      <c r="I793" t="str">
        <f>"CUST#S9547/PCT#1"</f>
        <v>CUST#S9547/PCT#1</v>
      </c>
    </row>
    <row r="794" spans="1:10" x14ac:dyDescent="0.3">
      <c r="A794" t="str">
        <f>""</f>
        <v/>
      </c>
      <c r="F794" t="str">
        <f>"201803149631"</f>
        <v>201803149631</v>
      </c>
      <c r="G794" t="str">
        <f>"CUST#S9547/PCT#3"</f>
        <v>CUST#S9547/PCT#3</v>
      </c>
      <c r="H794">
        <v>382.52</v>
      </c>
      <c r="I794" t="str">
        <f>"CUST#S9547/PCT#3"</f>
        <v>CUST#S9547/PCT#3</v>
      </c>
    </row>
    <row r="795" spans="1:10" x14ac:dyDescent="0.3">
      <c r="A795" t="str">
        <f>"T14501"</f>
        <v>T14501</v>
      </c>
      <c r="B795" t="s">
        <v>279</v>
      </c>
      <c r="C795">
        <v>75910</v>
      </c>
      <c r="D795" s="2">
        <v>1680</v>
      </c>
      <c r="E795" s="1">
        <v>43185</v>
      </c>
      <c r="F795" t="str">
        <f>"201803149613"</f>
        <v>201803149613</v>
      </c>
      <c r="G795" t="str">
        <f>"LEGAL SVCS/16 406"</f>
        <v>LEGAL SVCS/16 406</v>
      </c>
      <c r="H795">
        <v>1680</v>
      </c>
      <c r="I795" t="str">
        <f>"LEGAL SVCS/16 406"</f>
        <v>LEGAL SVCS/16 406</v>
      </c>
    </row>
    <row r="796" spans="1:10" x14ac:dyDescent="0.3">
      <c r="A796" t="str">
        <f>"MC COY"</f>
        <v>MC COY</v>
      </c>
      <c r="B796" t="s">
        <v>280</v>
      </c>
      <c r="C796">
        <v>999999</v>
      </c>
      <c r="D796" s="2">
        <v>407.97</v>
      </c>
      <c r="E796" s="1">
        <v>43172</v>
      </c>
      <c r="F796" t="str">
        <f>"650694"</f>
        <v>650694</v>
      </c>
      <c r="G796" t="str">
        <f>"ACCT#0900-98011130-001/ELECTIO"</f>
        <v>ACCT#0900-98011130-001/ELECTIO</v>
      </c>
      <c r="H796">
        <v>19.98</v>
      </c>
      <c r="I796" t="str">
        <f>"ACCT#0900-98011130-001/ELECTIO"</f>
        <v>ACCT#0900-98011130-001/ELECTIO</v>
      </c>
    </row>
    <row r="797" spans="1:10" x14ac:dyDescent="0.3">
      <c r="A797" t="str">
        <f>""</f>
        <v/>
      </c>
      <c r="F797" t="str">
        <f>"651046"</f>
        <v>651046</v>
      </c>
      <c r="G797" t="str">
        <f>"ACCT#0900-98011130-001/PCT#3"</f>
        <v>ACCT#0900-98011130-001/PCT#3</v>
      </c>
      <c r="H797">
        <v>104.98</v>
      </c>
      <c r="I797" t="str">
        <f>"ACCT#0900-98011130-001/PCT#3"</f>
        <v>ACCT#0900-98011130-001/PCT#3</v>
      </c>
    </row>
    <row r="798" spans="1:10" x14ac:dyDescent="0.3">
      <c r="A798" t="str">
        <f>""</f>
        <v/>
      </c>
      <c r="F798" t="str">
        <f>"651054"</f>
        <v>651054</v>
      </c>
      <c r="G798" t="str">
        <f>"ACCT#0900-98011130-001/PCT#4"</f>
        <v>ACCT#0900-98011130-001/PCT#4</v>
      </c>
      <c r="H798">
        <v>283.01</v>
      </c>
      <c r="I798" t="str">
        <f>"ACCT#0900-98011130-001/PCT#4"</f>
        <v>ACCT#0900-98011130-001/PCT#4</v>
      </c>
    </row>
    <row r="799" spans="1:10" x14ac:dyDescent="0.3">
      <c r="A799" t="str">
        <f>"MC COY"</f>
        <v>MC COY</v>
      </c>
      <c r="B799" t="s">
        <v>280</v>
      </c>
      <c r="C799">
        <v>999999</v>
      </c>
      <c r="D799" s="2">
        <v>42.08</v>
      </c>
      <c r="E799" s="1">
        <v>43186</v>
      </c>
      <c r="F799" t="str">
        <f>"651949"</f>
        <v>651949</v>
      </c>
      <c r="G799" t="str">
        <f>"ACCT#0900-98011130-001/SIGN SH"</f>
        <v>ACCT#0900-98011130-001/SIGN SH</v>
      </c>
      <c r="H799">
        <v>42.08</v>
      </c>
      <c r="I799" t="str">
        <f>"ACCT#0900-98011130-001/SIGN SH"</f>
        <v>ACCT#0900-98011130-001/SIGN SH</v>
      </c>
    </row>
    <row r="800" spans="1:10" x14ac:dyDescent="0.3">
      <c r="A800" t="str">
        <f>"MC CRE"</f>
        <v>MC CRE</v>
      </c>
      <c r="B800" t="s">
        <v>281</v>
      </c>
      <c r="C800">
        <v>75705</v>
      </c>
      <c r="D800" s="2">
        <v>15972.68</v>
      </c>
      <c r="E800" s="1">
        <v>43171</v>
      </c>
      <c r="F800" t="s">
        <v>64</v>
      </c>
      <c r="G800" t="s">
        <v>65</v>
      </c>
      <c r="H800" t="str">
        <f>"ABST FEE  12/11/17"</f>
        <v>ABST FEE  12/11/17</v>
      </c>
      <c r="I800" t="str">
        <f>"995-4110"</f>
        <v>995-4110</v>
      </c>
      <c r="J800" t="str">
        <f>""</f>
        <v/>
      </c>
    </row>
    <row r="801" spans="1:10" x14ac:dyDescent="0.3">
      <c r="A801" t="str">
        <f>""</f>
        <v/>
      </c>
      <c r="F801" t="str">
        <f>"11514"</f>
        <v>11514</v>
      </c>
      <c r="G801" t="str">
        <f>"ABST FEE  12/12/17"</f>
        <v>ABST FEE  12/12/17</v>
      </c>
      <c r="H801">
        <v>175</v>
      </c>
      <c r="I801" t="str">
        <f>"ABST FEE  12/12/17"</f>
        <v>ABST FEE  12/12/17</v>
      </c>
    </row>
    <row r="802" spans="1:10" x14ac:dyDescent="0.3">
      <c r="A802" t="str">
        <f>""</f>
        <v/>
      </c>
      <c r="F802" t="str">
        <f>"12010  12/05/17"</f>
        <v>12010  12/05/17</v>
      </c>
      <c r="G802" t="str">
        <f>"PRINTER FEE  12/05/17"</f>
        <v>PRINTER FEE  12/05/17</v>
      </c>
      <c r="H802">
        <v>75</v>
      </c>
      <c r="I802" t="str">
        <f>"PRINTER FEE  12/05/17"</f>
        <v>PRINTER FEE  12/05/17</v>
      </c>
    </row>
    <row r="803" spans="1:10" x14ac:dyDescent="0.3">
      <c r="A803" t="str">
        <f>""</f>
        <v/>
      </c>
      <c r="F803" t="str">
        <f>"12163"</f>
        <v>12163</v>
      </c>
      <c r="G803" t="str">
        <f>"ABST FEE 12/05/17"</f>
        <v>ABST FEE 12/05/17</v>
      </c>
      <c r="H803">
        <v>175</v>
      </c>
      <c r="I803" t="str">
        <f>"ABST FEE 12/05/17"</f>
        <v>ABST FEE 12/05/17</v>
      </c>
    </row>
    <row r="804" spans="1:10" x14ac:dyDescent="0.3">
      <c r="A804" t="str">
        <f>""</f>
        <v/>
      </c>
      <c r="F804" t="str">
        <f>"12163  12/05/2017"</f>
        <v>12163  12/05/2017</v>
      </c>
      <c r="G804" t="str">
        <f>"REFUND FOR DOUBLE ENTRY ERROR"</f>
        <v>REFUND FOR DOUBLE ENTRY ERROR</v>
      </c>
      <c r="H804">
        <v>75</v>
      </c>
      <c r="I804" t="str">
        <f>"REFUND FOR DOUBLE ENTRY ERROR"</f>
        <v>REFUND FOR DOUBLE ENTRY ERROR</v>
      </c>
    </row>
    <row r="805" spans="1:10" x14ac:dyDescent="0.3">
      <c r="A805" t="str">
        <f>""</f>
        <v/>
      </c>
      <c r="F805" t="str">
        <f>"12644"</f>
        <v>12644</v>
      </c>
      <c r="G805" t="str">
        <f>"ABST FEE  12/07/2017"</f>
        <v>ABST FEE  12/07/2017</v>
      </c>
      <c r="H805">
        <v>225</v>
      </c>
      <c r="I805" t="str">
        <f>"ABST FEE  12/07/2017"</f>
        <v>ABST FEE  12/07/2017</v>
      </c>
    </row>
    <row r="806" spans="1:10" x14ac:dyDescent="0.3">
      <c r="A806" t="str">
        <f>""</f>
        <v/>
      </c>
      <c r="F806" t="str">
        <f>"12842"</f>
        <v>12842</v>
      </c>
      <c r="G806" t="str">
        <f>"ABST FEE  12/11/17"</f>
        <v>ABST FEE  12/11/17</v>
      </c>
      <c r="H806">
        <v>225</v>
      </c>
      <c r="I806" t="str">
        <f>"ABST FEE  12/11/17"</f>
        <v>ABST FEE  12/11/17</v>
      </c>
    </row>
    <row r="807" spans="1:10" x14ac:dyDescent="0.3">
      <c r="A807" t="str">
        <f>""</f>
        <v/>
      </c>
      <c r="F807" t="str">
        <f>"201803058976"</f>
        <v>201803058976</v>
      </c>
      <c r="G807" t="str">
        <f>"ATTORNEY FEES FOR FEB 2018"</f>
        <v>ATTORNEY FEES FOR FEB 2018</v>
      </c>
      <c r="H807">
        <v>14847.68</v>
      </c>
      <c r="I807" t="str">
        <f>"ATTORNEY FEES FOR FEB 2018"</f>
        <v>ATTORNEY FEES FOR FEB 2018</v>
      </c>
    </row>
    <row r="808" spans="1:10" x14ac:dyDescent="0.3">
      <c r="A808" t="str">
        <f>"MC CRE"</f>
        <v>MC CRE</v>
      </c>
      <c r="B808" t="s">
        <v>281</v>
      </c>
      <c r="C808">
        <v>75911</v>
      </c>
      <c r="D808" s="2">
        <v>3137.2</v>
      </c>
      <c r="E808" s="1">
        <v>43185</v>
      </c>
      <c r="F808" t="s">
        <v>64</v>
      </c>
      <c r="G808" t="s">
        <v>282</v>
      </c>
      <c r="H808" t="str">
        <f>"ABST FEE  12/15/17"</f>
        <v>ABST FEE  12/15/17</v>
      </c>
      <c r="I808" t="str">
        <f>"995-4110"</f>
        <v>995-4110</v>
      </c>
      <c r="J808" t="str">
        <f>""</f>
        <v/>
      </c>
    </row>
    <row r="809" spans="1:10" x14ac:dyDescent="0.3">
      <c r="A809" t="str">
        <f>""</f>
        <v/>
      </c>
      <c r="F809" t="str">
        <f>"11769  12/29/17"</f>
        <v>11769  12/29/17</v>
      </c>
      <c r="G809" t="str">
        <f>"PRINTER FEE"</f>
        <v>PRINTER FEE</v>
      </c>
      <c r="H809">
        <v>313.2</v>
      </c>
      <c r="I809" t="str">
        <f>"PRINTER FEE"</f>
        <v>PRINTER FEE</v>
      </c>
    </row>
    <row r="810" spans="1:10" x14ac:dyDescent="0.3">
      <c r="A810" t="str">
        <f>""</f>
        <v/>
      </c>
      <c r="F810" t="str">
        <f>"12186"</f>
        <v>12186</v>
      </c>
      <c r="G810" t="str">
        <f>"ABST FEE  12/21/17"</f>
        <v>ABST FEE  12/21/17</v>
      </c>
      <c r="H810">
        <v>175</v>
      </c>
      <c r="I810" t="str">
        <f>"ABST FEE  12/21/17"</f>
        <v>ABST FEE  12/21/17</v>
      </c>
    </row>
    <row r="811" spans="1:10" x14ac:dyDescent="0.3">
      <c r="A811" t="str">
        <f>""</f>
        <v/>
      </c>
      <c r="F811" t="str">
        <f>"12211"</f>
        <v>12211</v>
      </c>
      <c r="G811" t="str">
        <f>"ABST FEE  12/28/17"</f>
        <v>ABST FEE  12/28/17</v>
      </c>
      <c r="H811">
        <v>175</v>
      </c>
      <c r="I811" t="str">
        <f>"ABST FEE  12/28/17"</f>
        <v>ABST FEE  12/28/17</v>
      </c>
    </row>
    <row r="812" spans="1:10" x14ac:dyDescent="0.3">
      <c r="A812" t="str">
        <f>""</f>
        <v/>
      </c>
      <c r="F812" t="str">
        <f>"12220"</f>
        <v>12220</v>
      </c>
      <c r="G812" t="str">
        <f>"ABST FEE  12/08/17"</f>
        <v>ABST FEE  12/08/17</v>
      </c>
      <c r="H812">
        <v>175</v>
      </c>
      <c r="I812" t="str">
        <f>"ABST FEE  12/08/17"</f>
        <v>ABST FEE  12/08/17</v>
      </c>
    </row>
    <row r="813" spans="1:10" x14ac:dyDescent="0.3">
      <c r="A813" t="str">
        <f>""</f>
        <v/>
      </c>
      <c r="F813" t="str">
        <f>"12265"</f>
        <v>12265</v>
      </c>
      <c r="G813" t="str">
        <f>"ABST FEE $175 SOS SERVICE $55"</f>
        <v>ABST FEE $175 SOS SERVICE $55</v>
      </c>
      <c r="H813">
        <v>230</v>
      </c>
      <c r="I813" t="str">
        <f>"ABST FEE $175 SOS SERVICE $55"</f>
        <v>ABST FEE $175 SOS SERVICE $55</v>
      </c>
    </row>
    <row r="814" spans="1:10" x14ac:dyDescent="0.3">
      <c r="A814" t="str">
        <f>""</f>
        <v/>
      </c>
      <c r="F814" t="str">
        <f>"12398"</f>
        <v>12398</v>
      </c>
      <c r="G814" t="str">
        <f>"ABST FEE  12/08/17"</f>
        <v>ABST FEE  12/08/17</v>
      </c>
      <c r="H814">
        <v>175</v>
      </c>
      <c r="I814" t="str">
        <f>"ABST FEE  12/08/17"</f>
        <v>ABST FEE  12/08/17</v>
      </c>
    </row>
    <row r="815" spans="1:10" x14ac:dyDescent="0.3">
      <c r="A815" t="str">
        <f>""</f>
        <v/>
      </c>
      <c r="F815" t="str">
        <f>"12433"</f>
        <v>12433</v>
      </c>
      <c r="G815" t="str">
        <f>"ABST FEE  12/08/17"</f>
        <v>ABST FEE  12/08/17</v>
      </c>
      <c r="H815">
        <v>175</v>
      </c>
      <c r="I815" t="str">
        <f>"ABST FEE  12/08/17"</f>
        <v>ABST FEE  12/08/17</v>
      </c>
    </row>
    <row r="816" spans="1:10" x14ac:dyDescent="0.3">
      <c r="A816" t="str">
        <f>""</f>
        <v/>
      </c>
      <c r="F816" t="str">
        <f>"12463"</f>
        <v>12463</v>
      </c>
      <c r="G816" t="str">
        <f>"ABST FEE  12/08/17"</f>
        <v>ABST FEE  12/08/17</v>
      </c>
      <c r="H816">
        <v>175</v>
      </c>
      <c r="I816" t="str">
        <f>"ABST FEE  12/08/17"</f>
        <v>ABST FEE  12/08/17</v>
      </c>
    </row>
    <row r="817" spans="1:10" x14ac:dyDescent="0.3">
      <c r="A817" t="str">
        <f>""</f>
        <v/>
      </c>
      <c r="F817" t="str">
        <f>"12496"</f>
        <v>12496</v>
      </c>
      <c r="G817" t="str">
        <f>"ABST FEE  12/08/17"</f>
        <v>ABST FEE  12/08/17</v>
      </c>
      <c r="H817">
        <v>175</v>
      </c>
      <c r="I817" t="str">
        <f>"ABST FEE  12/08/17"</f>
        <v>ABST FEE  12/08/17</v>
      </c>
    </row>
    <row r="818" spans="1:10" x14ac:dyDescent="0.3">
      <c r="A818" t="str">
        <f>""</f>
        <v/>
      </c>
      <c r="F818" t="str">
        <f>"12497"</f>
        <v>12497</v>
      </c>
      <c r="G818" t="str">
        <f>"ABST FEE  12/08/17"</f>
        <v>ABST FEE  12/08/17</v>
      </c>
      <c r="H818">
        <v>175</v>
      </c>
      <c r="I818" t="str">
        <f>"ABST FEE  12/08/17"</f>
        <v>ABST FEE  12/08/17</v>
      </c>
    </row>
    <row r="819" spans="1:10" x14ac:dyDescent="0.3">
      <c r="A819" t="str">
        <f>""</f>
        <v/>
      </c>
      <c r="F819" t="str">
        <f>"12645"</f>
        <v>12645</v>
      </c>
      <c r="G819" t="str">
        <f>"ABST FEE  01/05/18"</f>
        <v>ABST FEE  01/05/18</v>
      </c>
      <c r="H819">
        <v>225</v>
      </c>
      <c r="I819" t="str">
        <f>"ABST FEE  01/05/18"</f>
        <v>ABST FEE  01/05/18</v>
      </c>
    </row>
    <row r="820" spans="1:10" x14ac:dyDescent="0.3">
      <c r="A820" t="str">
        <f>""</f>
        <v/>
      </c>
      <c r="F820" t="str">
        <f>"12646"</f>
        <v>12646</v>
      </c>
      <c r="G820" t="str">
        <f>"ABST FEE  12/27/17"</f>
        <v>ABST FEE  12/27/17</v>
      </c>
      <c r="H820">
        <v>225</v>
      </c>
      <c r="I820" t="str">
        <f>"ABST FEE  12/27/17"</f>
        <v>ABST FEE  12/27/17</v>
      </c>
    </row>
    <row r="821" spans="1:10" x14ac:dyDescent="0.3">
      <c r="A821" t="str">
        <f>""</f>
        <v/>
      </c>
      <c r="F821" t="str">
        <f>"12801"</f>
        <v>12801</v>
      </c>
      <c r="G821" t="str">
        <f>"ABST FEE  01/02/18"</f>
        <v>ABST FEE  01/02/18</v>
      </c>
      <c r="H821">
        <v>225</v>
      </c>
      <c r="I821" t="str">
        <f>"ABST FEE  01/02/18"</f>
        <v>ABST FEE  01/02/18</v>
      </c>
    </row>
    <row r="822" spans="1:10" x14ac:dyDescent="0.3">
      <c r="A822" t="str">
        <f>""</f>
        <v/>
      </c>
      <c r="F822" t="str">
        <f>"12806"</f>
        <v>12806</v>
      </c>
      <c r="G822" t="str">
        <f>"ABST FEE  12/29/17"</f>
        <v>ABST FEE  12/29/17</v>
      </c>
      <c r="H822">
        <v>225</v>
      </c>
      <c r="I822" t="str">
        <f>"ABST FEE  12/29/17"</f>
        <v>ABST FEE  12/29/17</v>
      </c>
    </row>
    <row r="823" spans="1:10" x14ac:dyDescent="0.3">
      <c r="A823" t="str">
        <f>""</f>
        <v/>
      </c>
      <c r="F823" t="str">
        <f>"12835"</f>
        <v>12835</v>
      </c>
      <c r="G823" t="str">
        <f>"ABST FEE  12/22/17"</f>
        <v>ABST FEE  12/22/17</v>
      </c>
      <c r="H823">
        <v>225</v>
      </c>
      <c r="I823" t="str">
        <f>"ABST FEE  12/22/17"</f>
        <v>ABST FEE  12/22/17</v>
      </c>
    </row>
    <row r="824" spans="1:10" x14ac:dyDescent="0.3">
      <c r="A824" t="str">
        <f>"002271"</f>
        <v>002271</v>
      </c>
      <c r="B824" t="s">
        <v>283</v>
      </c>
      <c r="C824">
        <v>75706</v>
      </c>
      <c r="D824" s="2">
        <v>2132.69</v>
      </c>
      <c r="E824" s="1">
        <v>43171</v>
      </c>
      <c r="F824" t="str">
        <f>"201803079325"</f>
        <v>201803079325</v>
      </c>
      <c r="G824" t="str">
        <f>"INDIGENT HEALTH"</f>
        <v>INDIGENT HEALTH</v>
      </c>
      <c r="H824">
        <v>2132.69</v>
      </c>
      <c r="I824" t="str">
        <f>"INDIGENT HEALTH"</f>
        <v>INDIGENT HEALTH</v>
      </c>
    </row>
    <row r="825" spans="1:10" x14ac:dyDescent="0.3">
      <c r="A825" t="str">
        <f>"004930"</f>
        <v>004930</v>
      </c>
      <c r="B825" t="s">
        <v>284</v>
      </c>
      <c r="C825">
        <v>999999</v>
      </c>
      <c r="D825" s="2">
        <v>379.81</v>
      </c>
      <c r="E825" s="1">
        <v>43172</v>
      </c>
      <c r="F825" t="str">
        <f>"201803028918"</f>
        <v>201803028918</v>
      </c>
      <c r="G825" t="str">
        <f>"REIMBURSE FOOD/LODGING"</f>
        <v>REIMBURSE FOOD/LODGING</v>
      </c>
      <c r="H825">
        <v>379.81</v>
      </c>
      <c r="I825" t="str">
        <f>"REIMBURSE FOOD/LODGING"</f>
        <v>REIMBURSE FOOD/LODGING</v>
      </c>
    </row>
    <row r="826" spans="1:10" x14ac:dyDescent="0.3">
      <c r="A826" t="str">
        <f>"003745"</f>
        <v>003745</v>
      </c>
      <c r="B826" t="s">
        <v>285</v>
      </c>
      <c r="C826">
        <v>75707</v>
      </c>
      <c r="D826" s="2">
        <v>25</v>
      </c>
      <c r="E826" s="1">
        <v>43171</v>
      </c>
      <c r="F826" t="s">
        <v>212</v>
      </c>
      <c r="G826" t="s">
        <v>244</v>
      </c>
      <c r="H826" t="str">
        <f>"RESTITUTION-D. SPURK"</f>
        <v>RESTITUTION-D. SPURK</v>
      </c>
      <c r="I826" t="str">
        <f>"210-0000"</f>
        <v>210-0000</v>
      </c>
      <c r="J826" t="str">
        <f>""</f>
        <v/>
      </c>
    </row>
    <row r="827" spans="1:10" x14ac:dyDescent="0.3">
      <c r="A827" t="str">
        <f>"MF"</f>
        <v>MF</v>
      </c>
      <c r="B827" t="s">
        <v>286</v>
      </c>
      <c r="C827">
        <v>999999</v>
      </c>
      <c r="D827" s="2">
        <v>154</v>
      </c>
      <c r="E827" s="1">
        <v>43172</v>
      </c>
      <c r="F827" t="str">
        <f>"18-012"</f>
        <v>18-012</v>
      </c>
      <c r="G827" t="str">
        <f>"CAUSE#423-3367"</f>
        <v>CAUSE#423-3367</v>
      </c>
      <c r="H827">
        <v>154</v>
      </c>
      <c r="I827" t="str">
        <f>"CAUSE#423-3367"</f>
        <v>CAUSE#423-3367</v>
      </c>
    </row>
    <row r="828" spans="1:10" x14ac:dyDescent="0.3">
      <c r="A828" t="str">
        <f>"002312"</f>
        <v>002312</v>
      </c>
      <c r="B828" t="s">
        <v>287</v>
      </c>
      <c r="C828">
        <v>75708</v>
      </c>
      <c r="D828" s="2">
        <v>43676.2</v>
      </c>
      <c r="E828" s="1">
        <v>43171</v>
      </c>
      <c r="F828" t="str">
        <f>"16437"</f>
        <v>16437</v>
      </c>
      <c r="G828" t="str">
        <f t="shared" ref="G828:G834" si="8">"FREIGHT SALES/PCT#2"</f>
        <v>FREIGHT SALES/PCT#2</v>
      </c>
      <c r="H828">
        <v>10336.959999999999</v>
      </c>
      <c r="I828" t="str">
        <f t="shared" ref="I828:I834" si="9">"FREIGHT SALES/PCT#2"</f>
        <v>FREIGHT SALES/PCT#2</v>
      </c>
    </row>
    <row r="829" spans="1:10" x14ac:dyDescent="0.3">
      <c r="A829" t="str">
        <f>""</f>
        <v/>
      </c>
      <c r="F829" t="str">
        <f>"16438"</f>
        <v>16438</v>
      </c>
      <c r="G829" t="str">
        <f t="shared" si="8"/>
        <v>FREIGHT SALES/PCT#2</v>
      </c>
      <c r="H829">
        <v>927.72</v>
      </c>
      <c r="I829" t="str">
        <f t="shared" si="9"/>
        <v>FREIGHT SALES/PCT#2</v>
      </c>
    </row>
    <row r="830" spans="1:10" x14ac:dyDescent="0.3">
      <c r="A830" t="str">
        <f>""</f>
        <v/>
      </c>
      <c r="F830" t="str">
        <f>"16452"</f>
        <v>16452</v>
      </c>
      <c r="G830" t="str">
        <f t="shared" si="8"/>
        <v>FREIGHT SALES/PCT#2</v>
      </c>
      <c r="H830">
        <v>10111.200000000001</v>
      </c>
      <c r="I830" t="str">
        <f t="shared" si="9"/>
        <v>FREIGHT SALES/PCT#2</v>
      </c>
    </row>
    <row r="831" spans="1:10" x14ac:dyDescent="0.3">
      <c r="A831" t="str">
        <f>""</f>
        <v/>
      </c>
      <c r="F831" t="str">
        <f>"16453"</f>
        <v>16453</v>
      </c>
      <c r="G831" t="str">
        <f t="shared" si="8"/>
        <v>FREIGHT SALES/PCT#2</v>
      </c>
      <c r="H831">
        <v>4770.8</v>
      </c>
      <c r="I831" t="str">
        <f t="shared" si="9"/>
        <v>FREIGHT SALES/PCT#2</v>
      </c>
    </row>
    <row r="832" spans="1:10" x14ac:dyDescent="0.3">
      <c r="A832" t="str">
        <f>""</f>
        <v/>
      </c>
      <c r="F832" t="str">
        <f>"16494"</f>
        <v>16494</v>
      </c>
      <c r="G832" t="str">
        <f t="shared" si="8"/>
        <v>FREIGHT SALES/PCT#2</v>
      </c>
      <c r="H832">
        <v>9650.32</v>
      </c>
      <c r="I832" t="str">
        <f t="shared" si="9"/>
        <v>FREIGHT SALES/PCT#2</v>
      </c>
    </row>
    <row r="833" spans="1:9" x14ac:dyDescent="0.3">
      <c r="A833" t="str">
        <f>""</f>
        <v/>
      </c>
      <c r="F833" t="str">
        <f>"16518"</f>
        <v>16518</v>
      </c>
      <c r="G833" t="str">
        <f t="shared" si="8"/>
        <v>FREIGHT SALES/PCT#2</v>
      </c>
      <c r="H833">
        <v>7879.2</v>
      </c>
      <c r="I833" t="str">
        <f t="shared" si="9"/>
        <v>FREIGHT SALES/PCT#2</v>
      </c>
    </row>
    <row r="834" spans="1:9" x14ac:dyDescent="0.3">
      <c r="A834" t="str">
        <f>"002312"</f>
        <v>002312</v>
      </c>
      <c r="B834" t="s">
        <v>287</v>
      </c>
      <c r="C834">
        <v>75912</v>
      </c>
      <c r="D834" s="2">
        <v>48013.36</v>
      </c>
      <c r="E834" s="1">
        <v>43185</v>
      </c>
      <c r="F834" t="str">
        <f>"16544"</f>
        <v>16544</v>
      </c>
      <c r="G834" t="str">
        <f t="shared" si="8"/>
        <v>FREIGHT SALES/PCT#2</v>
      </c>
      <c r="H834">
        <v>12358.08</v>
      </c>
      <c r="I834" t="str">
        <f t="shared" si="9"/>
        <v>FREIGHT SALES/PCT#2</v>
      </c>
    </row>
    <row r="835" spans="1:9" x14ac:dyDescent="0.3">
      <c r="A835" t="str">
        <f>""</f>
        <v/>
      </c>
      <c r="F835" t="str">
        <f>"16550"</f>
        <v>16550</v>
      </c>
      <c r="G835" t="str">
        <f>"FREIGHT SALES/PCT#1"</f>
        <v>FREIGHT SALES/PCT#1</v>
      </c>
      <c r="H835">
        <v>9014.7199999999993</v>
      </c>
      <c r="I835" t="str">
        <f>"FREIGHT SALES/PCT#1"</f>
        <v>FREIGHT SALES/PCT#1</v>
      </c>
    </row>
    <row r="836" spans="1:9" x14ac:dyDescent="0.3">
      <c r="A836" t="str">
        <f>""</f>
        <v/>
      </c>
      <c r="F836" t="str">
        <f>"16551"</f>
        <v>16551</v>
      </c>
      <c r="G836" t="str">
        <f>"FREIGHT SALES/PCT#2"</f>
        <v>FREIGHT SALES/PCT#2</v>
      </c>
      <c r="H836">
        <v>4925.6000000000004</v>
      </c>
      <c r="I836" t="str">
        <f>"FREIGHT SALES/PCT#2"</f>
        <v>FREIGHT SALES/PCT#2</v>
      </c>
    </row>
    <row r="837" spans="1:9" x14ac:dyDescent="0.3">
      <c r="A837" t="str">
        <f>""</f>
        <v/>
      </c>
      <c r="F837" t="str">
        <f>"16585"</f>
        <v>16585</v>
      </c>
      <c r="G837" t="str">
        <f>"FREIGHT SALES/PCT#2"</f>
        <v>FREIGHT SALES/PCT#2</v>
      </c>
      <c r="H837">
        <v>2241.36</v>
      </c>
      <c r="I837" t="str">
        <f>"FREIGHT SALES/PCT#2"</f>
        <v>FREIGHT SALES/PCT#2</v>
      </c>
    </row>
    <row r="838" spans="1:9" x14ac:dyDescent="0.3">
      <c r="A838" t="str">
        <f>""</f>
        <v/>
      </c>
      <c r="F838" t="str">
        <f>"16586"</f>
        <v>16586</v>
      </c>
      <c r="G838" t="str">
        <f>"FREIGHT SALES/ PCT#2"</f>
        <v>FREIGHT SALES/ PCT#2</v>
      </c>
      <c r="H838">
        <v>1728.4</v>
      </c>
      <c r="I838" t="str">
        <f>"FREIGHT SALES/ PCT#2"</f>
        <v>FREIGHT SALES/ PCT#2</v>
      </c>
    </row>
    <row r="839" spans="1:9" x14ac:dyDescent="0.3">
      <c r="A839" t="str">
        <f>""</f>
        <v/>
      </c>
      <c r="F839" t="str">
        <f>"16600"</f>
        <v>16600</v>
      </c>
      <c r="G839" t="str">
        <f>"FREIGHT SALES/PCT#2"</f>
        <v>FREIGHT SALES/PCT#2</v>
      </c>
      <c r="H839">
        <v>8857.92</v>
      </c>
      <c r="I839" t="str">
        <f>"FREIGHT SALES/PCT#2"</f>
        <v>FREIGHT SALES/PCT#2</v>
      </c>
    </row>
    <row r="840" spans="1:9" x14ac:dyDescent="0.3">
      <c r="A840" t="str">
        <f>""</f>
        <v/>
      </c>
      <c r="F840" t="str">
        <f>"16601"</f>
        <v>16601</v>
      </c>
      <c r="G840" t="str">
        <f>"FREIGHT SALES/ PCT#2"</f>
        <v>FREIGHT SALES/ PCT#2</v>
      </c>
      <c r="H840">
        <v>3889.04</v>
      </c>
      <c r="I840" t="str">
        <f>"FREIGHT SALES/ PCT#2"</f>
        <v>FREIGHT SALES/ PCT#2</v>
      </c>
    </row>
    <row r="841" spans="1:9" x14ac:dyDescent="0.3">
      <c r="A841" t="str">
        <f>""</f>
        <v/>
      </c>
      <c r="F841" t="str">
        <f>"16602"</f>
        <v>16602</v>
      </c>
      <c r="G841" t="str">
        <f>"FREIGHT SALES/PCT#2"</f>
        <v>FREIGHT SALES/PCT#2</v>
      </c>
      <c r="H841">
        <v>4809.5200000000004</v>
      </c>
      <c r="I841" t="str">
        <f>"FREIGHT SALES/PCT#2"</f>
        <v>FREIGHT SALES/PCT#2</v>
      </c>
    </row>
    <row r="842" spans="1:9" x14ac:dyDescent="0.3">
      <c r="A842" t="str">
        <f>""</f>
        <v/>
      </c>
      <c r="F842" t="str">
        <f>"16646"</f>
        <v>16646</v>
      </c>
      <c r="G842" t="str">
        <f>"FREIGHT SALES/PCT#2"</f>
        <v>FREIGHT SALES/PCT#2</v>
      </c>
      <c r="H842">
        <v>188.72</v>
      </c>
      <c r="I842" t="str">
        <f>"FREIGHT SALES/PCT#2"</f>
        <v>FREIGHT SALES/PCT#2</v>
      </c>
    </row>
    <row r="843" spans="1:9" x14ac:dyDescent="0.3">
      <c r="A843" t="str">
        <f>"000754"</f>
        <v>000754</v>
      </c>
      <c r="B843" t="s">
        <v>288</v>
      </c>
      <c r="C843">
        <v>75709</v>
      </c>
      <c r="D843" s="2">
        <v>4200</v>
      </c>
      <c r="E843" s="1">
        <v>43171</v>
      </c>
      <c r="F843" t="str">
        <f>"201803028917"</f>
        <v>201803028917</v>
      </c>
      <c r="G843" t="str">
        <f>"HCP (TOAD) SURVEY BILLING"</f>
        <v>HCP (TOAD) SURVEY BILLING</v>
      </c>
      <c r="H843">
        <v>4200</v>
      </c>
      <c r="I843" t="str">
        <f>"HCP (TOAD) SURVEY BILLING"</f>
        <v>HCP (TOAD) SURVEY BILLING</v>
      </c>
    </row>
    <row r="844" spans="1:9" x14ac:dyDescent="0.3">
      <c r="A844" t="str">
        <f>"000754"</f>
        <v>000754</v>
      </c>
      <c r="B844" t="s">
        <v>288</v>
      </c>
      <c r="C844">
        <v>75913</v>
      </c>
      <c r="D844" s="2">
        <v>3155.72</v>
      </c>
      <c r="E844" s="1">
        <v>43185</v>
      </c>
      <c r="F844" t="str">
        <f>"201803169652"</f>
        <v>201803169652</v>
      </c>
      <c r="G844" t="str">
        <f>"PINE SHADOWS REPAIRS 2018/PCT2"</f>
        <v>PINE SHADOWS REPAIRS 2018/PCT2</v>
      </c>
      <c r="H844">
        <v>3155.72</v>
      </c>
      <c r="I844" t="str">
        <f>"PINE SHADOWS REPAIRS 2018/PCT2"</f>
        <v>PINE SHADOWS REPAIRS 2018/PCT2</v>
      </c>
    </row>
    <row r="845" spans="1:9" x14ac:dyDescent="0.3">
      <c r="A845" t="str">
        <f>"MU&amp;E"</f>
        <v>MU&amp;E</v>
      </c>
      <c r="B845" t="s">
        <v>289</v>
      </c>
      <c r="C845">
        <v>999999</v>
      </c>
      <c r="D845" s="2">
        <v>1166.71</v>
      </c>
      <c r="E845" s="1">
        <v>43172</v>
      </c>
      <c r="F845" t="str">
        <f>"100655"</f>
        <v>100655</v>
      </c>
      <c r="G845" t="str">
        <f>"INV 100655"</f>
        <v>INV 100655</v>
      </c>
      <c r="H845">
        <v>349</v>
      </c>
      <c r="I845" t="str">
        <f>"INV 100655"</f>
        <v>INV 100655</v>
      </c>
    </row>
    <row r="846" spans="1:9" x14ac:dyDescent="0.3">
      <c r="A846" t="str">
        <f>""</f>
        <v/>
      </c>
      <c r="F846" t="str">
        <f>"101896"</f>
        <v>101896</v>
      </c>
      <c r="G846" t="str">
        <f>"INV 101896"</f>
        <v>INV 101896</v>
      </c>
      <c r="H846">
        <v>89.5</v>
      </c>
      <c r="I846" t="str">
        <f>"INV 101896"</f>
        <v>INV 101896</v>
      </c>
    </row>
    <row r="847" spans="1:9" x14ac:dyDescent="0.3">
      <c r="A847" t="str">
        <f>""</f>
        <v/>
      </c>
      <c r="F847" t="str">
        <f>"101977"</f>
        <v>101977</v>
      </c>
      <c r="G847" t="str">
        <f>"INV 101977"</f>
        <v>INV 101977</v>
      </c>
      <c r="H847">
        <v>371</v>
      </c>
      <c r="I847" t="str">
        <f>"INV 101977"</f>
        <v>INV 101977</v>
      </c>
    </row>
    <row r="848" spans="1:9" x14ac:dyDescent="0.3">
      <c r="A848" t="str">
        <f>""</f>
        <v/>
      </c>
      <c r="F848" t="str">
        <f>"102512"</f>
        <v>102512</v>
      </c>
      <c r="G848" t="str">
        <f>"INV 102512"</f>
        <v>INV 102512</v>
      </c>
      <c r="H848">
        <v>78.73</v>
      </c>
      <c r="I848" t="str">
        <f>"INV 102512"</f>
        <v>INV 102512</v>
      </c>
    </row>
    <row r="849" spans="1:9" x14ac:dyDescent="0.3">
      <c r="A849" t="str">
        <f>""</f>
        <v/>
      </c>
      <c r="F849" t="str">
        <f>"102513"</f>
        <v>102513</v>
      </c>
      <c r="G849" t="str">
        <f>"INV 102513"</f>
        <v>INV 102513</v>
      </c>
      <c r="H849">
        <v>69.98</v>
      </c>
      <c r="I849" t="str">
        <f>"INV 102513"</f>
        <v>INV 102513</v>
      </c>
    </row>
    <row r="850" spans="1:9" x14ac:dyDescent="0.3">
      <c r="A850" t="str">
        <f>""</f>
        <v/>
      </c>
      <c r="F850" t="str">
        <f>"102516"</f>
        <v>102516</v>
      </c>
      <c r="G850" t="str">
        <f>"INV 102516"</f>
        <v>INV 102516</v>
      </c>
      <c r="H850">
        <v>208.5</v>
      </c>
      <c r="I850" t="str">
        <f>"INV 102516"</f>
        <v>INV 102516</v>
      </c>
    </row>
    <row r="851" spans="1:9" x14ac:dyDescent="0.3">
      <c r="A851" t="str">
        <f>"MU&amp;E"</f>
        <v>MU&amp;E</v>
      </c>
      <c r="B851" t="s">
        <v>289</v>
      </c>
      <c r="C851">
        <v>999999</v>
      </c>
      <c r="D851" s="2">
        <v>2228.42</v>
      </c>
      <c r="E851" s="1">
        <v>43186</v>
      </c>
      <c r="F851" t="str">
        <f>"100591/102264"</f>
        <v>100591/102264</v>
      </c>
      <c r="G851" t="str">
        <f>"INV 100591/102264"</f>
        <v>INV 100591/102264</v>
      </c>
      <c r="H851">
        <v>651</v>
      </c>
      <c r="I851" t="str">
        <f>"INV 100591"</f>
        <v>INV 100591</v>
      </c>
    </row>
    <row r="852" spans="1:9" x14ac:dyDescent="0.3">
      <c r="A852" t="str">
        <f>""</f>
        <v/>
      </c>
      <c r="F852" t="str">
        <f>""</f>
        <v/>
      </c>
      <c r="G852" t="str">
        <f>""</f>
        <v/>
      </c>
      <c r="I852" t="str">
        <f>"INV 102264"</f>
        <v>INV 102264</v>
      </c>
    </row>
    <row r="853" spans="1:9" x14ac:dyDescent="0.3">
      <c r="A853" t="str">
        <f>""</f>
        <v/>
      </c>
      <c r="F853" t="str">
        <f>"103055"</f>
        <v>103055</v>
      </c>
      <c r="G853" t="str">
        <f>"INV 103055"</f>
        <v>INV 103055</v>
      </c>
      <c r="H853">
        <v>40</v>
      </c>
      <c r="I853" t="str">
        <f>"INV 103055"</f>
        <v>INV 103055</v>
      </c>
    </row>
    <row r="854" spans="1:9" x14ac:dyDescent="0.3">
      <c r="A854" t="str">
        <f>""</f>
        <v/>
      </c>
      <c r="F854" t="str">
        <f>"103203"</f>
        <v>103203</v>
      </c>
      <c r="G854" t="str">
        <f>"INV 103203"</f>
        <v>INV 103203</v>
      </c>
      <c r="H854">
        <v>635</v>
      </c>
      <c r="I854" t="str">
        <f>"INV 103203"</f>
        <v>INV 103203</v>
      </c>
    </row>
    <row r="855" spans="1:9" x14ac:dyDescent="0.3">
      <c r="A855" t="str">
        <f>""</f>
        <v/>
      </c>
      <c r="F855" t="str">
        <f>"103449"</f>
        <v>103449</v>
      </c>
      <c r="G855" t="str">
        <f>"INV 103449"</f>
        <v>INV 103449</v>
      </c>
      <c r="H855">
        <v>289.5</v>
      </c>
      <c r="I855" t="str">
        <f>"INV 103449"</f>
        <v>INV 103449</v>
      </c>
    </row>
    <row r="856" spans="1:9" x14ac:dyDescent="0.3">
      <c r="A856" t="str">
        <f>""</f>
        <v/>
      </c>
      <c r="F856" t="str">
        <f>"103582"</f>
        <v>103582</v>
      </c>
      <c r="G856" t="str">
        <f>"INV 103582"</f>
        <v>INV 103582</v>
      </c>
      <c r="H856">
        <v>36</v>
      </c>
      <c r="I856" t="str">
        <f>"INV 103582"</f>
        <v>INV 103582</v>
      </c>
    </row>
    <row r="857" spans="1:9" x14ac:dyDescent="0.3">
      <c r="A857" t="str">
        <f>""</f>
        <v/>
      </c>
      <c r="F857" t="str">
        <f>"103583"</f>
        <v>103583</v>
      </c>
      <c r="G857" t="str">
        <f>"INV 103583"</f>
        <v>INV 103583</v>
      </c>
      <c r="H857">
        <v>151</v>
      </c>
      <c r="I857" t="str">
        <f>"INV 103583"</f>
        <v>INV 103583</v>
      </c>
    </row>
    <row r="858" spans="1:9" x14ac:dyDescent="0.3">
      <c r="A858" t="str">
        <f>""</f>
        <v/>
      </c>
      <c r="F858" t="str">
        <f>"103584"</f>
        <v>103584</v>
      </c>
      <c r="G858" t="str">
        <f>"INV 103584"</f>
        <v>INV 103584</v>
      </c>
      <c r="H858">
        <v>12</v>
      </c>
      <c r="I858" t="str">
        <f>"INV 103584"</f>
        <v>INV 103584</v>
      </c>
    </row>
    <row r="859" spans="1:9" x14ac:dyDescent="0.3">
      <c r="A859" t="str">
        <f>""</f>
        <v/>
      </c>
      <c r="F859" t="str">
        <f>"103610"</f>
        <v>103610</v>
      </c>
      <c r="G859" t="str">
        <f>"INV 103610"</f>
        <v>INV 103610</v>
      </c>
      <c r="H859">
        <v>313.94</v>
      </c>
      <c r="I859" t="str">
        <f>"INV 103610"</f>
        <v>INV 103610</v>
      </c>
    </row>
    <row r="860" spans="1:9" x14ac:dyDescent="0.3">
      <c r="A860" t="str">
        <f>""</f>
        <v/>
      </c>
      <c r="F860" t="str">
        <f>"103914"</f>
        <v>103914</v>
      </c>
      <c r="G860" t="str">
        <f>"INV 103914"</f>
        <v>INV 103914</v>
      </c>
      <c r="H860">
        <v>99.98</v>
      </c>
      <c r="I860" t="str">
        <f>"INV 103914"</f>
        <v>INV 103914</v>
      </c>
    </row>
    <row r="861" spans="1:9" x14ac:dyDescent="0.3">
      <c r="A861" t="str">
        <f t="shared" ref="A861:A892" si="10">"1"</f>
        <v>1</v>
      </c>
      <c r="B861" t="s">
        <v>290</v>
      </c>
      <c r="C861">
        <v>75504</v>
      </c>
      <c r="D861" s="2">
        <v>54</v>
      </c>
      <c r="E861" s="1">
        <v>43172</v>
      </c>
      <c r="F861" t="str">
        <f>"201803099533"</f>
        <v>201803099533</v>
      </c>
      <c r="G861" t="str">
        <f>"Miscell"</f>
        <v>Miscell</v>
      </c>
      <c r="H861">
        <v>54</v>
      </c>
      <c r="I861" t="str">
        <f>"Family Crisis Center"</f>
        <v>Family Crisis Center</v>
      </c>
    </row>
    <row r="862" spans="1:9" x14ac:dyDescent="0.3">
      <c r="A862" t="str">
        <f t="shared" si="10"/>
        <v>1</v>
      </c>
      <c r="B862" t="s">
        <v>291</v>
      </c>
      <c r="C862">
        <v>75505</v>
      </c>
      <c r="D862" s="2">
        <v>234</v>
      </c>
      <c r="E862" s="1">
        <v>43172</v>
      </c>
      <c r="F862" t="str">
        <f>"201803099534"</f>
        <v>201803099534</v>
      </c>
      <c r="G862" t="str">
        <f>"M"</f>
        <v>M</v>
      </c>
      <c r="H862">
        <v>234</v>
      </c>
      <c r="I862" t="str">
        <f>"Children's Advocacy Center"</f>
        <v>Children's Advocacy Center</v>
      </c>
    </row>
    <row r="863" spans="1:9" x14ac:dyDescent="0.3">
      <c r="A863" t="str">
        <f t="shared" si="10"/>
        <v>1</v>
      </c>
      <c r="B863" t="s">
        <v>292</v>
      </c>
      <c r="C863">
        <v>75506</v>
      </c>
      <c r="D863" s="2">
        <v>60</v>
      </c>
      <c r="E863" s="1">
        <v>43172</v>
      </c>
      <c r="F863" t="str">
        <f>"201803099535"</f>
        <v>201803099535</v>
      </c>
      <c r="G863" t="str">
        <f>""</f>
        <v/>
      </c>
      <c r="H863">
        <v>60</v>
      </c>
      <c r="I863" t="str">
        <f>"COURT APPOINTED SPECIAL ADVOCA"</f>
        <v>COURT APPOINTED SPECIAL ADVOCA</v>
      </c>
    </row>
    <row r="864" spans="1:9" x14ac:dyDescent="0.3">
      <c r="A864" t="str">
        <f t="shared" si="10"/>
        <v>1</v>
      </c>
      <c r="B864" t="s">
        <v>293</v>
      </c>
      <c r="C864">
        <v>75507</v>
      </c>
      <c r="D864" s="2">
        <v>36</v>
      </c>
      <c r="E864" s="1">
        <v>43172</v>
      </c>
      <c r="F864" t="str">
        <f>"201803099536"</f>
        <v>201803099536</v>
      </c>
      <c r="G864" t="str">
        <f>"Mi"</f>
        <v>Mi</v>
      </c>
      <c r="H864">
        <v>36</v>
      </c>
      <c r="I864" t="str">
        <f>"Child Protective Services"</f>
        <v>Child Protective Services</v>
      </c>
    </row>
    <row r="865" spans="1:9" x14ac:dyDescent="0.3">
      <c r="A865" t="str">
        <f t="shared" si="10"/>
        <v>1</v>
      </c>
      <c r="B865" t="s">
        <v>294</v>
      </c>
      <c r="C865">
        <v>75508</v>
      </c>
      <c r="D865" s="2">
        <v>126</v>
      </c>
      <c r="E865" s="1">
        <v>43172</v>
      </c>
      <c r="F865" t="str">
        <f>"201803099537"</f>
        <v>201803099537</v>
      </c>
      <c r="G865" t="str">
        <f>"Miscellan"</f>
        <v>Miscellan</v>
      </c>
      <c r="H865">
        <v>126</v>
      </c>
      <c r="I865" t="str">
        <f>"KEVIN DWAYNE URBAN"</f>
        <v>KEVIN DWAYNE URBAN</v>
      </c>
    </row>
    <row r="866" spans="1:9" x14ac:dyDescent="0.3">
      <c r="A866" t="str">
        <f t="shared" si="10"/>
        <v>1</v>
      </c>
      <c r="B866" t="s">
        <v>295</v>
      </c>
      <c r="C866">
        <v>75509</v>
      </c>
      <c r="D866" s="2">
        <v>6</v>
      </c>
      <c r="E866" s="1">
        <v>43172</v>
      </c>
      <c r="F866" t="str">
        <f>"201803099538"</f>
        <v>201803099538</v>
      </c>
      <c r="G866" t="str">
        <f>"Miscella"</f>
        <v>Miscella</v>
      </c>
      <c r="H866">
        <v>6</v>
      </c>
      <c r="I866" t="str">
        <f>"MATTHEW WADE BURROW"</f>
        <v>MATTHEW WADE BURROW</v>
      </c>
    </row>
    <row r="867" spans="1:9" x14ac:dyDescent="0.3">
      <c r="A867" t="str">
        <f t="shared" si="10"/>
        <v>1</v>
      </c>
      <c r="B867" t="s">
        <v>296</v>
      </c>
      <c r="C867">
        <v>75510</v>
      </c>
      <c r="D867" s="2">
        <v>6</v>
      </c>
      <c r="E867" s="1">
        <v>43172</v>
      </c>
      <c r="F867" t="str">
        <f>"201803099539"</f>
        <v>201803099539</v>
      </c>
      <c r="G867" t="str">
        <f>"Miscellan"</f>
        <v>Miscellan</v>
      </c>
      <c r="H867">
        <v>6</v>
      </c>
      <c r="I867" t="str">
        <f>"JAMES PETER TALBOT"</f>
        <v>JAMES PETER TALBOT</v>
      </c>
    </row>
    <row r="868" spans="1:9" x14ac:dyDescent="0.3">
      <c r="A868" t="str">
        <f t="shared" si="10"/>
        <v>1</v>
      </c>
      <c r="B868" t="s">
        <v>297</v>
      </c>
      <c r="C868">
        <v>75511</v>
      </c>
      <c r="D868" s="2">
        <v>6</v>
      </c>
      <c r="E868" s="1">
        <v>43172</v>
      </c>
      <c r="F868" t="str">
        <f>"201803099540"</f>
        <v>201803099540</v>
      </c>
      <c r="G868" t="str">
        <f>"Misce"</f>
        <v>Misce</v>
      </c>
      <c r="H868">
        <v>6</v>
      </c>
      <c r="I868" t="str">
        <f>"WILLIAM BRANDON WILSON"</f>
        <v>WILLIAM BRANDON WILSON</v>
      </c>
    </row>
    <row r="869" spans="1:9" x14ac:dyDescent="0.3">
      <c r="A869" t="str">
        <f t="shared" si="10"/>
        <v>1</v>
      </c>
      <c r="B869" t="s">
        <v>298</v>
      </c>
      <c r="C869">
        <v>75512</v>
      </c>
      <c r="D869" s="2">
        <v>6</v>
      </c>
      <c r="E869" s="1">
        <v>43172</v>
      </c>
      <c r="F869" t="str">
        <f>"201803099541"</f>
        <v>201803099541</v>
      </c>
      <c r="G869" t="str">
        <f>"Miscell"</f>
        <v>Miscell</v>
      </c>
      <c r="H869">
        <v>6</v>
      </c>
      <c r="I869" t="str">
        <f>"CINDY KRAUSE SCROGUM"</f>
        <v>CINDY KRAUSE SCROGUM</v>
      </c>
    </row>
    <row r="870" spans="1:9" x14ac:dyDescent="0.3">
      <c r="A870" t="str">
        <f t="shared" si="10"/>
        <v>1</v>
      </c>
      <c r="B870" t="s">
        <v>299</v>
      </c>
      <c r="C870">
        <v>75513</v>
      </c>
      <c r="D870" s="2">
        <v>6</v>
      </c>
      <c r="E870" s="1">
        <v>43172</v>
      </c>
      <c r="F870" t="str">
        <f>"201803099542"</f>
        <v>201803099542</v>
      </c>
      <c r="G870" t="str">
        <f>"Miscell"</f>
        <v>Miscell</v>
      </c>
      <c r="H870">
        <v>6</v>
      </c>
      <c r="I870" t="str">
        <f>"THEOL RAY JACKMAN II"</f>
        <v>THEOL RAY JACKMAN II</v>
      </c>
    </row>
    <row r="871" spans="1:9" x14ac:dyDescent="0.3">
      <c r="A871" t="str">
        <f t="shared" si="10"/>
        <v>1</v>
      </c>
      <c r="B871" t="s">
        <v>300</v>
      </c>
      <c r="C871">
        <v>75514</v>
      </c>
      <c r="D871" s="2">
        <v>6</v>
      </c>
      <c r="E871" s="1">
        <v>43172</v>
      </c>
      <c r="F871" t="str">
        <f>"201803099543"</f>
        <v>201803099543</v>
      </c>
      <c r="G871" t="str">
        <f>"Miscel"</f>
        <v>Miscel</v>
      </c>
      <c r="H871">
        <v>6</v>
      </c>
      <c r="I871" t="str">
        <f>"MICHAEL SCOTT EARNEST"</f>
        <v>MICHAEL SCOTT EARNEST</v>
      </c>
    </row>
    <row r="872" spans="1:9" x14ac:dyDescent="0.3">
      <c r="A872" t="str">
        <f t="shared" si="10"/>
        <v>1</v>
      </c>
      <c r="B872" t="s">
        <v>301</v>
      </c>
      <c r="C872">
        <v>75515</v>
      </c>
      <c r="D872" s="2">
        <v>6</v>
      </c>
      <c r="E872" s="1">
        <v>43172</v>
      </c>
      <c r="F872" t="str">
        <f>"201803099544"</f>
        <v>201803099544</v>
      </c>
      <c r="G872" t="str">
        <f>"Miscella"</f>
        <v>Miscella</v>
      </c>
      <c r="H872">
        <v>6</v>
      </c>
      <c r="I872" t="str">
        <f>"KIMBERLY JO GRIFFIN"</f>
        <v>KIMBERLY JO GRIFFIN</v>
      </c>
    </row>
    <row r="873" spans="1:9" x14ac:dyDescent="0.3">
      <c r="A873" t="str">
        <f t="shared" si="10"/>
        <v>1</v>
      </c>
      <c r="B873" t="s">
        <v>302</v>
      </c>
      <c r="C873">
        <v>75516</v>
      </c>
      <c r="D873" s="2">
        <v>6</v>
      </c>
      <c r="E873" s="1">
        <v>43172</v>
      </c>
      <c r="F873" t="str">
        <f>"201803099545"</f>
        <v>201803099545</v>
      </c>
      <c r="G873" t="str">
        <f>"Misce"</f>
        <v>Misce</v>
      </c>
      <c r="H873">
        <v>6</v>
      </c>
      <c r="I873" t="str">
        <f>"ELIZABETH FABIAN GOMEZ"</f>
        <v>ELIZABETH FABIAN GOMEZ</v>
      </c>
    </row>
    <row r="874" spans="1:9" x14ac:dyDescent="0.3">
      <c r="A874" t="str">
        <f t="shared" si="10"/>
        <v>1</v>
      </c>
      <c r="B874" t="s">
        <v>303</v>
      </c>
      <c r="C874">
        <v>75517</v>
      </c>
      <c r="D874" s="2">
        <v>6</v>
      </c>
      <c r="E874" s="1">
        <v>43172</v>
      </c>
      <c r="F874" t="str">
        <f>"201803099546"</f>
        <v>201803099546</v>
      </c>
      <c r="G874" t="str">
        <f>"Miscellane"</f>
        <v>Miscellane</v>
      </c>
      <c r="H874">
        <v>6</v>
      </c>
      <c r="I874" t="str">
        <f>"GARRY LINN HANNAN"</f>
        <v>GARRY LINN HANNAN</v>
      </c>
    </row>
    <row r="875" spans="1:9" x14ac:dyDescent="0.3">
      <c r="A875" t="str">
        <f t="shared" si="10"/>
        <v>1</v>
      </c>
      <c r="B875" t="s">
        <v>304</v>
      </c>
      <c r="C875">
        <v>75518</v>
      </c>
      <c r="D875" s="2">
        <v>6</v>
      </c>
      <c r="E875" s="1">
        <v>43172</v>
      </c>
      <c r="F875" t="str">
        <f>"201803099547"</f>
        <v>201803099547</v>
      </c>
      <c r="G875" t="str">
        <f>"Misc"</f>
        <v>Misc</v>
      </c>
      <c r="H875">
        <v>6</v>
      </c>
      <c r="I875" t="str">
        <f>"CLIFFORD ERWIN HALBROOK"</f>
        <v>CLIFFORD ERWIN HALBROOK</v>
      </c>
    </row>
    <row r="876" spans="1:9" x14ac:dyDescent="0.3">
      <c r="A876" t="str">
        <f t="shared" si="10"/>
        <v>1</v>
      </c>
      <c r="B876" t="s">
        <v>305</v>
      </c>
      <c r="C876">
        <v>75519</v>
      </c>
      <c r="D876" s="2">
        <v>6</v>
      </c>
      <c r="E876" s="1">
        <v>43172</v>
      </c>
      <c r="F876" t="str">
        <f>"201803099548"</f>
        <v>201803099548</v>
      </c>
      <c r="G876" t="str">
        <f>"Miscel"</f>
        <v>Miscel</v>
      </c>
      <c r="H876">
        <v>6</v>
      </c>
      <c r="I876" t="str">
        <f>"CLIFFORD ALLEN REESER"</f>
        <v>CLIFFORD ALLEN REESER</v>
      </c>
    </row>
    <row r="877" spans="1:9" x14ac:dyDescent="0.3">
      <c r="A877" t="str">
        <f t="shared" si="10"/>
        <v>1</v>
      </c>
      <c r="B877" t="s">
        <v>306</v>
      </c>
      <c r="C877">
        <v>75520</v>
      </c>
      <c r="D877" s="2">
        <v>6</v>
      </c>
      <c r="E877" s="1">
        <v>43172</v>
      </c>
      <c r="F877" t="str">
        <f>"201803099549"</f>
        <v>201803099549</v>
      </c>
      <c r="G877" t="str">
        <f>"Miscellaneous"</f>
        <v>Miscellaneous</v>
      </c>
      <c r="H877">
        <v>6</v>
      </c>
      <c r="I877" t="str">
        <f>"ROJELIO BLANCO"</f>
        <v>ROJELIO BLANCO</v>
      </c>
    </row>
    <row r="878" spans="1:9" x14ac:dyDescent="0.3">
      <c r="A878" t="str">
        <f t="shared" si="10"/>
        <v>1</v>
      </c>
      <c r="B878" t="s">
        <v>307</v>
      </c>
      <c r="C878">
        <v>75521</v>
      </c>
      <c r="D878" s="2">
        <v>6</v>
      </c>
      <c r="E878" s="1">
        <v>43172</v>
      </c>
      <c r="F878" t="str">
        <f>"201803099550"</f>
        <v>201803099550</v>
      </c>
      <c r="G878" t="str">
        <f>"Miscel"</f>
        <v>Miscel</v>
      </c>
      <c r="H878">
        <v>6</v>
      </c>
      <c r="I878" t="str">
        <f>"STEVE RAY CHAMBERLAIN"</f>
        <v>STEVE RAY CHAMBERLAIN</v>
      </c>
    </row>
    <row r="879" spans="1:9" x14ac:dyDescent="0.3">
      <c r="A879" t="str">
        <f t="shared" si="10"/>
        <v>1</v>
      </c>
      <c r="B879" t="s">
        <v>308</v>
      </c>
      <c r="C879">
        <v>75522</v>
      </c>
      <c r="D879" s="2">
        <v>6</v>
      </c>
      <c r="E879" s="1">
        <v>43172</v>
      </c>
      <c r="F879" t="str">
        <f>"201803099551"</f>
        <v>201803099551</v>
      </c>
      <c r="G879" t="str">
        <f>"Misc"</f>
        <v>Misc</v>
      </c>
      <c r="H879">
        <v>6</v>
      </c>
      <c r="I879" t="str">
        <f>"VANESSA APARICIO-SEGURA"</f>
        <v>VANESSA APARICIO-SEGURA</v>
      </c>
    </row>
    <row r="880" spans="1:9" x14ac:dyDescent="0.3">
      <c r="A880" t="str">
        <f t="shared" si="10"/>
        <v>1</v>
      </c>
      <c r="B880" t="s">
        <v>309</v>
      </c>
      <c r="C880">
        <v>75523</v>
      </c>
      <c r="D880" s="2">
        <v>6</v>
      </c>
      <c r="E880" s="1">
        <v>43172</v>
      </c>
      <c r="F880" t="str">
        <f>"201803099552"</f>
        <v>201803099552</v>
      </c>
      <c r="G880" t="str">
        <f>"M"</f>
        <v>M</v>
      </c>
      <c r="H880">
        <v>6</v>
      </c>
      <c r="I880" t="str">
        <f>"REFUJIO DE JESUS HUERTA JR"</f>
        <v>REFUJIO DE JESUS HUERTA JR</v>
      </c>
    </row>
    <row r="881" spans="1:9" x14ac:dyDescent="0.3">
      <c r="A881" t="str">
        <f t="shared" si="10"/>
        <v>1</v>
      </c>
      <c r="B881" t="s">
        <v>310</v>
      </c>
      <c r="C881">
        <v>75524</v>
      </c>
      <c r="D881" s="2">
        <v>6</v>
      </c>
      <c r="E881" s="1">
        <v>43172</v>
      </c>
      <c r="F881" t="str">
        <f>"201803099553"</f>
        <v>201803099553</v>
      </c>
      <c r="G881" t="str">
        <f>"Miscellaneous"</f>
        <v>Miscellaneous</v>
      </c>
      <c r="H881">
        <v>6</v>
      </c>
      <c r="I881" t="str">
        <f>"LUIS E ARIZOLA"</f>
        <v>LUIS E ARIZOLA</v>
      </c>
    </row>
    <row r="882" spans="1:9" x14ac:dyDescent="0.3">
      <c r="A882" t="str">
        <f t="shared" si="10"/>
        <v>1</v>
      </c>
      <c r="B882" t="s">
        <v>311</v>
      </c>
      <c r="C882">
        <v>75525</v>
      </c>
      <c r="D882" s="2">
        <v>6</v>
      </c>
      <c r="E882" s="1">
        <v>43172</v>
      </c>
      <c r="F882" t="str">
        <f>"201803099554"</f>
        <v>201803099554</v>
      </c>
      <c r="G882" t="str">
        <f>"Miscell"</f>
        <v>Miscell</v>
      </c>
      <c r="H882">
        <v>6</v>
      </c>
      <c r="I882" t="str">
        <f>"PAUL BENJAMIN THEISS"</f>
        <v>PAUL BENJAMIN THEISS</v>
      </c>
    </row>
    <row r="883" spans="1:9" x14ac:dyDescent="0.3">
      <c r="A883" t="str">
        <f t="shared" si="10"/>
        <v>1</v>
      </c>
      <c r="B883" t="s">
        <v>312</v>
      </c>
      <c r="C883">
        <v>75526</v>
      </c>
      <c r="D883" s="2">
        <v>6</v>
      </c>
      <c r="E883" s="1">
        <v>43172</v>
      </c>
      <c r="F883" t="str">
        <f>"201803099555"</f>
        <v>201803099555</v>
      </c>
      <c r="G883" t="str">
        <f>"Miscellane"</f>
        <v>Miscellane</v>
      </c>
      <c r="H883">
        <v>6</v>
      </c>
      <c r="I883" t="str">
        <f>"PAULA SMITH ADAIR"</f>
        <v>PAULA SMITH ADAIR</v>
      </c>
    </row>
    <row r="884" spans="1:9" x14ac:dyDescent="0.3">
      <c r="A884" t="str">
        <f t="shared" si="10"/>
        <v>1</v>
      </c>
      <c r="B884" t="s">
        <v>313</v>
      </c>
      <c r="C884">
        <v>75527</v>
      </c>
      <c r="D884" s="2">
        <v>6</v>
      </c>
      <c r="E884" s="1">
        <v>43172</v>
      </c>
      <c r="F884" t="str">
        <f>"201803099556"</f>
        <v>201803099556</v>
      </c>
      <c r="G884" t="str">
        <f>"Misce"</f>
        <v>Misce</v>
      </c>
      <c r="H884">
        <v>6</v>
      </c>
      <c r="I884" t="str">
        <f>"CHRISTIAN ERIC SIMMONS"</f>
        <v>CHRISTIAN ERIC SIMMONS</v>
      </c>
    </row>
    <row r="885" spans="1:9" x14ac:dyDescent="0.3">
      <c r="A885" t="str">
        <f t="shared" si="10"/>
        <v>1</v>
      </c>
      <c r="B885" t="s">
        <v>314</v>
      </c>
      <c r="C885">
        <v>75528</v>
      </c>
      <c r="D885" s="2">
        <v>6</v>
      </c>
      <c r="E885" s="1">
        <v>43172</v>
      </c>
      <c r="F885" t="str">
        <f>"201803099557"</f>
        <v>201803099557</v>
      </c>
      <c r="G885" t="str">
        <f>"Miscell"</f>
        <v>Miscell</v>
      </c>
      <c r="H885">
        <v>6</v>
      </c>
      <c r="I885" t="str">
        <f>"BRYAN DEWAYNE FARRIS"</f>
        <v>BRYAN DEWAYNE FARRIS</v>
      </c>
    </row>
    <row r="886" spans="1:9" x14ac:dyDescent="0.3">
      <c r="A886" t="str">
        <f t="shared" si="10"/>
        <v>1</v>
      </c>
      <c r="B886" t="s">
        <v>315</v>
      </c>
      <c r="C886">
        <v>75529</v>
      </c>
      <c r="D886" s="2">
        <v>6</v>
      </c>
      <c r="E886" s="1">
        <v>43172</v>
      </c>
      <c r="F886" t="str">
        <f>"201803099558"</f>
        <v>201803099558</v>
      </c>
      <c r="G886" t="str">
        <f>"Miscella"</f>
        <v>Miscella</v>
      </c>
      <c r="H886">
        <v>6</v>
      </c>
      <c r="I886" t="str">
        <f>"MARILYN ANN GIBBONS"</f>
        <v>MARILYN ANN GIBBONS</v>
      </c>
    </row>
    <row r="887" spans="1:9" x14ac:dyDescent="0.3">
      <c r="A887" t="str">
        <f t="shared" si="10"/>
        <v>1</v>
      </c>
      <c r="B887" t="s">
        <v>316</v>
      </c>
      <c r="C887">
        <v>75530</v>
      </c>
      <c r="D887" s="2">
        <v>6</v>
      </c>
      <c r="E887" s="1">
        <v>43172</v>
      </c>
      <c r="F887" t="str">
        <f>"201803099559"</f>
        <v>201803099559</v>
      </c>
      <c r="G887" t="str">
        <f>"Miscellan"</f>
        <v>Miscellan</v>
      </c>
      <c r="H887">
        <v>6</v>
      </c>
      <c r="I887" t="str">
        <f>"ANDREA DAWN REJCEK"</f>
        <v>ANDREA DAWN REJCEK</v>
      </c>
    </row>
    <row r="888" spans="1:9" x14ac:dyDescent="0.3">
      <c r="A888" t="str">
        <f t="shared" si="10"/>
        <v>1</v>
      </c>
      <c r="B888" t="s">
        <v>317</v>
      </c>
      <c r="C888">
        <v>75531</v>
      </c>
      <c r="D888" s="2">
        <v>6</v>
      </c>
      <c r="E888" s="1">
        <v>43172</v>
      </c>
      <c r="F888" t="str">
        <f>"201803099560"</f>
        <v>201803099560</v>
      </c>
      <c r="G888" t="str">
        <f>"Miscellaneo"</f>
        <v>Miscellaneo</v>
      </c>
      <c r="H888">
        <v>6</v>
      </c>
      <c r="I888" t="str">
        <f>"JAMES LEO BENOIT"</f>
        <v>JAMES LEO BENOIT</v>
      </c>
    </row>
    <row r="889" spans="1:9" x14ac:dyDescent="0.3">
      <c r="A889" t="str">
        <f t="shared" si="10"/>
        <v>1</v>
      </c>
      <c r="B889" t="s">
        <v>318</v>
      </c>
      <c r="C889">
        <v>75532</v>
      </c>
      <c r="D889" s="2">
        <v>6</v>
      </c>
      <c r="E889" s="1">
        <v>43172</v>
      </c>
      <c r="F889" t="str">
        <f>"201803099561"</f>
        <v>201803099561</v>
      </c>
      <c r="G889" t="str">
        <f>"Misc"</f>
        <v>Misc</v>
      </c>
      <c r="H889">
        <v>6</v>
      </c>
      <c r="I889" t="str">
        <f>"LEDARIUS WEBSTER DAWSON"</f>
        <v>LEDARIUS WEBSTER DAWSON</v>
      </c>
    </row>
    <row r="890" spans="1:9" x14ac:dyDescent="0.3">
      <c r="A890" t="str">
        <f t="shared" si="10"/>
        <v>1</v>
      </c>
      <c r="B890" t="s">
        <v>319</v>
      </c>
      <c r="C890">
        <v>75533</v>
      </c>
      <c r="D890" s="2">
        <v>6</v>
      </c>
      <c r="E890" s="1">
        <v>43172</v>
      </c>
      <c r="F890" t="str">
        <f>"201803099562"</f>
        <v>201803099562</v>
      </c>
      <c r="G890" t="str">
        <f>"Misce"</f>
        <v>Misce</v>
      </c>
      <c r="H890">
        <v>6</v>
      </c>
      <c r="I890" t="str">
        <f>"SHERRI MICHELLE FISCUS"</f>
        <v>SHERRI MICHELLE FISCUS</v>
      </c>
    </row>
    <row r="891" spans="1:9" x14ac:dyDescent="0.3">
      <c r="A891" t="str">
        <f t="shared" si="10"/>
        <v>1</v>
      </c>
      <c r="B891" t="s">
        <v>320</v>
      </c>
      <c r="C891">
        <v>75534</v>
      </c>
      <c r="D891" s="2">
        <v>6</v>
      </c>
      <c r="E891" s="1">
        <v>43172</v>
      </c>
      <c r="F891" t="str">
        <f>"201803099563"</f>
        <v>201803099563</v>
      </c>
      <c r="G891" t="str">
        <f>"Miscel"</f>
        <v>Miscel</v>
      </c>
      <c r="H891">
        <v>6</v>
      </c>
      <c r="I891" t="str">
        <f>"JARED SCOTT GRALINSKI"</f>
        <v>JARED SCOTT GRALINSKI</v>
      </c>
    </row>
    <row r="892" spans="1:9" x14ac:dyDescent="0.3">
      <c r="A892" t="str">
        <f t="shared" si="10"/>
        <v>1</v>
      </c>
      <c r="B892" t="s">
        <v>321</v>
      </c>
      <c r="C892">
        <v>75535</v>
      </c>
      <c r="D892" s="2">
        <v>6</v>
      </c>
      <c r="E892" s="1">
        <v>43172</v>
      </c>
      <c r="F892" t="str">
        <f>"201803099564"</f>
        <v>201803099564</v>
      </c>
      <c r="G892" t="str">
        <f>"Miscellane"</f>
        <v>Miscellane</v>
      </c>
      <c r="H892">
        <v>6</v>
      </c>
      <c r="I892" t="str">
        <f>"ELIZABETH SANCHEZ"</f>
        <v>ELIZABETH SANCHEZ</v>
      </c>
    </row>
    <row r="893" spans="1:9" x14ac:dyDescent="0.3">
      <c r="A893" t="str">
        <f t="shared" ref="A893:A924" si="11">"1"</f>
        <v>1</v>
      </c>
      <c r="B893" t="s">
        <v>322</v>
      </c>
      <c r="C893">
        <v>75536</v>
      </c>
      <c r="D893" s="2">
        <v>126</v>
      </c>
      <c r="E893" s="1">
        <v>43172</v>
      </c>
      <c r="F893" t="str">
        <f>"201803099565"</f>
        <v>201803099565</v>
      </c>
      <c r="G893" t="str">
        <f>"Miscellan"</f>
        <v>Miscellan</v>
      </c>
      <c r="H893">
        <v>126</v>
      </c>
      <c r="I893" t="str">
        <f>"DUANE ALLEN SCHENK"</f>
        <v>DUANE ALLEN SCHENK</v>
      </c>
    </row>
    <row r="894" spans="1:9" x14ac:dyDescent="0.3">
      <c r="A894" t="str">
        <f t="shared" si="11"/>
        <v>1</v>
      </c>
      <c r="B894" t="s">
        <v>323</v>
      </c>
      <c r="C894">
        <v>75537</v>
      </c>
      <c r="D894" s="2">
        <v>126</v>
      </c>
      <c r="E894" s="1">
        <v>43172</v>
      </c>
      <c r="F894" t="str">
        <f>"201803099566"</f>
        <v>201803099566</v>
      </c>
      <c r="G894" t="str">
        <f>"Misce"</f>
        <v>Misce</v>
      </c>
      <c r="H894">
        <v>126</v>
      </c>
      <c r="I894" t="str">
        <f>"ESTHER LINA BARRIENTES"</f>
        <v>ESTHER LINA BARRIENTES</v>
      </c>
    </row>
    <row r="895" spans="1:9" x14ac:dyDescent="0.3">
      <c r="A895" t="str">
        <f t="shared" si="11"/>
        <v>1</v>
      </c>
      <c r="B895" t="s">
        <v>324</v>
      </c>
      <c r="C895">
        <v>75538</v>
      </c>
      <c r="D895" s="2">
        <v>126</v>
      </c>
      <c r="E895" s="1">
        <v>43172</v>
      </c>
      <c r="F895" t="str">
        <f>"201803099567"</f>
        <v>201803099567</v>
      </c>
      <c r="G895" t="str">
        <f>""</f>
        <v/>
      </c>
      <c r="H895">
        <v>126</v>
      </c>
      <c r="I895" t="str">
        <f>"CAMERON BENOLIVER BROUSSARD"</f>
        <v>CAMERON BENOLIVER BROUSSARD</v>
      </c>
    </row>
    <row r="896" spans="1:9" x14ac:dyDescent="0.3">
      <c r="A896" t="str">
        <f t="shared" si="11"/>
        <v>1</v>
      </c>
      <c r="B896" t="s">
        <v>325</v>
      </c>
      <c r="C896">
        <v>75539</v>
      </c>
      <c r="D896" s="2">
        <v>126</v>
      </c>
      <c r="E896" s="1">
        <v>43172</v>
      </c>
      <c r="F896" t="str">
        <f>"201803099568"</f>
        <v>201803099568</v>
      </c>
      <c r="G896" t="str">
        <f>"Mi"</f>
        <v>Mi</v>
      </c>
      <c r="H896">
        <v>126</v>
      </c>
      <c r="I896" t="str">
        <f>"PAULA KRISTINE SHAW ORTIZ"</f>
        <v>PAULA KRISTINE SHAW ORTIZ</v>
      </c>
    </row>
    <row r="897" spans="1:9" x14ac:dyDescent="0.3">
      <c r="A897" t="str">
        <f t="shared" si="11"/>
        <v>1</v>
      </c>
      <c r="B897" t="s">
        <v>326</v>
      </c>
      <c r="C897">
        <v>75540</v>
      </c>
      <c r="D897" s="2">
        <v>126</v>
      </c>
      <c r="E897" s="1">
        <v>43172</v>
      </c>
      <c r="F897" t="str">
        <f>"201803099569"</f>
        <v>201803099569</v>
      </c>
      <c r="G897" t="str">
        <f>"Miscella"</f>
        <v>Miscella</v>
      </c>
      <c r="H897">
        <v>126</v>
      </c>
      <c r="I897" t="str">
        <f>"ALICIA MARIE NEWLIN"</f>
        <v>ALICIA MARIE NEWLIN</v>
      </c>
    </row>
    <row r="898" spans="1:9" x14ac:dyDescent="0.3">
      <c r="A898" t="str">
        <f t="shared" si="11"/>
        <v>1</v>
      </c>
      <c r="B898" t="s">
        <v>327</v>
      </c>
      <c r="C898">
        <v>75541</v>
      </c>
      <c r="D898" s="2">
        <v>126</v>
      </c>
      <c r="E898" s="1">
        <v>43172</v>
      </c>
      <c r="F898" t="str">
        <f>"201803099570"</f>
        <v>201803099570</v>
      </c>
      <c r="G898" t="str">
        <f>"Mis"</f>
        <v>Mis</v>
      </c>
      <c r="H898">
        <v>126</v>
      </c>
      <c r="I898" t="str">
        <f>"ROBERTA HERNANDEZ WISSEN"</f>
        <v>ROBERTA HERNANDEZ WISSEN</v>
      </c>
    </row>
    <row r="899" spans="1:9" x14ac:dyDescent="0.3">
      <c r="A899" t="str">
        <f t="shared" si="11"/>
        <v>1</v>
      </c>
      <c r="B899" t="s">
        <v>328</v>
      </c>
      <c r="C899">
        <v>75542</v>
      </c>
      <c r="D899" s="2">
        <v>126</v>
      </c>
      <c r="E899" s="1">
        <v>43172</v>
      </c>
      <c r="F899" t="str">
        <f>"201803099571"</f>
        <v>201803099571</v>
      </c>
      <c r="G899" t="str">
        <f>"Miscel"</f>
        <v>Miscel</v>
      </c>
      <c r="H899">
        <v>126</v>
      </c>
      <c r="I899" t="str">
        <f>"BRIAN SCOTT SCHNEIDER"</f>
        <v>BRIAN SCOTT SCHNEIDER</v>
      </c>
    </row>
    <row r="900" spans="1:9" x14ac:dyDescent="0.3">
      <c r="A900" t="str">
        <f t="shared" si="11"/>
        <v>1</v>
      </c>
      <c r="B900" t="s">
        <v>329</v>
      </c>
      <c r="C900">
        <v>75543</v>
      </c>
      <c r="D900" s="2">
        <v>126</v>
      </c>
      <c r="E900" s="1">
        <v>43172</v>
      </c>
      <c r="F900" t="str">
        <f>"201803099572"</f>
        <v>201803099572</v>
      </c>
      <c r="G900" t="str">
        <f>"Miscellane"</f>
        <v>Miscellane</v>
      </c>
      <c r="H900">
        <v>126</v>
      </c>
      <c r="I900" t="str">
        <f>"LUKAS THOMAS KANE"</f>
        <v>LUKAS THOMAS KANE</v>
      </c>
    </row>
    <row r="901" spans="1:9" x14ac:dyDescent="0.3">
      <c r="A901" t="str">
        <f t="shared" si="11"/>
        <v>1</v>
      </c>
      <c r="B901" t="s">
        <v>330</v>
      </c>
      <c r="C901">
        <v>75544</v>
      </c>
      <c r="D901" s="2">
        <v>126</v>
      </c>
      <c r="E901" s="1">
        <v>43172</v>
      </c>
      <c r="F901" t="str">
        <f>"201803099573"</f>
        <v>201803099573</v>
      </c>
      <c r="G901" t="str">
        <f>"Miscella"</f>
        <v>Miscella</v>
      </c>
      <c r="H901">
        <v>126</v>
      </c>
      <c r="I901" t="str">
        <f>"SHERRY RENEE GOERTZ"</f>
        <v>SHERRY RENEE GOERTZ</v>
      </c>
    </row>
    <row r="902" spans="1:9" x14ac:dyDescent="0.3">
      <c r="A902" t="str">
        <f t="shared" si="11"/>
        <v>1</v>
      </c>
      <c r="B902" t="s">
        <v>331</v>
      </c>
      <c r="C902">
        <v>75545</v>
      </c>
      <c r="D902" s="2">
        <v>126</v>
      </c>
      <c r="E902" s="1">
        <v>43172</v>
      </c>
      <c r="F902" t="str">
        <f>"201803099574"</f>
        <v>201803099574</v>
      </c>
      <c r="G902" t="str">
        <f>"Miscell"</f>
        <v>Miscell</v>
      </c>
      <c r="H902">
        <v>126</v>
      </c>
      <c r="I902" t="str">
        <f>"CARL WAYNE WILKERSON"</f>
        <v>CARL WAYNE WILKERSON</v>
      </c>
    </row>
    <row r="903" spans="1:9" x14ac:dyDescent="0.3">
      <c r="A903" t="str">
        <f t="shared" si="11"/>
        <v>1</v>
      </c>
      <c r="B903" t="s">
        <v>332</v>
      </c>
      <c r="C903">
        <v>75546</v>
      </c>
      <c r="D903" s="2">
        <v>126</v>
      </c>
      <c r="E903" s="1">
        <v>43172</v>
      </c>
      <c r="F903" t="str">
        <f>"201803099575"</f>
        <v>201803099575</v>
      </c>
      <c r="G903" t="str">
        <f>"Miscell"</f>
        <v>Miscell</v>
      </c>
      <c r="H903">
        <v>126</v>
      </c>
      <c r="I903" t="str">
        <f>"SENTHERA GAIL HARPER"</f>
        <v>SENTHERA GAIL HARPER</v>
      </c>
    </row>
    <row r="904" spans="1:9" x14ac:dyDescent="0.3">
      <c r="A904" t="str">
        <f t="shared" si="11"/>
        <v>1</v>
      </c>
      <c r="B904" t="s">
        <v>333</v>
      </c>
      <c r="C904">
        <v>75547</v>
      </c>
      <c r="D904" s="2">
        <v>126</v>
      </c>
      <c r="E904" s="1">
        <v>43172</v>
      </c>
      <c r="F904" t="str">
        <f>"201803099576"</f>
        <v>201803099576</v>
      </c>
      <c r="G904" t="str">
        <f>"Miscel"</f>
        <v>Miscel</v>
      </c>
      <c r="H904">
        <v>126</v>
      </c>
      <c r="I904" t="str">
        <f>"LINDA KATHLEEN HOWARD"</f>
        <v>LINDA KATHLEEN HOWARD</v>
      </c>
    </row>
    <row r="905" spans="1:9" x14ac:dyDescent="0.3">
      <c r="A905" t="str">
        <f t="shared" si="11"/>
        <v>1</v>
      </c>
      <c r="B905" t="s">
        <v>334</v>
      </c>
      <c r="C905">
        <v>75548</v>
      </c>
      <c r="D905" s="2">
        <v>6</v>
      </c>
      <c r="E905" s="1">
        <v>43172</v>
      </c>
      <c r="F905" t="str">
        <f>"201803099577"</f>
        <v>201803099577</v>
      </c>
      <c r="G905" t="str">
        <f>"Miscellaneo"</f>
        <v>Miscellaneo</v>
      </c>
      <c r="H905">
        <v>6</v>
      </c>
      <c r="I905" t="str">
        <f>"DANIEL D VOIGHTS"</f>
        <v>DANIEL D VOIGHTS</v>
      </c>
    </row>
    <row r="906" spans="1:9" x14ac:dyDescent="0.3">
      <c r="A906" t="str">
        <f t="shared" si="11"/>
        <v>1</v>
      </c>
      <c r="B906" t="s">
        <v>335</v>
      </c>
      <c r="C906">
        <v>75549</v>
      </c>
      <c r="D906" s="2">
        <v>6</v>
      </c>
      <c r="E906" s="1">
        <v>43172</v>
      </c>
      <c r="F906" t="str">
        <f>"201803099578"</f>
        <v>201803099578</v>
      </c>
      <c r="G906" t="str">
        <f>"Miscell"</f>
        <v>Miscell</v>
      </c>
      <c r="H906">
        <v>6</v>
      </c>
      <c r="I906" t="str">
        <f>"RICHARD LYNN RANDALL"</f>
        <v>RICHARD LYNN RANDALL</v>
      </c>
    </row>
    <row r="907" spans="1:9" x14ac:dyDescent="0.3">
      <c r="A907" t="str">
        <f t="shared" si="11"/>
        <v>1</v>
      </c>
      <c r="B907" t="s">
        <v>336</v>
      </c>
      <c r="C907">
        <v>75550</v>
      </c>
      <c r="D907" s="2">
        <v>6</v>
      </c>
      <c r="E907" s="1">
        <v>43172</v>
      </c>
      <c r="F907" t="str">
        <f>"201803099579"</f>
        <v>201803099579</v>
      </c>
      <c r="G907" t="str">
        <f>"Miscell"</f>
        <v>Miscell</v>
      </c>
      <c r="H907">
        <v>6</v>
      </c>
      <c r="I907" t="str">
        <f>"AUBREY ALLEN JACKSON"</f>
        <v>AUBREY ALLEN JACKSON</v>
      </c>
    </row>
    <row r="908" spans="1:9" x14ac:dyDescent="0.3">
      <c r="A908" t="str">
        <f t="shared" si="11"/>
        <v>1</v>
      </c>
      <c r="B908" t="s">
        <v>337</v>
      </c>
      <c r="C908">
        <v>75551</v>
      </c>
      <c r="D908" s="2">
        <v>6</v>
      </c>
      <c r="E908" s="1">
        <v>43172</v>
      </c>
      <c r="F908" t="str">
        <f>"201803099580"</f>
        <v>201803099580</v>
      </c>
      <c r="G908" t="str">
        <f>"Miscellaneous"</f>
        <v>Miscellaneous</v>
      </c>
      <c r="H908">
        <v>6</v>
      </c>
      <c r="I908" t="str">
        <f>"ROGER H SORUM"</f>
        <v>ROGER H SORUM</v>
      </c>
    </row>
    <row r="909" spans="1:9" x14ac:dyDescent="0.3">
      <c r="A909" t="str">
        <f t="shared" si="11"/>
        <v>1</v>
      </c>
      <c r="B909" t="s">
        <v>338</v>
      </c>
      <c r="C909">
        <v>75552</v>
      </c>
      <c r="D909" s="2">
        <v>6</v>
      </c>
      <c r="E909" s="1">
        <v>43172</v>
      </c>
      <c r="F909" t="str">
        <f>"201803099581"</f>
        <v>201803099581</v>
      </c>
      <c r="G909" t="str">
        <f>"Misc"</f>
        <v>Misc</v>
      </c>
      <c r="H909">
        <v>6</v>
      </c>
      <c r="I909" t="str">
        <f>"DELANIE DESIREE BRAXTON"</f>
        <v>DELANIE DESIREE BRAXTON</v>
      </c>
    </row>
    <row r="910" spans="1:9" x14ac:dyDescent="0.3">
      <c r="A910" t="str">
        <f t="shared" si="11"/>
        <v>1</v>
      </c>
      <c r="B910" t="s">
        <v>339</v>
      </c>
      <c r="C910">
        <v>75553</v>
      </c>
      <c r="D910" s="2">
        <v>6</v>
      </c>
      <c r="E910" s="1">
        <v>43172</v>
      </c>
      <c r="F910" t="str">
        <f>"201803099582"</f>
        <v>201803099582</v>
      </c>
      <c r="G910" t="str">
        <f>"Miscel"</f>
        <v>Miscel</v>
      </c>
      <c r="H910">
        <v>6</v>
      </c>
      <c r="I910" t="str">
        <f>"MARIA HERNANDEZ LOPEZ"</f>
        <v>MARIA HERNANDEZ LOPEZ</v>
      </c>
    </row>
    <row r="911" spans="1:9" x14ac:dyDescent="0.3">
      <c r="A911" t="str">
        <f t="shared" si="11"/>
        <v>1</v>
      </c>
      <c r="B911" t="s">
        <v>340</v>
      </c>
      <c r="C911">
        <v>75554</v>
      </c>
      <c r="D911" s="2">
        <v>6</v>
      </c>
      <c r="E911" s="1">
        <v>43172</v>
      </c>
      <c r="F911" t="str">
        <f>"201803099583"</f>
        <v>201803099583</v>
      </c>
      <c r="G911" t="str">
        <f>"Miscellaneo"</f>
        <v>Miscellaneo</v>
      </c>
      <c r="H911">
        <v>6</v>
      </c>
      <c r="I911" t="str">
        <f>"DEBROAH G GARNER"</f>
        <v>DEBROAH G GARNER</v>
      </c>
    </row>
    <row r="912" spans="1:9" x14ac:dyDescent="0.3">
      <c r="A912" t="str">
        <f t="shared" si="11"/>
        <v>1</v>
      </c>
      <c r="B912" t="s">
        <v>341</v>
      </c>
      <c r="C912">
        <v>75555</v>
      </c>
      <c r="D912" s="2">
        <v>6</v>
      </c>
      <c r="E912" s="1">
        <v>43172</v>
      </c>
      <c r="F912" t="str">
        <f>"201803099584"</f>
        <v>201803099584</v>
      </c>
      <c r="G912" t="str">
        <f>"Miscell"</f>
        <v>Miscell</v>
      </c>
      <c r="H912">
        <v>6</v>
      </c>
      <c r="I912" t="str">
        <f>"DAVID RAYMOND FARRAR"</f>
        <v>DAVID RAYMOND FARRAR</v>
      </c>
    </row>
    <row r="913" spans="1:9" x14ac:dyDescent="0.3">
      <c r="A913" t="str">
        <f t="shared" si="11"/>
        <v>1</v>
      </c>
      <c r="B913" t="s">
        <v>342</v>
      </c>
      <c r="C913">
        <v>75556</v>
      </c>
      <c r="D913" s="2">
        <v>6</v>
      </c>
      <c r="E913" s="1">
        <v>43172</v>
      </c>
      <c r="F913" t="str">
        <f>"201803099585"</f>
        <v>201803099585</v>
      </c>
      <c r="G913" t="str">
        <f>"Miscell"</f>
        <v>Miscell</v>
      </c>
      <c r="H913">
        <v>6</v>
      </c>
      <c r="I913" t="str">
        <f>"JANYCE HERMES TAYLOR"</f>
        <v>JANYCE HERMES TAYLOR</v>
      </c>
    </row>
    <row r="914" spans="1:9" x14ac:dyDescent="0.3">
      <c r="A914" t="str">
        <f t="shared" si="11"/>
        <v>1</v>
      </c>
      <c r="B914" t="s">
        <v>343</v>
      </c>
      <c r="C914">
        <v>75557</v>
      </c>
      <c r="D914" s="2">
        <v>6</v>
      </c>
      <c r="E914" s="1">
        <v>43172</v>
      </c>
      <c r="F914" t="str">
        <f>"201803099586"</f>
        <v>201803099586</v>
      </c>
      <c r="G914" t="str">
        <f>"Miscellaneou"</f>
        <v>Miscellaneou</v>
      </c>
      <c r="H914">
        <v>6</v>
      </c>
      <c r="I914" t="str">
        <f>"MARTY ALAN BECK"</f>
        <v>MARTY ALAN BECK</v>
      </c>
    </row>
    <row r="915" spans="1:9" x14ac:dyDescent="0.3">
      <c r="A915" t="str">
        <f t="shared" si="11"/>
        <v>1</v>
      </c>
      <c r="B915" t="s">
        <v>344</v>
      </c>
      <c r="C915">
        <v>75558</v>
      </c>
      <c r="D915" s="2">
        <v>6</v>
      </c>
      <c r="E915" s="1">
        <v>43172</v>
      </c>
      <c r="F915" t="str">
        <f>"201803099587"</f>
        <v>201803099587</v>
      </c>
      <c r="G915" t="str">
        <f>"Miscellane"</f>
        <v>Miscellane</v>
      </c>
      <c r="H915">
        <v>6</v>
      </c>
      <c r="I915" t="str">
        <f>"ROQUE LEE ESCOBAR"</f>
        <v>ROQUE LEE ESCOBAR</v>
      </c>
    </row>
    <row r="916" spans="1:9" x14ac:dyDescent="0.3">
      <c r="A916" t="str">
        <f t="shared" si="11"/>
        <v>1</v>
      </c>
      <c r="B916" t="s">
        <v>345</v>
      </c>
      <c r="C916">
        <v>75559</v>
      </c>
      <c r="D916" s="2">
        <v>6</v>
      </c>
      <c r="E916" s="1">
        <v>43172</v>
      </c>
      <c r="F916" t="str">
        <f>"201803099588"</f>
        <v>201803099588</v>
      </c>
      <c r="G916" t="str">
        <f>"Miscellane"</f>
        <v>Miscellane</v>
      </c>
      <c r="H916">
        <v>6</v>
      </c>
      <c r="I916" t="str">
        <f>"MARINA CONSENTINO"</f>
        <v>MARINA CONSENTINO</v>
      </c>
    </row>
    <row r="917" spans="1:9" x14ac:dyDescent="0.3">
      <c r="A917" t="str">
        <f t="shared" si="11"/>
        <v>1</v>
      </c>
      <c r="B917" t="s">
        <v>346</v>
      </c>
      <c r="C917">
        <v>75560</v>
      </c>
      <c r="D917" s="2">
        <v>6</v>
      </c>
      <c r="E917" s="1">
        <v>43172</v>
      </c>
      <c r="F917" t="str">
        <f>"201803099589"</f>
        <v>201803099589</v>
      </c>
      <c r="G917" t="str">
        <f>"Miscellaneou"</f>
        <v>Miscellaneou</v>
      </c>
      <c r="H917">
        <v>6</v>
      </c>
      <c r="I917" t="str">
        <f>"CHRISTINA SMITH"</f>
        <v>CHRISTINA SMITH</v>
      </c>
    </row>
    <row r="918" spans="1:9" x14ac:dyDescent="0.3">
      <c r="A918" t="str">
        <f t="shared" si="11"/>
        <v>1</v>
      </c>
      <c r="B918" t="s">
        <v>347</v>
      </c>
      <c r="C918">
        <v>75814</v>
      </c>
      <c r="D918" s="2">
        <v>40</v>
      </c>
      <c r="E918" s="1">
        <v>43182</v>
      </c>
      <c r="F918" t="str">
        <f>"201803239722"</f>
        <v>201803239722</v>
      </c>
      <c r="G918" t="str">
        <f>"Miscellan"</f>
        <v>Miscellan</v>
      </c>
      <c r="H918">
        <v>40</v>
      </c>
      <c r="I918" t="str">
        <f>"JANA HOFFMAN MOORE"</f>
        <v>JANA HOFFMAN MOORE</v>
      </c>
    </row>
    <row r="919" spans="1:9" x14ac:dyDescent="0.3">
      <c r="A919" t="str">
        <f t="shared" si="11"/>
        <v>1</v>
      </c>
      <c r="B919" t="s">
        <v>348</v>
      </c>
      <c r="C919">
        <v>75815</v>
      </c>
      <c r="D919" s="2">
        <v>40</v>
      </c>
      <c r="E919" s="1">
        <v>43182</v>
      </c>
      <c r="F919" t="str">
        <f>"201803239723"</f>
        <v>201803239723</v>
      </c>
      <c r="G919" t="str">
        <f>"Miscellaneous"</f>
        <v>Miscellaneous</v>
      </c>
      <c r="H919">
        <v>40</v>
      </c>
      <c r="I919" t="str">
        <f>"SCOTT A SHIKE"</f>
        <v>SCOTT A SHIKE</v>
      </c>
    </row>
    <row r="920" spans="1:9" x14ac:dyDescent="0.3">
      <c r="A920" t="str">
        <f t="shared" si="11"/>
        <v>1</v>
      </c>
      <c r="B920" t="s">
        <v>349</v>
      </c>
      <c r="C920">
        <v>75816</v>
      </c>
      <c r="D920" s="2">
        <v>40</v>
      </c>
      <c r="E920" s="1">
        <v>43182</v>
      </c>
      <c r="F920" t="str">
        <f>"201803239724"</f>
        <v>201803239724</v>
      </c>
      <c r="G920" t="str">
        <f>"Miscellan"</f>
        <v>Miscellan</v>
      </c>
      <c r="H920">
        <v>40</v>
      </c>
      <c r="I920" t="str">
        <f>"BRUCE ROBERT ALLYN"</f>
        <v>BRUCE ROBERT ALLYN</v>
      </c>
    </row>
    <row r="921" spans="1:9" x14ac:dyDescent="0.3">
      <c r="A921" t="str">
        <f t="shared" si="11"/>
        <v>1</v>
      </c>
      <c r="B921" t="s">
        <v>350</v>
      </c>
      <c r="C921">
        <v>75817</v>
      </c>
      <c r="D921" s="2">
        <v>40</v>
      </c>
      <c r="E921" s="1">
        <v>43182</v>
      </c>
      <c r="F921" t="str">
        <f>"201803239725"</f>
        <v>201803239725</v>
      </c>
      <c r="G921" t="str">
        <f>"Miscella"</f>
        <v>Miscella</v>
      </c>
      <c r="H921">
        <v>40</v>
      </c>
      <c r="I921" t="str">
        <f>"DAVID KYLE BRUMMITT"</f>
        <v>DAVID KYLE BRUMMITT</v>
      </c>
    </row>
    <row r="922" spans="1:9" x14ac:dyDescent="0.3">
      <c r="A922" t="str">
        <f t="shared" si="11"/>
        <v>1</v>
      </c>
      <c r="B922" t="s">
        <v>351</v>
      </c>
      <c r="C922">
        <v>75818</v>
      </c>
      <c r="D922" s="2">
        <v>40</v>
      </c>
      <c r="E922" s="1">
        <v>43182</v>
      </c>
      <c r="F922" t="str">
        <f>"201803239726"</f>
        <v>201803239726</v>
      </c>
      <c r="G922" t="str">
        <f>"Miscellan"</f>
        <v>Miscellan</v>
      </c>
      <c r="H922">
        <v>40</v>
      </c>
      <c r="I922" t="str">
        <f>"LAUREN N SCHECKTER"</f>
        <v>LAUREN N SCHECKTER</v>
      </c>
    </row>
    <row r="923" spans="1:9" x14ac:dyDescent="0.3">
      <c r="A923" t="str">
        <f t="shared" si="11"/>
        <v>1</v>
      </c>
      <c r="B923" t="s">
        <v>352</v>
      </c>
      <c r="C923">
        <v>75819</v>
      </c>
      <c r="D923" s="2">
        <v>40</v>
      </c>
      <c r="E923" s="1">
        <v>43182</v>
      </c>
      <c r="F923" t="str">
        <f>"201803239727"</f>
        <v>201803239727</v>
      </c>
      <c r="G923" t="str">
        <f>"Miscell"</f>
        <v>Miscell</v>
      </c>
      <c r="H923">
        <v>40</v>
      </c>
      <c r="I923" t="str">
        <f>"JOSE ADRION FIGUEROA"</f>
        <v>JOSE ADRION FIGUEROA</v>
      </c>
    </row>
    <row r="924" spans="1:9" x14ac:dyDescent="0.3">
      <c r="A924" t="str">
        <f t="shared" si="11"/>
        <v>1</v>
      </c>
      <c r="B924" t="s">
        <v>353</v>
      </c>
      <c r="C924">
        <v>75820</v>
      </c>
      <c r="D924" s="2">
        <v>40</v>
      </c>
      <c r="E924" s="1">
        <v>43182</v>
      </c>
      <c r="F924" t="str">
        <f>"201803239728"</f>
        <v>201803239728</v>
      </c>
      <c r="G924" t="str">
        <f>"M"</f>
        <v>M</v>
      </c>
      <c r="H924">
        <v>40</v>
      </c>
      <c r="I924" t="str">
        <f>"SARAH ELIZABETH-ANN EDSALL"</f>
        <v>SARAH ELIZABETH-ANN EDSALL</v>
      </c>
    </row>
    <row r="925" spans="1:9" x14ac:dyDescent="0.3">
      <c r="A925" t="str">
        <f t="shared" ref="A925:A934" si="12">"1"</f>
        <v>1</v>
      </c>
      <c r="B925" t="s">
        <v>354</v>
      </c>
      <c r="C925">
        <v>75821</v>
      </c>
      <c r="D925" s="2">
        <v>40</v>
      </c>
      <c r="E925" s="1">
        <v>43182</v>
      </c>
      <c r="F925" t="str">
        <f>"201803239729"</f>
        <v>201803239729</v>
      </c>
      <c r="G925" t="str">
        <f>"Misce"</f>
        <v>Misce</v>
      </c>
      <c r="H925">
        <v>40</v>
      </c>
      <c r="I925" t="str">
        <f>"SYLVIA GONZALEZ WATSON"</f>
        <v>SYLVIA GONZALEZ WATSON</v>
      </c>
    </row>
    <row r="926" spans="1:9" x14ac:dyDescent="0.3">
      <c r="A926" t="str">
        <f t="shared" si="12"/>
        <v>1</v>
      </c>
      <c r="B926" t="s">
        <v>355</v>
      </c>
      <c r="C926">
        <v>75822</v>
      </c>
      <c r="D926" s="2">
        <v>40</v>
      </c>
      <c r="E926" s="1">
        <v>43182</v>
      </c>
      <c r="F926" t="str">
        <f>"201803239730"</f>
        <v>201803239730</v>
      </c>
      <c r="G926" t="str">
        <f>"Miscellane"</f>
        <v>Miscellane</v>
      </c>
      <c r="H926">
        <v>40</v>
      </c>
      <c r="I926" t="str">
        <f>"LARRY GENE HANSEN"</f>
        <v>LARRY GENE HANSEN</v>
      </c>
    </row>
    <row r="927" spans="1:9" x14ac:dyDescent="0.3">
      <c r="A927" t="str">
        <f t="shared" si="12"/>
        <v>1</v>
      </c>
      <c r="B927" t="s">
        <v>356</v>
      </c>
      <c r="C927">
        <v>75823</v>
      </c>
      <c r="D927" s="2">
        <v>40</v>
      </c>
      <c r="E927" s="1">
        <v>43182</v>
      </c>
      <c r="F927" t="str">
        <f>"201803239731"</f>
        <v>201803239731</v>
      </c>
      <c r="G927" t="str">
        <f>"Miscellan"</f>
        <v>Miscellan</v>
      </c>
      <c r="H927">
        <v>40</v>
      </c>
      <c r="I927" t="str">
        <f>"BETHANY RENEE COOK"</f>
        <v>BETHANY RENEE COOK</v>
      </c>
    </row>
    <row r="928" spans="1:9" x14ac:dyDescent="0.3">
      <c r="A928" t="str">
        <f t="shared" si="12"/>
        <v>1</v>
      </c>
      <c r="B928" t="s">
        <v>357</v>
      </c>
      <c r="C928">
        <v>75824</v>
      </c>
      <c r="D928" s="2">
        <v>40</v>
      </c>
      <c r="E928" s="1">
        <v>43182</v>
      </c>
      <c r="F928" t="str">
        <f>"201803239732"</f>
        <v>201803239732</v>
      </c>
      <c r="G928" t="str">
        <f>"Miscellan"</f>
        <v>Miscellan</v>
      </c>
      <c r="H928">
        <v>40</v>
      </c>
      <c r="I928" t="str">
        <f>"KATHRYN EVA ROGERS"</f>
        <v>KATHRYN EVA ROGERS</v>
      </c>
    </row>
    <row r="929" spans="1:9" x14ac:dyDescent="0.3">
      <c r="A929" t="str">
        <f t="shared" si="12"/>
        <v>1</v>
      </c>
      <c r="B929" t="s">
        <v>358</v>
      </c>
      <c r="C929">
        <v>75980</v>
      </c>
      <c r="D929" s="2">
        <v>6</v>
      </c>
      <c r="E929" s="1">
        <v>43185</v>
      </c>
      <c r="F929" t="str">
        <f>"201803269743"</f>
        <v>201803269743</v>
      </c>
      <c r="G929" t="str">
        <f>"Miscel"</f>
        <v>Miscel</v>
      </c>
      <c r="H929">
        <v>6</v>
      </c>
      <c r="I929" t="str">
        <f>"WILLIAM F.BREARE  III"</f>
        <v>WILLIAM F.BREARE  III</v>
      </c>
    </row>
    <row r="930" spans="1:9" x14ac:dyDescent="0.3">
      <c r="A930" t="str">
        <f t="shared" si="12"/>
        <v>1</v>
      </c>
      <c r="B930" t="s">
        <v>359</v>
      </c>
      <c r="C930">
        <v>75981</v>
      </c>
      <c r="D930" s="2">
        <v>6</v>
      </c>
      <c r="E930" s="1">
        <v>43185</v>
      </c>
      <c r="F930" t="str">
        <f>"201803269744"</f>
        <v>201803269744</v>
      </c>
      <c r="G930" t="str">
        <f>"Miscellaneou"</f>
        <v>Miscellaneou</v>
      </c>
      <c r="H930">
        <v>6</v>
      </c>
      <c r="I930" t="str">
        <f>"JOHN A. CORBETT"</f>
        <v>JOHN A. CORBETT</v>
      </c>
    </row>
    <row r="931" spans="1:9" x14ac:dyDescent="0.3">
      <c r="A931" t="str">
        <f t="shared" si="12"/>
        <v>1</v>
      </c>
      <c r="B931" t="s">
        <v>360</v>
      </c>
      <c r="C931">
        <v>75982</v>
      </c>
      <c r="D931" s="2">
        <v>6</v>
      </c>
      <c r="E931" s="1">
        <v>43185</v>
      </c>
      <c r="F931" t="str">
        <f>"201803269745"</f>
        <v>201803269745</v>
      </c>
      <c r="G931" t="str">
        <f>"Miscellaneous"</f>
        <v>Miscellaneous</v>
      </c>
      <c r="H931">
        <v>6</v>
      </c>
      <c r="I931" t="str">
        <f>"GINA KERNER"</f>
        <v>GINA KERNER</v>
      </c>
    </row>
    <row r="932" spans="1:9" x14ac:dyDescent="0.3">
      <c r="A932" t="str">
        <f t="shared" si="12"/>
        <v>1</v>
      </c>
      <c r="B932" t="s">
        <v>361</v>
      </c>
      <c r="C932">
        <v>75983</v>
      </c>
      <c r="D932" s="2">
        <v>6</v>
      </c>
      <c r="E932" s="1">
        <v>43185</v>
      </c>
      <c r="F932" t="str">
        <f>"201803269746"</f>
        <v>201803269746</v>
      </c>
      <c r="G932" t="str">
        <f>"Miscellaneous"</f>
        <v>Miscellaneous</v>
      </c>
      <c r="H932">
        <v>6</v>
      </c>
      <c r="I932" t="str">
        <f>"SANDY WALTHALL"</f>
        <v>SANDY WALTHALL</v>
      </c>
    </row>
    <row r="933" spans="1:9" x14ac:dyDescent="0.3">
      <c r="A933" t="str">
        <f t="shared" si="12"/>
        <v>1</v>
      </c>
      <c r="B933" t="s">
        <v>362</v>
      </c>
      <c r="C933">
        <v>75984</v>
      </c>
      <c r="D933" s="2">
        <v>6</v>
      </c>
      <c r="E933" s="1">
        <v>43185</v>
      </c>
      <c r="F933" t="str">
        <f>"201803269747"</f>
        <v>201803269747</v>
      </c>
      <c r="G933" t="str">
        <f>"Miscellaneous"</f>
        <v>Miscellaneous</v>
      </c>
      <c r="H933">
        <v>6</v>
      </c>
      <c r="I933" t="str">
        <f>"KYLIE ADAMS"</f>
        <v>KYLIE ADAMS</v>
      </c>
    </row>
    <row r="934" spans="1:9" x14ac:dyDescent="0.3">
      <c r="A934" t="str">
        <f t="shared" si="12"/>
        <v>1</v>
      </c>
      <c r="B934" t="s">
        <v>363</v>
      </c>
      <c r="C934">
        <v>75985</v>
      </c>
      <c r="D934" s="2">
        <v>6</v>
      </c>
      <c r="E934" s="1">
        <v>43185</v>
      </c>
      <c r="F934" t="str">
        <f>"201803269748"</f>
        <v>201803269748</v>
      </c>
      <c r="G934" t="str">
        <f>"Miscellaneous"</f>
        <v>Miscellaneous</v>
      </c>
      <c r="H934">
        <v>6</v>
      </c>
      <c r="I934" t="str">
        <f>"SUSAN BECK"</f>
        <v>SUSAN BECK</v>
      </c>
    </row>
    <row r="935" spans="1:9" x14ac:dyDescent="0.3">
      <c r="A935" t="str">
        <f>"005326"</f>
        <v>005326</v>
      </c>
      <c r="B935" t="s">
        <v>364</v>
      </c>
      <c r="C935">
        <v>75710</v>
      </c>
      <c r="D935" s="2">
        <v>145</v>
      </c>
      <c r="E935" s="1">
        <v>43171</v>
      </c>
      <c r="F935" t="str">
        <f>"13587"</f>
        <v>13587</v>
      </c>
      <c r="G935" t="str">
        <f>"MARCH DUMPSTER RENTAL"</f>
        <v>MARCH DUMPSTER RENTAL</v>
      </c>
      <c r="H935">
        <v>145</v>
      </c>
      <c r="I935" t="str">
        <f>"MARCH DUMPSTER RENTAL"</f>
        <v>MARCH DUMPSTER RENTAL</v>
      </c>
    </row>
    <row r="936" spans="1:9" x14ac:dyDescent="0.3">
      <c r="A936" t="str">
        <f>"MOORE"</f>
        <v>MOORE</v>
      </c>
      <c r="B936" t="s">
        <v>365</v>
      </c>
      <c r="C936">
        <v>75711</v>
      </c>
      <c r="D936" s="2">
        <v>1205.08</v>
      </c>
      <c r="E936" s="1">
        <v>43171</v>
      </c>
      <c r="F936" t="str">
        <f>"MULTIPLE INV#'S"</f>
        <v>MULTIPLE INV#'S</v>
      </c>
      <c r="G936" t="str">
        <f>"INV 99781509"</f>
        <v>INV 99781509</v>
      </c>
      <c r="H936">
        <v>1205.08</v>
      </c>
      <c r="I936" t="str">
        <f>"INV 99781509"</f>
        <v>INV 99781509</v>
      </c>
    </row>
    <row r="937" spans="1:9" x14ac:dyDescent="0.3">
      <c r="A937" t="str">
        <f>""</f>
        <v/>
      </c>
      <c r="F937" t="str">
        <f>""</f>
        <v/>
      </c>
      <c r="G937" t="str">
        <f>""</f>
        <v/>
      </c>
      <c r="I937" t="str">
        <f>"INV 99790729"</f>
        <v>INV 99790729</v>
      </c>
    </row>
    <row r="938" spans="1:9" x14ac:dyDescent="0.3">
      <c r="A938" t="str">
        <f>""</f>
        <v/>
      </c>
      <c r="F938" t="str">
        <f>""</f>
        <v/>
      </c>
      <c r="G938" t="str">
        <f>""</f>
        <v/>
      </c>
      <c r="I938" t="str">
        <f>"INV 99792361"</f>
        <v>INV 99792361</v>
      </c>
    </row>
    <row r="939" spans="1:9" x14ac:dyDescent="0.3">
      <c r="A939" t="str">
        <f>""</f>
        <v/>
      </c>
      <c r="F939" t="str">
        <f>""</f>
        <v/>
      </c>
      <c r="G939" t="str">
        <f>""</f>
        <v/>
      </c>
      <c r="I939" t="str">
        <f>"INV 99799793"</f>
        <v>INV 99799793</v>
      </c>
    </row>
    <row r="940" spans="1:9" x14ac:dyDescent="0.3">
      <c r="A940" t="str">
        <f>"MOORE"</f>
        <v>MOORE</v>
      </c>
      <c r="B940" t="s">
        <v>365</v>
      </c>
      <c r="C940">
        <v>75914</v>
      </c>
      <c r="D940" s="2">
        <v>935.71</v>
      </c>
      <c r="E940" s="1">
        <v>43185</v>
      </c>
      <c r="F940" t="str">
        <f>"99823996"</f>
        <v>99823996</v>
      </c>
      <c r="G940" t="str">
        <f>"INV 99823996"</f>
        <v>INV 99823996</v>
      </c>
      <c r="H940">
        <v>935.71</v>
      </c>
      <c r="I940" t="str">
        <f>"INV 99823996"</f>
        <v>INV 99823996</v>
      </c>
    </row>
    <row r="941" spans="1:9" x14ac:dyDescent="0.3">
      <c r="A941" t="str">
        <f>"189"</f>
        <v>189</v>
      </c>
      <c r="B941" t="s">
        <v>366</v>
      </c>
      <c r="C941">
        <v>75712</v>
      </c>
      <c r="D941" s="2">
        <v>422.4</v>
      </c>
      <c r="E941" s="1">
        <v>43171</v>
      </c>
      <c r="F941" t="str">
        <f>"13202427"</f>
        <v>13202427</v>
      </c>
      <c r="G941" t="str">
        <f>"Radio Order"</f>
        <v>Radio Order</v>
      </c>
      <c r="H941">
        <v>422.4</v>
      </c>
      <c r="I941" t="str">
        <f>"NTN9857C"</f>
        <v>NTN9857C</v>
      </c>
    </row>
    <row r="942" spans="1:9" x14ac:dyDescent="0.3">
      <c r="A942" t="str">
        <f>"189"</f>
        <v>189</v>
      </c>
      <c r="B942" t="s">
        <v>366</v>
      </c>
      <c r="C942">
        <v>75915</v>
      </c>
      <c r="D942" s="2">
        <v>24982.400000000001</v>
      </c>
      <c r="E942" s="1">
        <v>43185</v>
      </c>
      <c r="F942" t="str">
        <f>"13205197"</f>
        <v>13205197</v>
      </c>
      <c r="G942" t="str">
        <f>"MOTOROLA INC"</f>
        <v>MOTOROLA INC</v>
      </c>
      <c r="H942">
        <v>3315.99</v>
      </c>
      <c r="I942" t="str">
        <f>"Motorolla Radio"</f>
        <v>Motorolla Radio</v>
      </c>
    </row>
    <row r="943" spans="1:9" x14ac:dyDescent="0.3">
      <c r="A943" t="str">
        <f>""</f>
        <v/>
      </c>
      <c r="F943" t="str">
        <f>"13206757"</f>
        <v>13206757</v>
      </c>
      <c r="G943" t="str">
        <f>"XTL 2500 Remote Control"</f>
        <v>XTL 2500 Remote Control</v>
      </c>
      <c r="H943">
        <v>1204.06</v>
      </c>
      <c r="I943" t="str">
        <f>"HKN6169B"</f>
        <v>HKN6169B</v>
      </c>
    </row>
    <row r="944" spans="1:9" x14ac:dyDescent="0.3">
      <c r="A944" t="str">
        <f>""</f>
        <v/>
      </c>
      <c r="F944" t="str">
        <f>""</f>
        <v/>
      </c>
      <c r="G944" t="str">
        <f>""</f>
        <v/>
      </c>
      <c r="I944" t="str">
        <f>"PMUF1266E"</f>
        <v>PMUF1266E</v>
      </c>
    </row>
    <row r="945" spans="1:9" x14ac:dyDescent="0.3">
      <c r="A945" t="str">
        <f>""</f>
        <v/>
      </c>
      <c r="F945" t="str">
        <f>""</f>
        <v/>
      </c>
      <c r="G945" t="str">
        <f>""</f>
        <v/>
      </c>
      <c r="I945" t="str">
        <f>"HKN4192B"</f>
        <v>HKN4192B</v>
      </c>
    </row>
    <row r="946" spans="1:9" x14ac:dyDescent="0.3">
      <c r="A946" t="str">
        <f>""</f>
        <v/>
      </c>
      <c r="F946" t="str">
        <f>"201803149598"</f>
        <v>201803149598</v>
      </c>
      <c r="G946" t="str">
        <f>"MARCH 2018 RADIO SVC AGREEMENT"</f>
        <v>MARCH 2018 RADIO SVC AGREEMENT</v>
      </c>
      <c r="H946">
        <v>20462.349999999999</v>
      </c>
      <c r="I946" t="str">
        <f>"MARCH 2018 RADIO SVC AGREEMENT"</f>
        <v>MARCH 2018 RADIO SVC AGREEMENT</v>
      </c>
    </row>
    <row r="947" spans="1:9" x14ac:dyDescent="0.3">
      <c r="A947" t="str">
        <f>"004694"</f>
        <v>004694</v>
      </c>
      <c r="B947" t="s">
        <v>367</v>
      </c>
      <c r="C947">
        <v>75916</v>
      </c>
      <c r="D947" s="2">
        <v>795</v>
      </c>
      <c r="E947" s="1">
        <v>43185</v>
      </c>
      <c r="F947" t="str">
        <f>"86446945"</f>
        <v>86446945</v>
      </c>
      <c r="G947" t="str">
        <f>"PAYER #:150344157/GEN SVCS"</f>
        <v>PAYER #:150344157/GEN SVCS</v>
      </c>
      <c r="H947">
        <v>795</v>
      </c>
      <c r="I947" t="str">
        <f>"PAYER #:150344157/GEN SVCS"</f>
        <v>PAYER #:150344157/GEN SVCS</v>
      </c>
    </row>
    <row r="948" spans="1:9" x14ac:dyDescent="0.3">
      <c r="A948" t="str">
        <f>"000562"</f>
        <v>000562</v>
      </c>
      <c r="B948" t="s">
        <v>368</v>
      </c>
      <c r="C948">
        <v>999999</v>
      </c>
      <c r="D948" s="2">
        <v>3772.5</v>
      </c>
      <c r="E948" s="1">
        <v>43172</v>
      </c>
      <c r="F948" t="str">
        <f>"IN0798393/0797396"</f>
        <v>IN0798393/0797396</v>
      </c>
      <c r="G948" t="str">
        <f>"INV IN0798393"</f>
        <v>INV IN0798393</v>
      </c>
      <c r="H948">
        <v>3772.5</v>
      </c>
      <c r="I948" t="str">
        <f>"INV IN0798393"</f>
        <v>INV IN0798393</v>
      </c>
    </row>
    <row r="949" spans="1:9" x14ac:dyDescent="0.3">
      <c r="A949" t="str">
        <f>""</f>
        <v/>
      </c>
      <c r="F949" t="str">
        <f>""</f>
        <v/>
      </c>
      <c r="G949" t="str">
        <f>""</f>
        <v/>
      </c>
      <c r="I949" t="str">
        <f>"INV IN0797396"</f>
        <v>INV IN0797396</v>
      </c>
    </row>
    <row r="950" spans="1:9" x14ac:dyDescent="0.3">
      <c r="A950" t="str">
        <f>"000562"</f>
        <v>000562</v>
      </c>
      <c r="B950" t="s">
        <v>368</v>
      </c>
      <c r="C950">
        <v>999999</v>
      </c>
      <c r="D950" s="2">
        <v>7343.32</v>
      </c>
      <c r="E950" s="1">
        <v>43186</v>
      </c>
      <c r="F950" t="str">
        <f>"IN0798781/0798432"</f>
        <v>IN0798781/0798432</v>
      </c>
      <c r="G950" t="str">
        <f>"INV IN0798781"</f>
        <v>INV IN0798781</v>
      </c>
      <c r="H950">
        <v>7343.32</v>
      </c>
      <c r="I950" t="str">
        <f>"INV IN0798781"</f>
        <v>INV IN0798781</v>
      </c>
    </row>
    <row r="951" spans="1:9" x14ac:dyDescent="0.3">
      <c r="A951" t="str">
        <f>""</f>
        <v/>
      </c>
      <c r="F951" t="str">
        <f>""</f>
        <v/>
      </c>
      <c r="G951" t="str">
        <f>""</f>
        <v/>
      </c>
      <c r="I951" t="str">
        <f>"INV IN0798432"</f>
        <v>INV IN0798432</v>
      </c>
    </row>
    <row r="952" spans="1:9" x14ac:dyDescent="0.3">
      <c r="A952" t="str">
        <f>"T6614"</f>
        <v>T6614</v>
      </c>
      <c r="B952" t="s">
        <v>369</v>
      </c>
      <c r="C952">
        <v>999999</v>
      </c>
      <c r="D952" s="2">
        <v>304.24</v>
      </c>
      <c r="E952" s="1">
        <v>43172</v>
      </c>
      <c r="F952" t="str">
        <f>"0581334608"</f>
        <v>0581334608</v>
      </c>
      <c r="G952" t="str">
        <f>"CUST#1772018"</f>
        <v>CUST#1772018</v>
      </c>
      <c r="H952">
        <v>25.72</v>
      </c>
      <c r="I952" t="str">
        <f>"CUST#1772018"</f>
        <v>CUST#1772018</v>
      </c>
    </row>
    <row r="953" spans="1:9" x14ac:dyDescent="0.3">
      <c r="A953" t="str">
        <f>""</f>
        <v/>
      </c>
      <c r="F953" t="str">
        <f>"201803079261"</f>
        <v>201803079261</v>
      </c>
      <c r="G953" t="str">
        <f>"CUST#99088/PCT#4"</f>
        <v>CUST#99088/PCT#4</v>
      </c>
      <c r="H953">
        <v>278.52</v>
      </c>
      <c r="I953" t="str">
        <f>"CUST#99088/PCT#4"</f>
        <v>CUST#99088/PCT#4</v>
      </c>
    </row>
    <row r="954" spans="1:9" x14ac:dyDescent="0.3">
      <c r="A954" t="str">
        <f>"001015"</f>
        <v>001015</v>
      </c>
      <c r="B954" t="s">
        <v>370</v>
      </c>
      <c r="C954">
        <v>75713</v>
      </c>
      <c r="D954" s="2">
        <v>984.39</v>
      </c>
      <c r="E954" s="1">
        <v>43171</v>
      </c>
      <c r="F954" t="str">
        <f>"1151226/1146298/11"</f>
        <v>1151226/1146298/11</v>
      </c>
      <c r="G954" t="str">
        <f>"INV 1151226"</f>
        <v>INV 1151226</v>
      </c>
      <c r="H954">
        <v>984.39</v>
      </c>
      <c r="I954" t="str">
        <f>"INV 1151226"</f>
        <v>INV 1151226</v>
      </c>
    </row>
    <row r="955" spans="1:9" x14ac:dyDescent="0.3">
      <c r="A955" t="str">
        <f>""</f>
        <v/>
      </c>
      <c r="F955" t="str">
        <f>""</f>
        <v/>
      </c>
      <c r="G955" t="str">
        <f>""</f>
        <v/>
      </c>
      <c r="I955" t="str">
        <f>"INV 1146298"</f>
        <v>INV 1146298</v>
      </c>
    </row>
    <row r="956" spans="1:9" x14ac:dyDescent="0.3">
      <c r="A956" t="str">
        <f>""</f>
        <v/>
      </c>
      <c r="F956" t="str">
        <f>""</f>
        <v/>
      </c>
      <c r="G956" t="str">
        <f>""</f>
        <v/>
      </c>
      <c r="I956" t="str">
        <f>"INV 1154716"</f>
        <v>INV 1154716</v>
      </c>
    </row>
    <row r="957" spans="1:9" x14ac:dyDescent="0.3">
      <c r="A957" t="str">
        <f>""</f>
        <v/>
      </c>
      <c r="F957" t="str">
        <f>""</f>
        <v/>
      </c>
      <c r="G957" t="str">
        <f>""</f>
        <v/>
      </c>
      <c r="I957" t="str">
        <f>"INV 122002279"</f>
        <v>INV 122002279</v>
      </c>
    </row>
    <row r="958" spans="1:9" x14ac:dyDescent="0.3">
      <c r="A958" t="str">
        <f>"001015"</f>
        <v>001015</v>
      </c>
      <c r="B958" t="s">
        <v>370</v>
      </c>
      <c r="C958">
        <v>75917</v>
      </c>
      <c r="D958" s="2">
        <v>962.61</v>
      </c>
      <c r="E958" s="1">
        <v>43185</v>
      </c>
      <c r="F958" t="str">
        <f>"JAIL MILK INVOICES"</f>
        <v>JAIL MILK INVOICES</v>
      </c>
      <c r="G958" t="str">
        <f>"INV 1159883"</f>
        <v>INV 1159883</v>
      </c>
      <c r="H958">
        <v>962.61</v>
      </c>
      <c r="I958" t="str">
        <f>"INV 1159883"</f>
        <v>INV 1159883</v>
      </c>
    </row>
    <row r="959" spans="1:9" x14ac:dyDescent="0.3">
      <c r="A959" t="str">
        <f>""</f>
        <v/>
      </c>
      <c r="F959" t="str">
        <f>""</f>
        <v/>
      </c>
      <c r="G959" t="str">
        <f>""</f>
        <v/>
      </c>
      <c r="I959" t="str">
        <f>"#1159883 PD IN ERROR"</f>
        <v>#1159883 PD IN ERROR</v>
      </c>
    </row>
    <row r="960" spans="1:9" x14ac:dyDescent="0.3">
      <c r="A960" t="str">
        <f>""</f>
        <v/>
      </c>
      <c r="F960" t="str">
        <f>""</f>
        <v/>
      </c>
      <c r="G960" t="str">
        <f>""</f>
        <v/>
      </c>
      <c r="I960" t="str">
        <f>"INV 1163358"</f>
        <v>INV 1163358</v>
      </c>
    </row>
    <row r="961" spans="1:9" x14ac:dyDescent="0.3">
      <c r="A961" t="str">
        <f>""</f>
        <v/>
      </c>
      <c r="F961" t="str">
        <f>""</f>
        <v/>
      </c>
      <c r="G961" t="str">
        <f>""</f>
        <v/>
      </c>
      <c r="I961" t="str">
        <f>"INV 1168474"</f>
        <v>INV 1168474</v>
      </c>
    </row>
    <row r="962" spans="1:9" x14ac:dyDescent="0.3">
      <c r="A962" t="str">
        <f>""</f>
        <v/>
      </c>
      <c r="F962" t="str">
        <f>""</f>
        <v/>
      </c>
      <c r="G962" t="str">
        <f>""</f>
        <v/>
      </c>
      <c r="I962" t="str">
        <f>"INV 1171485"</f>
        <v>INV 1171485</v>
      </c>
    </row>
    <row r="963" spans="1:9" x14ac:dyDescent="0.3">
      <c r="A963" t="str">
        <f>""</f>
        <v/>
      </c>
      <c r="F963" t="str">
        <f>""</f>
        <v/>
      </c>
      <c r="G963" t="str">
        <f>""</f>
        <v/>
      </c>
      <c r="I963" t="str">
        <f>"INV 1175657"</f>
        <v>INV 1175657</v>
      </c>
    </row>
    <row r="964" spans="1:9" x14ac:dyDescent="0.3">
      <c r="A964" t="str">
        <f>"T5769"</f>
        <v>T5769</v>
      </c>
      <c r="B964" t="s">
        <v>371</v>
      </c>
      <c r="C964">
        <v>75714</v>
      </c>
      <c r="D964" s="2">
        <v>1642.23</v>
      </c>
      <c r="E964" s="1">
        <v>43171</v>
      </c>
      <c r="F964" t="str">
        <f>"9233353"</f>
        <v>9233353</v>
      </c>
      <c r="G964" t="str">
        <f>"Bill # 9233353"</f>
        <v>Bill # 9233353</v>
      </c>
      <c r="H964">
        <v>1642.23</v>
      </c>
      <c r="I964" t="str">
        <f>"Order# 112433210001"</f>
        <v>Order# 112433210001</v>
      </c>
    </row>
    <row r="965" spans="1:9" x14ac:dyDescent="0.3">
      <c r="A965" t="str">
        <f>""</f>
        <v/>
      </c>
      <c r="F965" t="str">
        <f>""</f>
        <v/>
      </c>
      <c r="G965" t="str">
        <f>""</f>
        <v/>
      </c>
      <c r="I965" t="str">
        <f>"Order# 108746195001"</f>
        <v>Order# 108746195001</v>
      </c>
    </row>
    <row r="966" spans="1:9" x14ac:dyDescent="0.3">
      <c r="A966" t="str">
        <f>""</f>
        <v/>
      </c>
      <c r="F966" t="str">
        <f>""</f>
        <v/>
      </c>
      <c r="G966" t="str">
        <f>""</f>
        <v/>
      </c>
      <c r="I966" t="str">
        <f>"Order# 109903092001"</f>
        <v>Order# 109903092001</v>
      </c>
    </row>
    <row r="967" spans="1:9" x14ac:dyDescent="0.3">
      <c r="A967" t="str">
        <f>""</f>
        <v/>
      </c>
      <c r="F967" t="str">
        <f>""</f>
        <v/>
      </c>
      <c r="G967" t="str">
        <f>""</f>
        <v/>
      </c>
      <c r="I967" t="str">
        <f>"Order# 109903092001"</f>
        <v>Order# 109903092001</v>
      </c>
    </row>
    <row r="968" spans="1:9" x14ac:dyDescent="0.3">
      <c r="A968" t="str">
        <f>""</f>
        <v/>
      </c>
      <c r="F968" t="str">
        <f>""</f>
        <v/>
      </c>
      <c r="G968" t="str">
        <f>""</f>
        <v/>
      </c>
      <c r="I968" t="str">
        <f>"Order# 103435246001"</f>
        <v>Order# 103435246001</v>
      </c>
    </row>
    <row r="969" spans="1:9" x14ac:dyDescent="0.3">
      <c r="A969" t="str">
        <f>""</f>
        <v/>
      </c>
      <c r="F969" t="str">
        <f>""</f>
        <v/>
      </c>
      <c r="G969" t="str">
        <f>""</f>
        <v/>
      </c>
      <c r="I969" t="str">
        <f>"Order# 110109015001"</f>
        <v>Order# 110109015001</v>
      </c>
    </row>
    <row r="970" spans="1:9" x14ac:dyDescent="0.3">
      <c r="A970" t="str">
        <f>""</f>
        <v/>
      </c>
      <c r="F970" t="str">
        <f>""</f>
        <v/>
      </c>
      <c r="G970" t="str">
        <f>""</f>
        <v/>
      </c>
      <c r="I970" t="str">
        <f>"Order# 110111733001"</f>
        <v>Order# 110111733001</v>
      </c>
    </row>
    <row r="971" spans="1:9" x14ac:dyDescent="0.3">
      <c r="A971" t="str">
        <f>""</f>
        <v/>
      </c>
      <c r="F971" t="str">
        <f>""</f>
        <v/>
      </c>
      <c r="G971" t="str">
        <f>""</f>
        <v/>
      </c>
      <c r="I971" t="str">
        <f>"Order# 112697783001"</f>
        <v>Order# 112697783001</v>
      </c>
    </row>
    <row r="972" spans="1:9" x14ac:dyDescent="0.3">
      <c r="A972" t="str">
        <f>""</f>
        <v/>
      </c>
      <c r="F972" t="str">
        <f>""</f>
        <v/>
      </c>
      <c r="G972" t="str">
        <f>""</f>
        <v/>
      </c>
      <c r="I972" t="str">
        <f>"Order# 111569342001"</f>
        <v>Order# 111569342001</v>
      </c>
    </row>
    <row r="973" spans="1:9" x14ac:dyDescent="0.3">
      <c r="A973" t="str">
        <f>""</f>
        <v/>
      </c>
      <c r="F973" t="str">
        <f>""</f>
        <v/>
      </c>
      <c r="G973" t="str">
        <f>""</f>
        <v/>
      </c>
      <c r="I973" t="str">
        <f>"Order# 110701858001"</f>
        <v>Order# 110701858001</v>
      </c>
    </row>
    <row r="974" spans="1:9" x14ac:dyDescent="0.3">
      <c r="A974" t="str">
        <f>""</f>
        <v/>
      </c>
      <c r="F974" t="str">
        <f>""</f>
        <v/>
      </c>
      <c r="G974" t="str">
        <f>""</f>
        <v/>
      </c>
      <c r="I974" t="str">
        <f>"Order# 110702868001"</f>
        <v>Order# 110702868001</v>
      </c>
    </row>
    <row r="975" spans="1:9" x14ac:dyDescent="0.3">
      <c r="A975" t="str">
        <f>""</f>
        <v/>
      </c>
      <c r="F975" t="str">
        <f>""</f>
        <v/>
      </c>
      <c r="G975" t="str">
        <f>""</f>
        <v/>
      </c>
      <c r="I975" t="str">
        <f>"Order# 110702869001"</f>
        <v>Order# 110702869001</v>
      </c>
    </row>
    <row r="976" spans="1:9" x14ac:dyDescent="0.3">
      <c r="A976" t="str">
        <f>""</f>
        <v/>
      </c>
      <c r="F976" t="str">
        <f>""</f>
        <v/>
      </c>
      <c r="G976" t="str">
        <f>""</f>
        <v/>
      </c>
      <c r="I976" t="str">
        <f>"Order# 111569342001"</f>
        <v>Order# 111569342001</v>
      </c>
    </row>
    <row r="977" spans="1:9" x14ac:dyDescent="0.3">
      <c r="A977" t="str">
        <f>"T5769"</f>
        <v>T5769</v>
      </c>
      <c r="B977" t="s">
        <v>371</v>
      </c>
      <c r="C977">
        <v>75918</v>
      </c>
      <c r="D977" s="2">
        <v>450.49</v>
      </c>
      <c r="E977" s="1">
        <v>43185</v>
      </c>
      <c r="F977" t="str">
        <f>"9278141"</f>
        <v>9278141</v>
      </c>
      <c r="G977" t="str">
        <f>"Bill# 9278141"</f>
        <v>Bill# 9278141</v>
      </c>
      <c r="H977">
        <v>450.49</v>
      </c>
      <c r="I977" t="str">
        <f>"Ord# 112429871001"</f>
        <v>Ord# 112429871001</v>
      </c>
    </row>
    <row r="978" spans="1:9" x14ac:dyDescent="0.3">
      <c r="A978" t="str">
        <f>""</f>
        <v/>
      </c>
      <c r="F978" t="str">
        <f>""</f>
        <v/>
      </c>
      <c r="G978" t="str">
        <f>""</f>
        <v/>
      </c>
      <c r="I978" t="str">
        <f>"Ord# 112433209001"</f>
        <v>Ord# 112433209001</v>
      </c>
    </row>
    <row r="979" spans="1:9" x14ac:dyDescent="0.3">
      <c r="A979" t="str">
        <f>""</f>
        <v/>
      </c>
      <c r="F979" t="str">
        <f>""</f>
        <v/>
      </c>
      <c r="G979" t="str">
        <f>""</f>
        <v/>
      </c>
      <c r="I979" t="str">
        <f>"Ord# 113987851001"</f>
        <v>Ord# 113987851001</v>
      </c>
    </row>
    <row r="980" spans="1:9" x14ac:dyDescent="0.3">
      <c r="A980" t="str">
        <f>""</f>
        <v/>
      </c>
      <c r="F980" t="str">
        <f>""</f>
        <v/>
      </c>
      <c r="G980" t="str">
        <f>""</f>
        <v/>
      </c>
      <c r="I980" t="str">
        <f>"Ord# 113988329001"</f>
        <v>Ord# 113988329001</v>
      </c>
    </row>
    <row r="981" spans="1:9" x14ac:dyDescent="0.3">
      <c r="A981" t="str">
        <f>""</f>
        <v/>
      </c>
      <c r="F981" t="str">
        <f>""</f>
        <v/>
      </c>
      <c r="G981" t="str">
        <f>""</f>
        <v/>
      </c>
      <c r="I981" t="str">
        <f>"Ord# 115452399001"</f>
        <v>Ord# 115452399001</v>
      </c>
    </row>
    <row r="982" spans="1:9" x14ac:dyDescent="0.3">
      <c r="A982" t="str">
        <f>""</f>
        <v/>
      </c>
      <c r="F982" t="str">
        <f>""</f>
        <v/>
      </c>
      <c r="G982" t="str">
        <f>""</f>
        <v/>
      </c>
      <c r="I982" t="str">
        <f>"Ord# 115452399002"</f>
        <v>Ord# 115452399002</v>
      </c>
    </row>
    <row r="983" spans="1:9" x14ac:dyDescent="0.3">
      <c r="A983" t="str">
        <f>""</f>
        <v/>
      </c>
      <c r="F983" t="str">
        <f>""</f>
        <v/>
      </c>
      <c r="G983" t="str">
        <f>""</f>
        <v/>
      </c>
      <c r="I983" t="str">
        <f>"Ord# 115453134001"</f>
        <v>Ord# 115453134001</v>
      </c>
    </row>
    <row r="984" spans="1:9" x14ac:dyDescent="0.3">
      <c r="A984" t="str">
        <f>""</f>
        <v/>
      </c>
      <c r="F984" t="str">
        <f>""</f>
        <v/>
      </c>
      <c r="G984" t="str">
        <f>""</f>
        <v/>
      </c>
      <c r="I984" t="str">
        <f>"Ord# 115453135001"</f>
        <v>Ord# 115453135001</v>
      </c>
    </row>
    <row r="985" spans="1:9" x14ac:dyDescent="0.3">
      <c r="A985" t="str">
        <f>""</f>
        <v/>
      </c>
      <c r="F985" t="str">
        <f>""</f>
        <v/>
      </c>
      <c r="G985" t="str">
        <f>""</f>
        <v/>
      </c>
      <c r="I985" t="str">
        <f>"Ord# 116706693001"</f>
        <v>Ord# 116706693001</v>
      </c>
    </row>
    <row r="986" spans="1:9" x14ac:dyDescent="0.3">
      <c r="A986" t="str">
        <f>""</f>
        <v/>
      </c>
      <c r="F986" t="str">
        <f>""</f>
        <v/>
      </c>
      <c r="G986" t="str">
        <f>""</f>
        <v/>
      </c>
      <c r="I986" t="str">
        <f>"Ord# 116707079001"</f>
        <v>Ord# 116707079001</v>
      </c>
    </row>
    <row r="987" spans="1:9" x14ac:dyDescent="0.3">
      <c r="A987" t="str">
        <f>""</f>
        <v/>
      </c>
      <c r="F987" t="str">
        <f>""</f>
        <v/>
      </c>
      <c r="G987" t="str">
        <f>""</f>
        <v/>
      </c>
      <c r="I987" t="str">
        <f>"Ord# 115634587001"</f>
        <v>Ord# 115634587001</v>
      </c>
    </row>
    <row r="988" spans="1:9" x14ac:dyDescent="0.3">
      <c r="A988" t="str">
        <f>""</f>
        <v/>
      </c>
      <c r="F988" t="str">
        <f>""</f>
        <v/>
      </c>
      <c r="G988" t="str">
        <f>""</f>
        <v/>
      </c>
      <c r="I988" t="str">
        <f>"Ord# 115635178001"</f>
        <v>Ord# 115635178001</v>
      </c>
    </row>
    <row r="989" spans="1:9" x14ac:dyDescent="0.3">
      <c r="A989" t="str">
        <f>""</f>
        <v/>
      </c>
      <c r="F989" t="str">
        <f>""</f>
        <v/>
      </c>
      <c r="G989" t="str">
        <f>""</f>
        <v/>
      </c>
      <c r="I989" t="str">
        <f>"Ord# 115218333001"</f>
        <v>Ord# 115218333001</v>
      </c>
    </row>
    <row r="990" spans="1:9" x14ac:dyDescent="0.3">
      <c r="A990" t="str">
        <f>""</f>
        <v/>
      </c>
      <c r="F990" t="str">
        <f>""</f>
        <v/>
      </c>
      <c r="G990" t="str">
        <f>""</f>
        <v/>
      </c>
      <c r="I990" t="str">
        <f>"Ord# 115231484001"</f>
        <v>Ord# 115231484001</v>
      </c>
    </row>
    <row r="991" spans="1:9" x14ac:dyDescent="0.3">
      <c r="A991" t="str">
        <f>""</f>
        <v/>
      </c>
      <c r="F991" t="str">
        <f>""</f>
        <v/>
      </c>
      <c r="G991" t="str">
        <f>""</f>
        <v/>
      </c>
      <c r="I991" t="str">
        <f>"Ord# 114957481001"</f>
        <v>Ord# 114957481001</v>
      </c>
    </row>
    <row r="992" spans="1:9" x14ac:dyDescent="0.3">
      <c r="A992" t="str">
        <f>""</f>
        <v/>
      </c>
      <c r="F992" t="str">
        <f>""</f>
        <v/>
      </c>
      <c r="G992" t="str">
        <f>""</f>
        <v/>
      </c>
      <c r="I992" t="str">
        <f>"Ord# 114751445001"</f>
        <v>Ord# 114751445001</v>
      </c>
    </row>
    <row r="993" spans="1:9" x14ac:dyDescent="0.3">
      <c r="A993" t="str">
        <f>""</f>
        <v/>
      </c>
      <c r="F993" t="str">
        <f>""</f>
        <v/>
      </c>
      <c r="G993" t="str">
        <f>""</f>
        <v/>
      </c>
      <c r="I993" t="str">
        <f>"Ord# 114752011001"</f>
        <v>Ord# 114752011001</v>
      </c>
    </row>
    <row r="994" spans="1:9" x14ac:dyDescent="0.3">
      <c r="A994" t="str">
        <f>""</f>
        <v/>
      </c>
      <c r="F994" t="str">
        <f>""</f>
        <v/>
      </c>
      <c r="G994" t="str">
        <f>""</f>
        <v/>
      </c>
      <c r="I994" t="str">
        <f>"Ord# 113962148001"</f>
        <v>Ord# 113962148001</v>
      </c>
    </row>
    <row r="995" spans="1:9" x14ac:dyDescent="0.3">
      <c r="A995" t="str">
        <f>""</f>
        <v/>
      </c>
      <c r="F995" t="str">
        <f>""</f>
        <v/>
      </c>
      <c r="G995" t="str">
        <f>""</f>
        <v/>
      </c>
      <c r="I995" t="str">
        <f>"Ord# 113962227001"</f>
        <v>Ord# 113962227001</v>
      </c>
    </row>
    <row r="996" spans="1:9" x14ac:dyDescent="0.3">
      <c r="A996" t="str">
        <f>""</f>
        <v/>
      </c>
      <c r="F996" t="str">
        <f>""</f>
        <v/>
      </c>
      <c r="G996" t="str">
        <f>""</f>
        <v/>
      </c>
      <c r="I996" t="str">
        <f>"Ord# 112695456001"</f>
        <v>Ord# 112695456001</v>
      </c>
    </row>
    <row r="997" spans="1:9" x14ac:dyDescent="0.3">
      <c r="A997" t="str">
        <f>""</f>
        <v/>
      </c>
      <c r="F997" t="str">
        <f>""</f>
        <v/>
      </c>
      <c r="G997" t="str">
        <f>""</f>
        <v/>
      </c>
      <c r="I997" t="str">
        <f>"Ord# 112697782001"</f>
        <v>Ord# 112697782001</v>
      </c>
    </row>
    <row r="998" spans="1:9" x14ac:dyDescent="0.3">
      <c r="A998" t="str">
        <f>""</f>
        <v/>
      </c>
      <c r="F998" t="str">
        <f>""</f>
        <v/>
      </c>
      <c r="G998" t="str">
        <f>""</f>
        <v/>
      </c>
      <c r="I998" t="str">
        <f>"Ord# 111498390001"</f>
        <v>Ord# 111498390001</v>
      </c>
    </row>
    <row r="999" spans="1:9" x14ac:dyDescent="0.3">
      <c r="A999" t="str">
        <f>""</f>
        <v/>
      </c>
      <c r="F999" t="str">
        <f>""</f>
        <v/>
      </c>
      <c r="G999" t="str">
        <f>""</f>
        <v/>
      </c>
      <c r="I999" t="str">
        <f>"Ord# 111565087001"</f>
        <v>Ord# 111565087001</v>
      </c>
    </row>
    <row r="1000" spans="1:9" x14ac:dyDescent="0.3">
      <c r="A1000" t="str">
        <f>""</f>
        <v/>
      </c>
      <c r="F1000" t="str">
        <f>""</f>
        <v/>
      </c>
      <c r="G1000" t="str">
        <f>""</f>
        <v/>
      </c>
      <c r="I1000" t="str">
        <f>"Ord# 113770875001"</f>
        <v>Ord# 113770875001</v>
      </c>
    </row>
    <row r="1001" spans="1:9" x14ac:dyDescent="0.3">
      <c r="A1001" t="str">
        <f>""</f>
        <v/>
      </c>
      <c r="F1001" t="str">
        <f>""</f>
        <v/>
      </c>
      <c r="G1001" t="str">
        <f>""</f>
        <v/>
      </c>
      <c r="I1001" t="str">
        <f>"Ord# 113801587001"</f>
        <v>Ord# 113801587001</v>
      </c>
    </row>
    <row r="1002" spans="1:9" x14ac:dyDescent="0.3">
      <c r="A1002" t="str">
        <f>"004879"</f>
        <v>004879</v>
      </c>
      <c r="B1002" t="s">
        <v>372</v>
      </c>
      <c r="C1002">
        <v>75919</v>
      </c>
      <c r="D1002" s="2">
        <v>10351.040000000001</v>
      </c>
      <c r="E1002" s="1">
        <v>43185</v>
      </c>
      <c r="F1002" t="str">
        <f>"200651913"</f>
        <v>200651913</v>
      </c>
      <c r="G1002" t="str">
        <f>"CUST#255120/COLD MIX/PCT#2"</f>
        <v>CUST#255120/COLD MIX/PCT#2</v>
      </c>
      <c r="H1002">
        <v>10351.040000000001</v>
      </c>
      <c r="I1002" t="str">
        <f>"CUST#255120/COLD MIX/PCT#2"</f>
        <v>CUST#255120/COLD MIX/PCT#2</v>
      </c>
    </row>
    <row r="1003" spans="1:9" x14ac:dyDescent="0.3">
      <c r="A1003" t="str">
        <f>"005285"</f>
        <v>005285</v>
      </c>
      <c r="B1003" t="s">
        <v>373</v>
      </c>
      <c r="C1003">
        <v>75715</v>
      </c>
      <c r="D1003" s="2">
        <v>60</v>
      </c>
      <c r="E1003" s="1">
        <v>43171</v>
      </c>
      <c r="F1003" t="str">
        <f>"201803089382"</f>
        <v>201803089382</v>
      </c>
      <c r="G1003" t="str">
        <f>"FERAL HOGS"</f>
        <v>FERAL HOGS</v>
      </c>
      <c r="H1003">
        <v>60</v>
      </c>
      <c r="I1003" t="str">
        <f>"FERAL HOGS"</f>
        <v>FERAL HOGS</v>
      </c>
    </row>
    <row r="1004" spans="1:9" x14ac:dyDescent="0.3">
      <c r="A1004" t="str">
        <f>"OP"</f>
        <v>OP</v>
      </c>
      <c r="B1004" t="s">
        <v>374</v>
      </c>
      <c r="C1004">
        <v>75716</v>
      </c>
      <c r="D1004" s="2">
        <v>664</v>
      </c>
      <c r="E1004" s="1">
        <v>43171</v>
      </c>
      <c r="F1004" t="str">
        <f>"17126"</f>
        <v>17126</v>
      </c>
      <c r="G1004" t="str">
        <f>"PLUMBING SVCS/ANIMAL SHELTER"</f>
        <v>PLUMBING SVCS/ANIMAL SHELTER</v>
      </c>
      <c r="H1004">
        <v>345</v>
      </c>
      <c r="I1004" t="str">
        <f>"PLUMBING SVCS/ANIMAL SHELTER"</f>
        <v>PLUMBING SVCS/ANIMAL SHELTER</v>
      </c>
    </row>
    <row r="1005" spans="1:9" x14ac:dyDescent="0.3">
      <c r="A1005" t="str">
        <f>""</f>
        <v/>
      </c>
      <c r="F1005" t="str">
        <f>"17244"</f>
        <v>17244</v>
      </c>
      <c r="G1005" t="str">
        <f>"PLUMBING SVCS/GRADY TUCK BLDG"</f>
        <v>PLUMBING SVCS/GRADY TUCK BLDG</v>
      </c>
      <c r="H1005">
        <v>319</v>
      </c>
      <c r="I1005" t="str">
        <f>"PLUMBING SVCS/GRADY TUCK BLDG"</f>
        <v>PLUMBING SVCS/GRADY TUCK BLDG</v>
      </c>
    </row>
    <row r="1006" spans="1:9" x14ac:dyDescent="0.3">
      <c r="A1006" t="str">
        <f>"OP"</f>
        <v>OP</v>
      </c>
      <c r="B1006" t="s">
        <v>374</v>
      </c>
      <c r="C1006">
        <v>75920</v>
      </c>
      <c r="D1006" s="2">
        <v>1956</v>
      </c>
      <c r="E1006" s="1">
        <v>43185</v>
      </c>
      <c r="F1006" t="str">
        <f>"17261"</f>
        <v>17261</v>
      </c>
      <c r="G1006" t="str">
        <f>"PLUMBING SVCS/INDIGENT CARE"</f>
        <v>PLUMBING SVCS/INDIGENT CARE</v>
      </c>
      <c r="H1006">
        <v>1391</v>
      </c>
      <c r="I1006" t="str">
        <f>"PLUMBING SVCS/INDIGENT CARE"</f>
        <v>PLUMBING SVCS/INDIGENT CARE</v>
      </c>
    </row>
    <row r="1007" spans="1:9" x14ac:dyDescent="0.3">
      <c r="A1007" t="str">
        <f>""</f>
        <v/>
      </c>
      <c r="F1007" t="str">
        <f>"17294"</f>
        <v>17294</v>
      </c>
      <c r="G1007" t="str">
        <f>"PLUMBING SVCS/218 S MAIN ELGIN"</f>
        <v>PLUMBING SVCS/218 S MAIN ELGIN</v>
      </c>
      <c r="H1007">
        <v>565</v>
      </c>
      <c r="I1007" t="str">
        <f>"PLUMBING SVCS/218 S MAIN ELGIN"</f>
        <v>PLUMBING SVCS/218 S MAIN ELGIN</v>
      </c>
    </row>
    <row r="1008" spans="1:9" x14ac:dyDescent="0.3">
      <c r="A1008" t="str">
        <f>"005152"</f>
        <v>005152</v>
      </c>
      <c r="B1008" t="s">
        <v>375</v>
      </c>
      <c r="C1008">
        <v>75717</v>
      </c>
      <c r="D1008" s="2">
        <v>41.31</v>
      </c>
      <c r="E1008" s="1">
        <v>43171</v>
      </c>
      <c r="F1008" t="str">
        <f>"248613F"</f>
        <v>248613F</v>
      </c>
      <c r="G1008" t="str">
        <f>"FREIGHT"</f>
        <v>FREIGHT</v>
      </c>
      <c r="H1008">
        <v>41.31</v>
      </c>
      <c r="I1008" t="str">
        <f>"FREIGHT"</f>
        <v>FREIGHT</v>
      </c>
    </row>
    <row r="1009" spans="1:9" x14ac:dyDescent="0.3">
      <c r="A1009" t="str">
        <f>"PAIGE"</f>
        <v>PAIGE</v>
      </c>
      <c r="B1009" t="s">
        <v>376</v>
      </c>
      <c r="C1009">
        <v>75921</v>
      </c>
      <c r="D1009" s="2">
        <v>359.96</v>
      </c>
      <c r="E1009" s="1">
        <v>43185</v>
      </c>
      <c r="F1009" t="str">
        <f>"11711"</f>
        <v>11711</v>
      </c>
      <c r="G1009" t="str">
        <f>"BELT/KNOB/PCT#4"</f>
        <v>BELT/KNOB/PCT#4</v>
      </c>
      <c r="H1009">
        <v>94.08</v>
      </c>
      <c r="I1009" t="str">
        <f>"BELT/KNOB/PCT#4"</f>
        <v>BELT/KNOB/PCT#4</v>
      </c>
    </row>
    <row r="1010" spans="1:9" x14ac:dyDescent="0.3">
      <c r="A1010" t="str">
        <f>""</f>
        <v/>
      </c>
      <c r="F1010" t="str">
        <f>"12096"</f>
        <v>12096</v>
      </c>
      <c r="G1010" t="str">
        <f>"BLADE/BELT/PCT#4"</f>
        <v>BLADE/BELT/PCT#4</v>
      </c>
      <c r="H1010">
        <v>136.24</v>
      </c>
      <c r="I1010" t="str">
        <f>"BLADE/BELT/PCT#4"</f>
        <v>BLADE/BELT/PCT#4</v>
      </c>
    </row>
    <row r="1011" spans="1:9" x14ac:dyDescent="0.3">
      <c r="A1011" t="str">
        <f>""</f>
        <v/>
      </c>
      <c r="F1011" t="str">
        <f>"12100"</f>
        <v>12100</v>
      </c>
      <c r="G1011" t="str">
        <f>"AIR/OIL/FUEL FILTER/OIL/PCT#4"</f>
        <v>AIR/OIL/FUEL FILTER/OIL/PCT#4</v>
      </c>
      <c r="H1011">
        <v>72.650000000000006</v>
      </c>
      <c r="I1011" t="str">
        <f>"AIR/OIL/FUEL FILTER/OIL/PCT#4"</f>
        <v>AIR/OIL/FUEL FILTER/OIL/PCT#4</v>
      </c>
    </row>
    <row r="1012" spans="1:9" x14ac:dyDescent="0.3">
      <c r="A1012" t="str">
        <f>""</f>
        <v/>
      </c>
      <c r="F1012" t="str">
        <f>"59905"</f>
        <v>59905</v>
      </c>
      <c r="G1012" t="str">
        <f>"STIHL LINE/PCT#4"</f>
        <v>STIHL LINE/PCT#4</v>
      </c>
      <c r="H1012">
        <v>56.99</v>
      </c>
      <c r="I1012" t="str">
        <f>"STIHL LINE/PCT#4"</f>
        <v>STIHL LINE/PCT#4</v>
      </c>
    </row>
    <row r="1013" spans="1:9" x14ac:dyDescent="0.3">
      <c r="A1013" t="str">
        <f>"003566"</f>
        <v>003566</v>
      </c>
      <c r="B1013" t="s">
        <v>377</v>
      </c>
      <c r="C1013">
        <v>75718</v>
      </c>
      <c r="D1013" s="2">
        <v>12.37</v>
      </c>
      <c r="E1013" s="1">
        <v>43171</v>
      </c>
      <c r="F1013" t="str">
        <f>"201803069219"</f>
        <v>201803069219</v>
      </c>
      <c r="G1013" t="str">
        <f>"ACCT#1137/PCT#4"</f>
        <v>ACCT#1137/PCT#4</v>
      </c>
      <c r="H1013">
        <v>12.37</v>
      </c>
      <c r="I1013" t="str">
        <f>"ACCT#1137/PCT#4"</f>
        <v>ACCT#1137/PCT#4</v>
      </c>
    </row>
    <row r="1014" spans="1:9" x14ac:dyDescent="0.3">
      <c r="A1014" t="str">
        <f>"T5411"</f>
        <v>T5411</v>
      </c>
      <c r="B1014" t="s">
        <v>378</v>
      </c>
      <c r="C1014">
        <v>75719</v>
      </c>
      <c r="D1014" s="2">
        <v>198</v>
      </c>
      <c r="E1014" s="1">
        <v>43171</v>
      </c>
      <c r="F1014" t="str">
        <f>"026449"</f>
        <v>026449</v>
      </c>
      <c r="G1014" t="str">
        <f>"24  X 50 YD RED VINYL"</f>
        <v>24  X 50 YD RED VINYL</v>
      </c>
      <c r="H1014">
        <v>198</v>
      </c>
      <c r="I1014" t="str">
        <f>"24  X 50 YD RED VINYL"</f>
        <v>24  X 50 YD RED VINYL</v>
      </c>
    </row>
    <row r="1015" spans="1:9" x14ac:dyDescent="0.3">
      <c r="A1015" t="str">
        <f>"WEBSTE"</f>
        <v>WEBSTE</v>
      </c>
      <c r="B1015" t="s">
        <v>379</v>
      </c>
      <c r="C1015">
        <v>75720</v>
      </c>
      <c r="D1015" s="2">
        <v>2234.79</v>
      </c>
      <c r="E1015" s="1">
        <v>43171</v>
      </c>
      <c r="F1015" t="str">
        <f>"201803079301"</f>
        <v>201803079301</v>
      </c>
      <c r="G1015" t="str">
        <f>"ACCT#0200140783/ANIMAL SVCS"</f>
        <v>ACCT#0200140783/ANIMAL SVCS</v>
      </c>
      <c r="H1015">
        <v>2234.79</v>
      </c>
      <c r="I1015" t="str">
        <f>"ACCT#0200140783/ANIMAL SVCS"</f>
        <v>ACCT#0200140783/ANIMAL SVCS</v>
      </c>
    </row>
    <row r="1016" spans="1:9" x14ac:dyDescent="0.3">
      <c r="A1016" t="str">
        <f>""</f>
        <v/>
      </c>
      <c r="F1016" t="str">
        <f>""</f>
        <v/>
      </c>
      <c r="G1016" t="str">
        <f>""</f>
        <v/>
      </c>
      <c r="I1016" t="str">
        <f>"ACCT#0200140783/ANIMAL SVCS"</f>
        <v>ACCT#0200140783/ANIMAL SVCS</v>
      </c>
    </row>
    <row r="1017" spans="1:9" x14ac:dyDescent="0.3">
      <c r="A1017" t="str">
        <f>""</f>
        <v/>
      </c>
      <c r="F1017" t="str">
        <f>""</f>
        <v/>
      </c>
      <c r="G1017" t="str">
        <f>""</f>
        <v/>
      </c>
      <c r="I1017" t="str">
        <f>"ACCT#0200140783/ANIMAL SVCS"</f>
        <v>ACCT#0200140783/ANIMAL SVCS</v>
      </c>
    </row>
    <row r="1018" spans="1:9" x14ac:dyDescent="0.3">
      <c r="A1018" t="str">
        <f>"WEBSTE"</f>
        <v>WEBSTE</v>
      </c>
      <c r="B1018" t="s">
        <v>379</v>
      </c>
      <c r="C1018">
        <v>75922</v>
      </c>
      <c r="D1018" s="2">
        <v>562.48</v>
      </c>
      <c r="E1018" s="1">
        <v>43185</v>
      </c>
      <c r="F1018" t="str">
        <f>"0030803620"</f>
        <v>0030803620</v>
      </c>
      <c r="G1018" t="str">
        <f>"ORD#0603639725/CUST#0200140784"</f>
        <v>ORD#0603639725/CUST#0200140784</v>
      </c>
      <c r="H1018">
        <v>63</v>
      </c>
      <c r="I1018" t="str">
        <f>"ORD#0603639725/CUST#0200140784"</f>
        <v>ORD#0603639725/CUST#0200140784</v>
      </c>
    </row>
    <row r="1019" spans="1:9" x14ac:dyDescent="0.3">
      <c r="A1019" t="str">
        <f>""</f>
        <v/>
      </c>
      <c r="F1019" t="str">
        <f>"0030803961"</f>
        <v>0030803961</v>
      </c>
      <c r="G1019" t="str">
        <f>"ORD#0603643348/CUST#0200140784"</f>
        <v>ORD#0603643348/CUST#0200140784</v>
      </c>
      <c r="H1019">
        <v>107.35</v>
      </c>
      <c r="I1019" t="str">
        <f>"ORD#0603643348/CUST#0200140784"</f>
        <v>ORD#0603643348/CUST#0200140784</v>
      </c>
    </row>
    <row r="1020" spans="1:9" x14ac:dyDescent="0.3">
      <c r="A1020" t="str">
        <f>""</f>
        <v/>
      </c>
      <c r="F1020" t="str">
        <f>"0030805810"</f>
        <v>0030805810</v>
      </c>
      <c r="G1020" t="str">
        <f>"ORD#0603639725/CUST#0200140784"</f>
        <v>ORD#0603639725/CUST#0200140784</v>
      </c>
      <c r="H1020">
        <v>392.13</v>
      </c>
      <c r="I1020" t="str">
        <f>"ORD#0603639725/CUST#0200140784"</f>
        <v>ORD#0603639725/CUST#0200140784</v>
      </c>
    </row>
    <row r="1021" spans="1:9" x14ac:dyDescent="0.3">
      <c r="A1021" t="str">
        <f>"003382"</f>
        <v>003382</v>
      </c>
      <c r="B1021" t="s">
        <v>380</v>
      </c>
      <c r="C1021">
        <v>75721</v>
      </c>
      <c r="D1021" s="2">
        <v>55</v>
      </c>
      <c r="E1021" s="1">
        <v>43171</v>
      </c>
      <c r="F1021" t="str">
        <f>"201803089383"</f>
        <v>201803089383</v>
      </c>
      <c r="G1021" t="str">
        <f>"FERAL HOGS"</f>
        <v>FERAL HOGS</v>
      </c>
      <c r="H1021">
        <v>55</v>
      </c>
      <c r="I1021" t="str">
        <f>"FERAL HOGS"</f>
        <v>FERAL HOGS</v>
      </c>
    </row>
    <row r="1022" spans="1:9" x14ac:dyDescent="0.3">
      <c r="A1022" t="str">
        <f>"002963"</f>
        <v>002963</v>
      </c>
      <c r="B1022" t="s">
        <v>381</v>
      </c>
      <c r="C1022">
        <v>75722</v>
      </c>
      <c r="D1022" s="2">
        <v>150</v>
      </c>
      <c r="E1022" s="1">
        <v>43171</v>
      </c>
      <c r="F1022" t="str">
        <f>"201802278890"</f>
        <v>201802278890</v>
      </c>
      <c r="G1022" t="str">
        <f>"REIMBURSE CONFERENCE FEE"</f>
        <v>REIMBURSE CONFERENCE FEE</v>
      </c>
      <c r="H1022">
        <v>150</v>
      </c>
      <c r="I1022" t="str">
        <f>"REIMBURSE CONFERENCE FEE"</f>
        <v>REIMBURSE CONFERENCE FEE</v>
      </c>
    </row>
    <row r="1023" spans="1:9" x14ac:dyDescent="0.3">
      <c r="A1023" t="str">
        <f>"002782"</f>
        <v>002782</v>
      </c>
      <c r="B1023" t="s">
        <v>382</v>
      </c>
      <c r="C1023">
        <v>75723</v>
      </c>
      <c r="D1023" s="2">
        <v>128</v>
      </c>
      <c r="E1023" s="1">
        <v>43171</v>
      </c>
      <c r="F1023" t="str">
        <f>"REMOTE STALKER"</f>
        <v>REMOTE STALKER</v>
      </c>
      <c r="G1023" t="str">
        <f>"INV 134157"</f>
        <v>INV 134157</v>
      </c>
      <c r="H1023">
        <v>128</v>
      </c>
      <c r="I1023" t="str">
        <f>"INV"</f>
        <v>INV</v>
      </c>
    </row>
    <row r="1024" spans="1:9" x14ac:dyDescent="0.3">
      <c r="A1024" t="str">
        <f>"PET"</f>
        <v>PET</v>
      </c>
      <c r="B1024" t="s">
        <v>383</v>
      </c>
      <c r="C1024">
        <v>75923</v>
      </c>
      <c r="D1024" s="2">
        <v>1640.85</v>
      </c>
      <c r="E1024" s="1">
        <v>43185</v>
      </c>
      <c r="F1024" t="str">
        <f>"SIUN11388111"</f>
        <v>SIUN11388111</v>
      </c>
      <c r="G1024" t="str">
        <f>"ACCT#CUN000000233"</f>
        <v>ACCT#CUN000000233</v>
      </c>
      <c r="H1024">
        <v>53.35</v>
      </c>
      <c r="I1024" t="str">
        <f>"ACCT#CUN000000233"</f>
        <v>ACCT#CUN000000233</v>
      </c>
    </row>
    <row r="1025" spans="1:9" x14ac:dyDescent="0.3">
      <c r="A1025" t="str">
        <f>""</f>
        <v/>
      </c>
      <c r="F1025" t="str">
        <f>"SIUN11438503"</f>
        <v>SIUN11438503</v>
      </c>
      <c r="G1025" t="str">
        <f>"CUST#CUN000000233"</f>
        <v>CUST#CUN000000233</v>
      </c>
      <c r="H1025">
        <v>1587.5</v>
      </c>
      <c r="I1025" t="str">
        <f>"CUST#CUN000000233"</f>
        <v>CUST#CUN000000233</v>
      </c>
    </row>
    <row r="1026" spans="1:9" x14ac:dyDescent="0.3">
      <c r="A1026" t="str">
        <f>"T3547"</f>
        <v>T3547</v>
      </c>
      <c r="B1026" t="s">
        <v>384</v>
      </c>
      <c r="C1026">
        <v>75724</v>
      </c>
      <c r="D1026" s="2">
        <v>4000</v>
      </c>
      <c r="E1026" s="1">
        <v>43171</v>
      </c>
      <c r="F1026" t="str">
        <f>"85435"</f>
        <v>85435</v>
      </c>
      <c r="G1026" t="str">
        <f>"2014/2017 COMBINATION TAX&amp;REV"</f>
        <v>2014/2017 COMBINATION TAX&amp;REV</v>
      </c>
      <c r="H1026">
        <v>4000</v>
      </c>
      <c r="I1026" t="str">
        <f>"2014/2017 COMBINATION TAX&amp;REV"</f>
        <v>2014/2017 COMBINATION TAX&amp;REV</v>
      </c>
    </row>
    <row r="1027" spans="1:9" x14ac:dyDescent="0.3">
      <c r="A1027" t="str">
        <f>"PRD"</f>
        <v>PRD</v>
      </c>
      <c r="B1027" t="s">
        <v>385</v>
      </c>
      <c r="C1027">
        <v>999999</v>
      </c>
      <c r="D1027" s="2">
        <v>1732</v>
      </c>
      <c r="E1027" s="1">
        <v>43172</v>
      </c>
      <c r="F1027" t="str">
        <f>"201803028932"</f>
        <v>201803028932</v>
      </c>
      <c r="G1027" t="str">
        <f>"UNFILED/18B0021/JUVENILE"</f>
        <v>UNFILED/18B0021/JUVENILE</v>
      </c>
      <c r="H1027">
        <v>100</v>
      </c>
      <c r="I1027" t="str">
        <f>"UNFILED/18B0021/JUVENILE"</f>
        <v>UNFILED/18B0021/JUVENILE</v>
      </c>
    </row>
    <row r="1028" spans="1:9" x14ac:dyDescent="0.3">
      <c r="A1028" t="str">
        <f>""</f>
        <v/>
      </c>
      <c r="F1028" t="str">
        <f>"201803028935"</f>
        <v>201803028935</v>
      </c>
      <c r="G1028" t="str">
        <f>"17-18576"</f>
        <v>17-18576</v>
      </c>
      <c r="H1028">
        <v>532</v>
      </c>
      <c r="I1028" t="str">
        <f>"17-18576"</f>
        <v>17-18576</v>
      </c>
    </row>
    <row r="1029" spans="1:9" x14ac:dyDescent="0.3">
      <c r="A1029" t="str">
        <f>""</f>
        <v/>
      </c>
      <c r="F1029" t="str">
        <f>"201803028951"</f>
        <v>201803028951</v>
      </c>
      <c r="G1029" t="str">
        <f>"55743"</f>
        <v>55743</v>
      </c>
      <c r="H1029">
        <v>250</v>
      </c>
      <c r="I1029" t="str">
        <f>"55743"</f>
        <v>55743</v>
      </c>
    </row>
    <row r="1030" spans="1:9" x14ac:dyDescent="0.3">
      <c r="A1030" t="str">
        <f>""</f>
        <v/>
      </c>
      <c r="F1030" t="str">
        <f>"201803028970"</f>
        <v>201803028970</v>
      </c>
      <c r="G1030" t="str">
        <f>"55690"</f>
        <v>55690</v>
      </c>
      <c r="H1030">
        <v>250</v>
      </c>
      <c r="I1030" t="str">
        <f>"55690"</f>
        <v>55690</v>
      </c>
    </row>
    <row r="1031" spans="1:9" x14ac:dyDescent="0.3">
      <c r="A1031" t="str">
        <f>""</f>
        <v/>
      </c>
      <c r="F1031" t="str">
        <f>"201803079248"</f>
        <v>201803079248</v>
      </c>
      <c r="G1031" t="str">
        <f>"UNFILED"</f>
        <v>UNFILED</v>
      </c>
      <c r="H1031">
        <v>100</v>
      </c>
      <c r="I1031" t="str">
        <f>"UNFILED"</f>
        <v>UNFILED</v>
      </c>
    </row>
    <row r="1032" spans="1:9" x14ac:dyDescent="0.3">
      <c r="A1032" t="str">
        <f>""</f>
        <v/>
      </c>
      <c r="F1032" t="str">
        <f>"201803079249"</f>
        <v>201803079249</v>
      </c>
      <c r="G1032" t="str">
        <f>"55582  55372  55373"</f>
        <v>55582  55372  55373</v>
      </c>
      <c r="H1032">
        <v>500</v>
      </c>
      <c r="I1032" t="str">
        <f>"55582  55372  55373"</f>
        <v>55582  55372  55373</v>
      </c>
    </row>
    <row r="1033" spans="1:9" x14ac:dyDescent="0.3">
      <c r="A1033" t="str">
        <f>"PRD"</f>
        <v>PRD</v>
      </c>
      <c r="B1033" t="s">
        <v>385</v>
      </c>
      <c r="C1033">
        <v>999999</v>
      </c>
      <c r="D1033" s="2">
        <v>1418</v>
      </c>
      <c r="E1033" s="1">
        <v>43186</v>
      </c>
      <c r="F1033" t="str">
        <f>"201803149612"</f>
        <v>201803149612</v>
      </c>
      <c r="G1033" t="str">
        <f>"G-274"</f>
        <v>G-274</v>
      </c>
      <c r="H1033">
        <v>1418</v>
      </c>
      <c r="I1033" t="str">
        <f>"G-274"</f>
        <v>G-274</v>
      </c>
    </row>
    <row r="1034" spans="1:9" x14ac:dyDescent="0.3">
      <c r="A1034" t="str">
        <f>"T9894"</f>
        <v>T9894</v>
      </c>
      <c r="B1034" t="s">
        <v>386</v>
      </c>
      <c r="C1034">
        <v>75924</v>
      </c>
      <c r="D1034" s="2">
        <v>55.15</v>
      </c>
      <c r="E1034" s="1">
        <v>43185</v>
      </c>
      <c r="F1034" t="str">
        <f>"201803169645"</f>
        <v>201803169645</v>
      </c>
      <c r="G1034" t="str">
        <f>"REIMBURSE MEALS-CONFERENCE"</f>
        <v>REIMBURSE MEALS-CONFERENCE</v>
      </c>
      <c r="H1034">
        <v>55.15</v>
      </c>
      <c r="I1034" t="str">
        <f>"REIMBURSE MEALS-CONFERENCE"</f>
        <v>REIMBURSE MEALS-CONFERENCE</v>
      </c>
    </row>
    <row r="1035" spans="1:9" x14ac:dyDescent="0.3">
      <c r="A1035" t="str">
        <f>"PB"</f>
        <v>PB</v>
      </c>
      <c r="B1035" t="s">
        <v>387</v>
      </c>
      <c r="C1035">
        <v>999999</v>
      </c>
      <c r="D1035" s="2">
        <v>195.96</v>
      </c>
      <c r="E1035" s="1">
        <v>43172</v>
      </c>
      <c r="F1035" t="str">
        <f>"3305496176"</f>
        <v>3305496176</v>
      </c>
      <c r="G1035" t="str">
        <f>"ACCT#0010366024/TAX ASSESSOR"</f>
        <v>ACCT#0010366024/TAX ASSESSOR</v>
      </c>
      <c r="H1035">
        <v>195.96</v>
      </c>
      <c r="I1035" t="str">
        <f>"ACCT#0010366024/TAX ASSESSOR"</f>
        <v>ACCT#0010366024/TAX ASSESSOR</v>
      </c>
    </row>
    <row r="1036" spans="1:9" x14ac:dyDescent="0.3">
      <c r="A1036" t="str">
        <f>"PB"</f>
        <v>PB</v>
      </c>
      <c r="B1036" t="s">
        <v>387</v>
      </c>
      <c r="C1036">
        <v>999999</v>
      </c>
      <c r="D1036" s="2">
        <v>1576.83</v>
      </c>
      <c r="E1036" s="1">
        <v>43186</v>
      </c>
      <c r="F1036" t="str">
        <f>"3305602712"</f>
        <v>3305602712</v>
      </c>
      <c r="G1036" t="str">
        <f>"ACCT#0017315717/TAX ASSESSOR"</f>
        <v>ACCT#0017315717/TAX ASSESSOR</v>
      </c>
      <c r="H1036">
        <v>1164</v>
      </c>
      <c r="I1036" t="str">
        <f>"ACCT#0017315717/TAX ASSESSOR"</f>
        <v>ACCT#0017315717/TAX ASSESSOR</v>
      </c>
    </row>
    <row r="1037" spans="1:9" x14ac:dyDescent="0.3">
      <c r="A1037" t="str">
        <f>""</f>
        <v/>
      </c>
      <c r="F1037" t="str">
        <f>"3305602774"</f>
        <v>3305602774</v>
      </c>
      <c r="G1037" t="str">
        <f>"INV 3305602774"</f>
        <v>INV 3305602774</v>
      </c>
      <c r="H1037">
        <v>412.83</v>
      </c>
      <c r="I1037" t="str">
        <f>"INV 3305602774"</f>
        <v>INV 3305602774</v>
      </c>
    </row>
    <row r="1038" spans="1:9" x14ac:dyDescent="0.3">
      <c r="A1038" t="str">
        <f>"PH"</f>
        <v>PH</v>
      </c>
      <c r="B1038" t="s">
        <v>388</v>
      </c>
      <c r="C1038">
        <v>75925</v>
      </c>
      <c r="D1038" s="2">
        <v>145.79</v>
      </c>
      <c r="E1038" s="1">
        <v>43185</v>
      </c>
      <c r="F1038" t="str">
        <f>"209452"</f>
        <v>209452</v>
      </c>
      <c r="G1038" t="str">
        <f>"PH#1914/FOOD FOR JURY"</f>
        <v>PH#1914/FOOD FOR JURY</v>
      </c>
      <c r="H1038">
        <v>145.79</v>
      </c>
      <c r="I1038" t="str">
        <f>"PH#1914/FOOD FOR JURY"</f>
        <v>PH#1914/FOOD FOR JURY</v>
      </c>
    </row>
    <row r="1039" spans="1:9" x14ac:dyDescent="0.3">
      <c r="A1039" t="str">
        <f>"003293"</f>
        <v>003293</v>
      </c>
      <c r="B1039" t="s">
        <v>389</v>
      </c>
      <c r="C1039">
        <v>75725</v>
      </c>
      <c r="D1039" s="2">
        <v>625</v>
      </c>
      <c r="E1039" s="1">
        <v>43171</v>
      </c>
      <c r="F1039" t="str">
        <f>"201803028967"</f>
        <v>201803028967</v>
      </c>
      <c r="G1039" t="str">
        <f>"54581/UNFILED/20160705"</f>
        <v>54581/UNFILED/20160705</v>
      </c>
      <c r="H1039">
        <v>375</v>
      </c>
      <c r="I1039" t="str">
        <f>"54581/UNFILED/20160705"</f>
        <v>54581/UNFILED/20160705</v>
      </c>
    </row>
    <row r="1040" spans="1:9" x14ac:dyDescent="0.3">
      <c r="A1040" t="str">
        <f>""</f>
        <v/>
      </c>
      <c r="F1040" t="str">
        <f>"201803028973"</f>
        <v>201803028973</v>
      </c>
      <c r="G1040" t="str">
        <f>"55-323"</f>
        <v>55-323</v>
      </c>
      <c r="H1040">
        <v>250</v>
      </c>
      <c r="I1040" t="str">
        <f>"55-323"</f>
        <v>55-323</v>
      </c>
    </row>
    <row r="1041" spans="1:9" x14ac:dyDescent="0.3">
      <c r="A1041" t="str">
        <f>"003293"</f>
        <v>003293</v>
      </c>
      <c r="B1041" t="s">
        <v>389</v>
      </c>
      <c r="C1041">
        <v>75926</v>
      </c>
      <c r="D1041" s="2">
        <v>6850</v>
      </c>
      <c r="E1041" s="1">
        <v>43185</v>
      </c>
      <c r="F1041" t="str">
        <f>"201803149601"</f>
        <v>201803149601</v>
      </c>
      <c r="G1041" t="str">
        <f>"17-18269"</f>
        <v>17-18269</v>
      </c>
      <c r="H1041">
        <v>175</v>
      </c>
      <c r="I1041" t="str">
        <f>"17-18269"</f>
        <v>17-18269</v>
      </c>
    </row>
    <row r="1042" spans="1:9" x14ac:dyDescent="0.3">
      <c r="A1042" t="str">
        <f>""</f>
        <v/>
      </c>
      <c r="F1042" t="str">
        <f>"201803149602"</f>
        <v>201803149602</v>
      </c>
      <c r="G1042" t="str">
        <f>"16-17765"</f>
        <v>16-17765</v>
      </c>
      <c r="H1042">
        <v>165</v>
      </c>
      <c r="I1042" t="str">
        <f>"16-17765"</f>
        <v>16-17765</v>
      </c>
    </row>
    <row r="1043" spans="1:9" x14ac:dyDescent="0.3">
      <c r="A1043" t="str">
        <f>""</f>
        <v/>
      </c>
      <c r="F1043" t="str">
        <f>"201803149603"</f>
        <v>201803149603</v>
      </c>
      <c r="G1043" t="str">
        <f>"17-18229"</f>
        <v>17-18229</v>
      </c>
      <c r="H1043">
        <v>175</v>
      </c>
      <c r="I1043" t="str">
        <f>"17-18229"</f>
        <v>17-18229</v>
      </c>
    </row>
    <row r="1044" spans="1:9" x14ac:dyDescent="0.3">
      <c r="A1044" t="str">
        <f>""</f>
        <v/>
      </c>
      <c r="F1044" t="str">
        <f>"201803149604"</f>
        <v>201803149604</v>
      </c>
      <c r="G1044" t="str">
        <f>"1617969"</f>
        <v>1617969</v>
      </c>
      <c r="H1044">
        <v>310</v>
      </c>
      <c r="I1044" t="str">
        <f>"1617969"</f>
        <v>1617969</v>
      </c>
    </row>
    <row r="1045" spans="1:9" x14ac:dyDescent="0.3">
      <c r="A1045" t="str">
        <f>""</f>
        <v/>
      </c>
      <c r="F1045" t="str">
        <f>"201803149605"</f>
        <v>201803149605</v>
      </c>
      <c r="G1045" t="str">
        <f>"16-17894"</f>
        <v>16-17894</v>
      </c>
      <c r="H1045">
        <v>265</v>
      </c>
      <c r="I1045" t="str">
        <f>"16-17894"</f>
        <v>16-17894</v>
      </c>
    </row>
    <row r="1046" spans="1:9" x14ac:dyDescent="0.3">
      <c r="A1046" t="str">
        <f>""</f>
        <v/>
      </c>
      <c r="F1046" t="str">
        <f>"201803149606"</f>
        <v>201803149606</v>
      </c>
      <c r="G1046" t="str">
        <f>"17-18120"</f>
        <v>17-18120</v>
      </c>
      <c r="H1046">
        <v>131.25</v>
      </c>
      <c r="I1046" t="str">
        <f>"17-18120"</f>
        <v>17-18120</v>
      </c>
    </row>
    <row r="1047" spans="1:9" x14ac:dyDescent="0.3">
      <c r="A1047" t="str">
        <f>""</f>
        <v/>
      </c>
      <c r="F1047" t="str">
        <f>"201803149607"</f>
        <v>201803149607</v>
      </c>
      <c r="G1047" t="str">
        <f>"17-18527"</f>
        <v>17-18527</v>
      </c>
      <c r="H1047">
        <v>378.75</v>
      </c>
      <c r="I1047" t="str">
        <f>"17-18527"</f>
        <v>17-18527</v>
      </c>
    </row>
    <row r="1048" spans="1:9" x14ac:dyDescent="0.3">
      <c r="A1048" t="str">
        <f>""</f>
        <v/>
      </c>
      <c r="F1048" t="str">
        <f>"201803149608"</f>
        <v>201803149608</v>
      </c>
      <c r="G1048" t="str">
        <f>"17-18229"</f>
        <v>17-18229</v>
      </c>
      <c r="H1048">
        <v>242.5</v>
      </c>
      <c r="I1048" t="str">
        <f>"17-18229"</f>
        <v>17-18229</v>
      </c>
    </row>
    <row r="1049" spans="1:9" x14ac:dyDescent="0.3">
      <c r="A1049" t="str">
        <f>""</f>
        <v/>
      </c>
      <c r="F1049" t="str">
        <f>"201803149609"</f>
        <v>201803149609</v>
      </c>
      <c r="G1049" t="str">
        <f>"16-17626"</f>
        <v>16-17626</v>
      </c>
      <c r="H1049">
        <v>30</v>
      </c>
      <c r="I1049" t="str">
        <f>"16-17626"</f>
        <v>16-17626</v>
      </c>
    </row>
    <row r="1050" spans="1:9" x14ac:dyDescent="0.3">
      <c r="A1050" t="str">
        <f>""</f>
        <v/>
      </c>
      <c r="F1050" t="str">
        <f>"201803149610"</f>
        <v>201803149610</v>
      </c>
      <c r="G1050" t="str">
        <f>"1617969"</f>
        <v>1617969</v>
      </c>
      <c r="H1050">
        <v>172.5</v>
      </c>
      <c r="I1050" t="str">
        <f>"1617969"</f>
        <v>1617969</v>
      </c>
    </row>
    <row r="1051" spans="1:9" x14ac:dyDescent="0.3">
      <c r="A1051" t="str">
        <f>""</f>
        <v/>
      </c>
      <c r="F1051" t="str">
        <f>"201803149611"</f>
        <v>201803149611</v>
      </c>
      <c r="G1051" t="str">
        <f>"17-18615"</f>
        <v>17-18615</v>
      </c>
      <c r="H1051">
        <v>268.75</v>
      </c>
      <c r="I1051" t="str">
        <f>"17-18615"</f>
        <v>17-18615</v>
      </c>
    </row>
    <row r="1052" spans="1:9" x14ac:dyDescent="0.3">
      <c r="A1052" t="str">
        <f>""</f>
        <v/>
      </c>
      <c r="F1052" t="str">
        <f>"201803209671"</f>
        <v>201803209671</v>
      </c>
      <c r="G1052" t="str">
        <f>"16-17765  (9/1/17-9/30/17)"</f>
        <v>16-17765  (9/1/17-9/30/17)</v>
      </c>
      <c r="H1052">
        <v>438.75</v>
      </c>
      <c r="I1052" t="str">
        <f>"16-17765  (9/1/17-9/30/17)"</f>
        <v>16-17765  (9/1/17-9/30/17)</v>
      </c>
    </row>
    <row r="1053" spans="1:9" x14ac:dyDescent="0.3">
      <c r="A1053" t="str">
        <f>""</f>
        <v/>
      </c>
      <c r="F1053" t="str">
        <f>"201803209672"</f>
        <v>201803209672</v>
      </c>
      <c r="G1053" t="str">
        <f>"17-18578  (9/1/17-9/30/17)"</f>
        <v>17-18578  (9/1/17-9/30/17)</v>
      </c>
      <c r="H1053">
        <v>445</v>
      </c>
      <c r="I1053" t="str">
        <f>"17-18578"</f>
        <v>17-18578</v>
      </c>
    </row>
    <row r="1054" spans="1:9" x14ac:dyDescent="0.3">
      <c r="A1054" t="str">
        <f>""</f>
        <v/>
      </c>
      <c r="F1054" t="str">
        <f>"201803209673"</f>
        <v>201803209673</v>
      </c>
      <c r="G1054" t="str">
        <f>"16-17760  (9/1/17-9/30/17)"</f>
        <v>16-17760  (9/1/17-9/30/17)</v>
      </c>
      <c r="H1054">
        <v>462.5</v>
      </c>
      <c r="I1054" t="str">
        <f>"16-17760  (9/1/17-9/30/17)"</f>
        <v>16-17760  (9/1/17-9/30/17)</v>
      </c>
    </row>
    <row r="1055" spans="1:9" x14ac:dyDescent="0.3">
      <c r="A1055" t="str">
        <f>""</f>
        <v/>
      </c>
      <c r="F1055" t="str">
        <f>"201803209674"</f>
        <v>201803209674</v>
      </c>
      <c r="G1055" t="str">
        <f>"16-17944  (9/1/17-9/30/17)"</f>
        <v>16-17944  (9/1/17-9/30/17)</v>
      </c>
      <c r="H1055">
        <v>602.5</v>
      </c>
      <c r="I1055" t="str">
        <f>"16-17944  (9/1/17-9/30/17)"</f>
        <v>16-17944  (9/1/17-9/30/17)</v>
      </c>
    </row>
    <row r="1056" spans="1:9" x14ac:dyDescent="0.3">
      <c r="A1056" t="str">
        <f>""</f>
        <v/>
      </c>
      <c r="F1056" t="str">
        <f>"201803209675"</f>
        <v>201803209675</v>
      </c>
      <c r="G1056" t="str">
        <f>"17-18615  (10/01/17-10/31/17)"</f>
        <v>17-18615  (10/01/17-10/31/17)</v>
      </c>
      <c r="H1056">
        <v>842.5</v>
      </c>
      <c r="I1056" t="str">
        <f>"17-18615"</f>
        <v>17-18615</v>
      </c>
    </row>
    <row r="1057" spans="1:9" x14ac:dyDescent="0.3">
      <c r="A1057" t="str">
        <f>""</f>
        <v/>
      </c>
      <c r="F1057" t="str">
        <f>"201803209676"</f>
        <v>201803209676</v>
      </c>
      <c r="G1057" t="str">
        <f>"16-17944  (10/01/17-10/31/17)"</f>
        <v>16-17944  (10/01/17-10/31/17)</v>
      </c>
      <c r="H1057">
        <v>836.25</v>
      </c>
      <c r="I1057" t="str">
        <f>"16-17944  (10/01/17-10/31/17)"</f>
        <v>16-17944  (10/01/17-10/31/17)</v>
      </c>
    </row>
    <row r="1058" spans="1:9" x14ac:dyDescent="0.3">
      <c r="A1058" t="str">
        <f>""</f>
        <v/>
      </c>
      <c r="F1058" t="str">
        <f>"201803209677"</f>
        <v>201803209677</v>
      </c>
      <c r="G1058" t="str">
        <f>"17-18120  (10/01/17-10/31/17)"</f>
        <v>17-18120  (10/01/17-10/31/17)</v>
      </c>
      <c r="H1058">
        <v>486.25</v>
      </c>
      <c r="I1058" t="str">
        <f>"17-18120"</f>
        <v>17-18120</v>
      </c>
    </row>
    <row r="1059" spans="1:9" x14ac:dyDescent="0.3">
      <c r="A1059" t="str">
        <f>""</f>
        <v/>
      </c>
      <c r="F1059" t="str">
        <f>"201803209678"</f>
        <v>201803209678</v>
      </c>
      <c r="G1059" t="str">
        <f>"17-18527  (10/01/17-10/31/17)"</f>
        <v>17-18527  (10/01/17-10/31/17)</v>
      </c>
      <c r="H1059">
        <v>422.5</v>
      </c>
      <c r="I1059" t="str">
        <f>"17-18527"</f>
        <v>17-18527</v>
      </c>
    </row>
    <row r="1060" spans="1:9" x14ac:dyDescent="0.3">
      <c r="A1060" t="str">
        <f>"WOSC"</f>
        <v>WOSC</v>
      </c>
      <c r="B1060" t="s">
        <v>390</v>
      </c>
      <c r="C1060">
        <v>75927</v>
      </c>
      <c r="D1060" s="2">
        <v>150.30000000000001</v>
      </c>
      <c r="E1060" s="1">
        <v>43185</v>
      </c>
      <c r="F1060" t="str">
        <f>"81720961"</f>
        <v>81720961</v>
      </c>
      <c r="G1060" t="str">
        <f>"CUST#71745122/ANIMAL CONTROL"</f>
        <v>CUST#71745122/ANIMAL CONTROL</v>
      </c>
      <c r="H1060">
        <v>150.30000000000001</v>
      </c>
      <c r="I1060" t="str">
        <f>"CUST#71745122/ANIMAL CONTROL"</f>
        <v>CUST#71745122/ANIMAL CONTROL</v>
      </c>
    </row>
    <row r="1061" spans="1:9" x14ac:dyDescent="0.3">
      <c r="A1061" t="str">
        <f>"005203"</f>
        <v>005203</v>
      </c>
      <c r="B1061" t="s">
        <v>391</v>
      </c>
      <c r="C1061">
        <v>75726</v>
      </c>
      <c r="D1061" s="2">
        <v>4950</v>
      </c>
      <c r="E1061" s="1">
        <v>43171</v>
      </c>
      <c r="F1061" t="str">
        <f>"REPAIR FOR DL OFF"</f>
        <v>REPAIR FOR DL OFF</v>
      </c>
      <c r="G1061" t="str">
        <f>"Repair Driver License Off"</f>
        <v>Repair Driver License Off</v>
      </c>
      <c r="H1061">
        <v>4950</v>
      </c>
      <c r="I1061" t="str">
        <f>"Total Cost"</f>
        <v>Total Cost</v>
      </c>
    </row>
    <row r="1062" spans="1:9" x14ac:dyDescent="0.3">
      <c r="A1062" t="str">
        <f>"T11156"</f>
        <v>T11156</v>
      </c>
      <c r="B1062" t="s">
        <v>392</v>
      </c>
      <c r="C1062">
        <v>75727</v>
      </c>
      <c r="D1062" s="2">
        <v>275.31</v>
      </c>
      <c r="E1062" s="1">
        <v>43171</v>
      </c>
      <c r="F1062" t="str">
        <f>"201803079326"</f>
        <v>201803079326</v>
      </c>
      <c r="G1062" t="str">
        <f>"INDIGENT HEALTH"</f>
        <v>INDIGENT HEALTH</v>
      </c>
      <c r="H1062">
        <v>275.31</v>
      </c>
      <c r="I1062" t="str">
        <f>"INDIGENT HEALTH"</f>
        <v>INDIGENT HEALTH</v>
      </c>
    </row>
    <row r="1063" spans="1:9" x14ac:dyDescent="0.3">
      <c r="A1063" t="str">
        <f>"002925"</f>
        <v>002925</v>
      </c>
      <c r="B1063" t="s">
        <v>393</v>
      </c>
      <c r="C1063">
        <v>75728</v>
      </c>
      <c r="D1063" s="2">
        <v>435.97</v>
      </c>
      <c r="E1063" s="1">
        <v>43171</v>
      </c>
      <c r="F1063" t="str">
        <f>"CAR RENTAL REIMBUR"</f>
        <v>CAR RENTAL REIMBUR</v>
      </c>
      <c r="G1063" t="str">
        <f>"CAR RENTAL REIMBURSEMENT"</f>
        <v>CAR RENTAL REIMBURSEMENT</v>
      </c>
      <c r="H1063">
        <v>252.36</v>
      </c>
      <c r="I1063" t="str">
        <f>"CAR RENTAL REIMBURSEMENT"</f>
        <v>CAR RENTAL REIMBURSEMENT</v>
      </c>
    </row>
    <row r="1064" spans="1:9" x14ac:dyDescent="0.3">
      <c r="A1064" t="str">
        <f>""</f>
        <v/>
      </c>
      <c r="F1064" t="str">
        <f>"REIMBURSEMENT"</f>
        <v>REIMBURSEMENT</v>
      </c>
      <c r="G1064" t="str">
        <f>"TRAVEL REIMBURSEMENT"</f>
        <v>TRAVEL REIMBURSEMENT</v>
      </c>
      <c r="H1064">
        <v>183.61</v>
      </c>
      <c r="I1064" t="str">
        <f>"PARKING - AIRPORT"</f>
        <v>PARKING - AIRPORT</v>
      </c>
    </row>
    <row r="1065" spans="1:9" x14ac:dyDescent="0.3">
      <c r="A1065" t="str">
        <f>""</f>
        <v/>
      </c>
      <c r="F1065" t="str">
        <f>""</f>
        <v/>
      </c>
      <c r="G1065" t="str">
        <f>""</f>
        <v/>
      </c>
      <c r="I1065" t="str">
        <f>"MEAL - TRINIDAD CO"</f>
        <v>MEAL - TRINIDAD CO</v>
      </c>
    </row>
    <row r="1066" spans="1:9" x14ac:dyDescent="0.3">
      <c r="A1066" t="str">
        <f>""</f>
        <v/>
      </c>
      <c r="F1066" t="str">
        <f>""</f>
        <v/>
      </c>
      <c r="G1066" t="str">
        <f>""</f>
        <v/>
      </c>
      <c r="I1066" t="str">
        <f>"MEAL - CASTLE ROCK"</f>
        <v>MEAL - CASTLE ROCK</v>
      </c>
    </row>
    <row r="1067" spans="1:9" x14ac:dyDescent="0.3">
      <c r="A1067" t="str">
        <f>""</f>
        <v/>
      </c>
      <c r="F1067" t="str">
        <f>""</f>
        <v/>
      </c>
      <c r="G1067" t="str">
        <f>""</f>
        <v/>
      </c>
      <c r="I1067" t="str">
        <f>"MEAL - CASTLE ROCK"</f>
        <v>MEAL - CASTLE ROCK</v>
      </c>
    </row>
    <row r="1068" spans="1:9" x14ac:dyDescent="0.3">
      <c r="A1068" t="str">
        <f>""</f>
        <v/>
      </c>
      <c r="F1068" t="str">
        <f>""</f>
        <v/>
      </c>
      <c r="G1068" t="str">
        <f>""</f>
        <v/>
      </c>
      <c r="I1068" t="str">
        <f>"MEAL - TRINIDAD CO"</f>
        <v>MEAL - TRINIDAD CO</v>
      </c>
    </row>
    <row r="1069" spans="1:9" x14ac:dyDescent="0.3">
      <c r="A1069" t="str">
        <f>""</f>
        <v/>
      </c>
      <c r="F1069" t="str">
        <f>""</f>
        <v/>
      </c>
      <c r="G1069" t="str">
        <f>""</f>
        <v/>
      </c>
      <c r="I1069" t="str">
        <f>"MEAL - DENVER CO"</f>
        <v>MEAL - DENVER CO</v>
      </c>
    </row>
    <row r="1070" spans="1:9" x14ac:dyDescent="0.3">
      <c r="A1070" t="str">
        <f>""</f>
        <v/>
      </c>
      <c r="F1070" t="str">
        <f>""</f>
        <v/>
      </c>
      <c r="G1070" t="str">
        <f>""</f>
        <v/>
      </c>
      <c r="I1070" t="str">
        <f>"FUEL - DENVER"</f>
        <v>FUEL - DENVER</v>
      </c>
    </row>
    <row r="1071" spans="1:9" x14ac:dyDescent="0.3">
      <c r="A1071" t="str">
        <f>""</f>
        <v/>
      </c>
      <c r="F1071" t="str">
        <f>""</f>
        <v/>
      </c>
      <c r="G1071" t="str">
        <f>""</f>
        <v/>
      </c>
      <c r="I1071" t="str">
        <f>"FUEL - TRINIDAD"</f>
        <v>FUEL - TRINIDAD</v>
      </c>
    </row>
    <row r="1072" spans="1:9" x14ac:dyDescent="0.3">
      <c r="A1072" t="str">
        <f>"000591"</f>
        <v>000591</v>
      </c>
      <c r="B1072" t="s">
        <v>394</v>
      </c>
      <c r="C1072">
        <v>999999</v>
      </c>
      <c r="D1072" s="2">
        <v>218.71</v>
      </c>
      <c r="E1072" s="1">
        <v>43172</v>
      </c>
      <c r="F1072" t="str">
        <f>"08B0121569859"</f>
        <v>08B0121569859</v>
      </c>
      <c r="G1072" t="str">
        <f>"ACCT#0121569859/JP#4"</f>
        <v>ACCT#0121569859/JP#4</v>
      </c>
      <c r="H1072">
        <v>22.93</v>
      </c>
      <c r="I1072" t="str">
        <f>"ACCT#0121569859/JP#4"</f>
        <v>ACCT#0121569859/JP#4</v>
      </c>
    </row>
    <row r="1073" spans="1:9" x14ac:dyDescent="0.3">
      <c r="A1073" t="str">
        <f>""</f>
        <v/>
      </c>
      <c r="F1073" t="str">
        <f>"08B0121587581"</f>
        <v>08B0121587581</v>
      </c>
      <c r="G1073" t="str">
        <f>"ACCT#0121587851/PCT#4"</f>
        <v>ACCT#0121587851/PCT#4</v>
      </c>
      <c r="H1073">
        <v>195.78</v>
      </c>
      <c r="I1073" t="str">
        <f>"ACCT#0121587851/PCT#4"</f>
        <v>ACCT#0121587851/PCT#4</v>
      </c>
    </row>
    <row r="1074" spans="1:9" x14ac:dyDescent="0.3">
      <c r="A1074" t="str">
        <f>"003737"</f>
        <v>003737</v>
      </c>
      <c r="B1074" t="s">
        <v>395</v>
      </c>
      <c r="C1074">
        <v>75501</v>
      </c>
      <c r="D1074" s="2">
        <v>933.01</v>
      </c>
      <c r="E1074" s="1">
        <v>43166</v>
      </c>
      <c r="F1074" t="str">
        <f>"0843-001435829"</f>
        <v>0843-001435829</v>
      </c>
      <c r="G1074" t="str">
        <f>"ACCT# 3-0843-1269216/ 02/26/18"</f>
        <v>ACCT# 3-0843-1269216/ 02/26/18</v>
      </c>
      <c r="H1074">
        <v>933.01</v>
      </c>
      <c r="I1074" t="str">
        <f>"ACCT# 3-0843-1269216/ 02/26/18"</f>
        <v>ACCT# 3-0843-1269216/ 02/26/18</v>
      </c>
    </row>
    <row r="1075" spans="1:9" x14ac:dyDescent="0.3">
      <c r="A1075" t="str">
        <f>"003737"</f>
        <v>003737</v>
      </c>
      <c r="B1075" t="s">
        <v>395</v>
      </c>
      <c r="C1075">
        <v>75809</v>
      </c>
      <c r="D1075" s="2">
        <v>2049.52</v>
      </c>
      <c r="E1075" s="1">
        <v>43173</v>
      </c>
      <c r="F1075" t="str">
        <f>"0843-001436882"</f>
        <v>0843-001436882</v>
      </c>
      <c r="G1075" t="str">
        <f>"ACCT#3-0843-0017094 / 02/28/18"</f>
        <v>ACCT#3-0843-0017094 / 02/28/18</v>
      </c>
      <c r="H1075">
        <v>2049.52</v>
      </c>
      <c r="I1075" t="str">
        <f>"ACCT#3-0843-0017094 / 02/28/18"</f>
        <v>ACCT#3-0843-0017094 / 02/28/18</v>
      </c>
    </row>
    <row r="1076" spans="1:9" x14ac:dyDescent="0.3">
      <c r="A1076" t="str">
        <f>"002347"</f>
        <v>002347</v>
      </c>
      <c r="B1076" t="s">
        <v>396</v>
      </c>
      <c r="C1076">
        <v>75929</v>
      </c>
      <c r="D1076" s="2">
        <v>2500</v>
      </c>
      <c r="E1076" s="1">
        <v>43185</v>
      </c>
      <c r="F1076" t="str">
        <f>"201803219712"</f>
        <v>201803219712</v>
      </c>
      <c r="G1076" t="str">
        <f>"ACCT#36251536/SHERIFF'S DEPT"</f>
        <v>ACCT#36251536/SHERIFF'S DEPT</v>
      </c>
      <c r="H1076">
        <v>2500</v>
      </c>
      <c r="I1076" t="str">
        <f>"ACCT#36251536/SHERIFF'S DEPT"</f>
        <v>ACCT#36251536/SHERIFF'S DEPT</v>
      </c>
    </row>
    <row r="1077" spans="1:9" x14ac:dyDescent="0.3">
      <c r="A1077" t="str">
        <f>"T11385"</f>
        <v>T11385</v>
      </c>
      <c r="B1077" t="s">
        <v>397</v>
      </c>
      <c r="C1077">
        <v>999999</v>
      </c>
      <c r="D1077" s="2">
        <v>500</v>
      </c>
      <c r="E1077" s="1">
        <v>43172</v>
      </c>
      <c r="F1077" t="str">
        <f>"201803028971"</f>
        <v>201803028971</v>
      </c>
      <c r="G1077" t="str">
        <f>"31202015A"</f>
        <v>31202015A</v>
      </c>
      <c r="H1077">
        <v>250</v>
      </c>
      <c r="I1077" t="str">
        <f>"31202015A"</f>
        <v>31202015A</v>
      </c>
    </row>
    <row r="1078" spans="1:9" x14ac:dyDescent="0.3">
      <c r="A1078" t="str">
        <f>""</f>
        <v/>
      </c>
      <c r="F1078" t="str">
        <f>"201803028972"</f>
        <v>201803028972</v>
      </c>
      <c r="G1078" t="str">
        <f>"1JP13018AB"</f>
        <v>1JP13018AB</v>
      </c>
      <c r="H1078">
        <v>250</v>
      </c>
      <c r="I1078" t="str">
        <f>"1JP13018AB"</f>
        <v>1JP13018AB</v>
      </c>
    </row>
    <row r="1079" spans="1:9" x14ac:dyDescent="0.3">
      <c r="A1079" t="str">
        <f>"T9868"</f>
        <v>T9868</v>
      </c>
      <c r="B1079" t="s">
        <v>398</v>
      </c>
      <c r="C1079">
        <v>75729</v>
      </c>
      <c r="D1079" s="2">
        <v>500</v>
      </c>
      <c r="E1079" s="1">
        <v>43171</v>
      </c>
      <c r="F1079" t="str">
        <f>"201803079247"</f>
        <v>201803079247</v>
      </c>
      <c r="G1079" t="str">
        <f>"53 749"</f>
        <v>53 749</v>
      </c>
      <c r="H1079">
        <v>500</v>
      </c>
      <c r="I1079" t="str">
        <f>"53 749"</f>
        <v>53 749</v>
      </c>
    </row>
    <row r="1080" spans="1:9" x14ac:dyDescent="0.3">
      <c r="A1080" t="str">
        <f>"005461"</f>
        <v>005461</v>
      </c>
      <c r="B1080" t="s">
        <v>399</v>
      </c>
      <c r="C1080">
        <v>75730</v>
      </c>
      <c r="D1080" s="2">
        <v>5</v>
      </c>
      <c r="E1080" s="1">
        <v>43171</v>
      </c>
      <c r="F1080" t="str">
        <f>"201803089384"</f>
        <v>201803089384</v>
      </c>
      <c r="G1080" t="str">
        <f>"FERAL HOGS"</f>
        <v>FERAL HOGS</v>
      </c>
      <c r="H1080">
        <v>5</v>
      </c>
      <c r="I1080" t="str">
        <f>"FERAL HOGS"</f>
        <v>FERAL HOGS</v>
      </c>
    </row>
    <row r="1081" spans="1:9" x14ac:dyDescent="0.3">
      <c r="A1081" t="str">
        <f>"001322"</f>
        <v>001322</v>
      </c>
      <c r="B1081" t="s">
        <v>400</v>
      </c>
      <c r="C1081">
        <v>999999</v>
      </c>
      <c r="D1081" s="2">
        <v>1708.42</v>
      </c>
      <c r="E1081" s="1">
        <v>43172</v>
      </c>
      <c r="F1081" t="str">
        <f>"5052523435"</f>
        <v>5052523435</v>
      </c>
      <c r="G1081" t="str">
        <f>"CONTRACT#4457471/CUST#12847097"</f>
        <v>CONTRACT#4457471/CUST#12847097</v>
      </c>
      <c r="H1081">
        <v>1708.42</v>
      </c>
      <c r="I1081" t="str">
        <f t="shared" ref="I1081:I1098" si="13">"CONTRACT#4457471/CUST#12847097"</f>
        <v>CONTRACT#4457471/CUST#12847097</v>
      </c>
    </row>
    <row r="1082" spans="1:9" x14ac:dyDescent="0.3">
      <c r="A1082" t="str">
        <f>""</f>
        <v/>
      </c>
      <c r="F1082" t="str">
        <f>""</f>
        <v/>
      </c>
      <c r="G1082" t="str">
        <f>""</f>
        <v/>
      </c>
      <c r="I1082" t="str">
        <f t="shared" si="13"/>
        <v>CONTRACT#4457471/CUST#12847097</v>
      </c>
    </row>
    <row r="1083" spans="1:9" x14ac:dyDescent="0.3">
      <c r="A1083" t="str">
        <f>""</f>
        <v/>
      </c>
      <c r="F1083" t="str">
        <f>""</f>
        <v/>
      </c>
      <c r="G1083" t="str">
        <f>""</f>
        <v/>
      </c>
      <c r="I1083" t="str">
        <f t="shared" si="13"/>
        <v>CONTRACT#4457471/CUST#12847097</v>
      </c>
    </row>
    <row r="1084" spans="1:9" x14ac:dyDescent="0.3">
      <c r="A1084" t="str">
        <f>""</f>
        <v/>
      </c>
      <c r="F1084" t="str">
        <f>""</f>
        <v/>
      </c>
      <c r="G1084" t="str">
        <f>""</f>
        <v/>
      </c>
      <c r="I1084" t="str">
        <f t="shared" si="13"/>
        <v>CONTRACT#4457471/CUST#12847097</v>
      </c>
    </row>
    <row r="1085" spans="1:9" x14ac:dyDescent="0.3">
      <c r="A1085" t="str">
        <f>""</f>
        <v/>
      </c>
      <c r="F1085" t="str">
        <f>""</f>
        <v/>
      </c>
      <c r="G1085" t="str">
        <f>""</f>
        <v/>
      </c>
      <c r="I1085" t="str">
        <f t="shared" si="13"/>
        <v>CONTRACT#4457471/CUST#12847097</v>
      </c>
    </row>
    <row r="1086" spans="1:9" x14ac:dyDescent="0.3">
      <c r="A1086" t="str">
        <f>""</f>
        <v/>
      </c>
      <c r="F1086" t="str">
        <f>""</f>
        <v/>
      </c>
      <c r="G1086" t="str">
        <f>""</f>
        <v/>
      </c>
      <c r="I1086" t="str">
        <f t="shared" si="13"/>
        <v>CONTRACT#4457471/CUST#12847097</v>
      </c>
    </row>
    <row r="1087" spans="1:9" x14ac:dyDescent="0.3">
      <c r="A1087" t="str">
        <f>""</f>
        <v/>
      </c>
      <c r="F1087" t="str">
        <f>""</f>
        <v/>
      </c>
      <c r="G1087" t="str">
        <f>""</f>
        <v/>
      </c>
      <c r="I1087" t="str">
        <f t="shared" si="13"/>
        <v>CONTRACT#4457471/CUST#12847097</v>
      </c>
    </row>
    <row r="1088" spans="1:9" x14ac:dyDescent="0.3">
      <c r="A1088" t="str">
        <f>""</f>
        <v/>
      </c>
      <c r="F1088" t="str">
        <f>""</f>
        <v/>
      </c>
      <c r="G1088" t="str">
        <f>""</f>
        <v/>
      </c>
      <c r="I1088" t="str">
        <f t="shared" si="13"/>
        <v>CONTRACT#4457471/CUST#12847097</v>
      </c>
    </row>
    <row r="1089" spans="1:9" x14ac:dyDescent="0.3">
      <c r="A1089" t="str">
        <f>""</f>
        <v/>
      </c>
      <c r="F1089" t="str">
        <f>""</f>
        <v/>
      </c>
      <c r="G1089" t="str">
        <f>""</f>
        <v/>
      </c>
      <c r="I1089" t="str">
        <f t="shared" si="13"/>
        <v>CONTRACT#4457471/CUST#12847097</v>
      </c>
    </row>
    <row r="1090" spans="1:9" x14ac:dyDescent="0.3">
      <c r="A1090" t="str">
        <f>""</f>
        <v/>
      </c>
      <c r="F1090" t="str">
        <f>""</f>
        <v/>
      </c>
      <c r="G1090" t="str">
        <f>""</f>
        <v/>
      </c>
      <c r="I1090" t="str">
        <f t="shared" si="13"/>
        <v>CONTRACT#4457471/CUST#12847097</v>
      </c>
    </row>
    <row r="1091" spans="1:9" x14ac:dyDescent="0.3">
      <c r="A1091" t="str">
        <f>""</f>
        <v/>
      </c>
      <c r="F1091" t="str">
        <f>""</f>
        <v/>
      </c>
      <c r="G1091" t="str">
        <f>""</f>
        <v/>
      </c>
      <c r="I1091" t="str">
        <f t="shared" si="13"/>
        <v>CONTRACT#4457471/CUST#12847097</v>
      </c>
    </row>
    <row r="1092" spans="1:9" x14ac:dyDescent="0.3">
      <c r="A1092" t="str">
        <f>""</f>
        <v/>
      </c>
      <c r="F1092" t="str">
        <f>""</f>
        <v/>
      </c>
      <c r="G1092" t="str">
        <f>""</f>
        <v/>
      </c>
      <c r="I1092" t="str">
        <f t="shared" si="13"/>
        <v>CONTRACT#4457471/CUST#12847097</v>
      </c>
    </row>
    <row r="1093" spans="1:9" x14ac:dyDescent="0.3">
      <c r="A1093" t="str">
        <f>""</f>
        <v/>
      </c>
      <c r="F1093" t="str">
        <f>""</f>
        <v/>
      </c>
      <c r="G1093" t="str">
        <f>""</f>
        <v/>
      </c>
      <c r="I1093" t="str">
        <f t="shared" si="13"/>
        <v>CONTRACT#4457471/CUST#12847097</v>
      </c>
    </row>
    <row r="1094" spans="1:9" x14ac:dyDescent="0.3">
      <c r="A1094" t="str">
        <f>""</f>
        <v/>
      </c>
      <c r="F1094" t="str">
        <f>""</f>
        <v/>
      </c>
      <c r="G1094" t="str">
        <f>""</f>
        <v/>
      </c>
      <c r="I1094" t="str">
        <f t="shared" si="13"/>
        <v>CONTRACT#4457471/CUST#12847097</v>
      </c>
    </row>
    <row r="1095" spans="1:9" x14ac:dyDescent="0.3">
      <c r="A1095" t="str">
        <f>""</f>
        <v/>
      </c>
      <c r="F1095" t="str">
        <f>""</f>
        <v/>
      </c>
      <c r="G1095" t="str">
        <f>""</f>
        <v/>
      </c>
      <c r="I1095" t="str">
        <f t="shared" si="13"/>
        <v>CONTRACT#4457471/CUST#12847097</v>
      </c>
    </row>
    <row r="1096" spans="1:9" x14ac:dyDescent="0.3">
      <c r="A1096" t="str">
        <f>""</f>
        <v/>
      </c>
      <c r="F1096" t="str">
        <f>""</f>
        <v/>
      </c>
      <c r="G1096" t="str">
        <f>""</f>
        <v/>
      </c>
      <c r="I1096" t="str">
        <f t="shared" si="13"/>
        <v>CONTRACT#4457471/CUST#12847097</v>
      </c>
    </row>
    <row r="1097" spans="1:9" x14ac:dyDescent="0.3">
      <c r="A1097" t="str">
        <f>""</f>
        <v/>
      </c>
      <c r="F1097" t="str">
        <f>""</f>
        <v/>
      </c>
      <c r="G1097" t="str">
        <f>""</f>
        <v/>
      </c>
      <c r="I1097" t="str">
        <f t="shared" si="13"/>
        <v>CONTRACT#4457471/CUST#12847097</v>
      </c>
    </row>
    <row r="1098" spans="1:9" x14ac:dyDescent="0.3">
      <c r="A1098" t="str">
        <f>""</f>
        <v/>
      </c>
      <c r="F1098" t="str">
        <f>""</f>
        <v/>
      </c>
      <c r="G1098" t="str">
        <f>""</f>
        <v/>
      </c>
      <c r="I1098" t="str">
        <f t="shared" si="13"/>
        <v>CONTRACT#4457471/CUST#12847097</v>
      </c>
    </row>
    <row r="1099" spans="1:9" x14ac:dyDescent="0.3">
      <c r="A1099" t="str">
        <f>"000972"</f>
        <v>000972</v>
      </c>
      <c r="B1099" t="s">
        <v>401</v>
      </c>
      <c r="C1099">
        <v>75930</v>
      </c>
      <c r="D1099" s="2">
        <v>7304.09</v>
      </c>
      <c r="E1099" s="1">
        <v>43185</v>
      </c>
      <c r="F1099" t="str">
        <f>"31561033"</f>
        <v>31561033</v>
      </c>
      <c r="G1099" t="str">
        <f>"CUST#2000172616"</f>
        <v>CUST#2000172616</v>
      </c>
      <c r="H1099">
        <v>7304.09</v>
      </c>
      <c r="I1099" t="str">
        <f t="shared" ref="I1099:I1121" si="14">"CUST#2000172616"</f>
        <v>CUST#2000172616</v>
      </c>
    </row>
    <row r="1100" spans="1:9" x14ac:dyDescent="0.3">
      <c r="A1100" t="str">
        <f>""</f>
        <v/>
      </c>
      <c r="F1100" t="str">
        <f>""</f>
        <v/>
      </c>
      <c r="G1100" t="str">
        <f>""</f>
        <v/>
      </c>
      <c r="I1100" t="str">
        <f t="shared" si="14"/>
        <v>CUST#2000172616</v>
      </c>
    </row>
    <row r="1101" spans="1:9" x14ac:dyDescent="0.3">
      <c r="A1101" t="str">
        <f>""</f>
        <v/>
      </c>
      <c r="F1101" t="str">
        <f>""</f>
        <v/>
      </c>
      <c r="G1101" t="str">
        <f>""</f>
        <v/>
      </c>
      <c r="I1101" t="str">
        <f t="shared" si="14"/>
        <v>CUST#2000172616</v>
      </c>
    </row>
    <row r="1102" spans="1:9" x14ac:dyDescent="0.3">
      <c r="A1102" t="str">
        <f>""</f>
        <v/>
      </c>
      <c r="F1102" t="str">
        <f>""</f>
        <v/>
      </c>
      <c r="G1102" t="str">
        <f>""</f>
        <v/>
      </c>
      <c r="I1102" t="str">
        <f t="shared" si="14"/>
        <v>CUST#2000172616</v>
      </c>
    </row>
    <row r="1103" spans="1:9" x14ac:dyDescent="0.3">
      <c r="A1103" t="str">
        <f>""</f>
        <v/>
      </c>
      <c r="F1103" t="str">
        <f>""</f>
        <v/>
      </c>
      <c r="G1103" t="str">
        <f>""</f>
        <v/>
      </c>
      <c r="I1103" t="str">
        <f t="shared" si="14"/>
        <v>CUST#2000172616</v>
      </c>
    </row>
    <row r="1104" spans="1:9" x14ac:dyDescent="0.3">
      <c r="A1104" t="str">
        <f>""</f>
        <v/>
      </c>
      <c r="F1104" t="str">
        <f>""</f>
        <v/>
      </c>
      <c r="G1104" t="str">
        <f>""</f>
        <v/>
      </c>
      <c r="I1104" t="str">
        <f t="shared" si="14"/>
        <v>CUST#2000172616</v>
      </c>
    </row>
    <row r="1105" spans="1:9" x14ac:dyDescent="0.3">
      <c r="A1105" t="str">
        <f>""</f>
        <v/>
      </c>
      <c r="F1105" t="str">
        <f>""</f>
        <v/>
      </c>
      <c r="G1105" t="str">
        <f>""</f>
        <v/>
      </c>
      <c r="I1105" t="str">
        <f t="shared" si="14"/>
        <v>CUST#2000172616</v>
      </c>
    </row>
    <row r="1106" spans="1:9" x14ac:dyDescent="0.3">
      <c r="A1106" t="str">
        <f>""</f>
        <v/>
      </c>
      <c r="F1106" t="str">
        <f>""</f>
        <v/>
      </c>
      <c r="G1106" t="str">
        <f>""</f>
        <v/>
      </c>
      <c r="I1106" t="str">
        <f t="shared" si="14"/>
        <v>CUST#2000172616</v>
      </c>
    </row>
    <row r="1107" spans="1:9" x14ac:dyDescent="0.3">
      <c r="A1107" t="str">
        <f>""</f>
        <v/>
      </c>
      <c r="F1107" t="str">
        <f>""</f>
        <v/>
      </c>
      <c r="G1107" t="str">
        <f>""</f>
        <v/>
      </c>
      <c r="I1107" t="str">
        <f t="shared" si="14"/>
        <v>CUST#2000172616</v>
      </c>
    </row>
    <row r="1108" spans="1:9" x14ac:dyDescent="0.3">
      <c r="A1108" t="str">
        <f>""</f>
        <v/>
      </c>
      <c r="F1108" t="str">
        <f>""</f>
        <v/>
      </c>
      <c r="G1108" t="str">
        <f>""</f>
        <v/>
      </c>
      <c r="I1108" t="str">
        <f t="shared" si="14"/>
        <v>CUST#2000172616</v>
      </c>
    </row>
    <row r="1109" spans="1:9" x14ac:dyDescent="0.3">
      <c r="A1109" t="str">
        <f>""</f>
        <v/>
      </c>
      <c r="F1109" t="str">
        <f>""</f>
        <v/>
      </c>
      <c r="G1109" t="str">
        <f>""</f>
        <v/>
      </c>
      <c r="I1109" t="str">
        <f t="shared" si="14"/>
        <v>CUST#2000172616</v>
      </c>
    </row>
    <row r="1110" spans="1:9" x14ac:dyDescent="0.3">
      <c r="A1110" t="str">
        <f>""</f>
        <v/>
      </c>
      <c r="F1110" t="str">
        <f>""</f>
        <v/>
      </c>
      <c r="G1110" t="str">
        <f>""</f>
        <v/>
      </c>
      <c r="I1110" t="str">
        <f t="shared" si="14"/>
        <v>CUST#2000172616</v>
      </c>
    </row>
    <row r="1111" spans="1:9" x14ac:dyDescent="0.3">
      <c r="A1111" t="str">
        <f>""</f>
        <v/>
      </c>
      <c r="F1111" t="str">
        <f>""</f>
        <v/>
      </c>
      <c r="G1111" t="str">
        <f>""</f>
        <v/>
      </c>
      <c r="I1111" t="str">
        <f t="shared" si="14"/>
        <v>CUST#2000172616</v>
      </c>
    </row>
    <row r="1112" spans="1:9" x14ac:dyDescent="0.3">
      <c r="A1112" t="str">
        <f>""</f>
        <v/>
      </c>
      <c r="F1112" t="str">
        <f>""</f>
        <v/>
      </c>
      <c r="G1112" t="str">
        <f>""</f>
        <v/>
      </c>
      <c r="I1112" t="str">
        <f t="shared" si="14"/>
        <v>CUST#2000172616</v>
      </c>
    </row>
    <row r="1113" spans="1:9" x14ac:dyDescent="0.3">
      <c r="A1113" t="str">
        <f>""</f>
        <v/>
      </c>
      <c r="F1113" t="str">
        <f>""</f>
        <v/>
      </c>
      <c r="G1113" t="str">
        <f>""</f>
        <v/>
      </c>
      <c r="I1113" t="str">
        <f t="shared" si="14"/>
        <v>CUST#2000172616</v>
      </c>
    </row>
    <row r="1114" spans="1:9" x14ac:dyDescent="0.3">
      <c r="A1114" t="str">
        <f>""</f>
        <v/>
      </c>
      <c r="F1114" t="str">
        <f>""</f>
        <v/>
      </c>
      <c r="G1114" t="str">
        <f>""</f>
        <v/>
      </c>
      <c r="I1114" t="str">
        <f t="shared" si="14"/>
        <v>CUST#2000172616</v>
      </c>
    </row>
    <row r="1115" spans="1:9" x14ac:dyDescent="0.3">
      <c r="A1115" t="str">
        <f>""</f>
        <v/>
      </c>
      <c r="F1115" t="str">
        <f>""</f>
        <v/>
      </c>
      <c r="G1115" t="str">
        <f>""</f>
        <v/>
      </c>
      <c r="I1115" t="str">
        <f t="shared" si="14"/>
        <v>CUST#2000172616</v>
      </c>
    </row>
    <row r="1116" spans="1:9" x14ac:dyDescent="0.3">
      <c r="A1116" t="str">
        <f>""</f>
        <v/>
      </c>
      <c r="F1116" t="str">
        <f>""</f>
        <v/>
      </c>
      <c r="G1116" t="str">
        <f>""</f>
        <v/>
      </c>
      <c r="I1116" t="str">
        <f t="shared" si="14"/>
        <v>CUST#2000172616</v>
      </c>
    </row>
    <row r="1117" spans="1:9" x14ac:dyDescent="0.3">
      <c r="A1117" t="str">
        <f>""</f>
        <v/>
      </c>
      <c r="F1117" t="str">
        <f>""</f>
        <v/>
      </c>
      <c r="G1117" t="str">
        <f>""</f>
        <v/>
      </c>
      <c r="I1117" t="str">
        <f t="shared" si="14"/>
        <v>CUST#2000172616</v>
      </c>
    </row>
    <row r="1118" spans="1:9" x14ac:dyDescent="0.3">
      <c r="A1118" t="str">
        <f>""</f>
        <v/>
      </c>
      <c r="F1118" t="str">
        <f>""</f>
        <v/>
      </c>
      <c r="G1118" t="str">
        <f>""</f>
        <v/>
      </c>
      <c r="I1118" t="str">
        <f t="shared" si="14"/>
        <v>CUST#2000172616</v>
      </c>
    </row>
    <row r="1119" spans="1:9" x14ac:dyDescent="0.3">
      <c r="A1119" t="str">
        <f>""</f>
        <v/>
      </c>
      <c r="F1119" t="str">
        <f>""</f>
        <v/>
      </c>
      <c r="G1119" t="str">
        <f>""</f>
        <v/>
      </c>
      <c r="I1119" t="str">
        <f t="shared" si="14"/>
        <v>CUST#2000172616</v>
      </c>
    </row>
    <row r="1120" spans="1:9" x14ac:dyDescent="0.3">
      <c r="A1120" t="str">
        <f>""</f>
        <v/>
      </c>
      <c r="F1120" t="str">
        <f>""</f>
        <v/>
      </c>
      <c r="G1120" t="str">
        <f>""</f>
        <v/>
      </c>
      <c r="I1120" t="str">
        <f t="shared" si="14"/>
        <v>CUST#2000172616</v>
      </c>
    </row>
    <row r="1121" spans="1:9" x14ac:dyDescent="0.3">
      <c r="A1121" t="str">
        <f>""</f>
        <v/>
      </c>
      <c r="F1121" t="str">
        <f>""</f>
        <v/>
      </c>
      <c r="G1121" t="str">
        <f>""</f>
        <v/>
      </c>
      <c r="I1121" t="str">
        <f t="shared" si="14"/>
        <v>CUST#2000172616</v>
      </c>
    </row>
    <row r="1122" spans="1:9" x14ac:dyDescent="0.3">
      <c r="A1122" t="str">
        <f>"T4636"</f>
        <v>T4636</v>
      </c>
      <c r="B1122" t="s">
        <v>402</v>
      </c>
      <c r="C1122">
        <v>75731</v>
      </c>
      <c r="D1122" s="2">
        <v>407</v>
      </c>
      <c r="E1122" s="1">
        <v>43171</v>
      </c>
      <c r="F1122" t="str">
        <f>"883427"</f>
        <v>883427</v>
      </c>
      <c r="G1122" t="str">
        <f>"RIVERSIDE SERVICE CENTER/PCT#2"</f>
        <v>RIVERSIDE SERVICE CENTER/PCT#2</v>
      </c>
      <c r="H1122">
        <v>407</v>
      </c>
      <c r="I1122" t="str">
        <f>"RIVERSIDE SERVICE CENTER/PCT#2"</f>
        <v>RIVERSIDE SERVICE CENTER/PCT#2</v>
      </c>
    </row>
    <row r="1123" spans="1:9" x14ac:dyDescent="0.3">
      <c r="A1123" t="str">
        <f>"T4636"</f>
        <v>T4636</v>
      </c>
      <c r="B1123" t="s">
        <v>402</v>
      </c>
      <c r="C1123">
        <v>75931</v>
      </c>
      <c r="D1123" s="2">
        <v>14</v>
      </c>
      <c r="E1123" s="1">
        <v>43185</v>
      </c>
      <c r="F1123" t="str">
        <f>"201803169650"</f>
        <v>201803169650</v>
      </c>
      <c r="G1123" t="str">
        <f>"INSPECTION/2013 CTS TR/PCT#2"</f>
        <v>INSPECTION/2013 CTS TR/PCT#2</v>
      </c>
      <c r="H1123">
        <v>7</v>
      </c>
      <c r="I1123" t="str">
        <f>"INSPECTION/PCT#2"</f>
        <v>INSPECTION/PCT#2</v>
      </c>
    </row>
    <row r="1124" spans="1:9" x14ac:dyDescent="0.3">
      <c r="A1124" t="str">
        <f>""</f>
        <v/>
      </c>
      <c r="F1124" t="str">
        <f>"201803169651"</f>
        <v>201803169651</v>
      </c>
      <c r="G1124" t="str">
        <f>"INSPECTION/2012 CTS TR/PCT#2"</f>
        <v>INSPECTION/2012 CTS TR/PCT#2</v>
      </c>
      <c r="H1124">
        <v>7</v>
      </c>
      <c r="I1124" t="str">
        <f>"INSPECTION/2012 CTS TR/PCT#2"</f>
        <v>INSPECTION/2012 CTS TR/PCT#2</v>
      </c>
    </row>
    <row r="1125" spans="1:9" x14ac:dyDescent="0.3">
      <c r="A1125" t="str">
        <f>"000374"</f>
        <v>000374</v>
      </c>
      <c r="B1125" t="s">
        <v>403</v>
      </c>
      <c r="C1125">
        <v>75932</v>
      </c>
      <c r="D1125" s="2">
        <v>452.95</v>
      </c>
      <c r="E1125" s="1">
        <v>43185</v>
      </c>
      <c r="F1125" t="str">
        <f>"W011271"</f>
        <v>W011271</v>
      </c>
      <c r="G1125" t="str">
        <f>"GLASS SVCS/DPS BLDG"</f>
        <v>GLASS SVCS/DPS BLDG</v>
      </c>
      <c r="H1125">
        <v>186.99</v>
      </c>
      <c r="I1125" t="str">
        <f>"GLASS SVCS/DPS BLDG"</f>
        <v>GLASS SVCS/DPS BLDG</v>
      </c>
    </row>
    <row r="1126" spans="1:9" x14ac:dyDescent="0.3">
      <c r="A1126" t="str">
        <f>""</f>
        <v/>
      </c>
      <c r="F1126" t="str">
        <f>"W011283"</f>
        <v>W011283</v>
      </c>
      <c r="G1126" t="str">
        <f>"Windshield Replacement"</f>
        <v>Windshield Replacement</v>
      </c>
      <c r="H1126">
        <v>265.95999999999998</v>
      </c>
      <c r="I1126" t="str">
        <f>"Windshield Replacement"</f>
        <v>Windshield Replacement</v>
      </c>
    </row>
    <row r="1127" spans="1:9" x14ac:dyDescent="0.3">
      <c r="A1127" t="str">
        <f>"004417"</f>
        <v>004417</v>
      </c>
      <c r="B1127" t="s">
        <v>404</v>
      </c>
      <c r="C1127">
        <v>999999</v>
      </c>
      <c r="D1127" s="2">
        <v>800</v>
      </c>
      <c r="E1127" s="1">
        <v>43186</v>
      </c>
      <c r="F1127" t="str">
        <f>"BCSOFEB18"</f>
        <v>BCSOFEB18</v>
      </c>
      <c r="G1127" t="str">
        <f>"INV BCSOFEB18"</f>
        <v>INV BCSOFEB18</v>
      </c>
      <c r="H1127">
        <v>800</v>
      </c>
      <c r="I1127" t="str">
        <f>"INV BCSOFEB18"</f>
        <v>INV BCSOFEB18</v>
      </c>
    </row>
    <row r="1128" spans="1:9" x14ac:dyDescent="0.3">
      <c r="A1128" t="str">
        <f>"003609"</f>
        <v>003609</v>
      </c>
      <c r="B1128" t="s">
        <v>405</v>
      </c>
      <c r="C1128">
        <v>75732</v>
      </c>
      <c r="D1128" s="2">
        <v>75</v>
      </c>
      <c r="E1128" s="1">
        <v>43171</v>
      </c>
      <c r="F1128" t="str">
        <f>"201803089385"</f>
        <v>201803089385</v>
      </c>
      <c r="G1128" t="str">
        <f>"FERAL HOGS"</f>
        <v>FERAL HOGS</v>
      </c>
      <c r="H1128">
        <v>75</v>
      </c>
      <c r="I1128" t="str">
        <f>"FERAL HOGS"</f>
        <v>FERAL HOGS</v>
      </c>
    </row>
    <row r="1129" spans="1:9" x14ac:dyDescent="0.3">
      <c r="A1129" t="str">
        <f>"MADDEN"</f>
        <v>MADDEN</v>
      </c>
      <c r="B1129" t="s">
        <v>406</v>
      </c>
      <c r="C1129">
        <v>75733</v>
      </c>
      <c r="D1129" s="2">
        <v>22.2</v>
      </c>
      <c r="E1129" s="1">
        <v>43171</v>
      </c>
      <c r="F1129" t="str">
        <f>"4199449"</f>
        <v>4199449</v>
      </c>
      <c r="G1129" t="str">
        <f>"CUST ID#90564/ORD#2183574"</f>
        <v>CUST ID#90564/ORD#2183574</v>
      </c>
      <c r="H1129">
        <v>22.2</v>
      </c>
      <c r="I1129" t="str">
        <f>"CUST ID#90564/ORD#2183574"</f>
        <v>CUST ID#90564/ORD#2183574</v>
      </c>
    </row>
    <row r="1130" spans="1:9" x14ac:dyDescent="0.3">
      <c r="A1130" t="str">
        <f>"005462"</f>
        <v>005462</v>
      </c>
      <c r="B1130" t="s">
        <v>407</v>
      </c>
      <c r="C1130">
        <v>75734</v>
      </c>
      <c r="D1130" s="2">
        <v>30</v>
      </c>
      <c r="E1130" s="1">
        <v>43171</v>
      </c>
      <c r="F1130" t="str">
        <f>"201803089386"</f>
        <v>201803089386</v>
      </c>
      <c r="G1130" t="str">
        <f>"FERAL HOGS"</f>
        <v>FERAL HOGS</v>
      </c>
      <c r="H1130">
        <v>30</v>
      </c>
      <c r="I1130" t="str">
        <f>"FERAL HOGS"</f>
        <v>FERAL HOGS</v>
      </c>
    </row>
    <row r="1131" spans="1:9" x14ac:dyDescent="0.3">
      <c r="A1131" t="str">
        <f>"T454"</f>
        <v>T454</v>
      </c>
      <c r="B1131" t="s">
        <v>408</v>
      </c>
      <c r="C1131">
        <v>75735</v>
      </c>
      <c r="D1131" s="2">
        <v>203.75</v>
      </c>
      <c r="E1131" s="1">
        <v>43171</v>
      </c>
      <c r="F1131" t="str">
        <f>"201802278885"</f>
        <v>201802278885</v>
      </c>
      <c r="G1131" t="str">
        <f>"PER DIEM/LODGING"</f>
        <v>PER DIEM/LODGING</v>
      </c>
      <c r="H1131">
        <v>203.75</v>
      </c>
      <c r="I1131" t="str">
        <f>"PER DIEM/LODGING"</f>
        <v>PER DIEM/LODGING</v>
      </c>
    </row>
    <row r="1132" spans="1:9" x14ac:dyDescent="0.3">
      <c r="A1132" t="str">
        <f>"004991"</f>
        <v>004991</v>
      </c>
      <c r="B1132" t="s">
        <v>409</v>
      </c>
      <c r="C1132">
        <v>75736</v>
      </c>
      <c r="D1132" s="2">
        <v>66</v>
      </c>
      <c r="E1132" s="1">
        <v>43171</v>
      </c>
      <c r="F1132" t="str">
        <f>"201803079255"</f>
        <v>201803079255</v>
      </c>
      <c r="G1132" t="str">
        <f>"LPHCP RECORDING FEES"</f>
        <v>LPHCP RECORDING FEES</v>
      </c>
      <c r="H1132">
        <v>66</v>
      </c>
      <c r="I1132" t="str">
        <f>"LPHCP RECORDING FEES"</f>
        <v>LPHCP RECORDING FEES</v>
      </c>
    </row>
    <row r="1133" spans="1:9" x14ac:dyDescent="0.3">
      <c r="A1133" t="str">
        <f>"RP-CC"</f>
        <v>RP-CC</v>
      </c>
      <c r="B1133" t="s">
        <v>409</v>
      </c>
      <c r="C1133">
        <v>75737</v>
      </c>
      <c r="D1133" s="2">
        <v>61</v>
      </c>
      <c r="E1133" s="1">
        <v>43171</v>
      </c>
      <c r="F1133" t="str">
        <f>"201803069225"</f>
        <v>201803069225</v>
      </c>
      <c r="G1133" t="str">
        <f>"DEVELOPMENT SVCS RECORDING FEE"</f>
        <v>DEVELOPMENT SVCS RECORDING FEE</v>
      </c>
      <c r="H1133">
        <v>61</v>
      </c>
      <c r="I1133" t="str">
        <f>"DEVELOPMENT SVCS RECORDING FEE"</f>
        <v>DEVELOPMENT SVCS RECORDING FEE</v>
      </c>
    </row>
    <row r="1134" spans="1:9" x14ac:dyDescent="0.3">
      <c r="A1134" t="str">
        <f>"004991"</f>
        <v>004991</v>
      </c>
      <c r="B1134" t="s">
        <v>409</v>
      </c>
      <c r="C1134">
        <v>75933</v>
      </c>
      <c r="D1134" s="2">
        <v>578</v>
      </c>
      <c r="E1134" s="1">
        <v>43185</v>
      </c>
      <c r="F1134" t="str">
        <f>"201803209683"</f>
        <v>201803209683</v>
      </c>
      <c r="G1134" t="str">
        <f>"LPHPC RECORDING FEES"</f>
        <v>LPHPC RECORDING FEES</v>
      </c>
      <c r="H1134">
        <v>578</v>
      </c>
      <c r="I1134" t="str">
        <f>"LPHPC RECORDING FEES"</f>
        <v>LPHPC RECORDING FEES</v>
      </c>
    </row>
    <row r="1135" spans="1:9" x14ac:dyDescent="0.3">
      <c r="A1135" t="str">
        <f>"RP-CC"</f>
        <v>RP-CC</v>
      </c>
      <c r="B1135" t="s">
        <v>409</v>
      </c>
      <c r="C1135">
        <v>75934</v>
      </c>
      <c r="D1135" s="2">
        <v>61</v>
      </c>
      <c r="E1135" s="1">
        <v>43185</v>
      </c>
      <c r="F1135" t="str">
        <f>"201803219713"</f>
        <v>201803219713</v>
      </c>
      <c r="G1135" t="str">
        <f>"DEVELOPMENT SVCS RECORDING FEE"</f>
        <v>DEVELOPMENT SVCS RECORDING FEE</v>
      </c>
      <c r="H1135">
        <v>61</v>
      </c>
      <c r="I1135" t="str">
        <f>"DEVELOPMENT SVCS RECORDING FEE"</f>
        <v>DEVELOPMENT SVCS RECORDING FEE</v>
      </c>
    </row>
    <row r="1136" spans="1:9" x14ac:dyDescent="0.3">
      <c r="A1136" t="str">
        <f>"005159"</f>
        <v>005159</v>
      </c>
      <c r="B1136" t="s">
        <v>410</v>
      </c>
      <c r="C1136">
        <v>75935</v>
      </c>
      <c r="D1136" s="2">
        <v>177.6</v>
      </c>
      <c r="E1136" s="1">
        <v>43185</v>
      </c>
      <c r="F1136" t="str">
        <f>"3009778726"</f>
        <v>3009778726</v>
      </c>
      <c r="G1136" t="str">
        <f>"REF#16883701/PCT#3"</f>
        <v>REF#16883701/PCT#3</v>
      </c>
      <c r="H1136">
        <v>177.6</v>
      </c>
      <c r="I1136" t="str">
        <f>"REF#16883701/PCT#3"</f>
        <v>REF#16883701/PCT#3</v>
      </c>
    </row>
    <row r="1137" spans="1:9" x14ac:dyDescent="0.3">
      <c r="A1137" t="str">
        <f>"003749"</f>
        <v>003749</v>
      </c>
      <c r="B1137" t="s">
        <v>411</v>
      </c>
      <c r="C1137">
        <v>75738</v>
      </c>
      <c r="D1137" s="2">
        <v>5750</v>
      </c>
      <c r="E1137" s="1">
        <v>43171</v>
      </c>
      <c r="F1137" t="str">
        <f>"11847"</f>
        <v>11847</v>
      </c>
      <c r="G1137" t="str">
        <f>"SAFELANE TRAFFIC SUPPLY LLC"</f>
        <v>SAFELANE TRAFFIC SUPPLY LLC</v>
      </c>
      <c r="H1137">
        <v>5750</v>
      </c>
      <c r="I1137" t="str">
        <f>"6' Steel Posts"</f>
        <v>6' Steel Posts</v>
      </c>
    </row>
    <row r="1138" spans="1:9" x14ac:dyDescent="0.3">
      <c r="A1138" t="str">
        <f>"004125"</f>
        <v>004125</v>
      </c>
      <c r="B1138" t="s">
        <v>412</v>
      </c>
      <c r="C1138">
        <v>75936</v>
      </c>
      <c r="D1138" s="2">
        <v>853</v>
      </c>
      <c r="E1138" s="1">
        <v>43185</v>
      </c>
      <c r="F1138" t="str">
        <f>"201803219710"</f>
        <v>201803219710</v>
      </c>
      <c r="G1138" t="str">
        <f>"SANE EXAM-CASE#18-S-00935"</f>
        <v>SANE EXAM-CASE#18-S-00935</v>
      </c>
      <c r="H1138">
        <v>853</v>
      </c>
      <c r="I1138" t="str">
        <f>"SANE EXAM-CASE#18-S-00935"</f>
        <v>SANE EXAM-CASE#18-S-00935</v>
      </c>
    </row>
    <row r="1139" spans="1:9" x14ac:dyDescent="0.3">
      <c r="A1139" t="str">
        <f>"SHSU"</f>
        <v>SHSU</v>
      </c>
      <c r="B1139" t="s">
        <v>413</v>
      </c>
      <c r="C1139">
        <v>75739</v>
      </c>
      <c r="D1139" s="2">
        <v>750</v>
      </c>
      <c r="E1139" s="1">
        <v>43171</v>
      </c>
      <c r="F1139" t="str">
        <f>"TRAINING-J.RUETHER"</f>
        <v>TRAINING-J.RUETHER</v>
      </c>
      <c r="G1139" t="str">
        <f>"TRAINING"</f>
        <v>TRAINING</v>
      </c>
      <c r="H1139">
        <v>750</v>
      </c>
      <c r="I1139" t="str">
        <f>"TRAINING"</f>
        <v>TRAINING</v>
      </c>
    </row>
    <row r="1140" spans="1:9" x14ac:dyDescent="0.3">
      <c r="A1140" t="str">
        <f>"T11973"</f>
        <v>T11973</v>
      </c>
      <c r="B1140" t="s">
        <v>414</v>
      </c>
      <c r="C1140">
        <v>999999</v>
      </c>
      <c r="D1140" s="2">
        <v>602.89</v>
      </c>
      <c r="E1140" s="1">
        <v>43172</v>
      </c>
      <c r="F1140" t="str">
        <f>"201803079327"</f>
        <v>201803079327</v>
      </c>
      <c r="G1140" t="str">
        <f>"INDIGENT HEALTH"</f>
        <v>INDIGENT HEALTH</v>
      </c>
      <c r="H1140">
        <v>602.89</v>
      </c>
      <c r="I1140" t="str">
        <f>"INDIGENT HEALTH"</f>
        <v>INDIGENT HEALTH</v>
      </c>
    </row>
    <row r="1141" spans="1:9" x14ac:dyDescent="0.3">
      <c r="A1141" t="str">
        <f>"002725"</f>
        <v>002725</v>
      </c>
      <c r="B1141" t="s">
        <v>415</v>
      </c>
      <c r="C1141">
        <v>75937</v>
      </c>
      <c r="D1141" s="2">
        <v>322</v>
      </c>
      <c r="E1141" s="1">
        <v>43185</v>
      </c>
      <c r="F1141" t="str">
        <f>"LODGING FOR TRAINI"</f>
        <v>LODGING FOR TRAINI</v>
      </c>
      <c r="G1141" t="str">
        <f>"LODGING"</f>
        <v>LODGING</v>
      </c>
      <c r="H1141">
        <v>322</v>
      </c>
      <c r="I1141" t="str">
        <f>"LODGING"</f>
        <v>LODGING</v>
      </c>
    </row>
    <row r="1142" spans="1:9" x14ac:dyDescent="0.3">
      <c r="A1142" t="str">
        <f>"T6180"</f>
        <v>T6180</v>
      </c>
      <c r="B1142" t="s">
        <v>416</v>
      </c>
      <c r="C1142">
        <v>75740</v>
      </c>
      <c r="D1142" s="2">
        <v>12374.92</v>
      </c>
      <c r="E1142" s="1">
        <v>43171</v>
      </c>
      <c r="F1142" t="str">
        <f>"201803079328"</f>
        <v>201803079328</v>
      </c>
      <c r="G1142" t="str">
        <f>"INDIGENT HEALTH"</f>
        <v>INDIGENT HEALTH</v>
      </c>
      <c r="H1142">
        <v>20.85</v>
      </c>
      <c r="I1142" t="str">
        <f>"INDIGENT HEALTH"</f>
        <v>INDIGENT HEALTH</v>
      </c>
    </row>
    <row r="1143" spans="1:9" x14ac:dyDescent="0.3">
      <c r="A1143" t="str">
        <f>""</f>
        <v/>
      </c>
      <c r="F1143" t="str">
        <f>"201803079329"</f>
        <v>201803079329</v>
      </c>
      <c r="G1143" t="str">
        <f>"INDIGENT HEALTH"</f>
        <v>INDIGENT HEALTH</v>
      </c>
      <c r="H1143">
        <v>12354.07</v>
      </c>
      <c r="I1143" t="str">
        <f>"INDIGENT HEALTH"</f>
        <v>INDIGENT HEALTH</v>
      </c>
    </row>
    <row r="1144" spans="1:9" x14ac:dyDescent="0.3">
      <c r="A1144" t="str">
        <f>"003131"</f>
        <v>003131</v>
      </c>
      <c r="B1144" t="s">
        <v>417</v>
      </c>
      <c r="C1144">
        <v>75741</v>
      </c>
      <c r="D1144" s="2">
        <v>3333</v>
      </c>
      <c r="E1144" s="1">
        <v>43171</v>
      </c>
      <c r="F1144" t="str">
        <f>"4282*42*6"</f>
        <v>4282*42*6</v>
      </c>
      <c r="G1144" t="str">
        <f>"SETON PRESCRIPTION ASSISTANCE"</f>
        <v>SETON PRESCRIPTION ASSISTANCE</v>
      </c>
      <c r="H1144">
        <v>3333</v>
      </c>
      <c r="I1144" t="str">
        <f>"SETON PRESCRIPTION ASSISTANCE"</f>
        <v>SETON PRESCRIPTION ASSISTANCE</v>
      </c>
    </row>
    <row r="1145" spans="1:9" x14ac:dyDescent="0.3">
      <c r="A1145" t="str">
        <f>"003183"</f>
        <v>003183</v>
      </c>
      <c r="B1145" t="s">
        <v>418</v>
      </c>
      <c r="C1145">
        <v>75742</v>
      </c>
      <c r="D1145" s="2">
        <v>3526.22</v>
      </c>
      <c r="E1145" s="1">
        <v>43171</v>
      </c>
      <c r="F1145" t="str">
        <f>"4356*128*1"</f>
        <v>4356*128*1</v>
      </c>
      <c r="G1145" t="str">
        <f>"JAIL MEDICAL"</f>
        <v>JAIL MEDICAL</v>
      </c>
      <c r="H1145">
        <v>3526.22</v>
      </c>
      <c r="I1145" t="str">
        <f>"JAIL MEDICAL"</f>
        <v>JAIL MEDICAL</v>
      </c>
    </row>
    <row r="1146" spans="1:9" x14ac:dyDescent="0.3">
      <c r="A1146" t="str">
        <f>"003086"</f>
        <v>003086</v>
      </c>
      <c r="B1146" t="s">
        <v>419</v>
      </c>
      <c r="C1146">
        <v>75743</v>
      </c>
      <c r="D1146" s="2">
        <v>4223.6000000000004</v>
      </c>
      <c r="E1146" s="1">
        <v>43171</v>
      </c>
      <c r="F1146" t="str">
        <f>"201803079331"</f>
        <v>201803079331</v>
      </c>
      <c r="G1146" t="str">
        <f>"INDIGENT HEALTH"</f>
        <v>INDIGENT HEALTH</v>
      </c>
      <c r="H1146">
        <v>4223.6000000000004</v>
      </c>
      <c r="I1146" t="str">
        <f>"INDIGENT HEALTH"</f>
        <v>INDIGENT HEALTH</v>
      </c>
    </row>
    <row r="1147" spans="1:9" x14ac:dyDescent="0.3">
      <c r="A1147" t="str">
        <f>""</f>
        <v/>
      </c>
      <c r="F1147" t="str">
        <f>""</f>
        <v/>
      </c>
      <c r="G1147" t="str">
        <f>""</f>
        <v/>
      </c>
      <c r="I1147" t="str">
        <f>"INDIGENT HEALTH"</f>
        <v>INDIGENT HEALTH</v>
      </c>
    </row>
    <row r="1148" spans="1:9" x14ac:dyDescent="0.3">
      <c r="A1148" t="str">
        <f>"005081"</f>
        <v>005081</v>
      </c>
      <c r="B1148" t="s">
        <v>420</v>
      </c>
      <c r="C1148">
        <v>75744</v>
      </c>
      <c r="D1148" s="2">
        <v>2246.6799999999998</v>
      </c>
      <c r="E1148" s="1">
        <v>43171</v>
      </c>
      <c r="F1148" t="str">
        <f>"201803079256"</f>
        <v>201803079256</v>
      </c>
      <c r="G1148" t="str">
        <f>"ACCT#20147/ANIMAL SVCS"</f>
        <v>ACCT#20147/ANIMAL SVCS</v>
      </c>
      <c r="H1148">
        <v>2246.6799999999998</v>
      </c>
      <c r="I1148" t="str">
        <f>"ACCT#20147/ANIMAL SVCS"</f>
        <v>ACCT#20147/ANIMAL SVCS</v>
      </c>
    </row>
    <row r="1149" spans="1:9" x14ac:dyDescent="0.3">
      <c r="A1149" t="str">
        <f>"T10195"</f>
        <v>T10195</v>
      </c>
      <c r="B1149" t="s">
        <v>421</v>
      </c>
      <c r="C1149">
        <v>75938</v>
      </c>
      <c r="D1149" s="2">
        <v>2044</v>
      </c>
      <c r="E1149" s="1">
        <v>43185</v>
      </c>
      <c r="F1149" t="str">
        <f>"GB00272985"</f>
        <v>GB00272985</v>
      </c>
      <c r="G1149" t="str">
        <f>"Cisco Emergency Responder"</f>
        <v>Cisco Emergency Responder</v>
      </c>
      <c r="H1149">
        <v>2044</v>
      </c>
      <c r="I1149" t="str">
        <f>"Part#: ER12-USR-1 "</f>
        <v>Part#: ER12-USR-1 </v>
      </c>
    </row>
    <row r="1150" spans="1:9" x14ac:dyDescent="0.3">
      <c r="A1150" t="str">
        <f>""</f>
        <v/>
      </c>
      <c r="F1150" t="str">
        <f>""</f>
        <v/>
      </c>
      <c r="G1150" t="str">
        <f>""</f>
        <v/>
      </c>
      <c r="I1150" t="str">
        <f>"PT#CON-ECMU-ER12USR1"</f>
        <v>PT#CON-ECMU-ER12USR1</v>
      </c>
    </row>
    <row r="1151" spans="1:9" x14ac:dyDescent="0.3">
      <c r="A1151" t="str">
        <f>"004840"</f>
        <v>004840</v>
      </c>
      <c r="B1151" t="s">
        <v>422</v>
      </c>
      <c r="C1151">
        <v>75745</v>
      </c>
      <c r="D1151" s="2">
        <v>164.62</v>
      </c>
      <c r="E1151" s="1">
        <v>43171</v>
      </c>
      <c r="F1151" t="str">
        <f>"795544"</f>
        <v>795544</v>
      </c>
      <c r="G1151" t="str">
        <f>"ACCT#550615/GEN SVCS"</f>
        <v>ACCT#550615/GEN SVCS</v>
      </c>
      <c r="H1151">
        <v>164.62</v>
      </c>
      <c r="I1151" t="str">
        <f>"ACCT#550615/GEN SVCS"</f>
        <v>ACCT#550615/GEN SVCS</v>
      </c>
    </row>
    <row r="1152" spans="1:9" x14ac:dyDescent="0.3">
      <c r="A1152" t="str">
        <f>"001260"</f>
        <v>001260</v>
      </c>
      <c r="B1152" t="s">
        <v>423</v>
      </c>
      <c r="C1152">
        <v>75746</v>
      </c>
      <c r="D1152" s="2">
        <v>196.14</v>
      </c>
      <c r="E1152" s="1">
        <v>43171</v>
      </c>
      <c r="F1152" t="str">
        <f>"201803079332"</f>
        <v>201803079332</v>
      </c>
      <c r="G1152" t="str">
        <f>"INDIGENT HEALTH"</f>
        <v>INDIGENT HEALTH</v>
      </c>
      <c r="H1152">
        <v>196.14</v>
      </c>
      <c r="I1152" t="str">
        <f>"INDIGENT HEALTH"</f>
        <v>INDIGENT HEALTH</v>
      </c>
    </row>
    <row r="1153" spans="1:9" x14ac:dyDescent="0.3">
      <c r="A1153" t="str">
        <f>"003483"</f>
        <v>003483</v>
      </c>
      <c r="B1153" t="s">
        <v>424</v>
      </c>
      <c r="C1153">
        <v>75939</v>
      </c>
      <c r="D1153" s="2">
        <v>45038.95</v>
      </c>
      <c r="E1153" s="1">
        <v>43185</v>
      </c>
      <c r="F1153" t="str">
        <f>"FORD CREW CAB"</f>
        <v>FORD CREW CAB</v>
      </c>
      <c r="G1153" t="str">
        <f>"SILSBEE FORD"</f>
        <v>SILSBEE FORD</v>
      </c>
      <c r="H1153">
        <v>45038.95</v>
      </c>
      <c r="I1153" t="str">
        <f>"Ford Crew Cab"</f>
        <v>Ford Crew Cab</v>
      </c>
    </row>
    <row r="1154" spans="1:9" x14ac:dyDescent="0.3">
      <c r="A1154" t="str">
        <f>""</f>
        <v/>
      </c>
      <c r="F1154" t="str">
        <f>""</f>
        <v/>
      </c>
      <c r="G1154" t="str">
        <f>""</f>
        <v/>
      </c>
      <c r="I1154" t="str">
        <f>"Buy Board Fee"</f>
        <v>Buy Board Fee</v>
      </c>
    </row>
    <row r="1155" spans="1:9" x14ac:dyDescent="0.3">
      <c r="A1155" t="str">
        <f>"SIRCHI"</f>
        <v>SIRCHI</v>
      </c>
      <c r="B1155" t="s">
        <v>425</v>
      </c>
      <c r="C1155">
        <v>75747</v>
      </c>
      <c r="D1155" s="2">
        <v>833.17</v>
      </c>
      <c r="E1155" s="1">
        <v>43171</v>
      </c>
      <c r="F1155" t="str">
        <f>"0333946-IN/0337951"</f>
        <v>0333946-IN/0337951</v>
      </c>
      <c r="G1155" t="str">
        <f>"INV 0333946-IN; 0337951-I"</f>
        <v>INV 0333946-IN; 0337951-I</v>
      </c>
      <c r="H1155">
        <v>833.17</v>
      </c>
      <c r="I1155" t="str">
        <f>"INV 0333946-IN"</f>
        <v>INV 0333946-IN</v>
      </c>
    </row>
    <row r="1156" spans="1:9" x14ac:dyDescent="0.3">
      <c r="A1156" t="str">
        <f>""</f>
        <v/>
      </c>
      <c r="F1156" t="str">
        <f>""</f>
        <v/>
      </c>
      <c r="G1156" t="str">
        <f>""</f>
        <v/>
      </c>
      <c r="I1156" t="str">
        <f>"INV 0337951-IN"</f>
        <v>INV 0337951-IN</v>
      </c>
    </row>
    <row r="1157" spans="1:9" x14ac:dyDescent="0.3">
      <c r="A1157" t="str">
        <f>"SEI"</f>
        <v>SEI</v>
      </c>
      <c r="B1157" t="s">
        <v>426</v>
      </c>
      <c r="C1157">
        <v>999999</v>
      </c>
      <c r="D1157" s="2">
        <v>268.82</v>
      </c>
      <c r="E1157" s="1">
        <v>43186</v>
      </c>
      <c r="F1157" t="str">
        <f>"70931"</f>
        <v>70931</v>
      </c>
      <c r="G1157" t="str">
        <f>"INV 70931"</f>
        <v>INV 70931</v>
      </c>
      <c r="H1157">
        <v>268.82</v>
      </c>
      <c r="I1157" t="str">
        <f>"INV 70931"</f>
        <v>INV 70931</v>
      </c>
    </row>
    <row r="1158" spans="1:9" x14ac:dyDescent="0.3">
      <c r="A1158" t="str">
        <f>"005433"</f>
        <v>005433</v>
      </c>
      <c r="B1158" t="s">
        <v>427</v>
      </c>
      <c r="C1158">
        <v>75940</v>
      </c>
      <c r="D1158" s="2">
        <v>479.24</v>
      </c>
      <c r="E1158" s="1">
        <v>43185</v>
      </c>
      <c r="F1158" t="str">
        <f>"PORTABLE STOP SIGN"</f>
        <v>PORTABLE STOP SIGN</v>
      </c>
      <c r="G1158" t="str">
        <f>"EXPRESSMYSELF.COM LLC"</f>
        <v>EXPRESSMYSELF.COM LLC</v>
      </c>
      <c r="H1158">
        <v>479.24</v>
      </c>
      <c r="I1158" t="str">
        <f>"Portable Stop Signs"</f>
        <v>Portable Stop Signs</v>
      </c>
    </row>
    <row r="1159" spans="1:9" x14ac:dyDescent="0.3">
      <c r="A1159" t="str">
        <f>""</f>
        <v/>
      </c>
      <c r="F1159" t="str">
        <f>""</f>
        <v/>
      </c>
      <c r="G1159" t="str">
        <f>""</f>
        <v/>
      </c>
      <c r="I1159" t="str">
        <f>"Stop Sign Stands"</f>
        <v>Stop Sign Stands</v>
      </c>
    </row>
    <row r="1160" spans="1:9" x14ac:dyDescent="0.3">
      <c r="A1160" t="str">
        <f>""</f>
        <v/>
      </c>
      <c r="F1160" t="str">
        <f>""</f>
        <v/>
      </c>
      <c r="G1160" t="str">
        <f>""</f>
        <v/>
      </c>
      <c r="I1160" t="str">
        <f>"Shipping"</f>
        <v>Shipping</v>
      </c>
    </row>
    <row r="1161" spans="1:9" x14ac:dyDescent="0.3">
      <c r="A1161" t="str">
        <f>"SS"</f>
        <v>SS</v>
      </c>
      <c r="B1161" t="s">
        <v>428</v>
      </c>
      <c r="C1161">
        <v>75941</v>
      </c>
      <c r="D1161" s="2">
        <v>373.3</v>
      </c>
      <c r="E1161" s="1">
        <v>43185</v>
      </c>
      <c r="F1161" t="str">
        <f>"26749"</f>
        <v>26749</v>
      </c>
      <c r="G1161" t="str">
        <f>"STATEMENT#26749/PCT#2"</f>
        <v>STATEMENT#26749/PCT#2</v>
      </c>
      <c r="H1161">
        <v>373.3</v>
      </c>
      <c r="I1161" t="str">
        <f>"STATEMENT#26749/PCT#2"</f>
        <v>STATEMENT#26749/PCT#2</v>
      </c>
    </row>
    <row r="1162" spans="1:9" x14ac:dyDescent="0.3">
      <c r="A1162" t="str">
        <f>""</f>
        <v/>
      </c>
      <c r="F1162" t="str">
        <f>""</f>
        <v/>
      </c>
      <c r="G1162" t="str">
        <f>""</f>
        <v/>
      </c>
      <c r="I1162" t="str">
        <f>"STATEMENT#26749/PCT#2"</f>
        <v>STATEMENT#26749/PCT#2</v>
      </c>
    </row>
    <row r="1163" spans="1:9" x14ac:dyDescent="0.3">
      <c r="A1163" t="str">
        <f>"SAP"</f>
        <v>SAP</v>
      </c>
      <c r="B1163" t="s">
        <v>429</v>
      </c>
      <c r="C1163">
        <v>75748</v>
      </c>
      <c r="D1163" s="2">
        <v>427.54</v>
      </c>
      <c r="E1163" s="1">
        <v>43171</v>
      </c>
      <c r="F1163" t="str">
        <f>"201803079270"</f>
        <v>201803079270</v>
      </c>
      <c r="G1163" t="str">
        <f>"ACCT#260/PCT#2"</f>
        <v>ACCT#260/PCT#2</v>
      </c>
      <c r="H1163">
        <v>427.54</v>
      </c>
      <c r="I1163" t="str">
        <f>"ACCT#260/PCT#2"</f>
        <v>ACCT#260/PCT#2</v>
      </c>
    </row>
    <row r="1164" spans="1:9" x14ac:dyDescent="0.3">
      <c r="A1164" t="str">
        <f>"003951"</f>
        <v>003951</v>
      </c>
      <c r="B1164" t="s">
        <v>430</v>
      </c>
      <c r="C1164">
        <v>75942</v>
      </c>
      <c r="D1164" s="2">
        <v>151.5</v>
      </c>
      <c r="E1164" s="1">
        <v>43185</v>
      </c>
      <c r="F1164" t="str">
        <f>"201803159638"</f>
        <v>201803159638</v>
      </c>
      <c r="G1164" t="str">
        <f>"HOTEL-HOUSTON RODEO BOOTH"</f>
        <v>HOTEL-HOUSTON RODEO BOOTH</v>
      </c>
      <c r="H1164">
        <v>151.5</v>
      </c>
      <c r="I1164" t="str">
        <f>"HOTEL-HOUSTON RODEO BOOTH"</f>
        <v>HOTEL-HOUSTON RODEO BOOTH</v>
      </c>
    </row>
    <row r="1165" spans="1:9" x14ac:dyDescent="0.3">
      <c r="A1165" t="str">
        <f>"STM"</f>
        <v>STM</v>
      </c>
      <c r="B1165" t="s">
        <v>431</v>
      </c>
      <c r="C1165">
        <v>75749</v>
      </c>
      <c r="D1165" s="2">
        <v>1769.6</v>
      </c>
      <c r="E1165" s="1">
        <v>43171</v>
      </c>
      <c r="F1165" t="str">
        <f>"0063239715/240651"</f>
        <v>0063239715/240651</v>
      </c>
      <c r="G1165" t="str">
        <f>"ACCT#52157/PCT#4"</f>
        <v>ACCT#52157/PCT#4</v>
      </c>
      <c r="H1165">
        <v>1769.6</v>
      </c>
      <c r="I1165" t="str">
        <f>"ACCT#52157/PCT#4"</f>
        <v>ACCT#52157/PCT#4</v>
      </c>
    </row>
    <row r="1166" spans="1:9" x14ac:dyDescent="0.3">
      <c r="A1166" t="str">
        <f>"T11061"</f>
        <v>T11061</v>
      </c>
      <c r="B1166" t="s">
        <v>432</v>
      </c>
      <c r="C1166">
        <v>75750</v>
      </c>
      <c r="D1166" s="2">
        <v>194.77</v>
      </c>
      <c r="E1166" s="1">
        <v>43171</v>
      </c>
      <c r="F1166" t="str">
        <f>"11969495 021618"</f>
        <v>11969495 021618</v>
      </c>
      <c r="G1166" t="str">
        <f>"ACCT#556850411969495/DA'S OFF"</f>
        <v>ACCT#556850411969495/DA'S OFF</v>
      </c>
      <c r="H1166">
        <v>194.77</v>
      </c>
      <c r="I1166" t="str">
        <f>"ACCT#556850411969495/DA'S OFF"</f>
        <v>ACCT#556850411969495/DA'S OFF</v>
      </c>
    </row>
    <row r="1167" spans="1:9" x14ac:dyDescent="0.3">
      <c r="A1167" t="str">
        <f>"T11061"</f>
        <v>T11061</v>
      </c>
      <c r="B1167" t="s">
        <v>432</v>
      </c>
      <c r="C1167">
        <v>75943</v>
      </c>
      <c r="D1167" s="2">
        <v>21.59</v>
      </c>
      <c r="E1167" s="1">
        <v>43185</v>
      </c>
      <c r="F1167" t="str">
        <f>"9604456 030118"</f>
        <v>9604456 030118</v>
      </c>
      <c r="G1167" t="str">
        <f>"ACCT#46668439604456"</f>
        <v>ACCT#46668439604456</v>
      </c>
      <c r="H1167">
        <v>21.59</v>
      </c>
      <c r="I1167" t="str">
        <f>"ACCT#46668439604456"</f>
        <v>ACCT#46668439604456</v>
      </c>
    </row>
    <row r="1168" spans="1:9" x14ac:dyDescent="0.3">
      <c r="A1168" t="str">
        <f>"004843"</f>
        <v>004843</v>
      </c>
      <c r="B1168" t="s">
        <v>433</v>
      </c>
      <c r="C1168">
        <v>75751</v>
      </c>
      <c r="D1168" s="2">
        <v>150.36000000000001</v>
      </c>
      <c r="E1168" s="1">
        <v>43171</v>
      </c>
      <c r="F1168" t="str">
        <f>"685357"</f>
        <v>685357</v>
      </c>
      <c r="G1168" t="str">
        <f>"ACCT#114382/PRESCRIPTION"</f>
        <v>ACCT#114382/PRESCRIPTION</v>
      </c>
      <c r="H1168">
        <v>150.36000000000001</v>
      </c>
      <c r="I1168" t="str">
        <f>"ACCT#114382/PRESCRIPTION"</f>
        <v>ACCT#114382/PRESCRIPTION</v>
      </c>
    </row>
    <row r="1169" spans="1:9" x14ac:dyDescent="0.3">
      <c r="A1169" t="str">
        <f>"003747"</f>
        <v>003747</v>
      </c>
      <c r="B1169" t="s">
        <v>434</v>
      </c>
      <c r="C1169">
        <v>75944</v>
      </c>
      <c r="D1169" s="2">
        <v>31.86</v>
      </c>
      <c r="E1169" s="1">
        <v>43185</v>
      </c>
      <c r="F1169" t="str">
        <f>"B06983560"</f>
        <v>B06983560</v>
      </c>
      <c r="G1169" t="str">
        <f>"ACCT#0698356-3"</f>
        <v>ACCT#0698356-3</v>
      </c>
      <c r="H1169">
        <v>10.62</v>
      </c>
      <c r="I1169" t="str">
        <f>"ACCT#0698356-3"</f>
        <v>ACCT#0698356-3</v>
      </c>
    </row>
    <row r="1170" spans="1:9" x14ac:dyDescent="0.3">
      <c r="A1170" t="str">
        <f>""</f>
        <v/>
      </c>
      <c r="F1170" t="str">
        <f>"B0698356M"</f>
        <v>B0698356M</v>
      </c>
      <c r="G1170" t="str">
        <f>"ACCT#0698356-3/BASTROP CO OEM"</f>
        <v>ACCT#0698356-3/BASTROP CO OEM</v>
      </c>
      <c r="H1170">
        <v>10.62</v>
      </c>
      <c r="I1170" t="str">
        <f>"ACCT#0698356-3/BASTROP CO OEM"</f>
        <v>ACCT#0698356-3/BASTROP CO OEM</v>
      </c>
    </row>
    <row r="1171" spans="1:9" x14ac:dyDescent="0.3">
      <c r="A1171" t="str">
        <f>""</f>
        <v/>
      </c>
      <c r="F1171" t="str">
        <f>"B0698356N"</f>
        <v>B0698356N</v>
      </c>
      <c r="G1171" t="str">
        <f>"ACCT#0698356-3/BASTROP CO OEM"</f>
        <v>ACCT#0698356-3/BASTROP CO OEM</v>
      </c>
      <c r="H1171">
        <v>10.62</v>
      </c>
      <c r="I1171" t="str">
        <f>"ACCT#0698356-3/BASTROP CO OEM"</f>
        <v>ACCT#0698356-3/BASTROP CO OEM</v>
      </c>
    </row>
    <row r="1172" spans="1:9" x14ac:dyDescent="0.3">
      <c r="A1172" t="str">
        <f>"REDDY"</f>
        <v>REDDY</v>
      </c>
      <c r="B1172" t="s">
        <v>435</v>
      </c>
      <c r="C1172">
        <v>75752</v>
      </c>
      <c r="D1172" s="2">
        <v>231.08</v>
      </c>
      <c r="E1172" s="1">
        <v>43171</v>
      </c>
      <c r="F1172" t="str">
        <f>"201803079333"</f>
        <v>201803079333</v>
      </c>
      <c r="G1172" t="str">
        <f>"INDIGENT HEALTH"</f>
        <v>INDIGENT HEALTH</v>
      </c>
      <c r="H1172">
        <v>231.08</v>
      </c>
      <c r="I1172" t="str">
        <f>"INDIGENT HEALTH"</f>
        <v>INDIGENT HEALTH</v>
      </c>
    </row>
    <row r="1173" spans="1:9" x14ac:dyDescent="0.3">
      <c r="A1173" t="str">
        <f>"SDHCS"</f>
        <v>SDHCS</v>
      </c>
      <c r="B1173" t="s">
        <v>436</v>
      </c>
      <c r="C1173">
        <v>75753</v>
      </c>
      <c r="D1173" s="2">
        <v>2124.89</v>
      </c>
      <c r="E1173" s="1">
        <v>43171</v>
      </c>
      <c r="F1173" t="str">
        <f>"201803079334"</f>
        <v>201803079334</v>
      </c>
      <c r="G1173" t="str">
        <f>"INDIGENT HEALTH"</f>
        <v>INDIGENT HEALTH</v>
      </c>
      <c r="H1173">
        <v>988.44</v>
      </c>
      <c r="I1173" t="str">
        <f>"INDIGENT HEALTH"</f>
        <v>INDIGENT HEALTH</v>
      </c>
    </row>
    <row r="1174" spans="1:9" x14ac:dyDescent="0.3">
      <c r="A1174" t="str">
        <f>""</f>
        <v/>
      </c>
      <c r="F1174" t="str">
        <f>"201803079335"</f>
        <v>201803079335</v>
      </c>
      <c r="G1174" t="str">
        <f>"INDIGENT HEALTH"</f>
        <v>INDIGENT HEALTH</v>
      </c>
      <c r="H1174">
        <v>1136.45</v>
      </c>
      <c r="I1174" t="str">
        <f>"INDIGENT HEALTH"</f>
        <v>INDIGENT HEALTH</v>
      </c>
    </row>
    <row r="1175" spans="1:9" x14ac:dyDescent="0.3">
      <c r="A1175" t="str">
        <f>""</f>
        <v/>
      </c>
      <c r="F1175" t="str">
        <f>""</f>
        <v/>
      </c>
      <c r="G1175" t="str">
        <f>""</f>
        <v/>
      </c>
      <c r="I1175" t="str">
        <f>"INDIGENT HEALTH"</f>
        <v>INDIGENT HEALTH</v>
      </c>
    </row>
    <row r="1176" spans="1:9" x14ac:dyDescent="0.3">
      <c r="A1176" t="str">
        <f>"004527"</f>
        <v>004527</v>
      </c>
      <c r="B1176" t="s">
        <v>437</v>
      </c>
      <c r="C1176">
        <v>75754</v>
      </c>
      <c r="D1176" s="2">
        <v>6.42</v>
      </c>
      <c r="E1176" s="1">
        <v>43171</v>
      </c>
      <c r="F1176" t="str">
        <f>"201803079336"</f>
        <v>201803079336</v>
      </c>
      <c r="G1176" t="str">
        <f>"INDIGENT HEALTH"</f>
        <v>INDIGENT HEALTH</v>
      </c>
      <c r="H1176">
        <v>6.42</v>
      </c>
      <c r="I1176" t="str">
        <f>"INDIGENT HEALTH"</f>
        <v>INDIGENT HEALTH</v>
      </c>
    </row>
    <row r="1177" spans="1:9" x14ac:dyDescent="0.3">
      <c r="A1177" t="str">
        <f>"003508"</f>
        <v>003508</v>
      </c>
      <c r="B1177" t="s">
        <v>438</v>
      </c>
      <c r="C1177">
        <v>75755</v>
      </c>
      <c r="D1177" s="2">
        <v>2738.11</v>
      </c>
      <c r="E1177" s="1">
        <v>43171</v>
      </c>
      <c r="F1177" t="str">
        <f>"8048712647"</f>
        <v>8048712647</v>
      </c>
      <c r="G1177" t="str">
        <f>"SummaryInv# 8048712647"</f>
        <v>SummaryInv# 8048712647</v>
      </c>
      <c r="H1177">
        <v>2738.11</v>
      </c>
      <c r="I1177" t="str">
        <f>"Inv# 3368903398"</f>
        <v>Inv# 3368903398</v>
      </c>
    </row>
    <row r="1178" spans="1:9" x14ac:dyDescent="0.3">
      <c r="A1178" t="str">
        <f>""</f>
        <v/>
      </c>
      <c r="F1178" t="str">
        <f>""</f>
        <v/>
      </c>
      <c r="G1178" t="str">
        <f>""</f>
        <v/>
      </c>
      <c r="I1178" t="str">
        <f>"Inv# 3368903399"</f>
        <v>Inv# 3368903399</v>
      </c>
    </row>
    <row r="1179" spans="1:9" x14ac:dyDescent="0.3">
      <c r="A1179" t="str">
        <f>""</f>
        <v/>
      </c>
      <c r="F1179" t="str">
        <f>""</f>
        <v/>
      </c>
      <c r="G1179" t="str">
        <f>""</f>
        <v/>
      </c>
      <c r="I1179" t="str">
        <f>"Inv# 3368903392"</f>
        <v>Inv# 3368903392</v>
      </c>
    </row>
    <row r="1180" spans="1:9" x14ac:dyDescent="0.3">
      <c r="A1180" t="str">
        <f>""</f>
        <v/>
      </c>
      <c r="F1180" t="str">
        <f>""</f>
        <v/>
      </c>
      <c r="G1180" t="str">
        <f>""</f>
        <v/>
      </c>
      <c r="I1180" t="str">
        <f>"Inv# 3368903393"</f>
        <v>Inv# 3368903393</v>
      </c>
    </row>
    <row r="1181" spans="1:9" x14ac:dyDescent="0.3">
      <c r="A1181" t="str">
        <f>""</f>
        <v/>
      </c>
      <c r="F1181" t="str">
        <f>""</f>
        <v/>
      </c>
      <c r="G1181" t="str">
        <f>""</f>
        <v/>
      </c>
      <c r="I1181" t="str">
        <f>"Inv# 3368903376"</f>
        <v>Inv# 3368903376</v>
      </c>
    </row>
    <row r="1182" spans="1:9" x14ac:dyDescent="0.3">
      <c r="A1182" t="str">
        <f>""</f>
        <v/>
      </c>
      <c r="F1182" t="str">
        <f>""</f>
        <v/>
      </c>
      <c r="G1182" t="str">
        <f>""</f>
        <v/>
      </c>
      <c r="I1182" t="str">
        <f>"Inv# 3368903403"</f>
        <v>Inv# 3368903403</v>
      </c>
    </row>
    <row r="1183" spans="1:9" x14ac:dyDescent="0.3">
      <c r="A1183" t="str">
        <f>""</f>
        <v/>
      </c>
      <c r="F1183" t="str">
        <f>""</f>
        <v/>
      </c>
      <c r="G1183" t="str">
        <f>""</f>
        <v/>
      </c>
      <c r="I1183" t="str">
        <f>"Inv# 3368903401"</f>
        <v>Inv# 3368903401</v>
      </c>
    </row>
    <row r="1184" spans="1:9" x14ac:dyDescent="0.3">
      <c r="A1184" t="str">
        <f>""</f>
        <v/>
      </c>
      <c r="F1184" t="str">
        <f>""</f>
        <v/>
      </c>
      <c r="G1184" t="str">
        <f>""</f>
        <v/>
      </c>
      <c r="I1184" t="str">
        <f>"Inv# 3368903394"</f>
        <v>Inv# 3368903394</v>
      </c>
    </row>
    <row r="1185" spans="1:9" x14ac:dyDescent="0.3">
      <c r="A1185" t="str">
        <f>""</f>
        <v/>
      </c>
      <c r="F1185" t="str">
        <f>""</f>
        <v/>
      </c>
      <c r="G1185" t="str">
        <f>""</f>
        <v/>
      </c>
      <c r="I1185" t="str">
        <f>"Inv# 3368903395"</f>
        <v>Inv# 3368903395</v>
      </c>
    </row>
    <row r="1186" spans="1:9" x14ac:dyDescent="0.3">
      <c r="A1186" t="str">
        <f>""</f>
        <v/>
      </c>
      <c r="F1186" t="str">
        <f>""</f>
        <v/>
      </c>
      <c r="G1186" t="str">
        <f>""</f>
        <v/>
      </c>
      <c r="I1186" t="str">
        <f>"Inv# 3368903396"</f>
        <v>Inv# 3368903396</v>
      </c>
    </row>
    <row r="1187" spans="1:9" x14ac:dyDescent="0.3">
      <c r="A1187" t="str">
        <f>""</f>
        <v/>
      </c>
      <c r="F1187" t="str">
        <f>""</f>
        <v/>
      </c>
      <c r="G1187" t="str">
        <f>""</f>
        <v/>
      </c>
      <c r="I1187" t="str">
        <f>"Inv# 3368903397"</f>
        <v>Inv# 3368903397</v>
      </c>
    </row>
    <row r="1188" spans="1:9" x14ac:dyDescent="0.3">
      <c r="A1188" t="str">
        <f>""</f>
        <v/>
      </c>
      <c r="F1188" t="str">
        <f>""</f>
        <v/>
      </c>
      <c r="G1188" t="str">
        <f>""</f>
        <v/>
      </c>
      <c r="I1188" t="str">
        <f>"Inv# 3368903378"</f>
        <v>Inv# 3368903378</v>
      </c>
    </row>
    <row r="1189" spans="1:9" x14ac:dyDescent="0.3">
      <c r="A1189" t="str">
        <f>""</f>
        <v/>
      </c>
      <c r="F1189" t="str">
        <f>""</f>
        <v/>
      </c>
      <c r="G1189" t="str">
        <f>""</f>
        <v/>
      </c>
      <c r="I1189" t="str">
        <f>"Inv# 3368903380"</f>
        <v>Inv# 3368903380</v>
      </c>
    </row>
    <row r="1190" spans="1:9" x14ac:dyDescent="0.3">
      <c r="A1190" t="str">
        <f>""</f>
        <v/>
      </c>
      <c r="F1190" t="str">
        <f>""</f>
        <v/>
      </c>
      <c r="G1190" t="str">
        <f>""</f>
        <v/>
      </c>
      <c r="I1190" t="str">
        <f>"Inv# 3368903381"</f>
        <v>Inv# 3368903381</v>
      </c>
    </row>
    <row r="1191" spans="1:9" x14ac:dyDescent="0.3">
      <c r="A1191" t="str">
        <f>""</f>
        <v/>
      </c>
      <c r="F1191" t="str">
        <f>""</f>
        <v/>
      </c>
      <c r="G1191" t="str">
        <f>""</f>
        <v/>
      </c>
      <c r="I1191" t="str">
        <f>"Inv# 3368903382"</f>
        <v>Inv# 3368903382</v>
      </c>
    </row>
    <row r="1192" spans="1:9" x14ac:dyDescent="0.3">
      <c r="A1192" t="str">
        <f>""</f>
        <v/>
      </c>
      <c r="F1192" t="str">
        <f>""</f>
        <v/>
      </c>
      <c r="G1192" t="str">
        <f>""</f>
        <v/>
      </c>
      <c r="I1192" t="str">
        <f>"Inv# 3368903383"</f>
        <v>Inv# 3368903383</v>
      </c>
    </row>
    <row r="1193" spans="1:9" x14ac:dyDescent="0.3">
      <c r="A1193" t="str">
        <f>""</f>
        <v/>
      </c>
      <c r="F1193" t="str">
        <f>""</f>
        <v/>
      </c>
      <c r="G1193" t="str">
        <f>""</f>
        <v/>
      </c>
      <c r="I1193" t="str">
        <f>"Inv# 3368903385"</f>
        <v>Inv# 3368903385</v>
      </c>
    </row>
    <row r="1194" spans="1:9" x14ac:dyDescent="0.3">
      <c r="A1194" t="str">
        <f>""</f>
        <v/>
      </c>
      <c r="F1194" t="str">
        <f>""</f>
        <v/>
      </c>
      <c r="G1194" t="str">
        <f>""</f>
        <v/>
      </c>
      <c r="I1194" t="str">
        <f>"Inv# 3368903387"</f>
        <v>Inv# 3368903387</v>
      </c>
    </row>
    <row r="1195" spans="1:9" x14ac:dyDescent="0.3">
      <c r="A1195" t="str">
        <f>""</f>
        <v/>
      </c>
      <c r="F1195" t="str">
        <f>""</f>
        <v/>
      </c>
      <c r="G1195" t="str">
        <f>""</f>
        <v/>
      </c>
      <c r="I1195" t="str">
        <f>"Inv# 3368903388"</f>
        <v>Inv# 3368903388</v>
      </c>
    </row>
    <row r="1196" spans="1:9" x14ac:dyDescent="0.3">
      <c r="A1196" t="str">
        <f>""</f>
        <v/>
      </c>
      <c r="F1196" t="str">
        <f>""</f>
        <v/>
      </c>
      <c r="G1196" t="str">
        <f>""</f>
        <v/>
      </c>
      <c r="I1196" t="str">
        <f>"Inv# 3368903389"</f>
        <v>Inv# 3368903389</v>
      </c>
    </row>
    <row r="1197" spans="1:9" x14ac:dyDescent="0.3">
      <c r="A1197" t="str">
        <f>""</f>
        <v/>
      </c>
      <c r="F1197" t="str">
        <f>""</f>
        <v/>
      </c>
      <c r="G1197" t="str">
        <f>""</f>
        <v/>
      </c>
      <c r="I1197" t="str">
        <f>"Inv# 3368903390"</f>
        <v>Inv# 3368903390</v>
      </c>
    </row>
    <row r="1198" spans="1:9" x14ac:dyDescent="0.3">
      <c r="A1198" t="str">
        <f>""</f>
        <v/>
      </c>
      <c r="F1198" t="str">
        <f>""</f>
        <v/>
      </c>
      <c r="G1198" t="str">
        <f>""</f>
        <v/>
      </c>
      <c r="I1198" t="str">
        <f>"Inv# 3368903391"</f>
        <v>Inv# 3368903391</v>
      </c>
    </row>
    <row r="1199" spans="1:9" x14ac:dyDescent="0.3">
      <c r="A1199" t="str">
        <f>"T459"</f>
        <v>T459</v>
      </c>
      <c r="B1199" t="s">
        <v>439</v>
      </c>
      <c r="C1199">
        <v>75945</v>
      </c>
      <c r="D1199" s="2">
        <v>597.13</v>
      </c>
      <c r="E1199" s="1">
        <v>43185</v>
      </c>
      <c r="F1199" t="str">
        <f>"201803199655"</f>
        <v>201803199655</v>
      </c>
      <c r="G1199" t="str">
        <f>"FEBRUARY 2018"</f>
        <v>FEBRUARY 2018</v>
      </c>
      <c r="H1199">
        <v>597.13</v>
      </c>
      <c r="I1199" t="str">
        <f>"FEBRUARY 2018"</f>
        <v>FEBRUARY 2018</v>
      </c>
    </row>
    <row r="1200" spans="1:9" x14ac:dyDescent="0.3">
      <c r="A1200" t="str">
        <f>"004808"</f>
        <v>004808</v>
      </c>
      <c r="B1200" t="s">
        <v>440</v>
      </c>
      <c r="C1200">
        <v>75756</v>
      </c>
      <c r="D1200" s="2">
        <v>5</v>
      </c>
      <c r="E1200" s="1">
        <v>43171</v>
      </c>
      <c r="F1200" t="str">
        <f>"201803089387"</f>
        <v>201803089387</v>
      </c>
      <c r="G1200" t="str">
        <f>"FERAL HOGS"</f>
        <v>FERAL HOGS</v>
      </c>
      <c r="H1200">
        <v>5</v>
      </c>
      <c r="I1200" t="str">
        <f>"FERAL HOGS"</f>
        <v>FERAL HOGS</v>
      </c>
    </row>
    <row r="1201" spans="1:9" x14ac:dyDescent="0.3">
      <c r="A1201" t="str">
        <f>"002260"</f>
        <v>002260</v>
      </c>
      <c r="B1201" t="s">
        <v>441</v>
      </c>
      <c r="C1201">
        <v>75757</v>
      </c>
      <c r="D1201" s="2">
        <v>604.5</v>
      </c>
      <c r="E1201" s="1">
        <v>43171</v>
      </c>
      <c r="F1201" t="str">
        <f>"201803079262"</f>
        <v>201803079262</v>
      </c>
      <c r="G1201" t="str">
        <f>"TRASH REMOVAL 02/19-02/28"</f>
        <v>TRASH REMOVAL 02/19-02/28</v>
      </c>
      <c r="H1201">
        <v>370.5</v>
      </c>
      <c r="I1201" t="str">
        <f>"TRASH REMOVAL 02/19-02/28"</f>
        <v>TRASH REMOVAL 02/19-02/28</v>
      </c>
    </row>
    <row r="1202" spans="1:9" x14ac:dyDescent="0.3">
      <c r="A1202" t="str">
        <f>""</f>
        <v/>
      </c>
      <c r="F1202" t="str">
        <f>"201803079263"</f>
        <v>201803079263</v>
      </c>
      <c r="G1202" t="str">
        <f>"TRASH REMOVAL 03/01-03/09"</f>
        <v>TRASH REMOVAL 03/01-03/09</v>
      </c>
      <c r="H1202">
        <v>234</v>
      </c>
      <c r="I1202" t="str">
        <f>"TRASH REMOVAL 03/01-03/09"</f>
        <v>TRASH REMOVAL 03/01-03/09</v>
      </c>
    </row>
    <row r="1203" spans="1:9" x14ac:dyDescent="0.3">
      <c r="A1203" t="str">
        <f>"002260"</f>
        <v>002260</v>
      </c>
      <c r="B1203" t="s">
        <v>441</v>
      </c>
      <c r="C1203">
        <v>75946</v>
      </c>
      <c r="D1203" s="2">
        <v>448.5</v>
      </c>
      <c r="E1203" s="1">
        <v>43185</v>
      </c>
      <c r="F1203" t="str">
        <f>"201803209686"</f>
        <v>201803209686</v>
      </c>
      <c r="G1203" t="str">
        <f>"TRASH REMOVAL PCT#4/3/12-3/23"</f>
        <v>TRASH REMOVAL PCT#4/3/12-3/23</v>
      </c>
      <c r="H1203">
        <v>448.5</v>
      </c>
      <c r="I1203" t="str">
        <f>"TRASH REMOVAL PCT#4/3/12-3/23"</f>
        <v>TRASH REMOVAL PCT#4/3/12-3/23</v>
      </c>
    </row>
    <row r="1204" spans="1:9" x14ac:dyDescent="0.3">
      <c r="A1204" t="str">
        <f>"004775"</f>
        <v>004775</v>
      </c>
      <c r="B1204" t="s">
        <v>442</v>
      </c>
      <c r="C1204">
        <v>999999</v>
      </c>
      <c r="D1204" s="2">
        <v>5760</v>
      </c>
      <c r="E1204" s="1">
        <v>43186</v>
      </c>
      <c r="F1204" t="str">
        <f>"179"</f>
        <v>179</v>
      </c>
      <c r="G1204" t="str">
        <f>"LANDSCAPING SVCS/PCT#2"</f>
        <v>LANDSCAPING SVCS/PCT#2</v>
      </c>
      <c r="H1204">
        <v>5760</v>
      </c>
      <c r="I1204" t="str">
        <f>"LANDSCAPING SVCS/PCT#2"</f>
        <v>LANDSCAPING SVCS/PCT#2</v>
      </c>
    </row>
    <row r="1205" spans="1:9" x14ac:dyDescent="0.3">
      <c r="A1205" t="str">
        <f>"T7067"</f>
        <v>T7067</v>
      </c>
      <c r="B1205" t="s">
        <v>443</v>
      </c>
      <c r="C1205">
        <v>75947</v>
      </c>
      <c r="D1205" s="2">
        <v>8100</v>
      </c>
      <c r="E1205" s="1">
        <v>43185</v>
      </c>
      <c r="F1205" t="str">
        <f>"E-119471"</f>
        <v>E-119471</v>
      </c>
      <c r="G1205" t="str">
        <f>"Erection of Building"</f>
        <v>Erection of Building</v>
      </c>
      <c r="H1205">
        <v>8100</v>
      </c>
      <c r="I1205" t="str">
        <f>"Erection of Building"</f>
        <v>Erection of Building</v>
      </c>
    </row>
    <row r="1206" spans="1:9" x14ac:dyDescent="0.3">
      <c r="A1206" t="str">
        <f>"001979"</f>
        <v>001979</v>
      </c>
      <c r="B1206" t="s">
        <v>444</v>
      </c>
      <c r="C1206">
        <v>75758</v>
      </c>
      <c r="D1206" s="2">
        <v>60.71</v>
      </c>
      <c r="E1206" s="1">
        <v>43171</v>
      </c>
      <c r="F1206" t="str">
        <f>"REIMBURSEMENT"</f>
        <v>REIMBURSEMENT</v>
      </c>
      <c r="G1206" t="str">
        <f>"REIMBURSEMENT"</f>
        <v>REIMBURSEMENT</v>
      </c>
      <c r="H1206">
        <v>60.71</v>
      </c>
      <c r="I1206" t="str">
        <f>"REIMBURSEMENT"</f>
        <v>REIMBURSEMENT</v>
      </c>
    </row>
    <row r="1207" spans="1:9" x14ac:dyDescent="0.3">
      <c r="A1207" t="str">
        <f>"004087"</f>
        <v>004087</v>
      </c>
      <c r="B1207" t="s">
        <v>445</v>
      </c>
      <c r="C1207">
        <v>999999</v>
      </c>
      <c r="D1207" s="2">
        <v>62</v>
      </c>
      <c r="E1207" s="1">
        <v>43172</v>
      </c>
      <c r="F1207" t="str">
        <f>"18030108"</f>
        <v>18030108</v>
      </c>
      <c r="G1207" t="str">
        <f>"SERVICE CONT PAYMENT/COUNTY CL"</f>
        <v>SERVICE CONT PAYMENT/COUNTY CL</v>
      </c>
      <c r="H1207">
        <v>62</v>
      </c>
      <c r="I1207" t="str">
        <f>"SERVICE CONT PAYMENT/COUNTY CL"</f>
        <v>SERVICE CONT PAYMENT/COUNTY CL</v>
      </c>
    </row>
    <row r="1208" spans="1:9" x14ac:dyDescent="0.3">
      <c r="A1208" t="str">
        <f>"T11929"</f>
        <v>T11929</v>
      </c>
      <c r="B1208" t="s">
        <v>446</v>
      </c>
      <c r="C1208">
        <v>75948</v>
      </c>
      <c r="D1208" s="2">
        <v>861.36</v>
      </c>
      <c r="E1208" s="1">
        <v>43185</v>
      </c>
      <c r="F1208" t="str">
        <f>"75630"</f>
        <v>75630</v>
      </c>
      <c r="G1208" t="str">
        <f>"ACCT#0103-0903F/ANNUAL MONITOR"</f>
        <v>ACCT#0103-0903F/ANNUAL MONITOR</v>
      </c>
      <c r="H1208">
        <v>430.68</v>
      </c>
      <c r="I1208" t="str">
        <f>"ACCT#0103-0903F/ANNUAL MONITOR"</f>
        <v>ACCT#0103-0903F/ANNUAL MONITOR</v>
      </c>
    </row>
    <row r="1209" spans="1:9" x14ac:dyDescent="0.3">
      <c r="A1209" t="str">
        <f>""</f>
        <v/>
      </c>
      <c r="F1209" t="str">
        <f>"75631"</f>
        <v>75631</v>
      </c>
      <c r="G1209" t="str">
        <f>"ACCT#0103-0970F/ANNUAL MONITOR"</f>
        <v>ACCT#0103-0970F/ANNUAL MONITOR</v>
      </c>
      <c r="H1209">
        <v>430.68</v>
      </c>
      <c r="I1209" t="str">
        <f>"ACCT#0103-0970F/ANNUAL MONITOR"</f>
        <v>ACCT#0103-0970F/ANNUAL MONITOR</v>
      </c>
    </row>
    <row r="1210" spans="1:9" x14ac:dyDescent="0.3">
      <c r="A1210" t="str">
        <f>"T8745"</f>
        <v>T8745</v>
      </c>
      <c r="B1210" t="s">
        <v>447</v>
      </c>
      <c r="C1210">
        <v>999999</v>
      </c>
      <c r="D1210" s="2">
        <v>201</v>
      </c>
      <c r="E1210" s="1">
        <v>43186</v>
      </c>
      <c r="F1210" t="str">
        <f>"1804065"</f>
        <v>1804065</v>
      </c>
      <c r="G1210" t="str">
        <f>"MONTHLY CONTRACT BILLING"</f>
        <v>MONTHLY CONTRACT BILLING</v>
      </c>
      <c r="H1210">
        <v>201</v>
      </c>
      <c r="I1210" t="str">
        <f>"MONTHLY CONTRACT BILLING"</f>
        <v>MONTHLY CONTRACT BILLING</v>
      </c>
    </row>
    <row r="1211" spans="1:9" x14ac:dyDescent="0.3">
      <c r="A1211" t="str">
        <f>"T11830"</f>
        <v>T11830</v>
      </c>
      <c r="B1211" t="s">
        <v>448</v>
      </c>
      <c r="C1211">
        <v>75759</v>
      </c>
      <c r="D1211" s="2">
        <v>65.400000000000006</v>
      </c>
      <c r="E1211" s="1">
        <v>43171</v>
      </c>
      <c r="F1211" t="str">
        <f>"201803079308"</f>
        <v>201803079308</v>
      </c>
      <c r="G1211" t="str">
        <f>"REIMBURSE MILEAGE"</f>
        <v>REIMBURSE MILEAGE</v>
      </c>
      <c r="H1211">
        <v>65.400000000000006</v>
      </c>
      <c r="I1211" t="str">
        <f>"REIMBURSE MILEAGE"</f>
        <v>REIMBURSE MILEAGE</v>
      </c>
    </row>
    <row r="1212" spans="1:9" x14ac:dyDescent="0.3">
      <c r="A1212" t="str">
        <f>"T13574"</f>
        <v>T13574</v>
      </c>
      <c r="B1212" t="s">
        <v>449</v>
      </c>
      <c r="C1212">
        <v>999999</v>
      </c>
      <c r="D1212" s="2">
        <v>46.4</v>
      </c>
      <c r="E1212" s="1">
        <v>43172</v>
      </c>
      <c r="F1212" t="str">
        <f>"74588"</f>
        <v>74588</v>
      </c>
      <c r="G1212" t="str">
        <f>"CUST ID:BASCO1"</f>
        <v>CUST ID:BASCO1</v>
      </c>
      <c r="H1212">
        <v>46.4</v>
      </c>
      <c r="I1212" t="str">
        <f>"CUST ID:BASCO1"</f>
        <v>CUST ID:BASCO1</v>
      </c>
    </row>
    <row r="1213" spans="1:9" x14ac:dyDescent="0.3">
      <c r="A1213" t="str">
        <f>"T6855"</f>
        <v>T6855</v>
      </c>
      <c r="B1213" t="s">
        <v>450</v>
      </c>
      <c r="C1213">
        <v>75760</v>
      </c>
      <c r="D1213" s="2">
        <v>11829.8</v>
      </c>
      <c r="E1213" s="1">
        <v>43171</v>
      </c>
      <c r="F1213" t="str">
        <f>"0722634-IN"</f>
        <v>0722634-IN</v>
      </c>
      <c r="G1213" t="str">
        <f>"ACCT#01-0112917/FUEL/PCT#2"</f>
        <v>ACCT#01-0112917/FUEL/PCT#2</v>
      </c>
      <c r="H1213">
        <v>3393.18</v>
      </c>
      <c r="I1213" t="str">
        <f>"ACCT#01-0112917/FUEL/PCT#2"</f>
        <v>ACCT#01-0112917/FUEL/PCT#2</v>
      </c>
    </row>
    <row r="1214" spans="1:9" x14ac:dyDescent="0.3">
      <c r="A1214" t="str">
        <f>""</f>
        <v/>
      </c>
      <c r="F1214" t="str">
        <f>"0724380-IN"</f>
        <v>0724380-IN</v>
      </c>
      <c r="G1214" t="str">
        <f>"ACCT#01-0112917/FUEL/PCT#3"</f>
        <v>ACCT#01-0112917/FUEL/PCT#3</v>
      </c>
      <c r="H1214">
        <v>4249.8100000000004</v>
      </c>
      <c r="I1214" t="str">
        <f>"ACCT#01-0112917/FUEL/PCT#3"</f>
        <v>ACCT#01-0112917/FUEL/PCT#3</v>
      </c>
    </row>
    <row r="1215" spans="1:9" x14ac:dyDescent="0.3">
      <c r="A1215" t="str">
        <f>""</f>
        <v/>
      </c>
      <c r="F1215" t="str">
        <f>"0724727-IN"</f>
        <v>0724727-IN</v>
      </c>
      <c r="G1215" t="str">
        <f>"ACCT#01-0112917/PCT#2"</f>
        <v>ACCT#01-0112917/PCT#2</v>
      </c>
      <c r="H1215">
        <v>4186.8100000000004</v>
      </c>
      <c r="I1215" t="str">
        <f>"ACCT#01-0112917/PCT#2"</f>
        <v>ACCT#01-0112917/PCT#2</v>
      </c>
    </row>
    <row r="1216" spans="1:9" x14ac:dyDescent="0.3">
      <c r="A1216" t="str">
        <f>"T6855"</f>
        <v>T6855</v>
      </c>
      <c r="B1216" t="s">
        <v>450</v>
      </c>
      <c r="C1216">
        <v>75949</v>
      </c>
      <c r="D1216" s="2">
        <v>12328.27</v>
      </c>
      <c r="E1216" s="1">
        <v>43185</v>
      </c>
      <c r="F1216" t="str">
        <f>"0727313-IN"</f>
        <v>0727313-IN</v>
      </c>
      <c r="G1216" t="str">
        <f>"ACCT#01-0112917/PCT#2"</f>
        <v>ACCT#01-0112917/PCT#2</v>
      </c>
      <c r="H1216">
        <v>3351.93</v>
      </c>
      <c r="I1216" t="str">
        <f>"ACCT#01-0112917/PCT#2"</f>
        <v>ACCT#01-0112917/PCT#2</v>
      </c>
    </row>
    <row r="1217" spans="1:9" x14ac:dyDescent="0.3">
      <c r="A1217" t="str">
        <f>""</f>
        <v/>
      </c>
      <c r="F1217" t="str">
        <f>"0728813-IN"</f>
        <v>0728813-IN</v>
      </c>
      <c r="G1217" t="str">
        <f>"INV 0728813-IN"</f>
        <v>INV 0728813-IN</v>
      </c>
      <c r="H1217">
        <v>369.87</v>
      </c>
      <c r="I1217" t="str">
        <f>"INV 0728813-IN"</f>
        <v>INV 0728813-IN</v>
      </c>
    </row>
    <row r="1218" spans="1:9" x14ac:dyDescent="0.3">
      <c r="A1218" t="str">
        <f>""</f>
        <v/>
      </c>
      <c r="F1218" t="str">
        <f>"0729406-IN"</f>
        <v>0729406-IN</v>
      </c>
      <c r="G1218" t="str">
        <f>"ACCT#01-0112917/ITEM#204200/P3"</f>
        <v>ACCT#01-0112917/ITEM#204200/P3</v>
      </c>
      <c r="H1218">
        <v>4105.8100000000004</v>
      </c>
      <c r="I1218" t="str">
        <f>"ACCT#01-0112917/ITEM#204200/P3"</f>
        <v>ACCT#01-0112917/ITEM#204200/P3</v>
      </c>
    </row>
    <row r="1219" spans="1:9" x14ac:dyDescent="0.3">
      <c r="A1219" t="str">
        <f>""</f>
        <v/>
      </c>
      <c r="F1219" t="str">
        <f>"0730407-IN"</f>
        <v>0730407-IN</v>
      </c>
      <c r="G1219" t="str">
        <f>"ACCT#01-0112917/IT#704102/PCT3"</f>
        <v>ACCT#01-0112917/IT#704102/PCT3</v>
      </c>
      <c r="H1219">
        <v>149.76</v>
      </c>
      <c r="I1219" t="str">
        <f>"ACCT#01-0112917/IT#704102/PCT3"</f>
        <v>ACCT#01-0112917/IT#704102/PCT3</v>
      </c>
    </row>
    <row r="1220" spans="1:9" x14ac:dyDescent="0.3">
      <c r="A1220" t="str">
        <f>""</f>
        <v/>
      </c>
      <c r="F1220" t="str">
        <f>"0731660-IN"</f>
        <v>0731660-IN</v>
      </c>
      <c r="G1220" t="str">
        <f>"ACCT#01-0112917/PCT#2"</f>
        <v>ACCT#01-0112917/PCT#2</v>
      </c>
      <c r="H1220">
        <v>4350.8999999999996</v>
      </c>
      <c r="I1220" t="str">
        <f>"ACCT#01-0112917/PCT#2"</f>
        <v>ACCT#01-0112917/PCT#2</v>
      </c>
    </row>
    <row r="1221" spans="1:9" x14ac:dyDescent="0.3">
      <c r="A1221" t="str">
        <f>"TXAGG"</f>
        <v>TXAGG</v>
      </c>
      <c r="B1221" t="s">
        <v>451</v>
      </c>
      <c r="C1221">
        <v>999999</v>
      </c>
      <c r="D1221" s="2">
        <v>5464.55</v>
      </c>
      <c r="E1221" s="1">
        <v>43172</v>
      </c>
      <c r="F1221" t="str">
        <f>"93209"</f>
        <v>93209</v>
      </c>
      <c r="G1221" t="str">
        <f>"RIP RAP/PCT#1"</f>
        <v>RIP RAP/PCT#1</v>
      </c>
      <c r="H1221">
        <v>5464.55</v>
      </c>
      <c r="I1221" t="str">
        <f>"RIP RAP/PCT#1"</f>
        <v>RIP RAP/PCT#1</v>
      </c>
    </row>
    <row r="1222" spans="1:9" x14ac:dyDescent="0.3">
      <c r="A1222" t="str">
        <f>"TXAGG"</f>
        <v>TXAGG</v>
      </c>
      <c r="B1222" t="s">
        <v>451</v>
      </c>
      <c r="C1222">
        <v>999999</v>
      </c>
      <c r="D1222" s="2">
        <v>172.62</v>
      </c>
      <c r="E1222" s="1">
        <v>43186</v>
      </c>
      <c r="F1222" t="str">
        <f>"93622"</f>
        <v>93622</v>
      </c>
      <c r="G1222" t="str">
        <f>"TICKET#1073151/BULLROCK/PCT#1"</f>
        <v>TICKET#1073151/BULLROCK/PCT#1</v>
      </c>
      <c r="H1222">
        <v>172.62</v>
      </c>
      <c r="I1222" t="str">
        <f>"TICKET#1073151/BULLROCK/PCT#1"</f>
        <v>TICKET#1073151/BULLROCK/PCT#1</v>
      </c>
    </row>
    <row r="1223" spans="1:9" x14ac:dyDescent="0.3">
      <c r="A1223" t="str">
        <f>"001468"</f>
        <v>001468</v>
      </c>
      <c r="B1223" t="s">
        <v>452</v>
      </c>
      <c r="C1223">
        <v>75761</v>
      </c>
      <c r="D1223" s="2">
        <v>100</v>
      </c>
      <c r="E1223" s="1">
        <v>43171</v>
      </c>
      <c r="F1223" t="str">
        <f>"740"</f>
        <v>740</v>
      </c>
      <c r="G1223" t="str">
        <f>"INV 740"</f>
        <v>INV 740</v>
      </c>
      <c r="H1223">
        <v>50</v>
      </c>
      <c r="I1223" t="str">
        <f>"INV 740"</f>
        <v>INV 740</v>
      </c>
    </row>
    <row r="1224" spans="1:9" x14ac:dyDescent="0.3">
      <c r="A1224" t="str">
        <f>""</f>
        <v/>
      </c>
      <c r="F1224" t="str">
        <f>"INV 690"</f>
        <v>INV 690</v>
      </c>
      <c r="G1224" t="str">
        <f>"INV 690"</f>
        <v>INV 690</v>
      </c>
      <c r="H1224">
        <v>50</v>
      </c>
      <c r="I1224" t="str">
        <f>"INV 690"</f>
        <v>INV 690</v>
      </c>
    </row>
    <row r="1225" spans="1:9" x14ac:dyDescent="0.3">
      <c r="A1225" t="str">
        <f>"001468"</f>
        <v>001468</v>
      </c>
      <c r="B1225" t="s">
        <v>452</v>
      </c>
      <c r="C1225">
        <v>75950</v>
      </c>
      <c r="D1225" s="2">
        <v>50</v>
      </c>
      <c r="E1225" s="1">
        <v>43185</v>
      </c>
      <c r="F1225" t="str">
        <f>"893"</f>
        <v>893</v>
      </c>
      <c r="G1225" t="str">
        <f>"INV 893"</f>
        <v>INV 893</v>
      </c>
      <c r="H1225">
        <v>50</v>
      </c>
      <c r="I1225" t="str">
        <f>"INV 893"</f>
        <v>INV 893</v>
      </c>
    </row>
    <row r="1226" spans="1:9" x14ac:dyDescent="0.3">
      <c r="A1226" t="str">
        <f>"TAC1"</f>
        <v>TAC1</v>
      </c>
      <c r="B1226" t="s">
        <v>453</v>
      </c>
      <c r="C1226">
        <v>75762</v>
      </c>
      <c r="D1226" s="2">
        <v>77718.850000000006</v>
      </c>
      <c r="E1226" s="1">
        <v>43171</v>
      </c>
      <c r="F1226" t="str">
        <f>"20509-WC2"</f>
        <v>20509-WC2</v>
      </c>
      <c r="G1226" t="str">
        <f>"2018 2ND QTR WRKS COMP/0110"</f>
        <v>2018 2ND QTR WRKS COMP/0110</v>
      </c>
      <c r="H1226">
        <v>52805.45</v>
      </c>
      <c r="I1226" t="str">
        <f t="shared" ref="I1226:I1267" si="15">"2018 2ND QTR WRKS COMP/0110"</f>
        <v>2018 2ND QTR WRKS COMP/0110</v>
      </c>
    </row>
    <row r="1227" spans="1:9" x14ac:dyDescent="0.3">
      <c r="A1227" t="str">
        <f>""</f>
        <v/>
      </c>
      <c r="F1227" t="str">
        <f>""</f>
        <v/>
      </c>
      <c r="G1227" t="str">
        <f>""</f>
        <v/>
      </c>
      <c r="I1227" t="str">
        <f t="shared" si="15"/>
        <v>2018 2ND QTR WRKS COMP/0110</v>
      </c>
    </row>
    <row r="1228" spans="1:9" x14ac:dyDescent="0.3">
      <c r="A1228" t="str">
        <f>""</f>
        <v/>
      </c>
      <c r="F1228" t="str">
        <f>""</f>
        <v/>
      </c>
      <c r="G1228" t="str">
        <f>""</f>
        <v/>
      </c>
      <c r="I1228" t="str">
        <f t="shared" si="15"/>
        <v>2018 2ND QTR WRKS COMP/0110</v>
      </c>
    </row>
    <row r="1229" spans="1:9" x14ac:dyDescent="0.3">
      <c r="A1229" t="str">
        <f>""</f>
        <v/>
      </c>
      <c r="F1229" t="str">
        <f>""</f>
        <v/>
      </c>
      <c r="G1229" t="str">
        <f>""</f>
        <v/>
      </c>
      <c r="I1229" t="str">
        <f t="shared" si="15"/>
        <v>2018 2ND QTR WRKS COMP/0110</v>
      </c>
    </row>
    <row r="1230" spans="1:9" x14ac:dyDescent="0.3">
      <c r="A1230" t="str">
        <f>""</f>
        <v/>
      </c>
      <c r="F1230" t="str">
        <f>""</f>
        <v/>
      </c>
      <c r="G1230" t="str">
        <f>""</f>
        <v/>
      </c>
      <c r="I1230" t="str">
        <f t="shared" si="15"/>
        <v>2018 2ND QTR WRKS COMP/0110</v>
      </c>
    </row>
    <row r="1231" spans="1:9" x14ac:dyDescent="0.3">
      <c r="A1231" t="str">
        <f>""</f>
        <v/>
      </c>
      <c r="F1231" t="str">
        <f>""</f>
        <v/>
      </c>
      <c r="G1231" t="str">
        <f>""</f>
        <v/>
      </c>
      <c r="I1231" t="str">
        <f t="shared" si="15"/>
        <v>2018 2ND QTR WRKS COMP/0110</v>
      </c>
    </row>
    <row r="1232" spans="1:9" x14ac:dyDescent="0.3">
      <c r="A1232" t="str">
        <f>""</f>
        <v/>
      </c>
      <c r="F1232" t="str">
        <f>""</f>
        <v/>
      </c>
      <c r="G1232" t="str">
        <f>""</f>
        <v/>
      </c>
      <c r="I1232" t="str">
        <f t="shared" si="15"/>
        <v>2018 2ND QTR WRKS COMP/0110</v>
      </c>
    </row>
    <row r="1233" spans="1:9" x14ac:dyDescent="0.3">
      <c r="A1233" t="str">
        <f>""</f>
        <v/>
      </c>
      <c r="F1233" t="str">
        <f>""</f>
        <v/>
      </c>
      <c r="G1233" t="str">
        <f>""</f>
        <v/>
      </c>
      <c r="I1233" t="str">
        <f t="shared" si="15"/>
        <v>2018 2ND QTR WRKS COMP/0110</v>
      </c>
    </row>
    <row r="1234" spans="1:9" x14ac:dyDescent="0.3">
      <c r="A1234" t="str">
        <f>""</f>
        <v/>
      </c>
      <c r="F1234" t="str">
        <f>""</f>
        <v/>
      </c>
      <c r="G1234" t="str">
        <f>""</f>
        <v/>
      </c>
      <c r="I1234" t="str">
        <f t="shared" si="15"/>
        <v>2018 2ND QTR WRKS COMP/0110</v>
      </c>
    </row>
    <row r="1235" spans="1:9" x14ac:dyDescent="0.3">
      <c r="A1235" t="str">
        <f>""</f>
        <v/>
      </c>
      <c r="F1235" t="str">
        <f>""</f>
        <v/>
      </c>
      <c r="G1235" t="str">
        <f>""</f>
        <v/>
      </c>
      <c r="I1235" t="str">
        <f t="shared" si="15"/>
        <v>2018 2ND QTR WRKS COMP/0110</v>
      </c>
    </row>
    <row r="1236" spans="1:9" x14ac:dyDescent="0.3">
      <c r="A1236" t="str">
        <f>""</f>
        <v/>
      </c>
      <c r="F1236" t="str">
        <f>""</f>
        <v/>
      </c>
      <c r="G1236" t="str">
        <f>""</f>
        <v/>
      </c>
      <c r="I1236" t="str">
        <f t="shared" si="15"/>
        <v>2018 2ND QTR WRKS COMP/0110</v>
      </c>
    </row>
    <row r="1237" spans="1:9" x14ac:dyDescent="0.3">
      <c r="A1237" t="str">
        <f>""</f>
        <v/>
      </c>
      <c r="F1237" t="str">
        <f>""</f>
        <v/>
      </c>
      <c r="G1237" t="str">
        <f>""</f>
        <v/>
      </c>
      <c r="I1237" t="str">
        <f t="shared" si="15"/>
        <v>2018 2ND QTR WRKS COMP/0110</v>
      </c>
    </row>
    <row r="1238" spans="1:9" x14ac:dyDescent="0.3">
      <c r="A1238" t="str">
        <f>""</f>
        <v/>
      </c>
      <c r="F1238" t="str">
        <f>""</f>
        <v/>
      </c>
      <c r="G1238" t="str">
        <f>""</f>
        <v/>
      </c>
      <c r="I1238" t="str">
        <f t="shared" si="15"/>
        <v>2018 2ND QTR WRKS COMP/0110</v>
      </c>
    </row>
    <row r="1239" spans="1:9" x14ac:dyDescent="0.3">
      <c r="A1239" t="str">
        <f>""</f>
        <v/>
      </c>
      <c r="F1239" t="str">
        <f>""</f>
        <v/>
      </c>
      <c r="G1239" t="str">
        <f>""</f>
        <v/>
      </c>
      <c r="I1239" t="str">
        <f t="shared" si="15"/>
        <v>2018 2ND QTR WRKS COMP/0110</v>
      </c>
    </row>
    <row r="1240" spans="1:9" x14ac:dyDescent="0.3">
      <c r="A1240" t="str">
        <f>""</f>
        <v/>
      </c>
      <c r="F1240" t="str">
        <f>""</f>
        <v/>
      </c>
      <c r="G1240" t="str">
        <f>""</f>
        <v/>
      </c>
      <c r="I1240" t="str">
        <f t="shared" si="15"/>
        <v>2018 2ND QTR WRKS COMP/0110</v>
      </c>
    </row>
    <row r="1241" spans="1:9" x14ac:dyDescent="0.3">
      <c r="A1241" t="str">
        <f>""</f>
        <v/>
      </c>
      <c r="F1241" t="str">
        <f>""</f>
        <v/>
      </c>
      <c r="G1241" t="str">
        <f>""</f>
        <v/>
      </c>
      <c r="I1241" t="str">
        <f t="shared" si="15"/>
        <v>2018 2ND QTR WRKS COMP/0110</v>
      </c>
    </row>
    <row r="1242" spans="1:9" x14ac:dyDescent="0.3">
      <c r="A1242" t="str">
        <f>""</f>
        <v/>
      </c>
      <c r="F1242" t="str">
        <f>""</f>
        <v/>
      </c>
      <c r="G1242" t="str">
        <f>""</f>
        <v/>
      </c>
      <c r="I1242" t="str">
        <f t="shared" si="15"/>
        <v>2018 2ND QTR WRKS COMP/0110</v>
      </c>
    </row>
    <row r="1243" spans="1:9" x14ac:dyDescent="0.3">
      <c r="A1243" t="str">
        <f>""</f>
        <v/>
      </c>
      <c r="F1243" t="str">
        <f>""</f>
        <v/>
      </c>
      <c r="G1243" t="str">
        <f>""</f>
        <v/>
      </c>
      <c r="I1243" t="str">
        <f t="shared" si="15"/>
        <v>2018 2ND QTR WRKS COMP/0110</v>
      </c>
    </row>
    <row r="1244" spans="1:9" x14ac:dyDescent="0.3">
      <c r="A1244" t="str">
        <f>""</f>
        <v/>
      </c>
      <c r="F1244" t="str">
        <f>""</f>
        <v/>
      </c>
      <c r="G1244" t="str">
        <f>""</f>
        <v/>
      </c>
      <c r="I1244" t="str">
        <f t="shared" si="15"/>
        <v>2018 2ND QTR WRKS COMP/0110</v>
      </c>
    </row>
    <row r="1245" spans="1:9" x14ac:dyDescent="0.3">
      <c r="A1245" t="str">
        <f>""</f>
        <v/>
      </c>
      <c r="F1245" t="str">
        <f>""</f>
        <v/>
      </c>
      <c r="G1245" t="str">
        <f>""</f>
        <v/>
      </c>
      <c r="I1245" t="str">
        <f t="shared" si="15"/>
        <v>2018 2ND QTR WRKS COMP/0110</v>
      </c>
    </row>
    <row r="1246" spans="1:9" x14ac:dyDescent="0.3">
      <c r="A1246" t="str">
        <f>""</f>
        <v/>
      </c>
      <c r="F1246" t="str">
        <f>""</f>
        <v/>
      </c>
      <c r="G1246" t="str">
        <f>""</f>
        <v/>
      </c>
      <c r="I1246" t="str">
        <f t="shared" si="15"/>
        <v>2018 2ND QTR WRKS COMP/0110</v>
      </c>
    </row>
    <row r="1247" spans="1:9" x14ac:dyDescent="0.3">
      <c r="A1247" t="str">
        <f>""</f>
        <v/>
      </c>
      <c r="F1247" t="str">
        <f>""</f>
        <v/>
      </c>
      <c r="G1247" t="str">
        <f>""</f>
        <v/>
      </c>
      <c r="I1247" t="str">
        <f t="shared" si="15"/>
        <v>2018 2ND QTR WRKS COMP/0110</v>
      </c>
    </row>
    <row r="1248" spans="1:9" x14ac:dyDescent="0.3">
      <c r="A1248" t="str">
        <f>""</f>
        <v/>
      </c>
      <c r="F1248" t="str">
        <f>""</f>
        <v/>
      </c>
      <c r="G1248" t="str">
        <f>""</f>
        <v/>
      </c>
      <c r="I1248" t="str">
        <f t="shared" si="15"/>
        <v>2018 2ND QTR WRKS COMP/0110</v>
      </c>
    </row>
    <row r="1249" spans="1:9" x14ac:dyDescent="0.3">
      <c r="A1249" t="str">
        <f>""</f>
        <v/>
      </c>
      <c r="F1249" t="str">
        <f>""</f>
        <v/>
      </c>
      <c r="G1249" t="str">
        <f>""</f>
        <v/>
      </c>
      <c r="I1249" t="str">
        <f t="shared" si="15"/>
        <v>2018 2ND QTR WRKS COMP/0110</v>
      </c>
    </row>
    <row r="1250" spans="1:9" x14ac:dyDescent="0.3">
      <c r="A1250" t="str">
        <f>""</f>
        <v/>
      </c>
      <c r="F1250" t="str">
        <f>""</f>
        <v/>
      </c>
      <c r="G1250" t="str">
        <f>""</f>
        <v/>
      </c>
      <c r="I1250" t="str">
        <f t="shared" si="15"/>
        <v>2018 2ND QTR WRKS COMP/0110</v>
      </c>
    </row>
    <row r="1251" spans="1:9" x14ac:dyDescent="0.3">
      <c r="A1251" t="str">
        <f>""</f>
        <v/>
      </c>
      <c r="F1251" t="str">
        <f>""</f>
        <v/>
      </c>
      <c r="G1251" t="str">
        <f>""</f>
        <v/>
      </c>
      <c r="I1251" t="str">
        <f t="shared" si="15"/>
        <v>2018 2ND QTR WRKS COMP/0110</v>
      </c>
    </row>
    <row r="1252" spans="1:9" x14ac:dyDescent="0.3">
      <c r="A1252" t="str">
        <f>""</f>
        <v/>
      </c>
      <c r="F1252" t="str">
        <f>""</f>
        <v/>
      </c>
      <c r="G1252" t="str">
        <f>""</f>
        <v/>
      </c>
      <c r="I1252" t="str">
        <f t="shared" si="15"/>
        <v>2018 2ND QTR WRKS COMP/0110</v>
      </c>
    </row>
    <row r="1253" spans="1:9" x14ac:dyDescent="0.3">
      <c r="A1253" t="str">
        <f>""</f>
        <v/>
      </c>
      <c r="F1253" t="str">
        <f>""</f>
        <v/>
      </c>
      <c r="G1253" t="str">
        <f>""</f>
        <v/>
      </c>
      <c r="I1253" t="str">
        <f t="shared" si="15"/>
        <v>2018 2ND QTR WRKS COMP/0110</v>
      </c>
    </row>
    <row r="1254" spans="1:9" x14ac:dyDescent="0.3">
      <c r="A1254" t="str">
        <f>""</f>
        <v/>
      </c>
      <c r="F1254" t="str">
        <f>""</f>
        <v/>
      </c>
      <c r="G1254" t="str">
        <f>""</f>
        <v/>
      </c>
      <c r="I1254" t="str">
        <f t="shared" si="15"/>
        <v>2018 2ND QTR WRKS COMP/0110</v>
      </c>
    </row>
    <row r="1255" spans="1:9" x14ac:dyDescent="0.3">
      <c r="A1255" t="str">
        <f>""</f>
        <v/>
      </c>
      <c r="F1255" t="str">
        <f>""</f>
        <v/>
      </c>
      <c r="G1255" t="str">
        <f>""</f>
        <v/>
      </c>
      <c r="I1255" t="str">
        <f t="shared" si="15"/>
        <v>2018 2ND QTR WRKS COMP/0110</v>
      </c>
    </row>
    <row r="1256" spans="1:9" x14ac:dyDescent="0.3">
      <c r="A1256" t="str">
        <f>""</f>
        <v/>
      </c>
      <c r="F1256" t="str">
        <f>""</f>
        <v/>
      </c>
      <c r="G1256" t="str">
        <f>""</f>
        <v/>
      </c>
      <c r="I1256" t="str">
        <f t="shared" si="15"/>
        <v>2018 2ND QTR WRKS COMP/0110</v>
      </c>
    </row>
    <row r="1257" spans="1:9" x14ac:dyDescent="0.3">
      <c r="A1257" t="str">
        <f>""</f>
        <v/>
      </c>
      <c r="F1257" t="str">
        <f>""</f>
        <v/>
      </c>
      <c r="G1257" t="str">
        <f>""</f>
        <v/>
      </c>
      <c r="I1257" t="str">
        <f t="shared" si="15"/>
        <v>2018 2ND QTR WRKS COMP/0110</v>
      </c>
    </row>
    <row r="1258" spans="1:9" x14ac:dyDescent="0.3">
      <c r="A1258" t="str">
        <f>""</f>
        <v/>
      </c>
      <c r="F1258" t="str">
        <f>""</f>
        <v/>
      </c>
      <c r="G1258" t="str">
        <f>""</f>
        <v/>
      </c>
      <c r="I1258" t="str">
        <f t="shared" si="15"/>
        <v>2018 2ND QTR WRKS COMP/0110</v>
      </c>
    </row>
    <row r="1259" spans="1:9" x14ac:dyDescent="0.3">
      <c r="A1259" t="str">
        <f>""</f>
        <v/>
      </c>
      <c r="F1259" t="str">
        <f>""</f>
        <v/>
      </c>
      <c r="G1259" t="str">
        <f>""</f>
        <v/>
      </c>
      <c r="I1259" t="str">
        <f t="shared" si="15"/>
        <v>2018 2ND QTR WRKS COMP/0110</v>
      </c>
    </row>
    <row r="1260" spans="1:9" x14ac:dyDescent="0.3">
      <c r="A1260" t="str">
        <f>""</f>
        <v/>
      </c>
      <c r="F1260" t="str">
        <f>""</f>
        <v/>
      </c>
      <c r="G1260" t="str">
        <f>""</f>
        <v/>
      </c>
      <c r="I1260" t="str">
        <f t="shared" si="15"/>
        <v>2018 2ND QTR WRKS COMP/0110</v>
      </c>
    </row>
    <row r="1261" spans="1:9" x14ac:dyDescent="0.3">
      <c r="A1261" t="str">
        <f>""</f>
        <v/>
      </c>
      <c r="F1261" t="str">
        <f>""</f>
        <v/>
      </c>
      <c r="G1261" t="str">
        <f>""</f>
        <v/>
      </c>
      <c r="I1261" t="str">
        <f t="shared" si="15"/>
        <v>2018 2ND QTR WRKS COMP/0110</v>
      </c>
    </row>
    <row r="1262" spans="1:9" x14ac:dyDescent="0.3">
      <c r="A1262" t="str">
        <f>""</f>
        <v/>
      </c>
      <c r="F1262" t="str">
        <f>""</f>
        <v/>
      </c>
      <c r="G1262" t="str">
        <f>""</f>
        <v/>
      </c>
      <c r="I1262" t="str">
        <f t="shared" si="15"/>
        <v>2018 2ND QTR WRKS COMP/0110</v>
      </c>
    </row>
    <row r="1263" spans="1:9" x14ac:dyDescent="0.3">
      <c r="A1263" t="str">
        <f>""</f>
        <v/>
      </c>
      <c r="F1263" t="str">
        <f>""</f>
        <v/>
      </c>
      <c r="G1263" t="str">
        <f>""</f>
        <v/>
      </c>
      <c r="I1263" t="str">
        <f t="shared" si="15"/>
        <v>2018 2ND QTR WRKS COMP/0110</v>
      </c>
    </row>
    <row r="1264" spans="1:9" x14ac:dyDescent="0.3">
      <c r="A1264" t="str">
        <f>""</f>
        <v/>
      </c>
      <c r="F1264" t="str">
        <f>""</f>
        <v/>
      </c>
      <c r="G1264" t="str">
        <f>""</f>
        <v/>
      </c>
      <c r="I1264" t="str">
        <f t="shared" si="15"/>
        <v>2018 2ND QTR WRKS COMP/0110</v>
      </c>
    </row>
    <row r="1265" spans="1:10" x14ac:dyDescent="0.3">
      <c r="A1265" t="str">
        <f>""</f>
        <v/>
      </c>
      <c r="F1265" t="str">
        <f>"20509-WC2  P1"</f>
        <v>20509-WC2  P1</v>
      </c>
      <c r="G1265" t="str">
        <f>"2018 2ND QTR WRKS COMP/0110"</f>
        <v>2018 2ND QTR WRKS COMP/0110</v>
      </c>
      <c r="H1265">
        <v>4808.29</v>
      </c>
      <c r="I1265" t="str">
        <f t="shared" si="15"/>
        <v>2018 2ND QTR WRKS COMP/0110</v>
      </c>
    </row>
    <row r="1266" spans="1:10" x14ac:dyDescent="0.3">
      <c r="A1266" t="str">
        <f>""</f>
        <v/>
      </c>
      <c r="F1266" t="str">
        <f>"20509-WC2  P2"</f>
        <v>20509-WC2  P2</v>
      </c>
      <c r="G1266" t="str">
        <f>"2018 2ND QTR WRKS COMP/0110"</f>
        <v>2018 2ND QTR WRKS COMP/0110</v>
      </c>
      <c r="H1266">
        <v>6303.09</v>
      </c>
      <c r="I1266" t="str">
        <f t="shared" si="15"/>
        <v>2018 2ND QTR WRKS COMP/0110</v>
      </c>
    </row>
    <row r="1267" spans="1:10" x14ac:dyDescent="0.3">
      <c r="A1267" t="str">
        <f>""</f>
        <v/>
      </c>
      <c r="F1267" t="str">
        <f>"20509-WC2  P3"</f>
        <v>20509-WC2  P3</v>
      </c>
      <c r="G1267" t="str">
        <f>"2018 2ND QTR WRKS COMP/0110"</f>
        <v>2018 2ND QTR WRKS COMP/0110</v>
      </c>
      <c r="H1267">
        <v>5854.65</v>
      </c>
      <c r="I1267" t="str">
        <f t="shared" si="15"/>
        <v>2018 2ND QTR WRKS COMP/0110</v>
      </c>
    </row>
    <row r="1268" spans="1:10" x14ac:dyDescent="0.3">
      <c r="A1268" t="str">
        <f>""</f>
        <v/>
      </c>
      <c r="F1268" t="str">
        <f>"20509-WC2  P4"</f>
        <v>20509-WC2  P4</v>
      </c>
      <c r="G1268" t="str">
        <f>"2ND QTR 2018 WRKRS COMP/0110"</f>
        <v>2ND QTR 2018 WRKRS COMP/0110</v>
      </c>
      <c r="H1268">
        <v>7947.37</v>
      </c>
      <c r="I1268" t="str">
        <f>"2ND QTR 2018 WRKRS COMP/0110"</f>
        <v>2ND QTR 2018 WRKRS COMP/0110</v>
      </c>
    </row>
    <row r="1269" spans="1:10" x14ac:dyDescent="0.3">
      <c r="A1269" t="str">
        <f>"TACRMP"</f>
        <v>TACRMP</v>
      </c>
      <c r="B1269" t="s">
        <v>453</v>
      </c>
      <c r="C1269">
        <v>75763</v>
      </c>
      <c r="D1269" s="2">
        <v>180</v>
      </c>
      <c r="E1269" s="1">
        <v>43171</v>
      </c>
      <c r="F1269" t="str">
        <f>"R273418"</f>
        <v>R273418</v>
      </c>
      <c r="G1269" t="str">
        <f>"ACCT#232001-LAURIE INGRAM"</f>
        <v>ACCT#232001-LAURIE INGRAM</v>
      </c>
      <c r="H1269">
        <v>180</v>
      </c>
      <c r="I1269" t="str">
        <f>"ACCT#232001-LAURIE INGRAM"</f>
        <v>ACCT#232001-LAURIE INGRAM</v>
      </c>
    </row>
    <row r="1270" spans="1:10" x14ac:dyDescent="0.3">
      <c r="A1270" t="str">
        <f>"TACRMP"</f>
        <v>TACRMP</v>
      </c>
      <c r="B1270" t="s">
        <v>453</v>
      </c>
      <c r="C1270">
        <v>75951</v>
      </c>
      <c r="D1270" s="2">
        <v>225</v>
      </c>
      <c r="E1270" s="1">
        <v>43185</v>
      </c>
      <c r="F1270" t="str">
        <f>"201803199668"</f>
        <v>201803199668</v>
      </c>
      <c r="G1270" t="str">
        <f>"REGISTRATION-LAURIE INGRAM"</f>
        <v>REGISTRATION-LAURIE INGRAM</v>
      </c>
      <c r="H1270">
        <v>225</v>
      </c>
      <c r="I1270" t="str">
        <f>"REGISTRATION-LAURIE INGRAM"</f>
        <v>REGISTRATION-LAURIE INGRAM</v>
      </c>
    </row>
    <row r="1271" spans="1:10" x14ac:dyDescent="0.3">
      <c r="A1271" t="str">
        <f>"TACRMP"</f>
        <v>TACRMP</v>
      </c>
      <c r="B1271" t="s">
        <v>453</v>
      </c>
      <c r="C1271">
        <v>75952</v>
      </c>
      <c r="D1271" s="2">
        <v>250</v>
      </c>
      <c r="E1271" s="1">
        <v>43185</v>
      </c>
      <c r="F1271" t="str">
        <f>"274372"</f>
        <v>274372</v>
      </c>
      <c r="G1271" t="str">
        <f>"MEMBER ID:203170/REG-L.HARMON"</f>
        <v>MEMBER ID:203170/REG-L.HARMON</v>
      </c>
      <c r="H1271">
        <v>250</v>
      </c>
      <c r="I1271" t="str">
        <f>"MEMBER ID:203170/REG-L.HARMON"</f>
        <v>MEMBER ID:203170/REG-L.HARMON</v>
      </c>
    </row>
    <row r="1272" spans="1:10" x14ac:dyDescent="0.3">
      <c r="A1272" t="str">
        <f>"TACRMP"</f>
        <v>TACRMP</v>
      </c>
      <c r="B1272" t="s">
        <v>453</v>
      </c>
      <c r="C1272">
        <v>75953</v>
      </c>
      <c r="D1272" s="2">
        <v>250</v>
      </c>
      <c r="E1272" s="1">
        <v>43185</v>
      </c>
      <c r="F1272" t="str">
        <f>"274386"</f>
        <v>274386</v>
      </c>
      <c r="G1272" t="str">
        <f>"MEMBER ID:231552/J. SCHANALS"</f>
        <v>MEMBER ID:231552/J. SCHANALS</v>
      </c>
      <c r="H1272">
        <v>250</v>
      </c>
      <c r="I1272" t="str">
        <f>"MEMBER ID:231552/J. SCHANALS"</f>
        <v>MEMBER ID:231552/J. SCHANALS</v>
      </c>
    </row>
    <row r="1273" spans="1:10" x14ac:dyDescent="0.3">
      <c r="A1273" t="str">
        <f>"TACRMP"</f>
        <v>TACRMP</v>
      </c>
      <c r="B1273" t="s">
        <v>453</v>
      </c>
      <c r="C1273">
        <v>75954</v>
      </c>
      <c r="D1273" s="2">
        <v>250</v>
      </c>
      <c r="E1273" s="1">
        <v>43185</v>
      </c>
      <c r="F1273" t="str">
        <f>"274388"</f>
        <v>274388</v>
      </c>
      <c r="G1273" t="str">
        <f>"MEMBER ID:231551 KATHY FOSTER"</f>
        <v>MEMBER ID:231551 KATHY FOSTER</v>
      </c>
      <c r="H1273">
        <v>250</v>
      </c>
      <c r="I1273" t="str">
        <f>"MEMBER ID:231551 KATHY FOSTER"</f>
        <v>MEMBER ID:231551 KATHY FOSTER</v>
      </c>
    </row>
    <row r="1274" spans="1:10" x14ac:dyDescent="0.3">
      <c r="A1274" t="str">
        <f>"002122"</f>
        <v>002122</v>
      </c>
      <c r="B1274" t="s">
        <v>454</v>
      </c>
      <c r="C1274">
        <v>999999</v>
      </c>
      <c r="D1274" s="2">
        <v>329.42</v>
      </c>
      <c r="E1274" s="1">
        <v>43172</v>
      </c>
      <c r="F1274" t="str">
        <f>"201803069233"</f>
        <v>201803069233</v>
      </c>
      <c r="G1274" t="str">
        <f>"ACCT#0005/PCT#4"</f>
        <v>ACCT#0005/PCT#4</v>
      </c>
      <c r="H1274">
        <v>329.42</v>
      </c>
      <c r="I1274" t="str">
        <f>"ACCT#0005/PCT#4"</f>
        <v>ACCT#0005/PCT#4</v>
      </c>
    </row>
    <row r="1275" spans="1:10" x14ac:dyDescent="0.3">
      <c r="A1275" t="str">
        <f>"004259"</f>
        <v>004259</v>
      </c>
      <c r="B1275" t="s">
        <v>455</v>
      </c>
      <c r="C1275">
        <v>75764</v>
      </c>
      <c r="D1275" s="2">
        <v>234.99</v>
      </c>
      <c r="E1275" s="1">
        <v>43171</v>
      </c>
      <c r="F1275" t="str">
        <f>"BOOTS"</f>
        <v>BOOTS</v>
      </c>
      <c r="G1275" t="str">
        <f>"Receipt# 106526"</f>
        <v>Receipt# 106526</v>
      </c>
      <c r="H1275">
        <v>234.99</v>
      </c>
      <c r="I1275" t="str">
        <f>"Receipt# 106526"</f>
        <v>Receipt# 106526</v>
      </c>
    </row>
    <row r="1276" spans="1:10" x14ac:dyDescent="0.3">
      <c r="A1276" t="str">
        <f>"TCSC"</f>
        <v>TCSC</v>
      </c>
      <c r="B1276" t="s">
        <v>456</v>
      </c>
      <c r="C1276">
        <v>75495</v>
      </c>
      <c r="D1276" s="2">
        <v>923.82</v>
      </c>
      <c r="E1276" s="1">
        <v>43166</v>
      </c>
      <c r="F1276" t="str">
        <f>"60144"</f>
        <v>60144</v>
      </c>
      <c r="G1276" t="str">
        <f>"CUST #1574/MESH TYPE F/PCT #4"</f>
        <v>CUST #1574/MESH TYPE F/PCT #4</v>
      </c>
      <c r="H1276">
        <v>923.82</v>
      </c>
      <c r="I1276" t="str">
        <f>"CUST #1574/MESH TYPE F/PCT #4"</f>
        <v>CUST #1574/MESH TYPE F/PCT #4</v>
      </c>
    </row>
    <row r="1277" spans="1:10" x14ac:dyDescent="0.3">
      <c r="A1277" t="str">
        <f>"001721"</f>
        <v>001721</v>
      </c>
      <c r="B1277" t="s">
        <v>457</v>
      </c>
      <c r="C1277">
        <v>75765</v>
      </c>
      <c r="D1277" s="2">
        <v>11</v>
      </c>
      <c r="E1277" s="1">
        <v>43171</v>
      </c>
      <c r="F1277" t="str">
        <f>"CRS-201801-137977"</f>
        <v>CRS-201801-137977</v>
      </c>
      <c r="G1277" t="str">
        <f>"SECURE SITE CCH NAME SEARCH"</f>
        <v>SECURE SITE CCH NAME SEARCH</v>
      </c>
      <c r="H1277">
        <v>11</v>
      </c>
      <c r="I1277" t="str">
        <f>"SECURE SITE CCH NAME SEARCH"</f>
        <v>SECURE SITE CCH NAME SEARCH</v>
      </c>
    </row>
    <row r="1278" spans="1:10" x14ac:dyDescent="0.3">
      <c r="A1278" t="str">
        <f>"002354"</f>
        <v>002354</v>
      </c>
      <c r="B1278" t="s">
        <v>457</v>
      </c>
      <c r="C1278">
        <v>75766</v>
      </c>
      <c r="D1278" s="2">
        <v>59</v>
      </c>
      <c r="E1278" s="1">
        <v>43171</v>
      </c>
      <c r="F1278" t="s">
        <v>249</v>
      </c>
      <c r="G1278" t="s">
        <v>458</v>
      </c>
      <c r="H1278" t="str">
        <f>"RESTITUTION-M. CLARK  01/09/18"</f>
        <v>RESTITUTION-M. CLARK  01/09/18</v>
      </c>
      <c r="I1278" t="str">
        <f>"210-0000"</f>
        <v>210-0000</v>
      </c>
      <c r="J1278" t="str">
        <f>""</f>
        <v/>
      </c>
    </row>
    <row r="1279" spans="1:10" x14ac:dyDescent="0.3">
      <c r="A1279" t="str">
        <f>"001721"</f>
        <v>001721</v>
      </c>
      <c r="B1279" t="s">
        <v>457</v>
      </c>
      <c r="C1279">
        <v>75955</v>
      </c>
      <c r="D1279" s="2">
        <v>15</v>
      </c>
      <c r="E1279" s="1">
        <v>43185</v>
      </c>
      <c r="F1279" t="str">
        <f>"CRS-201802-139998"</f>
        <v>CRS-201802-139998</v>
      </c>
      <c r="G1279" t="str">
        <f>"NAME SEARCH/HR"</f>
        <v>NAME SEARCH/HR</v>
      </c>
      <c r="H1279">
        <v>15</v>
      </c>
      <c r="I1279" t="str">
        <f>"NAME SEARCH/HR"</f>
        <v>NAME SEARCH/HR</v>
      </c>
    </row>
    <row r="1280" spans="1:10" x14ac:dyDescent="0.3">
      <c r="A1280" t="str">
        <f>"005305"</f>
        <v>005305</v>
      </c>
      <c r="B1280" t="s">
        <v>459</v>
      </c>
      <c r="C1280">
        <v>75956</v>
      </c>
      <c r="D1280" s="2">
        <v>1035</v>
      </c>
      <c r="E1280" s="1">
        <v>43185</v>
      </c>
      <c r="F1280" t="str">
        <f>"REGIST-TRAINING"</f>
        <v>REGIST-TRAINING</v>
      </c>
      <c r="G1280" t="str">
        <f>"TRAINING"</f>
        <v>TRAINING</v>
      </c>
      <c r="H1280">
        <v>1035</v>
      </c>
      <c r="I1280" t="str">
        <f>"TRAINING"</f>
        <v>TRAINING</v>
      </c>
    </row>
    <row r="1281" spans="1:9" x14ac:dyDescent="0.3">
      <c r="A1281" t="str">
        <f>"T7170"</f>
        <v>T7170</v>
      </c>
      <c r="B1281" t="s">
        <v>460</v>
      </c>
      <c r="C1281">
        <v>75957</v>
      </c>
      <c r="D1281" s="2">
        <v>113.75</v>
      </c>
      <c r="E1281" s="1">
        <v>43185</v>
      </c>
      <c r="F1281" t="str">
        <f>"J2-55044"</f>
        <v>J2-55044</v>
      </c>
      <c r="G1281" t="str">
        <f>"A8258505-J. JONES"</f>
        <v>A8258505-J. JONES</v>
      </c>
      <c r="H1281">
        <v>113.75</v>
      </c>
      <c r="I1281" t="str">
        <f>"A8258505-J. JONES"</f>
        <v>A8258505-J. JONES</v>
      </c>
    </row>
    <row r="1282" spans="1:9" x14ac:dyDescent="0.3">
      <c r="A1282" t="str">
        <f>"000565"</f>
        <v>000565</v>
      </c>
      <c r="B1282" t="s">
        <v>461</v>
      </c>
      <c r="C1282">
        <v>75767</v>
      </c>
      <c r="D1282" s="2">
        <v>1750</v>
      </c>
      <c r="E1282" s="1">
        <v>43171</v>
      </c>
      <c r="F1282" t="str">
        <f>"TRAINING"</f>
        <v>TRAINING</v>
      </c>
      <c r="G1282" t="str">
        <f>"TRAINING"</f>
        <v>TRAINING</v>
      </c>
      <c r="H1282">
        <v>1750</v>
      </c>
      <c r="I1282" t="str">
        <f>"TRAINING"</f>
        <v>TRAINING</v>
      </c>
    </row>
    <row r="1283" spans="1:9" x14ac:dyDescent="0.3">
      <c r="A1283" t="str">
        <f>"004635"</f>
        <v>004635</v>
      </c>
      <c r="B1283" t="s">
        <v>462</v>
      </c>
      <c r="C1283">
        <v>75603</v>
      </c>
      <c r="D1283" s="2">
        <v>989.06</v>
      </c>
      <c r="E1283" s="1">
        <v>43171</v>
      </c>
      <c r="F1283" t="str">
        <f>"48833"</f>
        <v>48833</v>
      </c>
      <c r="G1283" t="str">
        <f>"ACCT#188757/JUVENILE PROB"</f>
        <v>ACCT#188757/JUVENILE PROB</v>
      </c>
      <c r="H1283">
        <v>54.56</v>
      </c>
      <c r="I1283" t="str">
        <f>"ACCT#188757/PEST PREVENTION"</f>
        <v>ACCT#188757/PEST PREVENTION</v>
      </c>
    </row>
    <row r="1284" spans="1:9" x14ac:dyDescent="0.3">
      <c r="A1284" t="str">
        <f>""</f>
        <v/>
      </c>
      <c r="F1284" t="str">
        <f>"48859"</f>
        <v>48859</v>
      </c>
      <c r="G1284" t="str">
        <f>"ACCT#188757/DPS/TDL"</f>
        <v>ACCT#188757/DPS/TDL</v>
      </c>
      <c r="H1284">
        <v>76</v>
      </c>
      <c r="I1284" t="str">
        <f>"ACCT#188757/DPS/TDL"</f>
        <v>ACCT#188757/DPS/TDL</v>
      </c>
    </row>
    <row r="1285" spans="1:9" x14ac:dyDescent="0.3">
      <c r="A1285" t="str">
        <f>""</f>
        <v/>
      </c>
      <c r="F1285" t="str">
        <f>"48881"</f>
        <v>48881</v>
      </c>
      <c r="G1285" t="str">
        <f>"ACCT#188757/EXT HABITAT"</f>
        <v>ACCT#188757/EXT HABITAT</v>
      </c>
      <c r="H1285">
        <v>89</v>
      </c>
      <c r="I1285" t="str">
        <f>"ACCT#188757/EXT HABITAT"</f>
        <v>ACCT#188757/EXT HABITAT</v>
      </c>
    </row>
    <row r="1286" spans="1:9" x14ac:dyDescent="0.3">
      <c r="A1286" t="str">
        <f>""</f>
        <v/>
      </c>
      <c r="F1286" t="str">
        <f>"48893"</f>
        <v>48893</v>
      </c>
      <c r="G1286" t="str">
        <f>"ACCT#188757/HISTORIC JAIL"</f>
        <v>ACCT#188757/HISTORIC JAIL</v>
      </c>
      <c r="H1286">
        <v>76</v>
      </c>
      <c r="I1286" t="str">
        <f>"ACCT#188757/HISTORIC JAIL"</f>
        <v>ACCT#188757/HISTORIC JAIL</v>
      </c>
    </row>
    <row r="1287" spans="1:9" x14ac:dyDescent="0.3">
      <c r="A1287" t="str">
        <f>""</f>
        <v/>
      </c>
      <c r="F1287" t="str">
        <f>"48940"</f>
        <v>48940</v>
      </c>
      <c r="G1287" t="str">
        <f>"ACCT#188757/PCT#4 ROAD&amp;BRIDGE"</f>
        <v>ACCT#188757/PCT#4 ROAD&amp;BRIDGE</v>
      </c>
      <c r="H1287">
        <v>95.5</v>
      </c>
      <c r="I1287" t="str">
        <f>"ACCT#188757/PCT#4 ROAD&amp;BRIDGE"</f>
        <v>ACCT#188757/PCT#4 ROAD&amp;BRIDGE</v>
      </c>
    </row>
    <row r="1288" spans="1:9" x14ac:dyDescent="0.3">
      <c r="A1288" t="str">
        <f>""</f>
        <v/>
      </c>
      <c r="F1288" t="str">
        <f>"48964"</f>
        <v>48964</v>
      </c>
      <c r="G1288" t="str">
        <f>"ACCT#188757/COURTHOUSE"</f>
        <v>ACCT#188757/COURTHOUSE</v>
      </c>
      <c r="H1288">
        <v>137</v>
      </c>
      <c r="I1288" t="str">
        <f>"ACCT#188757/COURTHOUSE"</f>
        <v>ACCT#188757/COURTHOUSE</v>
      </c>
    </row>
    <row r="1289" spans="1:9" x14ac:dyDescent="0.3">
      <c r="A1289" t="str">
        <f>""</f>
        <v/>
      </c>
      <c r="F1289" t="str">
        <f>"49097"</f>
        <v>49097</v>
      </c>
      <c r="G1289" t="str">
        <f>"ACCT#188757/ANIMAL SHELTER"</f>
        <v>ACCT#188757/ANIMAL SHELTER</v>
      </c>
      <c r="H1289">
        <v>290</v>
      </c>
      <c r="I1289" t="str">
        <f>"ACCT#188757/ANIMAL SHELTER"</f>
        <v>ACCT#188757/ANIMAL SHELTER</v>
      </c>
    </row>
    <row r="1290" spans="1:9" x14ac:dyDescent="0.3">
      <c r="A1290" t="str">
        <f>""</f>
        <v/>
      </c>
      <c r="F1290" t="str">
        <f>"49217"</f>
        <v>49217</v>
      </c>
      <c r="G1290" t="str">
        <f>"ACCT#188757/TAX OFFICE"</f>
        <v>ACCT#188757/TAX OFFICE</v>
      </c>
      <c r="H1290">
        <v>102</v>
      </c>
      <c r="I1290" t="str">
        <f>"ACCT#188757/TAX OFFICE"</f>
        <v>ACCT#188757/TAX OFFICE</v>
      </c>
    </row>
    <row r="1291" spans="1:9" x14ac:dyDescent="0.3">
      <c r="A1291" t="str">
        <f>""</f>
        <v/>
      </c>
      <c r="F1291" t="str">
        <f>"49224"</f>
        <v>49224</v>
      </c>
      <c r="G1291" t="str">
        <f>"ACCT#188757/LBJ BLDG/HLTH DPT"</f>
        <v>ACCT#188757/LBJ BLDG/HLTH DPT</v>
      </c>
      <c r="H1291">
        <v>69</v>
      </c>
      <c r="I1291" t="str">
        <f>"ACCT#188757/LBJ BLDG/HLTH DPT"</f>
        <v>ACCT#188757/LBJ BLDG/HLTH DPT</v>
      </c>
    </row>
    <row r="1292" spans="1:9" x14ac:dyDescent="0.3">
      <c r="A1292" t="str">
        <f>"003946"</f>
        <v>003946</v>
      </c>
      <c r="B1292" t="s">
        <v>463</v>
      </c>
      <c r="C1292">
        <v>75768</v>
      </c>
      <c r="D1292" s="2">
        <v>500</v>
      </c>
      <c r="E1292" s="1">
        <v>43171</v>
      </c>
      <c r="F1292" t="str">
        <f>"201803028952"</f>
        <v>201803028952</v>
      </c>
      <c r="G1292" t="str">
        <f>"55 303"</f>
        <v>55 303</v>
      </c>
      <c r="H1292">
        <v>250</v>
      </c>
      <c r="I1292" t="str">
        <f>"55 303"</f>
        <v>55 303</v>
      </c>
    </row>
    <row r="1293" spans="1:9" x14ac:dyDescent="0.3">
      <c r="A1293" t="str">
        <f>""</f>
        <v/>
      </c>
      <c r="F1293" t="str">
        <f>"201803028953"</f>
        <v>201803028953</v>
      </c>
      <c r="G1293" t="str">
        <f>"55547"</f>
        <v>55547</v>
      </c>
      <c r="H1293">
        <v>250</v>
      </c>
      <c r="I1293" t="str">
        <f>"55547"</f>
        <v>55547</v>
      </c>
    </row>
    <row r="1294" spans="1:9" x14ac:dyDescent="0.3">
      <c r="A1294" t="str">
        <f>"004660"</f>
        <v>004660</v>
      </c>
      <c r="B1294" t="s">
        <v>464</v>
      </c>
      <c r="C1294">
        <v>75958</v>
      </c>
      <c r="D1294" s="2">
        <v>150</v>
      </c>
      <c r="E1294" s="1">
        <v>43185</v>
      </c>
      <c r="F1294" t="str">
        <f>"201803199669"</f>
        <v>201803199669</v>
      </c>
      <c r="G1294" t="str">
        <f>"VENDOR BOOTH"</f>
        <v>VENDOR BOOTH</v>
      </c>
      <c r="H1294">
        <v>150</v>
      </c>
      <c r="I1294" t="str">
        <f>"VENDOR BOOTH"</f>
        <v>VENDOR BOOTH</v>
      </c>
    </row>
    <row r="1295" spans="1:9" x14ac:dyDescent="0.3">
      <c r="A1295" t="str">
        <f>"002317"</f>
        <v>002317</v>
      </c>
      <c r="B1295" t="s">
        <v>465</v>
      </c>
      <c r="C1295">
        <v>999999</v>
      </c>
      <c r="D1295" s="2">
        <v>400</v>
      </c>
      <c r="E1295" s="1">
        <v>43186</v>
      </c>
      <c r="F1295" t="str">
        <f>"201803149618"</f>
        <v>201803149618</v>
      </c>
      <c r="G1295" t="str">
        <f>"311252017"</f>
        <v>311252017</v>
      </c>
      <c r="H1295">
        <v>400</v>
      </c>
      <c r="I1295" t="str">
        <f>"311252017"</f>
        <v>311252017</v>
      </c>
    </row>
    <row r="1296" spans="1:9" x14ac:dyDescent="0.3">
      <c r="A1296" t="str">
        <f>"T6860"</f>
        <v>T6860</v>
      </c>
      <c r="B1296" t="s">
        <v>466</v>
      </c>
      <c r="C1296">
        <v>999999</v>
      </c>
      <c r="D1296" s="2">
        <v>25</v>
      </c>
      <c r="E1296" s="1">
        <v>43186</v>
      </c>
      <c r="F1296" t="str">
        <f>"227133"</f>
        <v>227133</v>
      </c>
      <c r="G1296" t="str">
        <f>"ORD#1*168654/BASTRCOU"</f>
        <v>ORD#1*168654/BASTRCOU</v>
      </c>
      <c r="H1296">
        <v>25</v>
      </c>
      <c r="I1296" t="str">
        <f>"ORD#1*168654/BASTRCOU"</f>
        <v>ORD#1*168654/BASTRCOU</v>
      </c>
    </row>
    <row r="1297" spans="1:10" x14ac:dyDescent="0.3">
      <c r="A1297" t="str">
        <f>"TIME"</f>
        <v>TIME</v>
      </c>
      <c r="B1297" t="s">
        <v>467</v>
      </c>
      <c r="C1297">
        <v>75769</v>
      </c>
      <c r="D1297" s="2">
        <v>10534.31</v>
      </c>
      <c r="E1297" s="1">
        <v>43171</v>
      </c>
      <c r="F1297" t="str">
        <f>"0003669012818"</f>
        <v>0003669012818</v>
      </c>
      <c r="G1297" t="str">
        <f>"ACCT#8260163000003669"</f>
        <v>ACCT#8260163000003669</v>
      </c>
      <c r="H1297">
        <v>10522.22</v>
      </c>
      <c r="I1297" t="str">
        <f>"ACCT#8260163000003669"</f>
        <v>ACCT#8260163000003669</v>
      </c>
    </row>
    <row r="1298" spans="1:10" x14ac:dyDescent="0.3">
      <c r="A1298" t="str">
        <f>""</f>
        <v/>
      </c>
      <c r="F1298" t="str">
        <f>""</f>
        <v/>
      </c>
      <c r="G1298" t="str">
        <f>""</f>
        <v/>
      </c>
      <c r="I1298" t="str">
        <f>"ACCT#8260163000003669"</f>
        <v>ACCT#8260163000003669</v>
      </c>
    </row>
    <row r="1299" spans="1:10" x14ac:dyDescent="0.3">
      <c r="A1299" t="str">
        <f>""</f>
        <v/>
      </c>
      <c r="F1299" t="str">
        <f>""</f>
        <v/>
      </c>
      <c r="G1299" t="str">
        <f>""</f>
        <v/>
      </c>
      <c r="I1299" t="str">
        <f>"ACCT#8260163000003669"</f>
        <v>ACCT#8260163000003669</v>
      </c>
    </row>
    <row r="1300" spans="1:10" x14ac:dyDescent="0.3">
      <c r="A1300" t="str">
        <f>""</f>
        <v/>
      </c>
      <c r="F1300" t="str">
        <f>"0139886021818"</f>
        <v>0139886021818</v>
      </c>
      <c r="G1300" t="str">
        <f>"ACCT#8260 16 111 0139886"</f>
        <v>ACCT#8260 16 111 0139886</v>
      </c>
      <c r="H1300">
        <v>12.09</v>
      </c>
      <c r="I1300" t="str">
        <f>"ACCT#8260 16 111 0139886"</f>
        <v>ACCT#8260 16 111 0139886</v>
      </c>
    </row>
    <row r="1301" spans="1:10" x14ac:dyDescent="0.3">
      <c r="A1301" t="str">
        <f>"TIME"</f>
        <v>TIME</v>
      </c>
      <c r="B1301" t="s">
        <v>467</v>
      </c>
      <c r="C1301">
        <v>75959</v>
      </c>
      <c r="D1301" s="2">
        <v>10598.52</v>
      </c>
      <c r="E1301" s="1">
        <v>43185</v>
      </c>
      <c r="F1301" t="str">
        <f>"201803149599"</f>
        <v>201803149599</v>
      </c>
      <c r="G1301" t="str">
        <f>"ACCT#8260163000003669"</f>
        <v>ACCT#8260163000003669</v>
      </c>
      <c r="H1301">
        <v>10598.52</v>
      </c>
      <c r="I1301" t="str">
        <f>"ACCT#8260163000003669"</f>
        <v>ACCT#8260163000003669</v>
      </c>
    </row>
    <row r="1302" spans="1:10" x14ac:dyDescent="0.3">
      <c r="A1302" t="str">
        <f>""</f>
        <v/>
      </c>
      <c r="F1302" t="str">
        <f>""</f>
        <v/>
      </c>
      <c r="G1302" t="str">
        <f>""</f>
        <v/>
      </c>
      <c r="I1302" t="str">
        <f>"ACCT#8260163000003669"</f>
        <v>ACCT#8260163000003669</v>
      </c>
    </row>
    <row r="1303" spans="1:10" x14ac:dyDescent="0.3">
      <c r="A1303" t="str">
        <f>""</f>
        <v/>
      </c>
      <c r="F1303" t="str">
        <f>""</f>
        <v/>
      </c>
      <c r="G1303" t="str">
        <f>""</f>
        <v/>
      </c>
      <c r="I1303" t="str">
        <f>"ACCT#8260163000003669"</f>
        <v>ACCT#8260163000003669</v>
      </c>
    </row>
    <row r="1304" spans="1:10" x14ac:dyDescent="0.3">
      <c r="A1304" t="str">
        <f>"005463"</f>
        <v>005463</v>
      </c>
      <c r="B1304" t="s">
        <v>468</v>
      </c>
      <c r="C1304">
        <v>75770</v>
      </c>
      <c r="D1304" s="2">
        <v>120</v>
      </c>
      <c r="E1304" s="1">
        <v>43171</v>
      </c>
      <c r="F1304" t="str">
        <f>"201803089388"</f>
        <v>201803089388</v>
      </c>
      <c r="G1304" t="str">
        <f>"FERAL HOGS"</f>
        <v>FERAL HOGS</v>
      </c>
      <c r="H1304">
        <v>120</v>
      </c>
      <c r="I1304" t="str">
        <f>"FERAL HOGS"</f>
        <v>FERAL HOGS</v>
      </c>
    </row>
    <row r="1305" spans="1:10" x14ac:dyDescent="0.3">
      <c r="A1305" t="str">
        <f>"002337"</f>
        <v>002337</v>
      </c>
      <c r="B1305" t="s">
        <v>469</v>
      </c>
      <c r="C1305">
        <v>75771</v>
      </c>
      <c r="D1305" s="2">
        <v>75</v>
      </c>
      <c r="E1305" s="1">
        <v>43171</v>
      </c>
      <c r="F1305" t="s">
        <v>117</v>
      </c>
      <c r="G1305" t="s">
        <v>470</v>
      </c>
      <c r="H1305" t="str">
        <f>"SERVICE  12/05/17"</f>
        <v>SERVICE  12/05/17</v>
      </c>
      <c r="I1305" t="str">
        <f>"995-4110"</f>
        <v>995-4110</v>
      </c>
      <c r="J1305" t="str">
        <f>""</f>
        <v/>
      </c>
    </row>
    <row r="1306" spans="1:10" x14ac:dyDescent="0.3">
      <c r="A1306" t="str">
        <f>"002337"</f>
        <v>002337</v>
      </c>
      <c r="B1306" t="s">
        <v>469</v>
      </c>
      <c r="C1306">
        <v>75813</v>
      </c>
      <c r="D1306" s="2">
        <v>75</v>
      </c>
      <c r="E1306" s="1">
        <v>43179</v>
      </c>
      <c r="F1306" t="str">
        <f>"G-281"</f>
        <v>G-281</v>
      </c>
      <c r="G1306" t="str">
        <f>"CauseNo. G-281 - Guardianship"</f>
        <v>CauseNo. G-281 - Guardianship</v>
      </c>
      <c r="H1306">
        <v>75</v>
      </c>
      <c r="I1306" t="str">
        <f>"CauseNo. G-281 - Guardianship"</f>
        <v>CauseNo. G-281 - Guardianship</v>
      </c>
    </row>
    <row r="1307" spans="1:10" x14ac:dyDescent="0.3">
      <c r="A1307" t="str">
        <f>"002337"</f>
        <v>002337</v>
      </c>
      <c r="B1307" t="s">
        <v>469</v>
      </c>
      <c r="C1307">
        <v>75960</v>
      </c>
      <c r="D1307" s="2">
        <v>975</v>
      </c>
      <c r="E1307" s="1">
        <v>43185</v>
      </c>
      <c r="F1307" t="str">
        <f>"12220"</f>
        <v>12220</v>
      </c>
      <c r="G1307" t="str">
        <f>"SERVICE  12/08/17"</f>
        <v>SERVICE  12/08/17</v>
      </c>
      <c r="H1307">
        <v>75</v>
      </c>
      <c r="I1307" t="str">
        <f>"SERVICE  12/08/17"</f>
        <v>SERVICE  12/08/17</v>
      </c>
    </row>
    <row r="1308" spans="1:10" x14ac:dyDescent="0.3">
      <c r="A1308" t="str">
        <f>""</f>
        <v/>
      </c>
      <c r="F1308" t="str">
        <f>"12265"</f>
        <v>12265</v>
      </c>
      <c r="G1308" t="str">
        <f>"SERVICE 12/08/17"</f>
        <v>SERVICE 12/08/17</v>
      </c>
      <c r="H1308">
        <v>75</v>
      </c>
      <c r="I1308" t="str">
        <f>"SERVICE 12/08/17"</f>
        <v>SERVICE 12/08/17</v>
      </c>
    </row>
    <row r="1309" spans="1:10" x14ac:dyDescent="0.3">
      <c r="A1309" t="str">
        <f>""</f>
        <v/>
      </c>
      <c r="F1309" t="str">
        <f>"12497"</f>
        <v>12497</v>
      </c>
      <c r="G1309" t="str">
        <f>"SERVICE  12/08/17"</f>
        <v>SERVICE  12/08/17</v>
      </c>
      <c r="H1309">
        <v>300</v>
      </c>
      <c r="I1309" t="str">
        <f>"SERVICE  12/08/17"</f>
        <v>SERVICE  12/08/17</v>
      </c>
    </row>
    <row r="1310" spans="1:10" x14ac:dyDescent="0.3">
      <c r="A1310" t="str">
        <f>""</f>
        <v/>
      </c>
      <c r="F1310" t="str">
        <f>"12600"</f>
        <v>12600</v>
      </c>
      <c r="G1310" t="str">
        <f>"SERVICE  12/28/17"</f>
        <v>SERVICE  12/28/17</v>
      </c>
      <c r="H1310">
        <v>75</v>
      </c>
      <c r="I1310" t="str">
        <f>"SERVICE  12/28/17"</f>
        <v>SERVICE  12/28/17</v>
      </c>
    </row>
    <row r="1311" spans="1:10" x14ac:dyDescent="0.3">
      <c r="A1311" t="str">
        <f>""</f>
        <v/>
      </c>
      <c r="F1311" t="str">
        <f>"12646"</f>
        <v>12646</v>
      </c>
      <c r="G1311" t="str">
        <f>"SERVICE  12/27/17"</f>
        <v>SERVICE  12/27/17</v>
      </c>
      <c r="H1311">
        <v>225</v>
      </c>
      <c r="I1311" t="str">
        <f>"SERVICE  12/27/17"</f>
        <v>SERVICE  12/27/17</v>
      </c>
    </row>
    <row r="1312" spans="1:10" x14ac:dyDescent="0.3">
      <c r="A1312" t="str">
        <f>""</f>
        <v/>
      </c>
      <c r="F1312" t="str">
        <f>"12806"</f>
        <v>12806</v>
      </c>
      <c r="G1312" t="str">
        <f>"SERVICE  12/29/17"</f>
        <v>SERVICE  12/29/17</v>
      </c>
      <c r="H1312">
        <v>225</v>
      </c>
      <c r="I1312" t="str">
        <f>"SERVICE  12/29/17"</f>
        <v>SERVICE  12/29/17</v>
      </c>
    </row>
    <row r="1313" spans="1:9" x14ac:dyDescent="0.3">
      <c r="A1313" t="str">
        <f>"TCC"</f>
        <v>TCC</v>
      </c>
      <c r="B1313" t="s">
        <v>471</v>
      </c>
      <c r="C1313">
        <v>75772</v>
      </c>
      <c r="D1313" s="2">
        <v>1312</v>
      </c>
      <c r="E1313" s="1">
        <v>43171</v>
      </c>
      <c r="F1313" t="str">
        <f>"18-000261"</f>
        <v>18-000261</v>
      </c>
      <c r="G1313" t="str">
        <f>"C-1-MH-18-000261"</f>
        <v>C-1-MH-18-000261</v>
      </c>
      <c r="H1313">
        <v>429</v>
      </c>
      <c r="I1313" t="str">
        <f>"C-1-MH-18-000261"</f>
        <v>C-1-MH-18-000261</v>
      </c>
    </row>
    <row r="1314" spans="1:9" x14ac:dyDescent="0.3">
      <c r="A1314" t="str">
        <f>""</f>
        <v/>
      </c>
      <c r="F1314" t="str">
        <f>"18-000262"</f>
        <v>18-000262</v>
      </c>
      <c r="G1314" t="str">
        <f>"C-1-MH-18-000262"</f>
        <v>C-1-MH-18-000262</v>
      </c>
      <c r="H1314">
        <v>429</v>
      </c>
      <c r="I1314" t="str">
        <f>"C-1-MH-18-000262"</f>
        <v>C-1-MH-18-000262</v>
      </c>
    </row>
    <row r="1315" spans="1:9" x14ac:dyDescent="0.3">
      <c r="A1315" t="str">
        <f>""</f>
        <v/>
      </c>
      <c r="F1315" t="str">
        <f>"18-000366"</f>
        <v>18-000366</v>
      </c>
      <c r="G1315" t="str">
        <f>"C-1-MH-18-000366"</f>
        <v>C-1-MH-18-000366</v>
      </c>
      <c r="H1315">
        <v>454</v>
      </c>
      <c r="I1315" t="str">
        <f>"C-1-MH-18-000366"</f>
        <v>C-1-MH-18-000366</v>
      </c>
    </row>
    <row r="1316" spans="1:9" x14ac:dyDescent="0.3">
      <c r="A1316" t="str">
        <f>"005136"</f>
        <v>005136</v>
      </c>
      <c r="B1316" t="s">
        <v>472</v>
      </c>
      <c r="C1316">
        <v>75773</v>
      </c>
      <c r="D1316" s="2">
        <v>5800</v>
      </c>
      <c r="E1316" s="1">
        <v>43171</v>
      </c>
      <c r="F1316" t="str">
        <f>"3300001112"</f>
        <v>3300001112</v>
      </c>
      <c r="G1316" t="str">
        <f>"CUST#100009/INV#3300001112"</f>
        <v>CUST#100009/INV#3300001112</v>
      </c>
      <c r="H1316">
        <v>2900</v>
      </c>
      <c r="I1316" t="str">
        <f>"CUST#100009/INV#3300001112"</f>
        <v>CUST#100009/INV#3300001112</v>
      </c>
    </row>
    <row r="1317" spans="1:9" x14ac:dyDescent="0.3">
      <c r="A1317" t="str">
        <f>""</f>
        <v/>
      </c>
      <c r="F1317" t="str">
        <f>"3300001123"</f>
        <v>3300001123</v>
      </c>
      <c r="G1317" t="str">
        <f>"CUST#100008/INV#3300001123"</f>
        <v>CUST#100008/INV#3300001123</v>
      </c>
      <c r="H1317">
        <v>2900</v>
      </c>
      <c r="I1317" t="str">
        <f>"CUST#100008/INV#3300001123"</f>
        <v>CUST#100008/INV#3300001123</v>
      </c>
    </row>
    <row r="1318" spans="1:9" x14ac:dyDescent="0.3">
      <c r="A1318" t="str">
        <f>"002944"</f>
        <v>002944</v>
      </c>
      <c r="B1318" t="s">
        <v>473</v>
      </c>
      <c r="C1318">
        <v>999999</v>
      </c>
      <c r="D1318" s="2">
        <v>1481.93</v>
      </c>
      <c r="E1318" s="1">
        <v>43172</v>
      </c>
      <c r="F1318" t="str">
        <f>"696215"</f>
        <v>696215</v>
      </c>
      <c r="G1318" t="str">
        <f>"INV 696215/ UNIT 6486"</f>
        <v>INV 696215/ UNIT 6486</v>
      </c>
      <c r="H1318">
        <v>260.82</v>
      </c>
      <c r="I1318" t="str">
        <f>"INV 696215/ UNIT 6486"</f>
        <v>INV 696215/ UNIT 6486</v>
      </c>
    </row>
    <row r="1319" spans="1:9" x14ac:dyDescent="0.3">
      <c r="A1319" t="str">
        <f>""</f>
        <v/>
      </c>
      <c r="F1319" t="str">
        <f>"697301"</f>
        <v>697301</v>
      </c>
      <c r="G1319" t="str">
        <f>"INV 697301/ UNIT 6535"</f>
        <v>INV 697301/ UNIT 6535</v>
      </c>
      <c r="H1319">
        <v>391.23</v>
      </c>
      <c r="I1319" t="str">
        <f>"INV 697301/ UNIT 6535"</f>
        <v>INV 697301/ UNIT 6535</v>
      </c>
    </row>
    <row r="1320" spans="1:9" x14ac:dyDescent="0.3">
      <c r="A1320" t="str">
        <f>""</f>
        <v/>
      </c>
      <c r="F1320" t="str">
        <f>"698068"</f>
        <v>698068</v>
      </c>
      <c r="G1320" t="str">
        <f>"INV 698068/ UNIT 0311"</f>
        <v>INV 698068/ UNIT 0311</v>
      </c>
      <c r="H1320">
        <v>159.71</v>
      </c>
      <c r="I1320" t="str">
        <f>"INV 698068/ UNIT 0311"</f>
        <v>INV 698068/ UNIT 0311</v>
      </c>
    </row>
    <row r="1321" spans="1:9" x14ac:dyDescent="0.3">
      <c r="A1321" t="str">
        <f>""</f>
        <v/>
      </c>
      <c r="F1321" t="str">
        <f>"698224"</f>
        <v>698224</v>
      </c>
      <c r="G1321" t="str">
        <f>"INV 698224 / UNIT 0122"</f>
        <v>INV 698224 / UNIT 0122</v>
      </c>
      <c r="H1321">
        <v>391.23</v>
      </c>
      <c r="I1321" t="str">
        <f>"INV 698224 / UNIT 0122"</f>
        <v>INV 698224 / UNIT 0122</v>
      </c>
    </row>
    <row r="1322" spans="1:9" x14ac:dyDescent="0.3">
      <c r="A1322" t="str">
        <f>""</f>
        <v/>
      </c>
      <c r="F1322" t="str">
        <f>"698225"</f>
        <v>698225</v>
      </c>
      <c r="G1322" t="str">
        <f>"INV 698225 / UNIT 126"</f>
        <v>INV 698225 / UNIT 126</v>
      </c>
      <c r="H1322">
        <v>148.53</v>
      </c>
      <c r="I1322" t="str">
        <f>"INV 698225 / UNIT 126"</f>
        <v>INV 698225 / UNIT 126</v>
      </c>
    </row>
    <row r="1323" spans="1:9" x14ac:dyDescent="0.3">
      <c r="A1323" t="str">
        <f>""</f>
        <v/>
      </c>
      <c r="F1323" t="str">
        <f>"698226"</f>
        <v>698226</v>
      </c>
      <c r="G1323" t="str">
        <f>"INV 698226 / UNIT 1672"</f>
        <v>INV 698226 / UNIT 1672</v>
      </c>
      <c r="H1323">
        <v>130.41</v>
      </c>
      <c r="I1323" t="str">
        <f>"INV 698226 / UNIT 1672"</f>
        <v>INV 698226 / UNIT 1672</v>
      </c>
    </row>
    <row r="1324" spans="1:9" x14ac:dyDescent="0.3">
      <c r="A1324" t="str">
        <f>"002944"</f>
        <v>002944</v>
      </c>
      <c r="B1324" t="s">
        <v>473</v>
      </c>
      <c r="C1324">
        <v>999999</v>
      </c>
      <c r="D1324" s="2">
        <v>624.01</v>
      </c>
      <c r="E1324" s="1">
        <v>43186</v>
      </c>
      <c r="F1324" t="str">
        <f>"819614"</f>
        <v>819614</v>
      </c>
      <c r="G1324" t="str">
        <f>"INV 819614/ UNIT 125"</f>
        <v>INV 819614/ UNIT 125</v>
      </c>
      <c r="H1324">
        <v>493.6</v>
      </c>
      <c r="I1324" t="str">
        <f>"INV 819614/ UNIT 125"</f>
        <v>INV 819614/ UNIT 125</v>
      </c>
    </row>
    <row r="1325" spans="1:9" x14ac:dyDescent="0.3">
      <c r="A1325" t="str">
        <f>""</f>
        <v/>
      </c>
      <c r="F1325" t="str">
        <f>"819866"</f>
        <v>819866</v>
      </c>
      <c r="G1325" t="str">
        <f>"INV 819866/ UNIT 1672"</f>
        <v>INV 819866/ UNIT 1672</v>
      </c>
      <c r="H1325">
        <v>130.41</v>
      </c>
      <c r="I1325" t="str">
        <f>"INV 819866/ UNIT 1672"</f>
        <v>INV 819866/ UNIT 1672</v>
      </c>
    </row>
    <row r="1326" spans="1:9" x14ac:dyDescent="0.3">
      <c r="A1326" t="str">
        <f>"003883"</f>
        <v>003883</v>
      </c>
      <c r="B1326" t="s">
        <v>474</v>
      </c>
      <c r="C1326">
        <v>75774</v>
      </c>
      <c r="D1326" s="2">
        <v>5</v>
      </c>
      <c r="E1326" s="1">
        <v>43171</v>
      </c>
      <c r="F1326" t="str">
        <f>"201803089389"</f>
        <v>201803089389</v>
      </c>
      <c r="G1326" t="str">
        <f>"FERAL HOGS"</f>
        <v>FERAL HOGS</v>
      </c>
      <c r="H1326">
        <v>5</v>
      </c>
      <c r="I1326" t="str">
        <f>"FERAL HOGS"</f>
        <v>FERAL HOGS</v>
      </c>
    </row>
    <row r="1327" spans="1:9" x14ac:dyDescent="0.3">
      <c r="A1327" t="str">
        <f>"003838"</f>
        <v>003838</v>
      </c>
      <c r="B1327" t="s">
        <v>475</v>
      </c>
      <c r="C1327">
        <v>75775</v>
      </c>
      <c r="D1327" s="2">
        <v>59.56</v>
      </c>
      <c r="E1327" s="1">
        <v>43171</v>
      </c>
      <c r="F1327" t="str">
        <f>"201803079330"</f>
        <v>201803079330</v>
      </c>
      <c r="G1327" t="str">
        <f>"INDIGENT HEALTH"</f>
        <v>INDIGENT HEALTH</v>
      </c>
      <c r="H1327">
        <v>59.56</v>
      </c>
      <c r="I1327" t="str">
        <f>"INDIGENT HEALTH"</f>
        <v>INDIGENT HEALTH</v>
      </c>
    </row>
    <row r="1328" spans="1:9" x14ac:dyDescent="0.3">
      <c r="A1328" t="str">
        <f>"TRIPLE"</f>
        <v>TRIPLE</v>
      </c>
      <c r="B1328" t="s">
        <v>476</v>
      </c>
      <c r="C1328">
        <v>999999</v>
      </c>
      <c r="D1328" s="2">
        <v>5404.33</v>
      </c>
      <c r="E1328" s="1">
        <v>43186</v>
      </c>
      <c r="F1328" t="str">
        <f>"0014542-IN"</f>
        <v>0014542-IN</v>
      </c>
      <c r="G1328" t="str">
        <f>"CUST#0009087/PCT#4"</f>
        <v>CUST#0009087/PCT#4</v>
      </c>
      <c r="H1328">
        <v>5404.33</v>
      </c>
      <c r="I1328" t="str">
        <f>"CUST#0009087/PCT#4"</f>
        <v>CUST#0009087/PCT#4</v>
      </c>
    </row>
    <row r="1329" spans="1:9" x14ac:dyDescent="0.3">
      <c r="A1329" t="str">
        <f>"TRACTO"</f>
        <v>TRACTO</v>
      </c>
      <c r="B1329" t="s">
        <v>477</v>
      </c>
      <c r="C1329">
        <v>75776</v>
      </c>
      <c r="D1329" s="2">
        <v>2509.5</v>
      </c>
      <c r="E1329" s="1">
        <v>43171</v>
      </c>
      <c r="F1329" t="str">
        <f>"ACCT#200160982"</f>
        <v>ACCT#200160982</v>
      </c>
      <c r="G1329" t="str">
        <f>"Acct# 6035301200160982"</f>
        <v>Acct# 6035301200160982</v>
      </c>
      <c r="H1329">
        <v>2509.5</v>
      </c>
      <c r="I1329" t="str">
        <f>"Inv# 300437206"</f>
        <v>Inv# 300437206</v>
      </c>
    </row>
    <row r="1330" spans="1:9" x14ac:dyDescent="0.3">
      <c r="A1330" t="str">
        <f>""</f>
        <v/>
      </c>
      <c r="F1330" t="str">
        <f>""</f>
        <v/>
      </c>
      <c r="G1330" t="str">
        <f>""</f>
        <v/>
      </c>
      <c r="I1330" t="str">
        <f>"Inv# 300437973"</f>
        <v>Inv# 300437973</v>
      </c>
    </row>
    <row r="1331" spans="1:9" x14ac:dyDescent="0.3">
      <c r="A1331" t="str">
        <f>""</f>
        <v/>
      </c>
      <c r="F1331" t="str">
        <f>""</f>
        <v/>
      </c>
      <c r="G1331" t="str">
        <f>""</f>
        <v/>
      </c>
      <c r="I1331" t="str">
        <f>"Inv# 100546763"</f>
        <v>Inv# 100546763</v>
      </c>
    </row>
    <row r="1332" spans="1:9" x14ac:dyDescent="0.3">
      <c r="A1332" t="str">
        <f>""</f>
        <v/>
      </c>
      <c r="F1332" t="str">
        <f>""</f>
        <v/>
      </c>
      <c r="G1332" t="str">
        <f>""</f>
        <v/>
      </c>
      <c r="I1332" t="str">
        <f>"Inv# 100546840"</f>
        <v>Inv# 100546840</v>
      </c>
    </row>
    <row r="1333" spans="1:9" x14ac:dyDescent="0.3">
      <c r="A1333" t="str">
        <f>""</f>
        <v/>
      </c>
      <c r="F1333" t="str">
        <f>""</f>
        <v/>
      </c>
      <c r="G1333" t="str">
        <f>""</f>
        <v/>
      </c>
      <c r="I1333" t="str">
        <f>"Inv# 300435902"</f>
        <v>Inv# 300435902</v>
      </c>
    </row>
    <row r="1334" spans="1:9" x14ac:dyDescent="0.3">
      <c r="A1334" t="str">
        <f>""</f>
        <v/>
      </c>
      <c r="F1334" t="str">
        <f>""</f>
        <v/>
      </c>
      <c r="G1334" t="str">
        <f>""</f>
        <v/>
      </c>
      <c r="I1334" t="str">
        <f>"Inv# 100546814"</f>
        <v>Inv# 100546814</v>
      </c>
    </row>
    <row r="1335" spans="1:9" x14ac:dyDescent="0.3">
      <c r="A1335" t="str">
        <f>""</f>
        <v/>
      </c>
      <c r="F1335" t="str">
        <f>""</f>
        <v/>
      </c>
      <c r="G1335" t="str">
        <f>""</f>
        <v/>
      </c>
      <c r="I1335" t="str">
        <f>"Inv# 300432931"</f>
        <v>Inv# 300432931</v>
      </c>
    </row>
    <row r="1336" spans="1:9" x14ac:dyDescent="0.3">
      <c r="A1336" t="str">
        <f>""</f>
        <v/>
      </c>
      <c r="F1336" t="str">
        <f>""</f>
        <v/>
      </c>
      <c r="G1336" t="str">
        <f>""</f>
        <v/>
      </c>
      <c r="I1336" t="str">
        <f>"Inv# 200469745"</f>
        <v>Inv# 200469745</v>
      </c>
    </row>
    <row r="1337" spans="1:9" x14ac:dyDescent="0.3">
      <c r="A1337" t="str">
        <f>""</f>
        <v/>
      </c>
      <c r="F1337" t="str">
        <f>""</f>
        <v/>
      </c>
      <c r="G1337" t="str">
        <f>""</f>
        <v/>
      </c>
      <c r="I1337" t="str">
        <f>"Inv# 300432931"</f>
        <v>Inv# 300432931</v>
      </c>
    </row>
    <row r="1338" spans="1:9" x14ac:dyDescent="0.3">
      <c r="A1338" t="str">
        <f>""</f>
        <v/>
      </c>
      <c r="F1338" t="str">
        <f>""</f>
        <v/>
      </c>
      <c r="G1338" t="str">
        <f>""</f>
        <v/>
      </c>
      <c r="I1338" t="str">
        <f>"Inv# 200468062"</f>
        <v>Inv# 200468062</v>
      </c>
    </row>
    <row r="1339" spans="1:9" x14ac:dyDescent="0.3">
      <c r="A1339" t="str">
        <f>""</f>
        <v/>
      </c>
      <c r="F1339" t="str">
        <f>""</f>
        <v/>
      </c>
      <c r="G1339" t="str">
        <f>""</f>
        <v/>
      </c>
      <c r="I1339" t="str">
        <f>"Inv# 300436068"</f>
        <v>Inv# 300436068</v>
      </c>
    </row>
    <row r="1340" spans="1:9" x14ac:dyDescent="0.3">
      <c r="A1340" t="str">
        <f>""</f>
        <v/>
      </c>
      <c r="F1340" t="str">
        <f>""</f>
        <v/>
      </c>
      <c r="G1340" t="str">
        <f>""</f>
        <v/>
      </c>
      <c r="I1340" t="str">
        <f>"Inv# 300437525"</f>
        <v>Inv# 300437525</v>
      </c>
    </row>
    <row r="1341" spans="1:9" x14ac:dyDescent="0.3">
      <c r="A1341" t="str">
        <f>""</f>
        <v/>
      </c>
      <c r="F1341" t="str">
        <f>""</f>
        <v/>
      </c>
      <c r="G1341" t="str">
        <f>""</f>
        <v/>
      </c>
      <c r="I1341" t="str">
        <f>"Inv# 100433528"</f>
        <v>Inv# 100433528</v>
      </c>
    </row>
    <row r="1342" spans="1:9" x14ac:dyDescent="0.3">
      <c r="A1342" t="str">
        <f>""</f>
        <v/>
      </c>
      <c r="F1342" t="str">
        <f>""</f>
        <v/>
      </c>
      <c r="G1342" t="str">
        <f>""</f>
        <v/>
      </c>
      <c r="I1342" t="str">
        <f>"Inv# 100436376"</f>
        <v>Inv# 100436376</v>
      </c>
    </row>
    <row r="1343" spans="1:9" x14ac:dyDescent="0.3">
      <c r="A1343" t="str">
        <f>""</f>
        <v/>
      </c>
      <c r="F1343" t="str">
        <f>""</f>
        <v/>
      </c>
      <c r="G1343" t="str">
        <f>""</f>
        <v/>
      </c>
      <c r="I1343" t="str">
        <f>"Inv# 200471590"</f>
        <v>Inv# 200471590</v>
      </c>
    </row>
    <row r="1344" spans="1:9" x14ac:dyDescent="0.3">
      <c r="A1344" t="str">
        <f>""</f>
        <v/>
      </c>
      <c r="F1344" t="str">
        <f>""</f>
        <v/>
      </c>
      <c r="G1344" t="str">
        <f>""</f>
        <v/>
      </c>
      <c r="I1344" t="str">
        <f>"Inv# 200473122"</f>
        <v>Inv# 200473122</v>
      </c>
    </row>
    <row r="1345" spans="1:9" x14ac:dyDescent="0.3">
      <c r="A1345" t="str">
        <f>""</f>
        <v/>
      </c>
      <c r="F1345" t="str">
        <f>""</f>
        <v/>
      </c>
      <c r="G1345" t="str">
        <f>""</f>
        <v/>
      </c>
      <c r="I1345" t="str">
        <f>"Inv# 200473464"</f>
        <v>Inv# 200473464</v>
      </c>
    </row>
    <row r="1346" spans="1:9" x14ac:dyDescent="0.3">
      <c r="A1346" t="str">
        <f>""</f>
        <v/>
      </c>
      <c r="F1346" t="str">
        <f>""</f>
        <v/>
      </c>
      <c r="G1346" t="str">
        <f>""</f>
        <v/>
      </c>
      <c r="I1346" t="str">
        <f>"Inv# 300435851"</f>
        <v>Inv# 300435851</v>
      </c>
    </row>
    <row r="1347" spans="1:9" x14ac:dyDescent="0.3">
      <c r="A1347" t="str">
        <f>""</f>
        <v/>
      </c>
      <c r="F1347" t="str">
        <f>""</f>
        <v/>
      </c>
      <c r="G1347" t="str">
        <f>""</f>
        <v/>
      </c>
      <c r="I1347" t="str">
        <f>"Inv# 100013733"</f>
        <v>Inv# 100013733</v>
      </c>
    </row>
    <row r="1348" spans="1:9" x14ac:dyDescent="0.3">
      <c r="A1348" t="str">
        <f>"TULL"</f>
        <v>TULL</v>
      </c>
      <c r="B1348" t="s">
        <v>478</v>
      </c>
      <c r="C1348">
        <v>999999</v>
      </c>
      <c r="D1348" s="2">
        <v>1375</v>
      </c>
      <c r="E1348" s="1">
        <v>43172</v>
      </c>
      <c r="F1348" t="str">
        <f>"201803028955"</f>
        <v>201803028955</v>
      </c>
      <c r="G1348" t="str">
        <f>"CH-20180206-B/20170410"</f>
        <v>CH-20180206-B/20170410</v>
      </c>
      <c r="H1348">
        <v>875</v>
      </c>
      <c r="I1348" t="str">
        <f>"CH-20180206-B/20170410"</f>
        <v>CH-20180206-B/20170410</v>
      </c>
    </row>
    <row r="1349" spans="1:9" x14ac:dyDescent="0.3">
      <c r="A1349" t="str">
        <f>""</f>
        <v/>
      </c>
      <c r="F1349" t="str">
        <f>"201803028968"</f>
        <v>201803028968</v>
      </c>
      <c r="G1349" t="str">
        <f>"30150403"</f>
        <v>30150403</v>
      </c>
      <c r="H1349">
        <v>250</v>
      </c>
      <c r="I1349" t="str">
        <f>"30150403"</f>
        <v>30150403</v>
      </c>
    </row>
    <row r="1350" spans="1:9" x14ac:dyDescent="0.3">
      <c r="A1350" t="str">
        <f>""</f>
        <v/>
      </c>
      <c r="F1350" t="str">
        <f>"201803028969"</f>
        <v>201803028969</v>
      </c>
      <c r="G1350" t="str">
        <f>"55 599"</f>
        <v>55 599</v>
      </c>
      <c r="H1350">
        <v>250</v>
      </c>
      <c r="I1350" t="str">
        <f>"55 599"</f>
        <v>55 599</v>
      </c>
    </row>
    <row r="1351" spans="1:9" x14ac:dyDescent="0.3">
      <c r="A1351" t="str">
        <f>"TWC"</f>
        <v>TWC</v>
      </c>
      <c r="B1351" t="s">
        <v>479</v>
      </c>
      <c r="C1351">
        <v>75777</v>
      </c>
      <c r="D1351" s="2">
        <v>1690.5</v>
      </c>
      <c r="E1351" s="1">
        <v>43171</v>
      </c>
      <c r="F1351" t="str">
        <f>"201803079342"</f>
        <v>201803079342</v>
      </c>
      <c r="G1351" t="str">
        <f>"ACCT#0620010/ONSITE COUNCIL"</f>
        <v>ACCT#0620010/ONSITE COUNCIL</v>
      </c>
      <c r="H1351">
        <v>1690.5</v>
      </c>
      <c r="I1351" t="str">
        <f>"ACCT#0620010/ONSITE COUNCIL"</f>
        <v>ACCT#0620010/ONSITE COUNCIL</v>
      </c>
    </row>
    <row r="1352" spans="1:9" x14ac:dyDescent="0.3">
      <c r="A1352" t="str">
        <f>"004941"</f>
        <v>004941</v>
      </c>
      <c r="B1352" t="s">
        <v>480</v>
      </c>
      <c r="C1352">
        <v>75778</v>
      </c>
      <c r="D1352" s="2">
        <v>250</v>
      </c>
      <c r="E1352" s="1">
        <v>43171</v>
      </c>
      <c r="F1352" t="str">
        <f>"D4VX9"</f>
        <v>D4VX9</v>
      </c>
      <c r="G1352" t="str">
        <f>"MEMBERSHIP RENEWAL"</f>
        <v>MEMBERSHIP RENEWAL</v>
      </c>
      <c r="H1352">
        <v>250</v>
      </c>
      <c r="I1352" t="str">
        <f>"MEMBERSHIP RENEWAL"</f>
        <v>MEMBERSHIP RENEWAL</v>
      </c>
    </row>
    <row r="1353" spans="1:9" x14ac:dyDescent="0.3">
      <c r="A1353" t="str">
        <f>"002995"</f>
        <v>002995</v>
      </c>
      <c r="B1353" t="s">
        <v>481</v>
      </c>
      <c r="C1353">
        <v>75961</v>
      </c>
      <c r="D1353" s="2">
        <v>591.4</v>
      </c>
      <c r="E1353" s="1">
        <v>43185</v>
      </c>
      <c r="F1353" t="str">
        <f>"4369*98041*1"</f>
        <v>4369*98041*1</v>
      </c>
      <c r="G1353" t="str">
        <f>"JAIL MEDICAL"</f>
        <v>JAIL MEDICAL</v>
      </c>
      <c r="H1353">
        <v>591.4</v>
      </c>
      <c r="I1353" t="str">
        <f>"JAIL MEDICAL"</f>
        <v>JAIL MEDICAL</v>
      </c>
    </row>
    <row r="1354" spans="1:9" x14ac:dyDescent="0.3">
      <c r="A1354" t="str">
        <f>"001894"</f>
        <v>001894</v>
      </c>
      <c r="B1354" t="s">
        <v>482</v>
      </c>
      <c r="C1354">
        <v>75624</v>
      </c>
      <c r="D1354" s="2">
        <v>432.27</v>
      </c>
      <c r="E1354" s="1">
        <v>43171</v>
      </c>
      <c r="F1354" t="str">
        <f>"435507"</f>
        <v>435507</v>
      </c>
      <c r="G1354" t="str">
        <f>"ACCT#38049/WRENCH/PCT#4"</f>
        <v>ACCT#38049/WRENCH/PCT#4</v>
      </c>
      <c r="H1354">
        <v>64.2</v>
      </c>
      <c r="I1354" t="str">
        <f>"ACCT#38049/WRENCH/PCT#4"</f>
        <v>ACCT#38049/WRENCH/PCT#4</v>
      </c>
    </row>
    <row r="1355" spans="1:9" x14ac:dyDescent="0.3">
      <c r="A1355" t="str">
        <f>""</f>
        <v/>
      </c>
      <c r="F1355" t="str">
        <f>"435515"</f>
        <v>435515</v>
      </c>
      <c r="G1355" t="str">
        <f>"ACCT#38049/PCT#4"</f>
        <v>ACCT#38049/PCT#4</v>
      </c>
      <c r="H1355">
        <v>368.07</v>
      </c>
      <c r="I1355" t="str">
        <f>"ACCT#38049/PCT#4"</f>
        <v>ACCT#38049/PCT#4</v>
      </c>
    </row>
    <row r="1356" spans="1:9" x14ac:dyDescent="0.3">
      <c r="A1356" t="str">
        <f>"T5739"</f>
        <v>T5739</v>
      </c>
      <c r="B1356" t="s">
        <v>483</v>
      </c>
      <c r="C1356">
        <v>75779</v>
      </c>
      <c r="D1356" s="2">
        <v>814.71</v>
      </c>
      <c r="E1356" s="1">
        <v>43171</v>
      </c>
      <c r="F1356" t="str">
        <f>"61025513-00"</f>
        <v>61025513-00</v>
      </c>
      <c r="G1356" t="str">
        <f>"INV 61025513-00"</f>
        <v>INV 61025513-00</v>
      </c>
      <c r="H1356">
        <v>814.71</v>
      </c>
      <c r="I1356" t="str">
        <f>"INV 61025513-00"</f>
        <v>INV 61025513-00</v>
      </c>
    </row>
    <row r="1357" spans="1:9" x14ac:dyDescent="0.3">
      <c r="A1357" t="str">
        <f>"T5739"</f>
        <v>T5739</v>
      </c>
      <c r="B1357" t="s">
        <v>483</v>
      </c>
      <c r="C1357">
        <v>75962</v>
      </c>
      <c r="D1357" s="2">
        <v>384.38</v>
      </c>
      <c r="E1357" s="1">
        <v>43185</v>
      </c>
      <c r="F1357" t="str">
        <f>"61300871-00"</f>
        <v>61300871-00</v>
      </c>
      <c r="G1357" t="str">
        <f>"INV 61300871-00"</f>
        <v>INV 61300871-00</v>
      </c>
      <c r="H1357">
        <v>384.38</v>
      </c>
      <c r="I1357" t="str">
        <f>"INV 61300871-00"</f>
        <v>INV 61300871-00</v>
      </c>
    </row>
    <row r="1358" spans="1:9" x14ac:dyDescent="0.3">
      <c r="A1358" t="str">
        <f>"000775"</f>
        <v>000775</v>
      </c>
      <c r="B1358" t="s">
        <v>484</v>
      </c>
      <c r="C1358">
        <v>75780</v>
      </c>
      <c r="D1358" s="2">
        <v>33.76</v>
      </c>
      <c r="E1358" s="1">
        <v>43171</v>
      </c>
      <c r="F1358" t="str">
        <f>"000018VW63058"</f>
        <v>000018VW63058</v>
      </c>
      <c r="G1358" t="str">
        <f>"INTERNET SHIPPING"</f>
        <v>INTERNET SHIPPING</v>
      </c>
      <c r="H1358">
        <v>12.4</v>
      </c>
      <c r="I1358" t="str">
        <f>"INTERNET SHIPPING"</f>
        <v>INTERNET SHIPPING</v>
      </c>
    </row>
    <row r="1359" spans="1:9" x14ac:dyDescent="0.3">
      <c r="A1359" t="str">
        <f>""</f>
        <v/>
      </c>
      <c r="F1359" t="str">
        <f>"000018VW63098"</f>
        <v>000018VW63098</v>
      </c>
      <c r="G1359" t="str">
        <f>"SHIPPER#18VW63/CONTROL ID7V27"</f>
        <v>SHIPPER#18VW63/CONTROL ID7V27</v>
      </c>
      <c r="H1359">
        <v>21.36</v>
      </c>
      <c r="I1359" t="str">
        <f>"SHIPPER#18VW63/CONTROL ID7V27"</f>
        <v>SHIPPER#18VW63/CONTROL ID7V27</v>
      </c>
    </row>
    <row r="1360" spans="1:9" x14ac:dyDescent="0.3">
      <c r="A1360" t="str">
        <f>"004464"</f>
        <v>004464</v>
      </c>
      <c r="B1360" t="s">
        <v>485</v>
      </c>
      <c r="C1360">
        <v>75781</v>
      </c>
      <c r="D1360" s="2">
        <v>515</v>
      </c>
      <c r="E1360" s="1">
        <v>43171</v>
      </c>
      <c r="F1360" t="str">
        <f>"201803089390"</f>
        <v>201803089390</v>
      </c>
      <c r="G1360" t="str">
        <f>"FERAL HOGS"</f>
        <v>FERAL HOGS</v>
      </c>
      <c r="H1360">
        <v>15</v>
      </c>
      <c r="I1360" t="str">
        <f>"FERAL HOGS"</f>
        <v>FERAL HOGS</v>
      </c>
    </row>
    <row r="1361" spans="1:10" x14ac:dyDescent="0.3">
      <c r="A1361" t="str">
        <f>""</f>
        <v/>
      </c>
      <c r="F1361" t="str">
        <f>"201803089391"</f>
        <v>201803089391</v>
      </c>
      <c r="G1361" t="str">
        <f>"FERAL HOGS"</f>
        <v>FERAL HOGS</v>
      </c>
      <c r="H1361">
        <v>500</v>
      </c>
      <c r="I1361" t="str">
        <f>"FERAL HOGS"</f>
        <v>FERAL HOGS</v>
      </c>
    </row>
    <row r="1362" spans="1:10" x14ac:dyDescent="0.3">
      <c r="A1362" t="str">
        <f>"005464"</f>
        <v>005464</v>
      </c>
      <c r="B1362" t="s">
        <v>486</v>
      </c>
      <c r="C1362">
        <v>75782</v>
      </c>
      <c r="D1362" s="2">
        <v>25</v>
      </c>
      <c r="E1362" s="1">
        <v>43171</v>
      </c>
      <c r="F1362" t="str">
        <f>"201803089392"</f>
        <v>201803089392</v>
      </c>
      <c r="G1362" t="str">
        <f>"FERAL HOGS"</f>
        <v>FERAL HOGS</v>
      </c>
      <c r="H1362">
        <v>25</v>
      </c>
      <c r="I1362" t="str">
        <f>"FERAL HOGS"</f>
        <v>FERAL HOGS</v>
      </c>
    </row>
    <row r="1363" spans="1:10" x14ac:dyDescent="0.3">
      <c r="A1363" t="str">
        <f>"001445"</f>
        <v>001445</v>
      </c>
      <c r="B1363" t="s">
        <v>487</v>
      </c>
      <c r="C1363">
        <v>75783</v>
      </c>
      <c r="D1363" s="2">
        <v>104.31</v>
      </c>
      <c r="E1363" s="1">
        <v>43171</v>
      </c>
      <c r="F1363" t="str">
        <f>"2005131"</f>
        <v>2005131</v>
      </c>
      <c r="G1363" t="str">
        <f>"ACCT#17460002268 003/REMOTE BA"</f>
        <v>ACCT#17460002268 003/REMOTE BA</v>
      </c>
      <c r="H1363">
        <v>104.31</v>
      </c>
      <c r="I1363" t="str">
        <f>"ACCT#17460002268 003/REMOTE BA"</f>
        <v>ACCT#17460002268 003/REMOTE BA</v>
      </c>
    </row>
    <row r="1364" spans="1:10" x14ac:dyDescent="0.3">
      <c r="A1364" t="str">
        <f>"004889"</f>
        <v>004889</v>
      </c>
      <c r="B1364" t="s">
        <v>488</v>
      </c>
      <c r="C1364">
        <v>999999</v>
      </c>
      <c r="D1364" s="2">
        <v>850</v>
      </c>
      <c r="E1364" s="1">
        <v>43172</v>
      </c>
      <c r="F1364" t="str">
        <f>"201802288894"</f>
        <v>201802288894</v>
      </c>
      <c r="G1364" t="str">
        <f>"COMPETENCY EVAL-C. KERR"</f>
        <v>COMPETENCY EVAL-C. KERR</v>
      </c>
      <c r="H1364">
        <v>850</v>
      </c>
      <c r="I1364" t="str">
        <f>"COMPETENCY EVAL-C. KERR"</f>
        <v>COMPETENCY EVAL-C. KERR</v>
      </c>
    </row>
    <row r="1365" spans="1:10" x14ac:dyDescent="0.3">
      <c r="A1365" t="str">
        <f>"VI"</f>
        <v>VI</v>
      </c>
      <c r="B1365" t="s">
        <v>489</v>
      </c>
      <c r="C1365">
        <v>999999</v>
      </c>
      <c r="D1365" s="2">
        <v>953</v>
      </c>
      <c r="E1365" s="1">
        <v>43186</v>
      </c>
      <c r="F1365" t="str">
        <f>"0856346/0950379"</f>
        <v>0856346/0950379</v>
      </c>
      <c r="G1365" t="str">
        <f>"Quote# 401671-000"</f>
        <v>Quote# 401671-000</v>
      </c>
      <c r="H1365">
        <v>953</v>
      </c>
      <c r="I1365" t="str">
        <f>"ITEM: 0856346"</f>
        <v>ITEM: 0856346</v>
      </c>
    </row>
    <row r="1366" spans="1:10" x14ac:dyDescent="0.3">
      <c r="A1366" t="str">
        <f>""</f>
        <v/>
      </c>
      <c r="F1366" t="str">
        <f>""</f>
        <v/>
      </c>
      <c r="G1366" t="str">
        <f>""</f>
        <v/>
      </c>
      <c r="I1366" t="str">
        <f>"ITEM: 0950379"</f>
        <v>ITEM: 0950379</v>
      </c>
    </row>
    <row r="1367" spans="1:10" x14ac:dyDescent="0.3">
      <c r="A1367" t="str">
        <f>"005015"</f>
        <v>005015</v>
      </c>
      <c r="B1367" t="s">
        <v>490</v>
      </c>
      <c r="C1367">
        <v>75784</v>
      </c>
      <c r="D1367" s="2">
        <v>5</v>
      </c>
      <c r="E1367" s="1">
        <v>43171</v>
      </c>
      <c r="F1367" t="str">
        <f>"201803089393"</f>
        <v>201803089393</v>
      </c>
      <c r="G1367" t="str">
        <f>"FERAL HOGS"</f>
        <v>FERAL HOGS</v>
      </c>
      <c r="H1367">
        <v>5</v>
      </c>
      <c r="I1367" t="str">
        <f>"FERAL HOGS"</f>
        <v>FERAL HOGS</v>
      </c>
    </row>
    <row r="1368" spans="1:10" x14ac:dyDescent="0.3">
      <c r="A1368" t="str">
        <f>"004767"</f>
        <v>004767</v>
      </c>
      <c r="B1368" t="s">
        <v>491</v>
      </c>
      <c r="C1368">
        <v>75963</v>
      </c>
      <c r="D1368" s="2">
        <v>125.35</v>
      </c>
      <c r="E1368" s="1">
        <v>43185</v>
      </c>
      <c r="F1368" t="str">
        <f>"0218-DR14926"</f>
        <v>0218-DR14926</v>
      </c>
      <c r="G1368" t="str">
        <f>"CLIENT ID:CXD 14926/FEB2018"</f>
        <v>CLIENT ID:CXD 14926/FEB2018</v>
      </c>
      <c r="H1368">
        <v>125.35</v>
      </c>
      <c r="I1368" t="str">
        <f>"CLIENT ID:CXD 14926/FEB2018"</f>
        <v>CLIENT ID:CXD 14926/FEB2018</v>
      </c>
    </row>
    <row r="1369" spans="1:10" x14ac:dyDescent="0.3">
      <c r="A1369" t="str">
        <f>"WMP"</f>
        <v>WMP</v>
      </c>
      <c r="B1369" t="s">
        <v>492</v>
      </c>
      <c r="C1369">
        <v>75785</v>
      </c>
      <c r="D1369" s="2">
        <v>60</v>
      </c>
      <c r="E1369" s="1">
        <v>43171</v>
      </c>
      <c r="F1369" t="s">
        <v>212</v>
      </c>
      <c r="G1369" t="s">
        <v>493</v>
      </c>
      <c r="H1369" t="str">
        <f>"RESTITUTION-R. WRIGHT"</f>
        <v>RESTITUTION-R. WRIGHT</v>
      </c>
      <c r="I1369" t="str">
        <f>"210-0000"</f>
        <v>210-0000</v>
      </c>
      <c r="J1369" t="str">
        <f>""</f>
        <v/>
      </c>
    </row>
    <row r="1370" spans="1:10" x14ac:dyDescent="0.3">
      <c r="A1370" t="str">
        <f>""</f>
        <v/>
      </c>
      <c r="F1370" t="s">
        <v>64</v>
      </c>
      <c r="G1370" t="s">
        <v>494</v>
      </c>
      <c r="H1370" t="str">
        <f>"RESTITUTION-A. VILLEGAS"</f>
        <v>RESTITUTION-A. VILLEGAS</v>
      </c>
      <c r="I1370" t="str">
        <f>"210-0000"</f>
        <v>210-0000</v>
      </c>
      <c r="J1370" t="str">
        <f>""</f>
        <v/>
      </c>
    </row>
    <row r="1371" spans="1:10" x14ac:dyDescent="0.3">
      <c r="A1371" t="str">
        <f>"003629"</f>
        <v>003629</v>
      </c>
      <c r="B1371" t="s">
        <v>495</v>
      </c>
      <c r="C1371">
        <v>999999</v>
      </c>
      <c r="D1371" s="2">
        <v>7857.85</v>
      </c>
      <c r="E1371" s="1">
        <v>43172</v>
      </c>
      <c r="F1371" t="str">
        <f>"13590"</f>
        <v>13590</v>
      </c>
      <c r="G1371" t="str">
        <f>"COLD MIX FREIGHT/PCT#3"</f>
        <v>COLD MIX FREIGHT/PCT#3</v>
      </c>
      <c r="H1371">
        <v>2672.45</v>
      </c>
      <c r="I1371" t="str">
        <f>"COLD MIX FREIGHT/PCT#3"</f>
        <v>COLD MIX FREIGHT/PCT#3</v>
      </c>
    </row>
    <row r="1372" spans="1:10" x14ac:dyDescent="0.3">
      <c r="A1372" t="str">
        <f>""</f>
        <v/>
      </c>
      <c r="F1372" t="str">
        <f>"13616"</f>
        <v>13616</v>
      </c>
      <c r="G1372" t="str">
        <f>"COLD MIX FREIGHT/PCT#4"</f>
        <v>COLD MIX FREIGHT/PCT#4</v>
      </c>
      <c r="H1372">
        <v>2565.58</v>
      </c>
      <c r="I1372" t="str">
        <f>"COLD MIX FREIGHT/PCT#4"</f>
        <v>COLD MIX FREIGHT/PCT#4</v>
      </c>
    </row>
    <row r="1373" spans="1:10" x14ac:dyDescent="0.3">
      <c r="A1373" t="str">
        <f>""</f>
        <v/>
      </c>
      <c r="F1373" t="str">
        <f>"13631"</f>
        <v>13631</v>
      </c>
      <c r="G1373" t="str">
        <f>"COLD MIX FREIGHT/PCT#1"</f>
        <v>COLD MIX FREIGHT/PCT#1</v>
      </c>
      <c r="H1373">
        <v>2619.8200000000002</v>
      </c>
      <c r="I1373" t="str">
        <f>"COLD MIX FREIGHT/PCT#1"</f>
        <v>COLD MIX FREIGHT/PCT#1</v>
      </c>
    </row>
    <row r="1374" spans="1:10" x14ac:dyDescent="0.3">
      <c r="A1374" t="str">
        <f>"003629"</f>
        <v>003629</v>
      </c>
      <c r="B1374" t="s">
        <v>495</v>
      </c>
      <c r="C1374">
        <v>999999</v>
      </c>
      <c r="D1374" s="2">
        <v>5335.77</v>
      </c>
      <c r="E1374" s="1">
        <v>43186</v>
      </c>
      <c r="F1374" t="str">
        <f>"13672"</f>
        <v>13672</v>
      </c>
      <c r="G1374" t="str">
        <f>"COLD MIX FREIGHT/PCT#3"</f>
        <v>COLD MIX FREIGHT/PCT#3</v>
      </c>
      <c r="H1374">
        <v>2696.1</v>
      </c>
      <c r="I1374" t="str">
        <f>"COLD MIX FREIGHT/PCT#3"</f>
        <v>COLD MIX FREIGHT/PCT#3</v>
      </c>
    </row>
    <row r="1375" spans="1:10" x14ac:dyDescent="0.3">
      <c r="A1375" t="str">
        <f>""</f>
        <v/>
      </c>
      <c r="F1375" t="str">
        <f>"13717"</f>
        <v>13717</v>
      </c>
      <c r="G1375" t="str">
        <f>"COLD MIX/PCT#1"</f>
        <v>COLD MIX/PCT#1</v>
      </c>
      <c r="H1375">
        <v>2639.67</v>
      </c>
      <c r="I1375" t="str">
        <f>"COLD MIX/PCT#1"</f>
        <v>COLD MIX/PCT#1</v>
      </c>
    </row>
    <row r="1376" spans="1:10" x14ac:dyDescent="0.3">
      <c r="A1376" t="str">
        <f>"WALMAR"</f>
        <v>WALMAR</v>
      </c>
      <c r="B1376" t="s">
        <v>496</v>
      </c>
      <c r="C1376">
        <v>75786</v>
      </c>
      <c r="D1376" s="2">
        <v>1528.19</v>
      </c>
      <c r="E1376" s="1">
        <v>43171</v>
      </c>
      <c r="F1376" t="str">
        <f>"ACCOUNT12476"</f>
        <v>ACCOUNT12476</v>
      </c>
      <c r="G1376" t="str">
        <f>"Acct# 6032202005312476"</f>
        <v>Acct# 6032202005312476</v>
      </c>
      <c r="H1376">
        <v>1528.19</v>
      </c>
      <c r="I1376" t="str">
        <f>"Inv# 004632"</f>
        <v>Inv# 004632</v>
      </c>
    </row>
    <row r="1377" spans="1:9" x14ac:dyDescent="0.3">
      <c r="A1377" t="str">
        <f>""</f>
        <v/>
      </c>
      <c r="F1377" t="str">
        <f>""</f>
        <v/>
      </c>
      <c r="G1377" t="str">
        <f>""</f>
        <v/>
      </c>
      <c r="I1377" t="str">
        <f>"Inv# 006041"</f>
        <v>Inv# 006041</v>
      </c>
    </row>
    <row r="1378" spans="1:9" x14ac:dyDescent="0.3">
      <c r="A1378" t="str">
        <f>""</f>
        <v/>
      </c>
      <c r="F1378" t="str">
        <f>""</f>
        <v/>
      </c>
      <c r="G1378" t="str">
        <f>""</f>
        <v/>
      </c>
      <c r="I1378" t="str">
        <f>"Inv# 004806"</f>
        <v>Inv# 004806</v>
      </c>
    </row>
    <row r="1379" spans="1:9" x14ac:dyDescent="0.3">
      <c r="A1379" t="str">
        <f>""</f>
        <v/>
      </c>
      <c r="F1379" t="str">
        <f>""</f>
        <v/>
      </c>
      <c r="G1379" t="str">
        <f>""</f>
        <v/>
      </c>
      <c r="I1379" t="str">
        <f>"Inv# 009887"</f>
        <v>Inv# 009887</v>
      </c>
    </row>
    <row r="1380" spans="1:9" x14ac:dyDescent="0.3">
      <c r="A1380" t="str">
        <f>""</f>
        <v/>
      </c>
      <c r="F1380" t="str">
        <f>""</f>
        <v/>
      </c>
      <c r="G1380" t="str">
        <f>""</f>
        <v/>
      </c>
      <c r="I1380" t="str">
        <f>"Inv# 009885"</f>
        <v>Inv# 009885</v>
      </c>
    </row>
    <row r="1381" spans="1:9" x14ac:dyDescent="0.3">
      <c r="A1381" t="str">
        <f>""</f>
        <v/>
      </c>
      <c r="F1381" t="str">
        <f>""</f>
        <v/>
      </c>
      <c r="G1381" t="str">
        <f>""</f>
        <v/>
      </c>
      <c r="I1381" t="str">
        <f>"Inv# 009886"</f>
        <v>Inv# 009886</v>
      </c>
    </row>
    <row r="1382" spans="1:9" x14ac:dyDescent="0.3">
      <c r="A1382" t="str">
        <f>""</f>
        <v/>
      </c>
      <c r="F1382" t="str">
        <f>""</f>
        <v/>
      </c>
      <c r="G1382" t="str">
        <f>""</f>
        <v/>
      </c>
      <c r="I1382" t="str">
        <f>"Inv# 009675"</f>
        <v>Inv# 009675</v>
      </c>
    </row>
    <row r="1383" spans="1:9" x14ac:dyDescent="0.3">
      <c r="A1383" t="str">
        <f>""</f>
        <v/>
      </c>
      <c r="F1383" t="str">
        <f>""</f>
        <v/>
      </c>
      <c r="G1383" t="str">
        <f>""</f>
        <v/>
      </c>
      <c r="I1383" t="str">
        <f>"Inv# 008397"</f>
        <v>Inv# 008397</v>
      </c>
    </row>
    <row r="1384" spans="1:9" x14ac:dyDescent="0.3">
      <c r="A1384" t="str">
        <f>""</f>
        <v/>
      </c>
      <c r="F1384" t="str">
        <f>""</f>
        <v/>
      </c>
      <c r="G1384" t="str">
        <f>""</f>
        <v/>
      </c>
      <c r="I1384" t="str">
        <f>"Inv# 005668"</f>
        <v>Inv# 005668</v>
      </c>
    </row>
    <row r="1385" spans="1:9" x14ac:dyDescent="0.3">
      <c r="A1385" t="str">
        <f>""</f>
        <v/>
      </c>
      <c r="F1385" t="str">
        <f>""</f>
        <v/>
      </c>
      <c r="G1385" t="str">
        <f>""</f>
        <v/>
      </c>
      <c r="I1385" t="str">
        <f>"Inv# 004917"</f>
        <v>Inv# 004917</v>
      </c>
    </row>
    <row r="1386" spans="1:9" x14ac:dyDescent="0.3">
      <c r="A1386" t="str">
        <f>""</f>
        <v/>
      </c>
      <c r="F1386" t="str">
        <f>""</f>
        <v/>
      </c>
      <c r="G1386" t="str">
        <f>""</f>
        <v/>
      </c>
      <c r="I1386" t="str">
        <f>"Inv# 004489"</f>
        <v>Inv# 004489</v>
      </c>
    </row>
    <row r="1387" spans="1:9" x14ac:dyDescent="0.3">
      <c r="A1387" t="str">
        <f>""</f>
        <v/>
      </c>
      <c r="F1387" t="str">
        <f>""</f>
        <v/>
      </c>
      <c r="G1387" t="str">
        <f>""</f>
        <v/>
      </c>
      <c r="I1387" t="str">
        <f>"Inv# 007514"</f>
        <v>Inv# 007514</v>
      </c>
    </row>
    <row r="1388" spans="1:9" x14ac:dyDescent="0.3">
      <c r="A1388" t="str">
        <f>""</f>
        <v/>
      </c>
      <c r="F1388" t="str">
        <f>""</f>
        <v/>
      </c>
      <c r="G1388" t="str">
        <f>""</f>
        <v/>
      </c>
      <c r="I1388" t="str">
        <f>"Inv# 008397"</f>
        <v>Inv# 008397</v>
      </c>
    </row>
    <row r="1389" spans="1:9" x14ac:dyDescent="0.3">
      <c r="A1389" t="str">
        <f>""</f>
        <v/>
      </c>
      <c r="F1389" t="str">
        <f>""</f>
        <v/>
      </c>
      <c r="G1389" t="str">
        <f>""</f>
        <v/>
      </c>
      <c r="I1389" t="str">
        <f>"Inv# 005073"</f>
        <v>Inv# 005073</v>
      </c>
    </row>
    <row r="1390" spans="1:9" x14ac:dyDescent="0.3">
      <c r="A1390" t="str">
        <f>""</f>
        <v/>
      </c>
      <c r="F1390" t="str">
        <f>""</f>
        <v/>
      </c>
      <c r="G1390" t="str">
        <f>""</f>
        <v/>
      </c>
      <c r="I1390" t="str">
        <f>"Inv# 000482"</f>
        <v>Inv# 000482</v>
      </c>
    </row>
    <row r="1391" spans="1:9" x14ac:dyDescent="0.3">
      <c r="A1391" t="str">
        <f>""</f>
        <v/>
      </c>
      <c r="F1391" t="str">
        <f>""</f>
        <v/>
      </c>
      <c r="G1391" t="str">
        <f>""</f>
        <v/>
      </c>
      <c r="I1391" t="str">
        <f>"Inv# 000142"</f>
        <v>Inv# 000142</v>
      </c>
    </row>
    <row r="1392" spans="1:9" x14ac:dyDescent="0.3">
      <c r="A1392" t="str">
        <f>"004310"</f>
        <v>004310</v>
      </c>
      <c r="B1392" t="s">
        <v>497</v>
      </c>
      <c r="C1392">
        <v>75787</v>
      </c>
      <c r="D1392" s="2">
        <v>108.68</v>
      </c>
      <c r="E1392" s="1">
        <v>43171</v>
      </c>
      <c r="F1392" t="str">
        <f>"0035920-2162-4"</f>
        <v>0035920-2162-4</v>
      </c>
      <c r="G1392" t="str">
        <f>"ID#16-27603-83003/ANIMAL SVCS"</f>
        <v>ID#16-27603-83003/ANIMAL SVCS</v>
      </c>
      <c r="H1392">
        <v>108.68</v>
      </c>
      <c r="I1392" t="str">
        <f>"ID#16-27603-83003/ANIMAL SVCS"</f>
        <v>ID#16-27603-83003/ANIMAL SVCS</v>
      </c>
    </row>
    <row r="1393" spans="1:9" x14ac:dyDescent="0.3">
      <c r="A1393" t="str">
        <f>"T13139"</f>
        <v>T13139</v>
      </c>
      <c r="B1393" t="s">
        <v>498</v>
      </c>
      <c r="C1393">
        <v>75788</v>
      </c>
      <c r="D1393" s="2">
        <v>5502</v>
      </c>
      <c r="E1393" s="1">
        <v>43171</v>
      </c>
      <c r="F1393" t="str">
        <f>"WARINV002276"</f>
        <v>WARINV002276</v>
      </c>
      <c r="G1393" t="str">
        <f>"SOFTWARE MAINTENANCE"</f>
        <v>SOFTWARE MAINTENANCE</v>
      </c>
      <c r="H1393">
        <v>5502</v>
      </c>
      <c r="I1393" t="str">
        <f>"WAR-VIS-CAM-2ND"</f>
        <v>WAR-VIS-CAM-2ND</v>
      </c>
    </row>
    <row r="1394" spans="1:9" x14ac:dyDescent="0.3">
      <c r="A1394" t="str">
        <f>""</f>
        <v/>
      </c>
      <c r="F1394" t="str">
        <f>""</f>
        <v/>
      </c>
      <c r="G1394" t="str">
        <f>""</f>
        <v/>
      </c>
      <c r="I1394" t="str">
        <f>"WAR-4RE-CAR-2ND"</f>
        <v>WAR-4RE-CAR-2ND</v>
      </c>
    </row>
    <row r="1395" spans="1:9" x14ac:dyDescent="0.3">
      <c r="A1395" t="str">
        <f>""</f>
        <v/>
      </c>
      <c r="F1395" t="str">
        <f>""</f>
        <v/>
      </c>
      <c r="G1395" t="str">
        <f>""</f>
        <v/>
      </c>
      <c r="I1395" t="str">
        <f>"SFW-MNT-EL4-ADD"</f>
        <v>SFW-MNT-EL4-ADD</v>
      </c>
    </row>
    <row r="1396" spans="1:9" x14ac:dyDescent="0.3">
      <c r="A1396" t="str">
        <f>"T5726"</f>
        <v>T5726</v>
      </c>
      <c r="B1396" t="s">
        <v>499</v>
      </c>
      <c r="C1396">
        <v>999999</v>
      </c>
      <c r="D1396" s="2">
        <v>4017</v>
      </c>
      <c r="E1396" s="1">
        <v>43186</v>
      </c>
      <c r="F1396" t="str">
        <f>"1021036"</f>
        <v>1021036</v>
      </c>
      <c r="G1396" t="str">
        <f>"WK ORD#112546"</f>
        <v>WK ORD#112546</v>
      </c>
      <c r="H1396">
        <v>4017</v>
      </c>
      <c r="I1396" t="str">
        <f>"WK ORD#112546"</f>
        <v>WK ORD#112546</v>
      </c>
    </row>
    <row r="1397" spans="1:9" x14ac:dyDescent="0.3">
      <c r="A1397" t="str">
        <f>"004320"</f>
        <v>004320</v>
      </c>
      <c r="B1397" t="s">
        <v>500</v>
      </c>
      <c r="C1397">
        <v>75789</v>
      </c>
      <c r="D1397" s="2">
        <v>565</v>
      </c>
      <c r="E1397" s="1">
        <v>43171</v>
      </c>
      <c r="F1397" t="str">
        <f>"201803089394"</f>
        <v>201803089394</v>
      </c>
      <c r="G1397" t="str">
        <f>"FERAL HOGS"</f>
        <v>FERAL HOGS</v>
      </c>
      <c r="H1397">
        <v>490</v>
      </c>
      <c r="I1397" t="str">
        <f>"FERAL HOGS"</f>
        <v>FERAL HOGS</v>
      </c>
    </row>
    <row r="1398" spans="1:9" x14ac:dyDescent="0.3">
      <c r="A1398" t="str">
        <f>""</f>
        <v/>
      </c>
      <c r="F1398" t="str">
        <f>"201803089395"</f>
        <v>201803089395</v>
      </c>
      <c r="G1398" t="str">
        <f>"FERAL HOGS"</f>
        <v>FERAL HOGS</v>
      </c>
      <c r="H1398">
        <v>75</v>
      </c>
      <c r="I1398" t="str">
        <f>"FERAL HOGS"</f>
        <v>FERAL HOGS</v>
      </c>
    </row>
    <row r="1399" spans="1:9" x14ac:dyDescent="0.3">
      <c r="A1399" t="str">
        <f>"004877"</f>
        <v>004877</v>
      </c>
      <c r="B1399" t="s">
        <v>501</v>
      </c>
      <c r="C1399">
        <v>75810</v>
      </c>
      <c r="D1399" s="2">
        <v>16034.06</v>
      </c>
      <c r="E1399" s="1">
        <v>43173</v>
      </c>
      <c r="F1399" t="str">
        <f>"1701901323"</f>
        <v>1701901323</v>
      </c>
      <c r="G1399" t="str">
        <f>"ACCT#5151-005117630 / 022818"</f>
        <v>ACCT#5151-005117630 / 022818</v>
      </c>
      <c r="H1399">
        <v>238.37</v>
      </c>
      <c r="I1399" t="str">
        <f>"ACCT#5151-005117630 / 022818"</f>
        <v>ACCT#5151-005117630 / 022818</v>
      </c>
    </row>
    <row r="1400" spans="1:9" x14ac:dyDescent="0.3">
      <c r="A1400" t="str">
        <f>""</f>
        <v/>
      </c>
      <c r="F1400" t="str">
        <f>"1701901324"</f>
        <v>1701901324</v>
      </c>
      <c r="G1400" t="str">
        <f>"ACCT#5151-005117766 / 022818"</f>
        <v>ACCT#5151-005117766 / 022818</v>
      </c>
      <c r="H1400">
        <v>104.64</v>
      </c>
      <c r="I1400" t="str">
        <f>"ACCT#5151-005117766 / 022818"</f>
        <v>ACCT#5151-005117766 / 022818</v>
      </c>
    </row>
    <row r="1401" spans="1:9" x14ac:dyDescent="0.3">
      <c r="A1401" t="str">
        <f>""</f>
        <v/>
      </c>
      <c r="F1401" t="str">
        <f>"1701901325"</f>
        <v>1701901325</v>
      </c>
      <c r="G1401" t="str">
        <f>"ACCT#5151-005117838 / 022818"</f>
        <v>ACCT#5151-005117838 / 022818</v>
      </c>
      <c r="H1401">
        <v>96.85</v>
      </c>
      <c r="I1401" t="str">
        <f>"ACCT#5151-005117838 / 022818"</f>
        <v>ACCT#5151-005117838 / 022818</v>
      </c>
    </row>
    <row r="1402" spans="1:9" x14ac:dyDescent="0.3">
      <c r="A1402" t="str">
        <f>""</f>
        <v/>
      </c>
      <c r="F1402" t="str">
        <f>"1701901327"</f>
        <v>1701901327</v>
      </c>
      <c r="G1402" t="str">
        <f>"ACCT#5151-005117882 / 022818"</f>
        <v>ACCT#5151-005117882 / 022818</v>
      </c>
      <c r="H1402">
        <v>130.78</v>
      </c>
      <c r="I1402" t="str">
        <f>"ACCT#5151-005117882 / 022818"</f>
        <v>ACCT#5151-005117882 / 022818</v>
      </c>
    </row>
    <row r="1403" spans="1:9" x14ac:dyDescent="0.3">
      <c r="A1403" t="str">
        <f>""</f>
        <v/>
      </c>
      <c r="F1403" t="str">
        <f>"1701901329"</f>
        <v>1701901329</v>
      </c>
      <c r="G1403" t="str">
        <f>"ACCT#5151-005118183 / 022818"</f>
        <v>ACCT#5151-005118183 / 022818</v>
      </c>
      <c r="H1403">
        <v>561.41999999999996</v>
      </c>
      <c r="I1403" t="str">
        <f>"ACCT#5151-005118183 / 022818"</f>
        <v>ACCT#5151-005118183 / 022818</v>
      </c>
    </row>
    <row r="1404" spans="1:9" x14ac:dyDescent="0.3">
      <c r="A1404" t="str">
        <f>""</f>
        <v/>
      </c>
      <c r="F1404" t="str">
        <f>"1701901342"</f>
        <v>1701901342</v>
      </c>
      <c r="G1404" t="str">
        <f>"ACCT#5150-005129483 / 022818"</f>
        <v>ACCT#5150-005129483 / 022818</v>
      </c>
      <c r="H1404">
        <v>14902</v>
      </c>
      <c r="I1404" t="str">
        <f>"ACCT#5150-005129483 / 022818"</f>
        <v>ACCT#5150-005129483 / 022818</v>
      </c>
    </row>
    <row r="1405" spans="1:9" x14ac:dyDescent="0.3">
      <c r="A1405" t="str">
        <f>"004874"</f>
        <v>004874</v>
      </c>
      <c r="B1405" t="s">
        <v>502</v>
      </c>
      <c r="C1405">
        <v>75964</v>
      </c>
      <c r="D1405" s="2">
        <v>152</v>
      </c>
      <c r="E1405" s="1">
        <v>43185</v>
      </c>
      <c r="F1405" t="str">
        <f>"2432"</f>
        <v>2432</v>
      </c>
      <c r="G1405" t="str">
        <f>"SHIRTS/PCT#1"</f>
        <v>SHIRTS/PCT#1</v>
      </c>
      <c r="H1405">
        <v>152</v>
      </c>
      <c r="I1405" t="str">
        <f>"SHIRTS/PCT#1"</f>
        <v>SHIRTS/PCT#1</v>
      </c>
    </row>
    <row r="1406" spans="1:9" x14ac:dyDescent="0.3">
      <c r="A1406" t="str">
        <f>"LIN"</f>
        <v>LIN</v>
      </c>
      <c r="B1406" t="s">
        <v>503</v>
      </c>
      <c r="C1406">
        <v>999999</v>
      </c>
      <c r="D1406" s="2">
        <v>109.01</v>
      </c>
      <c r="E1406" s="1">
        <v>43172</v>
      </c>
      <c r="F1406" t="str">
        <f>"REIMBURSEMENT"</f>
        <v>REIMBURSEMENT</v>
      </c>
      <c r="G1406" t="str">
        <f>"WEI-ANN LIN  MD PA"</f>
        <v>WEI-ANN LIN  MD PA</v>
      </c>
      <c r="H1406">
        <v>109.01</v>
      </c>
      <c r="I1406" t="str">
        <f>""</f>
        <v/>
      </c>
    </row>
    <row r="1407" spans="1:9" x14ac:dyDescent="0.3">
      <c r="A1407" t="str">
        <f>""</f>
        <v/>
      </c>
      <c r="F1407" t="str">
        <f>""</f>
        <v/>
      </c>
      <c r="G1407" t="str">
        <f>""</f>
        <v/>
      </c>
      <c r="I1407" t="str">
        <f>""</f>
        <v/>
      </c>
    </row>
    <row r="1408" spans="1:9" x14ac:dyDescent="0.3">
      <c r="A1408" t="str">
        <f>"LIN"</f>
        <v>LIN</v>
      </c>
      <c r="B1408" t="s">
        <v>503</v>
      </c>
      <c r="C1408">
        <v>999999</v>
      </c>
      <c r="D1408" s="2">
        <v>12500</v>
      </c>
      <c r="E1408" s="1">
        <v>43186</v>
      </c>
      <c r="F1408" t="str">
        <f>"201803159641"</f>
        <v>201803159641</v>
      </c>
      <c r="G1408" t="str">
        <f>"MEDICAL CONTRACT"</f>
        <v>MEDICAL CONTRACT</v>
      </c>
      <c r="H1408">
        <v>12500</v>
      </c>
      <c r="I1408" t="str">
        <f>"MEDICAL CONTRACT"</f>
        <v>MEDICAL CONTRACT</v>
      </c>
    </row>
    <row r="1409" spans="1:9" x14ac:dyDescent="0.3">
      <c r="A1409" t="str">
        <f>"WPC"</f>
        <v>WPC</v>
      </c>
      <c r="B1409" t="s">
        <v>504</v>
      </c>
      <c r="C1409">
        <v>75965</v>
      </c>
      <c r="D1409" s="2">
        <v>1370</v>
      </c>
      <c r="E1409" s="1">
        <v>43185</v>
      </c>
      <c r="F1409" t="str">
        <f>"837773170"</f>
        <v>837773170</v>
      </c>
      <c r="G1409" t="str">
        <f>"WEST INFO CHRG/ACCT#1000648597"</f>
        <v>WEST INFO CHRG/ACCT#1000648597</v>
      </c>
      <c r="H1409">
        <v>520</v>
      </c>
      <c r="I1409" t="str">
        <f>"WEST INFO CHRG/ACCT#1000648597"</f>
        <v>WEST INFO CHRG/ACCT#1000648597</v>
      </c>
    </row>
    <row r="1410" spans="1:9" x14ac:dyDescent="0.3">
      <c r="A1410" t="str">
        <f>""</f>
        <v/>
      </c>
      <c r="F1410" t="str">
        <f>"837791176"</f>
        <v>837791176</v>
      </c>
      <c r="G1410" t="str">
        <f>"WEST INFO CHARGES/02/01-02/28"</f>
        <v>WEST INFO CHARGES/02/01-02/28</v>
      </c>
      <c r="H1410">
        <v>850</v>
      </c>
      <c r="I1410" t="str">
        <f>"WEST INFO CHARGES/02/01-02/28"</f>
        <v>WEST INFO CHARGES/02/01-02/28</v>
      </c>
    </row>
    <row r="1411" spans="1:9" x14ac:dyDescent="0.3">
      <c r="A1411" t="str">
        <f>"004074"</f>
        <v>004074</v>
      </c>
      <c r="B1411" t="s">
        <v>505</v>
      </c>
      <c r="C1411">
        <v>999999</v>
      </c>
      <c r="D1411" s="2">
        <v>7913.75</v>
      </c>
      <c r="E1411" s="1">
        <v>43186</v>
      </c>
      <c r="F1411" t="str">
        <f>"19938"</f>
        <v>19938</v>
      </c>
      <c r="G1411" t="str">
        <f>"INV 19938"</f>
        <v>INV 19938</v>
      </c>
      <c r="H1411">
        <v>7913.75</v>
      </c>
      <c r="I1411" t="str">
        <f>"INV 19938"</f>
        <v>INV 19938</v>
      </c>
    </row>
    <row r="1412" spans="1:9" x14ac:dyDescent="0.3">
      <c r="A1412" t="str">
        <f>"004240"</f>
        <v>004240</v>
      </c>
      <c r="B1412" t="s">
        <v>506</v>
      </c>
      <c r="C1412">
        <v>75790</v>
      </c>
      <c r="D1412" s="2">
        <v>37982.9</v>
      </c>
      <c r="E1412" s="1">
        <v>43171</v>
      </c>
      <c r="F1412" t="str">
        <f>"1293"</f>
        <v>1293</v>
      </c>
      <c r="G1412" t="str">
        <f>"SITE WORK/PCT#2"</f>
        <v>SITE WORK/PCT#2</v>
      </c>
      <c r="H1412">
        <v>37982.9</v>
      </c>
      <c r="I1412" t="str">
        <f>"SITE WORK/PCT#2"</f>
        <v>SITE WORK/PCT#2</v>
      </c>
    </row>
    <row r="1413" spans="1:9" x14ac:dyDescent="0.3">
      <c r="A1413" t="str">
        <f>"XEROXC"</f>
        <v>XEROXC</v>
      </c>
      <c r="B1413" t="s">
        <v>507</v>
      </c>
      <c r="C1413">
        <v>75966</v>
      </c>
      <c r="D1413" s="2">
        <v>366.88</v>
      </c>
      <c r="E1413" s="1">
        <v>43185</v>
      </c>
      <c r="F1413" t="str">
        <f>"092520463"</f>
        <v>092520463</v>
      </c>
      <c r="G1413" t="str">
        <f>"REF#VTX00000X-000/CUS#66244593"</f>
        <v>REF#VTX00000X-000/CUS#66244593</v>
      </c>
      <c r="H1413">
        <v>151.21</v>
      </c>
      <c r="I1413" t="str">
        <f>"REF#VTX00000X-000/CUS#66244593"</f>
        <v>REF#VTX00000X-000/CUS#66244593</v>
      </c>
    </row>
    <row r="1414" spans="1:9" x14ac:dyDescent="0.3">
      <c r="A1414" t="str">
        <f>""</f>
        <v/>
      </c>
      <c r="F1414" t="str">
        <f>"092520464"</f>
        <v>092520464</v>
      </c>
      <c r="G1414" t="str">
        <f>"REF#VTX00000X-000/CUS#66244593"</f>
        <v>REF#VTX00000X-000/CUS#66244593</v>
      </c>
      <c r="H1414">
        <v>153.4</v>
      </c>
      <c r="I1414" t="str">
        <f>"REF#VTX00000X-000/CUS#66244593"</f>
        <v>REF#VTX00000X-000/CUS#66244593</v>
      </c>
    </row>
    <row r="1415" spans="1:9" x14ac:dyDescent="0.3">
      <c r="A1415" t="str">
        <f>""</f>
        <v/>
      </c>
      <c r="F1415" t="str">
        <f>"092520465"</f>
        <v>092520465</v>
      </c>
      <c r="G1415" t="str">
        <f>"REF#VTX00000X-000/CUS#72323084"</f>
        <v>REF#VTX00000X-000/CUS#72323084</v>
      </c>
      <c r="H1415">
        <v>62.27</v>
      </c>
      <c r="I1415" t="str">
        <f>"REF#VTX00000X-000/CUS#72323084"</f>
        <v>REF#VTX00000X-000/CUS#72323084</v>
      </c>
    </row>
    <row r="1416" spans="1:9" x14ac:dyDescent="0.3">
      <c r="A1416" t="str">
        <f>"004354"</f>
        <v>004354</v>
      </c>
      <c r="B1416" t="s">
        <v>508</v>
      </c>
      <c r="C1416">
        <v>75967</v>
      </c>
      <c r="D1416" s="2">
        <v>300</v>
      </c>
      <c r="E1416" s="1">
        <v>43185</v>
      </c>
      <c r="F1416" t="str">
        <f>"0013414"</f>
        <v>0013414</v>
      </c>
      <c r="G1416" t="str">
        <f>"CANCELLATION FOR FEB 13 &amp; 15"</f>
        <v>CANCELLATION FOR FEB 13 &amp; 15</v>
      </c>
      <c r="H1416">
        <v>300</v>
      </c>
      <c r="I1416" t="str">
        <f>"CANCELLATION FOR FEB 13 &amp; 15"</f>
        <v>CANCELLATION FOR FEB 13 &amp; 15</v>
      </c>
    </row>
    <row r="1417" spans="1:9" x14ac:dyDescent="0.3">
      <c r="A1417" t="str">
        <f>"005225"</f>
        <v>005225</v>
      </c>
      <c r="B1417" t="s">
        <v>509</v>
      </c>
      <c r="C1417">
        <v>75791</v>
      </c>
      <c r="D1417" s="2">
        <v>1625</v>
      </c>
      <c r="E1417" s="1">
        <v>43171</v>
      </c>
      <c r="F1417" t="str">
        <f>"29697"</f>
        <v>29697</v>
      </c>
      <c r="G1417" t="str">
        <f>"INV 29697"</f>
        <v>INV 29697</v>
      </c>
      <c r="H1417">
        <v>325</v>
      </c>
      <c r="I1417" t="str">
        <f>"INV 29697"</f>
        <v>INV 29697</v>
      </c>
    </row>
    <row r="1418" spans="1:9" x14ac:dyDescent="0.3">
      <c r="A1418" t="str">
        <f>""</f>
        <v/>
      </c>
      <c r="F1418" t="str">
        <f>"29698"</f>
        <v>29698</v>
      </c>
      <c r="G1418" t="str">
        <f>"INV 29698"</f>
        <v>INV 29698</v>
      </c>
      <c r="H1418">
        <v>1300</v>
      </c>
      <c r="I1418" t="str">
        <f>"INV 29698"</f>
        <v>INV 29698</v>
      </c>
    </row>
    <row r="1419" spans="1:9" x14ac:dyDescent="0.3">
      <c r="A1419" t="str">
        <f>"002481"</f>
        <v>002481</v>
      </c>
      <c r="B1419" t="s">
        <v>510</v>
      </c>
      <c r="C1419">
        <v>75792</v>
      </c>
      <c r="D1419" s="2">
        <v>146.18</v>
      </c>
      <c r="E1419" s="1">
        <v>43171</v>
      </c>
      <c r="F1419" t="str">
        <f>"201803079337"</f>
        <v>201803079337</v>
      </c>
      <c r="G1419" t="str">
        <f>"INDIGENT HEALTH"</f>
        <v>INDIGENT HEALTH</v>
      </c>
      <c r="H1419">
        <v>146.18</v>
      </c>
      <c r="I1419" t="str">
        <f>"INDIGENT HEALTH"</f>
        <v>INDIGENT HEALTH</v>
      </c>
    </row>
    <row r="1420" spans="1:9" x14ac:dyDescent="0.3">
      <c r="A1420" t="str">
        <f>"T4634"</f>
        <v>T4634</v>
      </c>
      <c r="B1420" t="s">
        <v>511</v>
      </c>
      <c r="C1420">
        <v>75793</v>
      </c>
      <c r="D1420" s="2">
        <v>290.74</v>
      </c>
      <c r="E1420" s="1">
        <v>43171</v>
      </c>
      <c r="F1420" t="str">
        <f>"9003289006"</f>
        <v>9003289006</v>
      </c>
      <c r="G1420" t="str">
        <f>"CUST#31041142/PCT#4"</f>
        <v>CUST#31041142/PCT#4</v>
      </c>
      <c r="H1420">
        <v>290.74</v>
      </c>
      <c r="I1420" t="str">
        <f>"CUST#31041142/PCT#4"</f>
        <v>CUST#31041142/PCT#4</v>
      </c>
    </row>
    <row r="1421" spans="1:9" x14ac:dyDescent="0.3">
      <c r="A1421" t="str">
        <f>"T4634"</f>
        <v>T4634</v>
      </c>
      <c r="B1421" t="s">
        <v>511</v>
      </c>
      <c r="C1421">
        <v>75968</v>
      </c>
      <c r="D1421" s="2">
        <v>154.66999999999999</v>
      </c>
      <c r="E1421" s="1">
        <v>43185</v>
      </c>
      <c r="F1421" t="str">
        <f>"9003300346"</f>
        <v>9003300346</v>
      </c>
      <c r="G1421" t="str">
        <f>"CUST#11160300/PCT#1"</f>
        <v>CUST#11160300/PCT#1</v>
      </c>
      <c r="H1421">
        <v>154.66999999999999</v>
      </c>
      <c r="I1421" t="str">
        <f>"CUST#11160300/PCT#1"</f>
        <v>CUST#11160300/PCT#1</v>
      </c>
    </row>
    <row r="1422" spans="1:9" x14ac:dyDescent="0.3">
      <c r="A1422" t="str">
        <f>"004928"</f>
        <v>004928</v>
      </c>
      <c r="B1422" t="s">
        <v>512</v>
      </c>
      <c r="C1422">
        <v>75794</v>
      </c>
      <c r="D1422" s="2">
        <v>214.43</v>
      </c>
      <c r="E1422" s="1">
        <v>43171</v>
      </c>
      <c r="F1422" t="str">
        <f>"5WTZ4/5WTZ5"</f>
        <v>5WTZ4/5WTZ5</v>
      </c>
      <c r="G1422" t="str">
        <f>"Tarps"</f>
        <v>Tarps</v>
      </c>
      <c r="H1422">
        <v>115.38</v>
      </c>
      <c r="I1422" t="str">
        <f>"5WTZ4"</f>
        <v>5WTZ4</v>
      </c>
    </row>
    <row r="1423" spans="1:9" x14ac:dyDescent="0.3">
      <c r="A1423" t="str">
        <f>""</f>
        <v/>
      </c>
      <c r="F1423" t="str">
        <f>""</f>
        <v/>
      </c>
      <c r="G1423" t="str">
        <f>""</f>
        <v/>
      </c>
      <c r="I1423" t="str">
        <f>"5WTZ5"</f>
        <v>5WTZ5</v>
      </c>
    </row>
    <row r="1424" spans="1:9" x14ac:dyDescent="0.3">
      <c r="A1424" t="str">
        <f>""</f>
        <v/>
      </c>
      <c r="F1424" t="str">
        <f>"INV4143258"</f>
        <v>INV4143258</v>
      </c>
      <c r="G1424" t="str">
        <f>"items to reduce damage"</f>
        <v>items to reduce damage</v>
      </c>
      <c r="H1424">
        <v>99.05</v>
      </c>
      <c r="I1424" t="str">
        <f>"Zoro #: G2450831"</f>
        <v>Zoro #: G2450831</v>
      </c>
    </row>
    <row r="1425" spans="1:9" x14ac:dyDescent="0.3">
      <c r="A1425" t="str">
        <f>""</f>
        <v/>
      </c>
      <c r="F1425" t="str">
        <f>""</f>
        <v/>
      </c>
      <c r="G1425" t="str">
        <f>""</f>
        <v/>
      </c>
      <c r="I1425" t="str">
        <f>"Zoro #: G2621543"</f>
        <v>Zoro #: G2621543</v>
      </c>
    </row>
    <row r="1426" spans="1:9" x14ac:dyDescent="0.3">
      <c r="A1426" t="str">
        <f>""</f>
        <v/>
      </c>
      <c r="F1426" t="str">
        <f>""</f>
        <v/>
      </c>
      <c r="G1426" t="str">
        <f>""</f>
        <v/>
      </c>
      <c r="I1426" t="str">
        <f>"Zoro #: G0702633"</f>
        <v>Zoro #: G0702633</v>
      </c>
    </row>
    <row r="1427" spans="1:9" x14ac:dyDescent="0.3">
      <c r="A1427" t="str">
        <f>"001960"</f>
        <v>001960</v>
      </c>
      <c r="B1427" t="s">
        <v>513</v>
      </c>
      <c r="C1427">
        <v>75969</v>
      </c>
      <c r="D1427" s="2">
        <v>150575</v>
      </c>
      <c r="E1427" s="1">
        <v>43185</v>
      </c>
      <c r="F1427" t="str">
        <f>"PAY APP#1"</f>
        <v>PAY APP#1</v>
      </c>
      <c r="G1427" t="str">
        <f>"Pay App#1 CedarCreek Park"</f>
        <v>Pay App#1 CedarCreek Park</v>
      </c>
      <c r="H1427">
        <v>150575</v>
      </c>
      <c r="I1427" t="str">
        <f>"Pay App#1 CedarCreek Park"</f>
        <v>Pay App#1 CedarCreek Park</v>
      </c>
    </row>
    <row r="1428" spans="1:9" x14ac:dyDescent="0.3">
      <c r="A1428" t="str">
        <f>"AQUAB"</f>
        <v>AQUAB</v>
      </c>
      <c r="B1428" t="s">
        <v>37</v>
      </c>
      <c r="C1428">
        <v>75795</v>
      </c>
      <c r="D1428" s="2">
        <v>62.84</v>
      </c>
      <c r="E1428" s="1">
        <v>43171</v>
      </c>
      <c r="F1428" t="str">
        <f>"201803058981"</f>
        <v>201803058981</v>
      </c>
      <c r="G1428" t="str">
        <f>"ACCT#015397/BOOT CAMP"</f>
        <v>ACCT#015397/BOOT CAMP</v>
      </c>
      <c r="H1428">
        <v>62.84</v>
      </c>
      <c r="I1428" t="str">
        <f>"ACCT#015397/BOOT CAMP"</f>
        <v>ACCT#015397/BOOT CAMP</v>
      </c>
    </row>
    <row r="1429" spans="1:9" x14ac:dyDescent="0.3">
      <c r="A1429" t="str">
        <f>"B&amp;B"</f>
        <v>B&amp;B</v>
      </c>
      <c r="B1429" t="s">
        <v>55</v>
      </c>
      <c r="C1429">
        <v>75796</v>
      </c>
      <c r="D1429" s="2">
        <v>36.25</v>
      </c>
      <c r="E1429" s="1">
        <v>43171</v>
      </c>
      <c r="F1429" t="str">
        <f>"201803079292"</f>
        <v>201803079292</v>
      </c>
      <c r="G1429" t="str">
        <f>"CUST#1645/OEM"</f>
        <v>CUST#1645/OEM</v>
      </c>
      <c r="H1429">
        <v>23.55</v>
      </c>
      <c r="I1429" t="str">
        <f>"CUST#1645/OEM"</f>
        <v>CUST#1645/OEM</v>
      </c>
    </row>
    <row r="1430" spans="1:9" x14ac:dyDescent="0.3">
      <c r="A1430" t="str">
        <f>""</f>
        <v/>
      </c>
      <c r="F1430" t="str">
        <f>"9205-562766"</f>
        <v>9205-562766</v>
      </c>
      <c r="G1430" t="str">
        <f>"CUST#1595/REF#753261/BOOTCAMP"</f>
        <v>CUST#1595/REF#753261/BOOTCAMP</v>
      </c>
      <c r="H1430">
        <v>12.7</v>
      </c>
      <c r="I1430" t="str">
        <f>"CUST#1595/REF#753261/BOOTCAMP"</f>
        <v>CUST#1595/REF#753261/BOOTCAMP</v>
      </c>
    </row>
    <row r="1431" spans="1:9" x14ac:dyDescent="0.3">
      <c r="A1431" t="str">
        <f>"T3799"</f>
        <v>T3799</v>
      </c>
      <c r="B1431" t="s">
        <v>69</v>
      </c>
      <c r="C1431">
        <v>75970</v>
      </c>
      <c r="D1431" s="2">
        <v>2380.37</v>
      </c>
      <c r="E1431" s="1">
        <v>43185</v>
      </c>
      <c r="F1431" t="str">
        <f>"182"</f>
        <v>182</v>
      </c>
      <c r="G1431" t="str">
        <f>"Invoice # 182"</f>
        <v>Invoice # 182</v>
      </c>
      <c r="H1431">
        <v>2380.37</v>
      </c>
      <c r="I1431" t="str">
        <f>"2/26/2018"</f>
        <v>2/26/2018</v>
      </c>
    </row>
    <row r="1432" spans="1:9" x14ac:dyDescent="0.3">
      <c r="A1432" t="str">
        <f>""</f>
        <v/>
      </c>
      <c r="F1432" t="str">
        <f>""</f>
        <v/>
      </c>
      <c r="G1432" t="str">
        <f>""</f>
        <v/>
      </c>
      <c r="I1432" t="str">
        <f>"2/26/2018"</f>
        <v>2/26/2018</v>
      </c>
    </row>
    <row r="1433" spans="1:9" x14ac:dyDescent="0.3">
      <c r="A1433" t="str">
        <f>""</f>
        <v/>
      </c>
      <c r="F1433" t="str">
        <f>""</f>
        <v/>
      </c>
      <c r="G1433" t="str">
        <f>""</f>
        <v/>
      </c>
      <c r="I1433" t="str">
        <f>"Vehicles using Pumps"</f>
        <v>Vehicles using Pumps</v>
      </c>
    </row>
    <row r="1434" spans="1:9" x14ac:dyDescent="0.3">
      <c r="A1434" t="str">
        <f>"BEC"</f>
        <v>BEC</v>
      </c>
      <c r="B1434" t="s">
        <v>86</v>
      </c>
      <c r="C1434">
        <v>75811</v>
      </c>
      <c r="D1434" s="2">
        <v>415.68</v>
      </c>
      <c r="E1434" s="1">
        <v>43173</v>
      </c>
      <c r="F1434" t="str">
        <f>"201803149595"</f>
        <v>201803149595</v>
      </c>
      <c r="G1434" t="str">
        <f>"ACCT#5000057374 / 03/06/2018"</f>
        <v>ACCT#5000057374 / 03/06/2018</v>
      </c>
      <c r="H1434">
        <v>415.68</v>
      </c>
      <c r="I1434" t="str">
        <f>"ACCT#5000057374 / 03/06/2018"</f>
        <v>ACCT#5000057374 / 03/06/2018</v>
      </c>
    </row>
    <row r="1435" spans="1:9" x14ac:dyDescent="0.3">
      <c r="A1435" t="str">
        <f>"002469"</f>
        <v>002469</v>
      </c>
      <c r="B1435" t="s">
        <v>514</v>
      </c>
      <c r="C1435">
        <v>75797</v>
      </c>
      <c r="D1435" s="2">
        <v>1356.63</v>
      </c>
      <c r="E1435" s="1">
        <v>43171</v>
      </c>
      <c r="F1435" t="str">
        <f>"15901-27"</f>
        <v>15901-27</v>
      </c>
      <c r="G1435" t="str">
        <f>"PROJ#B15159.01"</f>
        <v>PROJ#B15159.01</v>
      </c>
      <c r="H1435">
        <v>1356.63</v>
      </c>
      <c r="I1435" t="str">
        <f>"PROJ#B15159.01"</f>
        <v>PROJ#B15159.01</v>
      </c>
    </row>
    <row r="1436" spans="1:9" x14ac:dyDescent="0.3">
      <c r="A1436" t="str">
        <f>"COB"</f>
        <v>COB</v>
      </c>
      <c r="B1436" t="s">
        <v>116</v>
      </c>
      <c r="C1436">
        <v>75798</v>
      </c>
      <c r="D1436" s="2">
        <v>284439.45</v>
      </c>
      <c r="E1436" s="1">
        <v>43171</v>
      </c>
      <c r="F1436" t="str">
        <f>"201803028919"</f>
        <v>201803028919</v>
      </c>
      <c r="G1436" t="str">
        <f>"SHELTER GRANT REIMBURSEMENT #7"</f>
        <v>SHELTER GRANT REIMBURSEMENT #7</v>
      </c>
      <c r="H1436">
        <v>284439.45</v>
      </c>
      <c r="I1436" t="str">
        <f>"SHELTER GRANT REIMBURSEMENT #7"</f>
        <v>SHELTER GRANT REIMBURSEMENT #7</v>
      </c>
    </row>
    <row r="1437" spans="1:9" x14ac:dyDescent="0.3">
      <c r="A1437" t="str">
        <f>"ECO"</f>
        <v>ECO</v>
      </c>
      <c r="B1437" t="s">
        <v>515</v>
      </c>
      <c r="C1437">
        <v>75799</v>
      </c>
      <c r="D1437" s="2">
        <v>154236.9</v>
      </c>
      <c r="E1437" s="1">
        <v>43171</v>
      </c>
      <c r="F1437" t="str">
        <f>"201802288898"</f>
        <v>201802288898</v>
      </c>
      <c r="G1437" t="str">
        <f>"CITY OF ELGIN REC CENTER PROJ"</f>
        <v>CITY OF ELGIN REC CENTER PROJ</v>
      </c>
      <c r="H1437">
        <v>154236.9</v>
      </c>
      <c r="I1437" t="str">
        <f>"CITY OF ELGIN REC CENTER PROJ"</f>
        <v>CITY OF ELGIN REC CENTER PROJ</v>
      </c>
    </row>
    <row r="1438" spans="1:9" x14ac:dyDescent="0.3">
      <c r="A1438" t="str">
        <f>"SCO"</f>
        <v>SCO</v>
      </c>
      <c r="B1438" t="s">
        <v>516</v>
      </c>
      <c r="C1438">
        <v>75800</v>
      </c>
      <c r="D1438" s="2">
        <v>242</v>
      </c>
      <c r="E1438" s="1">
        <v>43171</v>
      </c>
      <c r="F1438" t="str">
        <f>"201803018915"</f>
        <v>201803018915</v>
      </c>
      <c r="G1438" t="str">
        <f>"REC CENTER EXPANSION"</f>
        <v>REC CENTER EXPANSION</v>
      </c>
      <c r="H1438">
        <v>242</v>
      </c>
      <c r="I1438" t="str">
        <f>"REC CENTER EXPANSION"</f>
        <v>REC CENTER EXPANSION</v>
      </c>
    </row>
    <row r="1439" spans="1:9" x14ac:dyDescent="0.3">
      <c r="A1439" t="str">
        <f>"005469"</f>
        <v>005469</v>
      </c>
      <c r="B1439" t="s">
        <v>122</v>
      </c>
      <c r="C1439">
        <v>75971</v>
      </c>
      <c r="D1439" s="2">
        <v>140</v>
      </c>
      <c r="E1439" s="1">
        <v>43185</v>
      </c>
      <c r="F1439" t="str">
        <f>"201803149633"</f>
        <v>201803149633</v>
      </c>
      <c r="G1439" t="str">
        <f>"REFUND LPHCP"</f>
        <v>REFUND LPHCP</v>
      </c>
      <c r="H1439">
        <v>140</v>
      </c>
      <c r="I1439" t="str">
        <f>"REFUND LPHCP"</f>
        <v>REFUND LPHCP</v>
      </c>
    </row>
    <row r="1440" spans="1:9" x14ac:dyDescent="0.3">
      <c r="A1440" t="str">
        <f>"004691"</f>
        <v>004691</v>
      </c>
      <c r="B1440" t="s">
        <v>184</v>
      </c>
      <c r="C1440">
        <v>75801</v>
      </c>
      <c r="D1440" s="2">
        <v>13.66</v>
      </c>
      <c r="E1440" s="1">
        <v>43171</v>
      </c>
      <c r="F1440" t="str">
        <f>"STM#NP52759547"</f>
        <v>STM#NP52759547</v>
      </c>
      <c r="G1440" t="str">
        <f>"Stm# NP52759547"</f>
        <v>Stm# NP52759547</v>
      </c>
      <c r="H1440">
        <v>13.66</v>
      </c>
      <c r="I1440" t="str">
        <f>"OEM"</f>
        <v>OEM</v>
      </c>
    </row>
    <row r="1441" spans="1:9" x14ac:dyDescent="0.3">
      <c r="A1441" t="str">
        <f>"003545"</f>
        <v>003545</v>
      </c>
      <c r="B1441" t="s">
        <v>223</v>
      </c>
      <c r="C1441">
        <v>75972</v>
      </c>
      <c r="D1441" s="2">
        <v>565.69000000000005</v>
      </c>
      <c r="E1441" s="1">
        <v>43185</v>
      </c>
      <c r="F1441" t="str">
        <f>"171144/171143"</f>
        <v>171144/171143</v>
      </c>
      <c r="G1441" t="str">
        <f>"Inv# 171144 &amp; 171143"</f>
        <v>Inv# 171144 &amp; 171143</v>
      </c>
      <c r="H1441">
        <v>565.69000000000005</v>
      </c>
      <c r="I1441" t="str">
        <f>"171144-Cylinder Repa"</f>
        <v>171144-Cylinder Repa</v>
      </c>
    </row>
    <row r="1442" spans="1:9" x14ac:dyDescent="0.3">
      <c r="A1442" t="str">
        <f>""</f>
        <v/>
      </c>
      <c r="F1442" t="str">
        <f>""</f>
        <v/>
      </c>
      <c r="G1442" t="str">
        <f>""</f>
        <v/>
      </c>
      <c r="I1442" t="str">
        <f>"171143-Braided Hose"</f>
        <v>171143-Braided Hose</v>
      </c>
    </row>
    <row r="1443" spans="1:9" x14ac:dyDescent="0.3">
      <c r="A1443" t="str">
        <f>"005361"</f>
        <v>005361</v>
      </c>
      <c r="B1443" t="s">
        <v>517</v>
      </c>
      <c r="C1443">
        <v>75973</v>
      </c>
      <c r="D1443" s="2">
        <v>14000</v>
      </c>
      <c r="E1443" s="1">
        <v>43185</v>
      </c>
      <c r="F1443" t="str">
        <f>"4"</f>
        <v>4</v>
      </c>
      <c r="G1443" t="str">
        <f>"COMM. SYSTEM UPGRADE"</f>
        <v>COMM. SYSTEM UPGRADE</v>
      </c>
      <c r="H1443">
        <v>14000</v>
      </c>
      <c r="I1443" t="str">
        <f>"COMM.SYSTEM UPGRADE"</f>
        <v>COMM.SYSTEM UPGRADE</v>
      </c>
    </row>
    <row r="1444" spans="1:9" x14ac:dyDescent="0.3">
      <c r="A1444" t="str">
        <f>"005119"</f>
        <v>005119</v>
      </c>
      <c r="B1444" t="s">
        <v>518</v>
      </c>
      <c r="C1444">
        <v>75974</v>
      </c>
      <c r="D1444" s="2">
        <v>25200.46</v>
      </c>
      <c r="E1444" s="1">
        <v>43185</v>
      </c>
      <c r="F1444" t="str">
        <f>"201802029"</f>
        <v>201802029</v>
      </c>
      <c r="G1444" t="str">
        <f>"PROJ#2017072"</f>
        <v>PROJ#2017072</v>
      </c>
      <c r="H1444">
        <v>25200.46</v>
      </c>
      <c r="I1444" t="str">
        <f>"PROJ#2017072"</f>
        <v>PROJ#2017072</v>
      </c>
    </row>
    <row r="1445" spans="1:9" x14ac:dyDescent="0.3">
      <c r="A1445" t="str">
        <f>"004401"</f>
        <v>004401</v>
      </c>
      <c r="B1445" t="s">
        <v>519</v>
      </c>
      <c r="C1445">
        <v>75975</v>
      </c>
      <c r="D1445" s="2">
        <v>1409.86</v>
      </c>
      <c r="E1445" s="1">
        <v>43185</v>
      </c>
      <c r="F1445" t="str">
        <f>"CUST#1006635"</f>
        <v>CUST#1006635</v>
      </c>
      <c r="G1445" t="str">
        <f>"Customer# 1006635"</f>
        <v>Customer# 1006635</v>
      </c>
      <c r="H1445">
        <v>1409.86</v>
      </c>
      <c r="I1445" t="str">
        <f>"Doc#50C276983A"</f>
        <v>Doc#50C276983A</v>
      </c>
    </row>
    <row r="1446" spans="1:9" x14ac:dyDescent="0.3">
      <c r="A1446" t="str">
        <f>""</f>
        <v/>
      </c>
      <c r="F1446" t="str">
        <f>""</f>
        <v/>
      </c>
      <c r="G1446" t="str">
        <f>""</f>
        <v/>
      </c>
      <c r="I1446" t="str">
        <f>"Doc#50C276996"</f>
        <v>Doc#50C276996</v>
      </c>
    </row>
    <row r="1447" spans="1:9" x14ac:dyDescent="0.3">
      <c r="A1447" t="str">
        <f>""</f>
        <v/>
      </c>
      <c r="F1447" t="str">
        <f>""</f>
        <v/>
      </c>
      <c r="G1447" t="str">
        <f>""</f>
        <v/>
      </c>
      <c r="I1447" t="str">
        <f>"Doc#50C275558"</f>
        <v>Doc#50C275558</v>
      </c>
    </row>
    <row r="1448" spans="1:9" x14ac:dyDescent="0.3">
      <c r="A1448" t="str">
        <f>""</f>
        <v/>
      </c>
      <c r="F1448" t="str">
        <f>""</f>
        <v/>
      </c>
      <c r="G1448" t="str">
        <f>""</f>
        <v/>
      </c>
      <c r="I1448" t="str">
        <f>"Doc#50C272549"</f>
        <v>Doc#50C272549</v>
      </c>
    </row>
    <row r="1449" spans="1:9" x14ac:dyDescent="0.3">
      <c r="A1449" t="str">
        <f>""</f>
        <v/>
      </c>
      <c r="F1449" t="str">
        <f>""</f>
        <v/>
      </c>
      <c r="G1449" t="str">
        <f>""</f>
        <v/>
      </c>
      <c r="I1449" t="str">
        <f>"Doc#50C275558A"</f>
        <v>Doc#50C275558A</v>
      </c>
    </row>
    <row r="1450" spans="1:9" x14ac:dyDescent="0.3">
      <c r="A1450" t="str">
        <f>""</f>
        <v/>
      </c>
      <c r="F1450" t="str">
        <f>""</f>
        <v/>
      </c>
      <c r="G1450" t="str">
        <f>""</f>
        <v/>
      </c>
      <c r="I1450" t="str">
        <f>"Doc#50C273832"</f>
        <v>Doc#50C273832</v>
      </c>
    </row>
    <row r="1451" spans="1:9" x14ac:dyDescent="0.3">
      <c r="A1451" t="str">
        <f>""</f>
        <v/>
      </c>
      <c r="F1451" t="str">
        <f>""</f>
        <v/>
      </c>
      <c r="G1451" t="str">
        <f>""</f>
        <v/>
      </c>
      <c r="I1451" t="str">
        <f>"Doc#50C273726"</f>
        <v>Doc#50C273726</v>
      </c>
    </row>
    <row r="1452" spans="1:9" x14ac:dyDescent="0.3">
      <c r="A1452" t="str">
        <f>"OP"</f>
        <v>OP</v>
      </c>
      <c r="B1452" t="s">
        <v>374</v>
      </c>
      <c r="C1452">
        <v>75976</v>
      </c>
      <c r="D1452" s="2">
        <v>822</v>
      </c>
      <c r="E1452" s="1">
        <v>43185</v>
      </c>
      <c r="F1452" t="str">
        <f>"17296"</f>
        <v>17296</v>
      </c>
      <c r="G1452" t="str">
        <f>"PLUMBING SVCS/MIKE FISHER BLDG"</f>
        <v>PLUMBING SVCS/MIKE FISHER BLDG</v>
      </c>
      <c r="H1452">
        <v>822</v>
      </c>
      <c r="I1452" t="str">
        <f>"PLUMBING SVCS/MIKE FISHER BLDG"</f>
        <v>PLUMBING SVCS/MIKE FISHER BLDG</v>
      </c>
    </row>
    <row r="1453" spans="1:9" x14ac:dyDescent="0.3">
      <c r="A1453" t="str">
        <f>"005140"</f>
        <v>005140</v>
      </c>
      <c r="B1453" t="s">
        <v>520</v>
      </c>
      <c r="C1453">
        <v>75977</v>
      </c>
      <c r="D1453" s="2">
        <v>77697.5</v>
      </c>
      <c r="E1453" s="1">
        <v>43185</v>
      </c>
      <c r="F1453" t="str">
        <f>"858"</f>
        <v>858</v>
      </c>
      <c r="G1453" t="str">
        <f>"PROJ#2017.008.00"</f>
        <v>PROJ#2017.008.00</v>
      </c>
      <c r="H1453">
        <v>30184</v>
      </c>
      <c r="I1453" t="str">
        <f>"PROJ#2017.008.00"</f>
        <v>PROJ#2017.008.00</v>
      </c>
    </row>
    <row r="1454" spans="1:9" x14ac:dyDescent="0.3">
      <c r="A1454" t="str">
        <f>""</f>
        <v/>
      </c>
      <c r="F1454" t="str">
        <f>"881"</f>
        <v>881</v>
      </c>
      <c r="G1454" t="str">
        <f>"PROJ#2017.008.00"</f>
        <v>PROJ#2017.008.00</v>
      </c>
      <c r="H1454">
        <v>34496</v>
      </c>
      <c r="I1454" t="str">
        <f>"PROJ#2017.008.00"</f>
        <v>PROJ#2017.008.00</v>
      </c>
    </row>
    <row r="1455" spans="1:9" x14ac:dyDescent="0.3">
      <c r="A1455" t="str">
        <f>""</f>
        <v/>
      </c>
      <c r="F1455" t="str">
        <f>"900"</f>
        <v>900</v>
      </c>
      <c r="G1455" t="str">
        <f>"PROJ#2017.008.00"</f>
        <v>PROJ#2017.008.00</v>
      </c>
      <c r="H1455">
        <v>13017.5</v>
      </c>
      <c r="I1455" t="str">
        <f>"PROJ#2017.008.00"</f>
        <v>PROJ#2017.008.00</v>
      </c>
    </row>
    <row r="1456" spans="1:9" x14ac:dyDescent="0.3">
      <c r="A1456" t="str">
        <f>"003697"</f>
        <v>003697</v>
      </c>
      <c r="B1456" t="s">
        <v>521</v>
      </c>
      <c r="C1456">
        <v>75802</v>
      </c>
      <c r="D1456" s="2">
        <v>190.56</v>
      </c>
      <c r="E1456" s="1">
        <v>43171</v>
      </c>
      <c r="F1456" t="str">
        <f>"139191"</f>
        <v>139191</v>
      </c>
      <c r="G1456" t="str">
        <f>"CUST#77957/2015 FORD"</f>
        <v>CUST#77957/2015 FORD</v>
      </c>
      <c r="H1456">
        <v>190.56</v>
      </c>
      <c r="I1456" t="str">
        <f>"CUST#77957/2015 FORD"</f>
        <v>CUST#77957/2015 FORD</v>
      </c>
    </row>
    <row r="1457" spans="1:9" x14ac:dyDescent="0.3">
      <c r="A1457" t="str">
        <f>"003697"</f>
        <v>003697</v>
      </c>
      <c r="B1457" t="s">
        <v>521</v>
      </c>
      <c r="C1457">
        <v>75978</v>
      </c>
      <c r="D1457" s="2">
        <v>15.2</v>
      </c>
      <c r="E1457" s="1">
        <v>43185</v>
      </c>
      <c r="F1457" t="str">
        <f>"24457"</f>
        <v>24457</v>
      </c>
      <c r="G1457" t="str">
        <f>"ACCT#35019/OEM"</f>
        <v>ACCT#35019/OEM</v>
      </c>
      <c r="H1457">
        <v>15.2</v>
      </c>
      <c r="I1457" t="str">
        <f>"ACCT#35019/OEM"</f>
        <v>ACCT#35019/OEM</v>
      </c>
    </row>
    <row r="1458" spans="1:9" x14ac:dyDescent="0.3">
      <c r="A1458" t="str">
        <f>"T10195"</f>
        <v>T10195</v>
      </c>
      <c r="B1458" t="s">
        <v>421</v>
      </c>
      <c r="C1458">
        <v>75979</v>
      </c>
      <c r="D1458" s="2">
        <v>140939.5</v>
      </c>
      <c r="E1458" s="1">
        <v>43185</v>
      </c>
      <c r="F1458" t="str">
        <f>"14880426"</f>
        <v>14880426</v>
      </c>
      <c r="G1458" t="str">
        <f>"DATA STORAGE"</f>
        <v>DATA STORAGE</v>
      </c>
      <c r="H1458">
        <v>34739.5</v>
      </c>
      <c r="I1458" t="str">
        <f>"SHI GOVERNMENT SOLUTIONS INC."</f>
        <v>SHI GOVERNMENT SOLUTIONS INC.</v>
      </c>
    </row>
    <row r="1459" spans="1:9" x14ac:dyDescent="0.3">
      <c r="A1459" t="str">
        <f>""</f>
        <v/>
      </c>
      <c r="F1459" t="str">
        <f>"14880426A"</f>
        <v>14880426A</v>
      </c>
      <c r="G1459" t="str">
        <f>"DATA STORAGE"</f>
        <v>DATA STORAGE</v>
      </c>
      <c r="H1459">
        <v>106200</v>
      </c>
      <c r="I1459" t="str">
        <f>"DATA STORAGE"</f>
        <v>DATA STORAGE</v>
      </c>
    </row>
    <row r="1460" spans="1:9" x14ac:dyDescent="0.3">
      <c r="A1460" t="str">
        <f>"T12966"</f>
        <v>T12966</v>
      </c>
      <c r="B1460" t="s">
        <v>522</v>
      </c>
      <c r="C1460">
        <v>75803</v>
      </c>
      <c r="D1460" s="2">
        <v>3364.47</v>
      </c>
      <c r="E1460" s="1">
        <v>43171</v>
      </c>
      <c r="F1460" t="str">
        <f>"INV4173/INV4074"</f>
        <v>INV4173/INV4074</v>
      </c>
      <c r="G1460" t="str">
        <f>"Security Cameras"</f>
        <v>Security Cameras</v>
      </c>
      <c r="H1460">
        <v>3364.47</v>
      </c>
      <c r="I1460" t="str">
        <f>"XS8"</f>
        <v>XS8</v>
      </c>
    </row>
    <row r="1461" spans="1:9" x14ac:dyDescent="0.3">
      <c r="A1461" t="str">
        <f>""</f>
        <v/>
      </c>
      <c r="F1461" t="str">
        <f>""</f>
        <v/>
      </c>
      <c r="G1461" t="str">
        <f>""</f>
        <v/>
      </c>
      <c r="I1461" t="str">
        <f>"HFSE"</f>
        <v>HFSE</v>
      </c>
    </row>
    <row r="1462" spans="1:9" x14ac:dyDescent="0.3">
      <c r="A1462" t="str">
        <f>""</f>
        <v/>
      </c>
      <c r="F1462" t="str">
        <f>""</f>
        <v/>
      </c>
      <c r="G1462" t="str">
        <f>""</f>
        <v/>
      </c>
      <c r="I1462" t="str">
        <f>"PYTHONCABLELOCK"</f>
        <v>PYTHONCABLELOCK</v>
      </c>
    </row>
    <row r="1463" spans="1:9" x14ac:dyDescent="0.3">
      <c r="A1463" t="str">
        <f>""</f>
        <v/>
      </c>
      <c r="F1463" t="str">
        <f>""</f>
        <v/>
      </c>
      <c r="G1463" t="str">
        <f>""</f>
        <v/>
      </c>
      <c r="I1463" t="str">
        <f>"SD32GIG"</f>
        <v>SD32GIG</v>
      </c>
    </row>
    <row r="1464" spans="1:9" x14ac:dyDescent="0.3">
      <c r="A1464" t="str">
        <f>""</f>
        <v/>
      </c>
      <c r="F1464" t="str">
        <f>""</f>
        <v/>
      </c>
      <c r="G1464" t="str">
        <f>""</f>
        <v/>
      </c>
      <c r="I1464" t="str">
        <f>"FEG"</f>
        <v>FEG</v>
      </c>
    </row>
    <row r="1465" spans="1:9" x14ac:dyDescent="0.3">
      <c r="A1465" t="str">
        <f>"TAC1"</f>
        <v>TAC1</v>
      </c>
      <c r="B1465" t="s">
        <v>453</v>
      </c>
      <c r="C1465">
        <v>75804</v>
      </c>
      <c r="D1465" s="2">
        <v>2419.1999999999998</v>
      </c>
      <c r="E1465" s="1">
        <v>43171</v>
      </c>
      <c r="F1465" t="str">
        <f>"20509-WC2  (240)"</f>
        <v>20509-WC2  (240)</v>
      </c>
      <c r="G1465" t="str">
        <f>"2018 2ND QTR WRKS COMP/0110"</f>
        <v>2018 2ND QTR WRKS COMP/0110</v>
      </c>
      <c r="H1465">
        <v>70.62</v>
      </c>
      <c r="I1465" t="str">
        <f>"2018 2ND QTR WRKS COMP/0110"</f>
        <v>2018 2ND QTR WRKS COMP/0110</v>
      </c>
    </row>
    <row r="1466" spans="1:9" x14ac:dyDescent="0.3">
      <c r="A1466" t="str">
        <f>""</f>
        <v/>
      </c>
      <c r="F1466" t="str">
        <f>"20509-WC2  (245)"</f>
        <v>20509-WC2  (245)</v>
      </c>
      <c r="G1466" t="str">
        <f>"2018 2ND QTR WKRS COMP/0110"</f>
        <v>2018 2ND QTR WKRS COMP/0110</v>
      </c>
      <c r="H1466">
        <v>2348.58</v>
      </c>
      <c r="I1466" t="str">
        <f>"2018 2ND QTR WKRS COMP/0110"</f>
        <v>2018 2ND QTR WKRS COMP/0110</v>
      </c>
    </row>
    <row r="1467" spans="1:9" x14ac:dyDescent="0.3">
      <c r="A1467" t="str">
        <f>"WALMAR"</f>
        <v>WALMAR</v>
      </c>
      <c r="B1467" t="s">
        <v>496</v>
      </c>
      <c r="C1467">
        <v>75805</v>
      </c>
      <c r="D1467" s="2">
        <v>37.86</v>
      </c>
      <c r="E1467" s="1">
        <v>43171</v>
      </c>
      <c r="F1467" t="str">
        <f>"000261"</f>
        <v>000261</v>
      </c>
      <c r="G1467" t="str">
        <f>"Acct# 6032202005312476"</f>
        <v>Acct# 6032202005312476</v>
      </c>
      <c r="H1467">
        <v>37.86</v>
      </c>
      <c r="I1467" t="str">
        <f>"Inv# 000261"</f>
        <v>Inv# 000261</v>
      </c>
    </row>
    <row r="1468" spans="1:9" x14ac:dyDescent="0.3">
      <c r="A1468" t="str">
        <f>"ALLSTA"</f>
        <v>ALLSTA</v>
      </c>
      <c r="B1468" t="s">
        <v>523</v>
      </c>
      <c r="C1468">
        <v>0</v>
      </c>
      <c r="D1468" s="2">
        <v>7668.45</v>
      </c>
      <c r="E1468" s="1">
        <v>43185</v>
      </c>
      <c r="F1468" t="str">
        <f>"201803269742"</f>
        <v>201803269742</v>
      </c>
      <c r="G1468" t="str">
        <f>"ALLSTATE-AMERICAN HERITAGE LIF"</f>
        <v>ALLSTATE-AMERICAN HERITAGE LIF</v>
      </c>
      <c r="H1468">
        <v>7.0000000000000007E-2</v>
      </c>
      <c r="I1468" t="str">
        <f>"ALLSTATE-AMERICAN HERITAGE LIF"</f>
        <v>ALLSTATE-AMERICAN HERITAGE LIF</v>
      </c>
    </row>
    <row r="1469" spans="1:9" x14ac:dyDescent="0.3">
      <c r="A1469" t="str">
        <f>""</f>
        <v/>
      </c>
      <c r="F1469" t="str">
        <f>"AS 201803079264"</f>
        <v>AS 201803079264</v>
      </c>
      <c r="G1469" t="str">
        <f t="shared" ref="G1469:G1482" si="16">"ALLSTATE"</f>
        <v>ALLSTATE</v>
      </c>
      <c r="H1469">
        <v>751.7</v>
      </c>
      <c r="I1469" t="str">
        <f t="shared" ref="I1469:I1482" si="17">"ALLSTATE"</f>
        <v>ALLSTATE</v>
      </c>
    </row>
    <row r="1470" spans="1:9" x14ac:dyDescent="0.3">
      <c r="A1470" t="str">
        <f>""</f>
        <v/>
      </c>
      <c r="F1470" t="str">
        <f>"AS 201803079268"</f>
        <v>AS 201803079268</v>
      </c>
      <c r="G1470" t="str">
        <f t="shared" si="16"/>
        <v>ALLSTATE</v>
      </c>
      <c r="H1470">
        <v>36.14</v>
      </c>
      <c r="I1470" t="str">
        <f t="shared" si="17"/>
        <v>ALLSTATE</v>
      </c>
    </row>
    <row r="1471" spans="1:9" x14ac:dyDescent="0.3">
      <c r="A1471" t="str">
        <f>""</f>
        <v/>
      </c>
      <c r="F1471" t="str">
        <f>"AS 201803219715"</f>
        <v>AS 201803219715</v>
      </c>
      <c r="G1471" t="str">
        <f t="shared" si="16"/>
        <v>ALLSTATE</v>
      </c>
      <c r="H1471">
        <v>36.14</v>
      </c>
      <c r="I1471" t="str">
        <f t="shared" si="17"/>
        <v>ALLSTATE</v>
      </c>
    </row>
    <row r="1472" spans="1:9" x14ac:dyDescent="0.3">
      <c r="A1472" t="str">
        <f>""</f>
        <v/>
      </c>
      <c r="F1472" t="str">
        <f>"AS 201803219717"</f>
        <v>AS 201803219717</v>
      </c>
      <c r="G1472" t="str">
        <f t="shared" si="16"/>
        <v>ALLSTATE</v>
      </c>
      <c r="H1472">
        <v>751.7</v>
      </c>
      <c r="I1472" t="str">
        <f t="shared" si="17"/>
        <v>ALLSTATE</v>
      </c>
    </row>
    <row r="1473" spans="1:9" x14ac:dyDescent="0.3">
      <c r="A1473" t="str">
        <f>""</f>
        <v/>
      </c>
      <c r="F1473" t="str">
        <f>"ASD201803079264"</f>
        <v>ASD201803079264</v>
      </c>
      <c r="G1473" t="str">
        <f t="shared" si="16"/>
        <v>ALLSTATE</v>
      </c>
      <c r="H1473">
        <v>267.73</v>
      </c>
      <c r="I1473" t="str">
        <f t="shared" si="17"/>
        <v>ALLSTATE</v>
      </c>
    </row>
    <row r="1474" spans="1:9" x14ac:dyDescent="0.3">
      <c r="A1474" t="str">
        <f>""</f>
        <v/>
      </c>
      <c r="F1474" t="str">
        <f>"ASD201803219717"</f>
        <v>ASD201803219717</v>
      </c>
      <c r="G1474" t="str">
        <f t="shared" si="16"/>
        <v>ALLSTATE</v>
      </c>
      <c r="H1474">
        <v>267.73</v>
      </c>
      <c r="I1474" t="str">
        <f t="shared" si="17"/>
        <v>ALLSTATE</v>
      </c>
    </row>
    <row r="1475" spans="1:9" x14ac:dyDescent="0.3">
      <c r="A1475" t="str">
        <f>""</f>
        <v/>
      </c>
      <c r="F1475" t="str">
        <f>"ASI201803079264"</f>
        <v>ASI201803079264</v>
      </c>
      <c r="G1475" t="str">
        <f t="shared" si="16"/>
        <v>ALLSTATE</v>
      </c>
      <c r="H1475">
        <v>970.66</v>
      </c>
      <c r="I1475" t="str">
        <f t="shared" si="17"/>
        <v>ALLSTATE</v>
      </c>
    </row>
    <row r="1476" spans="1:9" x14ac:dyDescent="0.3">
      <c r="A1476" t="str">
        <f>""</f>
        <v/>
      </c>
      <c r="F1476" t="str">
        <f>"ASI201803079268"</f>
        <v>ASI201803079268</v>
      </c>
      <c r="G1476" t="str">
        <f t="shared" si="16"/>
        <v>ALLSTATE</v>
      </c>
      <c r="H1476">
        <v>100.63</v>
      </c>
      <c r="I1476" t="str">
        <f t="shared" si="17"/>
        <v>ALLSTATE</v>
      </c>
    </row>
    <row r="1477" spans="1:9" x14ac:dyDescent="0.3">
      <c r="A1477" t="str">
        <f>""</f>
        <v/>
      </c>
      <c r="F1477" t="str">
        <f>"ASI201803219715"</f>
        <v>ASI201803219715</v>
      </c>
      <c r="G1477" t="str">
        <f t="shared" si="16"/>
        <v>ALLSTATE</v>
      </c>
      <c r="H1477">
        <v>100.63</v>
      </c>
      <c r="I1477" t="str">
        <f t="shared" si="17"/>
        <v>ALLSTATE</v>
      </c>
    </row>
    <row r="1478" spans="1:9" x14ac:dyDescent="0.3">
      <c r="A1478" t="str">
        <f>""</f>
        <v/>
      </c>
      <c r="F1478" t="str">
        <f>"ASI201803219717"</f>
        <v>ASI201803219717</v>
      </c>
      <c r="G1478" t="str">
        <f t="shared" si="16"/>
        <v>ALLSTATE</v>
      </c>
      <c r="H1478">
        <v>970.66</v>
      </c>
      <c r="I1478" t="str">
        <f t="shared" si="17"/>
        <v>ALLSTATE</v>
      </c>
    </row>
    <row r="1479" spans="1:9" x14ac:dyDescent="0.3">
      <c r="A1479" t="str">
        <f>""</f>
        <v/>
      </c>
      <c r="F1479" t="str">
        <f>"AST201803079264"</f>
        <v>AST201803079264</v>
      </c>
      <c r="G1479" t="str">
        <f t="shared" si="16"/>
        <v>ALLSTATE</v>
      </c>
      <c r="H1479">
        <v>1653.5</v>
      </c>
      <c r="I1479" t="str">
        <f t="shared" si="17"/>
        <v>ALLSTATE</v>
      </c>
    </row>
    <row r="1480" spans="1:9" x14ac:dyDescent="0.3">
      <c r="A1480" t="str">
        <f>""</f>
        <v/>
      </c>
      <c r="F1480" t="str">
        <f>"AST201803079268"</f>
        <v>AST201803079268</v>
      </c>
      <c r="G1480" t="str">
        <f t="shared" si="16"/>
        <v>ALLSTATE</v>
      </c>
      <c r="H1480">
        <v>53.83</v>
      </c>
      <c r="I1480" t="str">
        <f t="shared" si="17"/>
        <v>ALLSTATE</v>
      </c>
    </row>
    <row r="1481" spans="1:9" x14ac:dyDescent="0.3">
      <c r="A1481" t="str">
        <f>""</f>
        <v/>
      </c>
      <c r="F1481" t="str">
        <f>"AST201803219715"</f>
        <v>AST201803219715</v>
      </c>
      <c r="G1481" t="str">
        <f t="shared" si="16"/>
        <v>ALLSTATE</v>
      </c>
      <c r="H1481">
        <v>53.83</v>
      </c>
      <c r="I1481" t="str">
        <f t="shared" si="17"/>
        <v>ALLSTATE</v>
      </c>
    </row>
    <row r="1482" spans="1:9" x14ac:dyDescent="0.3">
      <c r="A1482" t="str">
        <f>""</f>
        <v/>
      </c>
      <c r="F1482" t="str">
        <f>"AST201803219717"</f>
        <v>AST201803219717</v>
      </c>
      <c r="G1482" t="str">
        <f t="shared" si="16"/>
        <v>ALLSTATE</v>
      </c>
      <c r="H1482">
        <v>1653.5</v>
      </c>
      <c r="I1482" t="str">
        <f t="shared" si="17"/>
        <v>ALLSTATE</v>
      </c>
    </row>
    <row r="1483" spans="1:9" x14ac:dyDescent="0.3">
      <c r="A1483" t="str">
        <f>"T12180"</f>
        <v>T12180</v>
      </c>
      <c r="B1483" t="s">
        <v>524</v>
      </c>
      <c r="C1483">
        <v>0</v>
      </c>
      <c r="D1483" s="2">
        <v>3153.21</v>
      </c>
      <c r="E1483" s="1">
        <v>43168</v>
      </c>
      <c r="F1483" t="str">
        <f>"DDP201803079269"</f>
        <v>DDP201803079269</v>
      </c>
      <c r="G1483" t="str">
        <f>"AP - TEXAS DISCOUNT DENTAL"</f>
        <v>AP - TEXAS DISCOUNT DENTAL</v>
      </c>
      <c r="H1483">
        <v>6.53</v>
      </c>
      <c r="I1483" t="str">
        <f>"AP - TEXAS DISCOUNT DENTAL"</f>
        <v>AP - TEXAS DISCOUNT DENTAL</v>
      </c>
    </row>
    <row r="1484" spans="1:9" x14ac:dyDescent="0.3">
      <c r="A1484" t="str">
        <f>""</f>
        <v/>
      </c>
      <c r="F1484" t="str">
        <f>"DHM201803079269"</f>
        <v>DHM201803079269</v>
      </c>
      <c r="G1484" t="str">
        <f>"AP - DENTAL HMO"</f>
        <v>AP - DENTAL HMO</v>
      </c>
      <c r="H1484">
        <v>30.7</v>
      </c>
      <c r="I1484" t="str">
        <f>"AP - DENTAL HMO"</f>
        <v>AP - DENTAL HMO</v>
      </c>
    </row>
    <row r="1485" spans="1:9" x14ac:dyDescent="0.3">
      <c r="A1485" t="str">
        <f>""</f>
        <v/>
      </c>
      <c r="F1485" t="str">
        <f>"DTX201803079269"</f>
        <v>DTX201803079269</v>
      </c>
      <c r="G1485" t="str">
        <f>"AP - TEXAS DENTAL"</f>
        <v>AP - TEXAS DENTAL</v>
      </c>
      <c r="H1485">
        <v>397.64</v>
      </c>
      <c r="I1485" t="str">
        <f>"AP - TEXAS DENTAL"</f>
        <v>AP - TEXAS DENTAL</v>
      </c>
    </row>
    <row r="1486" spans="1:9" x14ac:dyDescent="0.3">
      <c r="A1486" t="str">
        <f>""</f>
        <v/>
      </c>
      <c r="F1486" t="str">
        <f>"FD 201803079269"</f>
        <v>FD 201803079269</v>
      </c>
      <c r="G1486" t="str">
        <f>"AP - FT DEARBORN PRE-TAX"</f>
        <v>AP - FT DEARBORN PRE-TAX</v>
      </c>
      <c r="H1486">
        <v>223.43</v>
      </c>
      <c r="I1486" t="str">
        <f>"AP - FT DEARBORN PRE-TAX"</f>
        <v>AP - FT DEARBORN PRE-TAX</v>
      </c>
    </row>
    <row r="1487" spans="1:9" x14ac:dyDescent="0.3">
      <c r="A1487" t="str">
        <f>""</f>
        <v/>
      </c>
      <c r="F1487" t="str">
        <f>"FDT201803079269"</f>
        <v>FDT201803079269</v>
      </c>
      <c r="G1487" t="str">
        <f>"AP - FT DEARBORN AFTER TAX"</f>
        <v>AP - FT DEARBORN AFTER TAX</v>
      </c>
      <c r="H1487">
        <v>86.54</v>
      </c>
      <c r="I1487" t="str">
        <f>"AP - FT DEARBORN AFTER TAX"</f>
        <v>AP - FT DEARBORN AFTER TAX</v>
      </c>
    </row>
    <row r="1488" spans="1:9" x14ac:dyDescent="0.3">
      <c r="A1488" t="str">
        <f>""</f>
        <v/>
      </c>
      <c r="F1488" t="str">
        <f>"FLX201803079269"</f>
        <v>FLX201803079269</v>
      </c>
      <c r="G1488" t="str">
        <f>"AP - TEX FLEX"</f>
        <v>AP - TEX FLEX</v>
      </c>
      <c r="H1488">
        <v>312</v>
      </c>
      <c r="I1488" t="str">
        <f>"AP - TEX FLEX"</f>
        <v>AP - TEX FLEX</v>
      </c>
    </row>
    <row r="1489" spans="1:9" x14ac:dyDescent="0.3">
      <c r="A1489" t="str">
        <f>""</f>
        <v/>
      </c>
      <c r="F1489" t="str">
        <f>"MHS201803079269"</f>
        <v>MHS201803079269</v>
      </c>
      <c r="G1489" t="str">
        <f>"AP - HEALTH SELECT MEDICAL"</f>
        <v>AP - HEALTH SELECT MEDICAL</v>
      </c>
      <c r="H1489">
        <v>1787.8</v>
      </c>
      <c r="I1489" t="str">
        <f>"AP - HEALTH SELECT MEDICAL"</f>
        <v>AP - HEALTH SELECT MEDICAL</v>
      </c>
    </row>
    <row r="1490" spans="1:9" x14ac:dyDescent="0.3">
      <c r="A1490" t="str">
        <f>""</f>
        <v/>
      </c>
      <c r="F1490" t="str">
        <f>"MSW201803079269"</f>
        <v>MSW201803079269</v>
      </c>
      <c r="G1490" t="str">
        <f>"AP - SCOTT &amp; WHITE MEDICAL"</f>
        <v>AP - SCOTT &amp; WHITE MEDICAL</v>
      </c>
      <c r="H1490">
        <v>291.82</v>
      </c>
      <c r="I1490" t="str">
        <f>"AP - SCOTT &amp; WHITE MEDICAL"</f>
        <v>AP - SCOTT &amp; WHITE MEDICAL</v>
      </c>
    </row>
    <row r="1491" spans="1:9" x14ac:dyDescent="0.3">
      <c r="A1491" t="str">
        <f>""</f>
        <v/>
      </c>
      <c r="F1491" t="str">
        <f>"SPE201803079269"</f>
        <v>SPE201803079269</v>
      </c>
      <c r="G1491" t="str">
        <f>"AP - STATE VISION"</f>
        <v>AP - STATE VISION</v>
      </c>
      <c r="H1491">
        <v>16.75</v>
      </c>
      <c r="I1491" t="str">
        <f>"AP - STATE VISION"</f>
        <v>AP - STATE VISION</v>
      </c>
    </row>
    <row r="1492" spans="1:9" x14ac:dyDescent="0.3">
      <c r="A1492" t="str">
        <f>"T12180"</f>
        <v>T12180</v>
      </c>
      <c r="B1492" t="s">
        <v>524</v>
      </c>
      <c r="C1492">
        <v>0</v>
      </c>
      <c r="D1492" s="2">
        <v>3153.21</v>
      </c>
      <c r="E1492" s="1">
        <v>43182</v>
      </c>
      <c r="F1492" t="str">
        <f>"DDP201803219716"</f>
        <v>DDP201803219716</v>
      </c>
      <c r="G1492" t="str">
        <f>"AP - TEXAS DISCOUNT DENTAL"</f>
        <v>AP - TEXAS DISCOUNT DENTAL</v>
      </c>
      <c r="H1492">
        <v>6.53</v>
      </c>
      <c r="I1492" t="str">
        <f>"AP - TEXAS DISCOUNT DENTAL"</f>
        <v>AP - TEXAS DISCOUNT DENTAL</v>
      </c>
    </row>
    <row r="1493" spans="1:9" x14ac:dyDescent="0.3">
      <c r="A1493" t="str">
        <f>""</f>
        <v/>
      </c>
      <c r="F1493" t="str">
        <f>"DHM201803219716"</f>
        <v>DHM201803219716</v>
      </c>
      <c r="G1493" t="str">
        <f>"AP - DENTAL HMO"</f>
        <v>AP - DENTAL HMO</v>
      </c>
      <c r="H1493">
        <v>30.7</v>
      </c>
      <c r="I1493" t="str">
        <f>"AP - DENTAL HMO"</f>
        <v>AP - DENTAL HMO</v>
      </c>
    </row>
    <row r="1494" spans="1:9" x14ac:dyDescent="0.3">
      <c r="A1494" t="str">
        <f>""</f>
        <v/>
      </c>
      <c r="F1494" t="str">
        <f>"DTX201803219716"</f>
        <v>DTX201803219716</v>
      </c>
      <c r="G1494" t="str">
        <f>"AP - TEXAS DENTAL"</f>
        <v>AP - TEXAS DENTAL</v>
      </c>
      <c r="H1494">
        <v>397.64</v>
      </c>
      <c r="I1494" t="str">
        <f>"AP - TEXAS DENTAL"</f>
        <v>AP - TEXAS DENTAL</v>
      </c>
    </row>
    <row r="1495" spans="1:9" x14ac:dyDescent="0.3">
      <c r="A1495" t="str">
        <f>""</f>
        <v/>
      </c>
      <c r="F1495" t="str">
        <f>"FD 201803219716"</f>
        <v>FD 201803219716</v>
      </c>
      <c r="G1495" t="str">
        <f>"AP - FT DEARBORN PRE-TAX"</f>
        <v>AP - FT DEARBORN PRE-TAX</v>
      </c>
      <c r="H1495">
        <v>223.43</v>
      </c>
      <c r="I1495" t="str">
        <f>"AP - FT DEARBORN PRE-TAX"</f>
        <v>AP - FT DEARBORN PRE-TAX</v>
      </c>
    </row>
    <row r="1496" spans="1:9" x14ac:dyDescent="0.3">
      <c r="A1496" t="str">
        <f>""</f>
        <v/>
      </c>
      <c r="F1496" t="str">
        <f>"FDT201803219716"</f>
        <v>FDT201803219716</v>
      </c>
      <c r="G1496" t="str">
        <f>"AP - FT DEARBORN AFTER TAX"</f>
        <v>AP - FT DEARBORN AFTER TAX</v>
      </c>
      <c r="H1496">
        <v>86.54</v>
      </c>
      <c r="I1496" t="str">
        <f>"AP - FT DEARBORN AFTER TAX"</f>
        <v>AP - FT DEARBORN AFTER TAX</v>
      </c>
    </row>
    <row r="1497" spans="1:9" x14ac:dyDescent="0.3">
      <c r="A1497" t="str">
        <f>""</f>
        <v/>
      </c>
      <c r="F1497" t="str">
        <f>"FLX201803219716"</f>
        <v>FLX201803219716</v>
      </c>
      <c r="G1497" t="str">
        <f>"AP - TEX FLEX"</f>
        <v>AP - TEX FLEX</v>
      </c>
      <c r="H1497">
        <v>312</v>
      </c>
      <c r="I1497" t="str">
        <f>"AP - TEX FLEX"</f>
        <v>AP - TEX FLEX</v>
      </c>
    </row>
    <row r="1498" spans="1:9" x14ac:dyDescent="0.3">
      <c r="A1498" t="str">
        <f>""</f>
        <v/>
      </c>
      <c r="F1498" t="str">
        <f>"MHS201803219716"</f>
        <v>MHS201803219716</v>
      </c>
      <c r="G1498" t="str">
        <f>"AP - HEALTH SELECT MEDICAL"</f>
        <v>AP - HEALTH SELECT MEDICAL</v>
      </c>
      <c r="H1498">
        <v>1787.8</v>
      </c>
      <c r="I1498" t="str">
        <f>"AP - HEALTH SELECT MEDICAL"</f>
        <v>AP - HEALTH SELECT MEDICAL</v>
      </c>
    </row>
    <row r="1499" spans="1:9" x14ac:dyDescent="0.3">
      <c r="A1499" t="str">
        <f>""</f>
        <v/>
      </c>
      <c r="F1499" t="str">
        <f>"MSW201803219716"</f>
        <v>MSW201803219716</v>
      </c>
      <c r="G1499" t="str">
        <f>"AP - SCOTT &amp; WHITE MEDICAL"</f>
        <v>AP - SCOTT &amp; WHITE MEDICAL</v>
      </c>
      <c r="H1499">
        <v>291.82</v>
      </c>
      <c r="I1499" t="str">
        <f>"AP - SCOTT &amp; WHITE MEDICAL"</f>
        <v>AP - SCOTT &amp; WHITE MEDICAL</v>
      </c>
    </row>
    <row r="1500" spans="1:9" x14ac:dyDescent="0.3">
      <c r="A1500" t="str">
        <f>""</f>
        <v/>
      </c>
      <c r="F1500" t="str">
        <f>"SPE201803219716"</f>
        <v>SPE201803219716</v>
      </c>
      <c r="G1500" t="str">
        <f>"AP - STATE VISION"</f>
        <v>AP - STATE VISION</v>
      </c>
      <c r="H1500">
        <v>16.75</v>
      </c>
      <c r="I1500" t="str">
        <f>"AP - STATE VISION"</f>
        <v>AP - STATE VISION</v>
      </c>
    </row>
    <row r="1501" spans="1:9" x14ac:dyDescent="0.3">
      <c r="A1501" t="str">
        <f>"COLONI"</f>
        <v>COLONI</v>
      </c>
      <c r="B1501" t="s">
        <v>525</v>
      </c>
      <c r="C1501">
        <v>0</v>
      </c>
      <c r="D1501" s="2">
        <v>5123.5</v>
      </c>
      <c r="E1501" s="1">
        <v>43185</v>
      </c>
      <c r="F1501" t="str">
        <f>"CL 201803079264"</f>
        <v>CL 201803079264</v>
      </c>
      <c r="G1501" t="str">
        <f t="shared" ref="G1501:G1522" si="18">"COLONIAL"</f>
        <v>COLONIAL</v>
      </c>
      <c r="H1501">
        <v>780.17</v>
      </c>
      <c r="I1501" t="str">
        <f t="shared" ref="I1501:I1522" si="19">"COLONIAL"</f>
        <v>COLONIAL</v>
      </c>
    </row>
    <row r="1502" spans="1:9" x14ac:dyDescent="0.3">
      <c r="A1502" t="str">
        <f>""</f>
        <v/>
      </c>
      <c r="F1502" t="str">
        <f>"CL 201803079268"</f>
        <v>CL 201803079268</v>
      </c>
      <c r="G1502" t="str">
        <f t="shared" si="18"/>
        <v>COLONIAL</v>
      </c>
      <c r="H1502">
        <v>14.49</v>
      </c>
      <c r="I1502" t="str">
        <f t="shared" si="19"/>
        <v>COLONIAL</v>
      </c>
    </row>
    <row r="1503" spans="1:9" x14ac:dyDescent="0.3">
      <c r="A1503" t="str">
        <f>""</f>
        <v/>
      </c>
      <c r="F1503" t="str">
        <f>"CL 201803219715"</f>
        <v>CL 201803219715</v>
      </c>
      <c r="G1503" t="str">
        <f t="shared" si="18"/>
        <v>COLONIAL</v>
      </c>
      <c r="H1503">
        <v>14.49</v>
      </c>
      <c r="I1503" t="str">
        <f t="shared" si="19"/>
        <v>COLONIAL</v>
      </c>
    </row>
    <row r="1504" spans="1:9" x14ac:dyDescent="0.3">
      <c r="A1504" t="str">
        <f>""</f>
        <v/>
      </c>
      <c r="F1504" t="str">
        <f>"CL 201803219717"</f>
        <v>CL 201803219717</v>
      </c>
      <c r="G1504" t="str">
        <f t="shared" si="18"/>
        <v>COLONIAL</v>
      </c>
      <c r="H1504">
        <v>780.17</v>
      </c>
      <c r="I1504" t="str">
        <f t="shared" si="19"/>
        <v>COLONIAL</v>
      </c>
    </row>
    <row r="1505" spans="1:9" x14ac:dyDescent="0.3">
      <c r="A1505" t="str">
        <f>""</f>
        <v/>
      </c>
      <c r="F1505" t="str">
        <f>"CLC201803079264"</f>
        <v>CLC201803079264</v>
      </c>
      <c r="G1505" t="str">
        <f t="shared" si="18"/>
        <v>COLONIAL</v>
      </c>
      <c r="H1505">
        <v>50.32</v>
      </c>
      <c r="I1505" t="str">
        <f t="shared" si="19"/>
        <v>COLONIAL</v>
      </c>
    </row>
    <row r="1506" spans="1:9" x14ac:dyDescent="0.3">
      <c r="A1506" t="str">
        <f>""</f>
        <v/>
      </c>
      <c r="F1506" t="str">
        <f>"CLC201803219717"</f>
        <v>CLC201803219717</v>
      </c>
      <c r="G1506" t="str">
        <f t="shared" si="18"/>
        <v>COLONIAL</v>
      </c>
      <c r="H1506">
        <v>50.32</v>
      </c>
      <c r="I1506" t="str">
        <f t="shared" si="19"/>
        <v>COLONIAL</v>
      </c>
    </row>
    <row r="1507" spans="1:9" x14ac:dyDescent="0.3">
      <c r="A1507" t="str">
        <f>""</f>
        <v/>
      </c>
      <c r="F1507" t="str">
        <f>"CLI201803079264"</f>
        <v>CLI201803079264</v>
      </c>
      <c r="G1507" t="str">
        <f t="shared" si="18"/>
        <v>COLONIAL</v>
      </c>
      <c r="H1507">
        <v>639.01</v>
      </c>
      <c r="I1507" t="str">
        <f t="shared" si="19"/>
        <v>COLONIAL</v>
      </c>
    </row>
    <row r="1508" spans="1:9" x14ac:dyDescent="0.3">
      <c r="A1508" t="str">
        <f>""</f>
        <v/>
      </c>
      <c r="F1508" t="str">
        <f>"CLI201803079268"</f>
        <v>CLI201803079268</v>
      </c>
      <c r="G1508" t="str">
        <f t="shared" si="18"/>
        <v>COLONIAL</v>
      </c>
      <c r="H1508">
        <v>17.53</v>
      </c>
      <c r="I1508" t="str">
        <f t="shared" si="19"/>
        <v>COLONIAL</v>
      </c>
    </row>
    <row r="1509" spans="1:9" x14ac:dyDescent="0.3">
      <c r="A1509" t="str">
        <f>""</f>
        <v/>
      </c>
      <c r="F1509" t="str">
        <f>"CLI201803219715"</f>
        <v>CLI201803219715</v>
      </c>
      <c r="G1509" t="str">
        <f t="shared" si="18"/>
        <v>COLONIAL</v>
      </c>
      <c r="H1509">
        <v>17.53</v>
      </c>
      <c r="I1509" t="str">
        <f t="shared" si="19"/>
        <v>COLONIAL</v>
      </c>
    </row>
    <row r="1510" spans="1:9" x14ac:dyDescent="0.3">
      <c r="A1510" t="str">
        <f>""</f>
        <v/>
      </c>
      <c r="F1510" t="str">
        <f>"CLI201803219717"</f>
        <v>CLI201803219717</v>
      </c>
      <c r="G1510" t="str">
        <f t="shared" si="18"/>
        <v>COLONIAL</v>
      </c>
      <c r="H1510">
        <v>639.01</v>
      </c>
      <c r="I1510" t="str">
        <f t="shared" si="19"/>
        <v>COLONIAL</v>
      </c>
    </row>
    <row r="1511" spans="1:9" x14ac:dyDescent="0.3">
      <c r="A1511" t="str">
        <f>""</f>
        <v/>
      </c>
      <c r="F1511" t="str">
        <f>"CLK201803079264"</f>
        <v>CLK201803079264</v>
      </c>
      <c r="G1511" t="str">
        <f t="shared" si="18"/>
        <v>COLONIAL</v>
      </c>
      <c r="H1511">
        <v>27.09</v>
      </c>
      <c r="I1511" t="str">
        <f t="shared" si="19"/>
        <v>COLONIAL</v>
      </c>
    </row>
    <row r="1512" spans="1:9" x14ac:dyDescent="0.3">
      <c r="A1512" t="str">
        <f>""</f>
        <v/>
      </c>
      <c r="F1512" t="str">
        <f>"CLK201803219717"</f>
        <v>CLK201803219717</v>
      </c>
      <c r="G1512" t="str">
        <f t="shared" si="18"/>
        <v>COLONIAL</v>
      </c>
      <c r="H1512">
        <v>27.09</v>
      </c>
      <c r="I1512" t="str">
        <f t="shared" si="19"/>
        <v>COLONIAL</v>
      </c>
    </row>
    <row r="1513" spans="1:9" x14ac:dyDescent="0.3">
      <c r="A1513" t="str">
        <f>""</f>
        <v/>
      </c>
      <c r="F1513" t="str">
        <f>"CLS201803079264"</f>
        <v>CLS201803079264</v>
      </c>
      <c r="G1513" t="str">
        <f t="shared" si="18"/>
        <v>COLONIAL</v>
      </c>
      <c r="H1513">
        <v>431.06</v>
      </c>
      <c r="I1513" t="str">
        <f t="shared" si="19"/>
        <v>COLONIAL</v>
      </c>
    </row>
    <row r="1514" spans="1:9" x14ac:dyDescent="0.3">
      <c r="A1514" t="str">
        <f>""</f>
        <v/>
      </c>
      <c r="F1514" t="str">
        <f>"CLS201803079268"</f>
        <v>CLS201803079268</v>
      </c>
      <c r="G1514" t="str">
        <f t="shared" si="18"/>
        <v>COLONIAL</v>
      </c>
      <c r="H1514">
        <v>12.84</v>
      </c>
      <c r="I1514" t="str">
        <f t="shared" si="19"/>
        <v>COLONIAL</v>
      </c>
    </row>
    <row r="1515" spans="1:9" x14ac:dyDescent="0.3">
      <c r="A1515" t="str">
        <f>""</f>
        <v/>
      </c>
      <c r="F1515" t="str">
        <f>"CLS201803219715"</f>
        <v>CLS201803219715</v>
      </c>
      <c r="G1515" t="str">
        <f t="shared" si="18"/>
        <v>COLONIAL</v>
      </c>
      <c r="H1515">
        <v>12.84</v>
      </c>
      <c r="I1515" t="str">
        <f t="shared" si="19"/>
        <v>COLONIAL</v>
      </c>
    </row>
    <row r="1516" spans="1:9" x14ac:dyDescent="0.3">
      <c r="A1516" t="str">
        <f>""</f>
        <v/>
      </c>
      <c r="F1516" t="str">
        <f>"CLS201803219717"</f>
        <v>CLS201803219717</v>
      </c>
      <c r="G1516" t="str">
        <f t="shared" si="18"/>
        <v>COLONIAL</v>
      </c>
      <c r="H1516">
        <v>431.06</v>
      </c>
      <c r="I1516" t="str">
        <f t="shared" si="19"/>
        <v>COLONIAL</v>
      </c>
    </row>
    <row r="1517" spans="1:9" x14ac:dyDescent="0.3">
      <c r="A1517" t="str">
        <f>""</f>
        <v/>
      </c>
      <c r="F1517" t="str">
        <f>"CLT201803079264"</f>
        <v>CLT201803079264</v>
      </c>
      <c r="G1517" t="str">
        <f t="shared" si="18"/>
        <v>COLONIAL</v>
      </c>
      <c r="H1517">
        <v>356.24</v>
      </c>
      <c r="I1517" t="str">
        <f t="shared" si="19"/>
        <v>COLONIAL</v>
      </c>
    </row>
    <row r="1518" spans="1:9" x14ac:dyDescent="0.3">
      <c r="A1518" t="str">
        <f>""</f>
        <v/>
      </c>
      <c r="F1518" t="str">
        <f>"CLT201803219717"</f>
        <v>CLT201803219717</v>
      </c>
      <c r="G1518" t="str">
        <f t="shared" si="18"/>
        <v>COLONIAL</v>
      </c>
      <c r="H1518">
        <v>356.24</v>
      </c>
      <c r="I1518" t="str">
        <f t="shared" si="19"/>
        <v>COLONIAL</v>
      </c>
    </row>
    <row r="1519" spans="1:9" x14ac:dyDescent="0.3">
      <c r="A1519" t="str">
        <f>""</f>
        <v/>
      </c>
      <c r="F1519" t="str">
        <f>"CLU201803079264"</f>
        <v>CLU201803079264</v>
      </c>
      <c r="G1519" t="str">
        <f t="shared" si="18"/>
        <v>COLONIAL</v>
      </c>
      <c r="H1519">
        <v>174.94</v>
      </c>
      <c r="I1519" t="str">
        <f t="shared" si="19"/>
        <v>COLONIAL</v>
      </c>
    </row>
    <row r="1520" spans="1:9" x14ac:dyDescent="0.3">
      <c r="A1520" t="str">
        <f>""</f>
        <v/>
      </c>
      <c r="F1520" t="str">
        <f>"CLU201803219717"</f>
        <v>CLU201803219717</v>
      </c>
      <c r="G1520" t="str">
        <f t="shared" si="18"/>
        <v>COLONIAL</v>
      </c>
      <c r="H1520">
        <v>174.94</v>
      </c>
      <c r="I1520" t="str">
        <f t="shared" si="19"/>
        <v>COLONIAL</v>
      </c>
    </row>
    <row r="1521" spans="1:9" x14ac:dyDescent="0.3">
      <c r="A1521" t="str">
        <f>""</f>
        <v/>
      </c>
      <c r="F1521" t="str">
        <f>"CLW201803079264"</f>
        <v>CLW201803079264</v>
      </c>
      <c r="G1521" t="str">
        <f t="shared" si="18"/>
        <v>COLONIAL</v>
      </c>
      <c r="H1521">
        <v>58.06</v>
      </c>
      <c r="I1521" t="str">
        <f t="shared" si="19"/>
        <v>COLONIAL</v>
      </c>
    </row>
    <row r="1522" spans="1:9" x14ac:dyDescent="0.3">
      <c r="A1522" t="str">
        <f>""</f>
        <v/>
      </c>
      <c r="F1522" t="str">
        <f>"CLW201803219717"</f>
        <v>CLW201803219717</v>
      </c>
      <c r="G1522" t="str">
        <f t="shared" si="18"/>
        <v>COLONIAL</v>
      </c>
      <c r="H1522">
        <v>58.06</v>
      </c>
      <c r="I1522" t="str">
        <f t="shared" si="19"/>
        <v>COLONIAL</v>
      </c>
    </row>
    <row r="1523" spans="1:9" x14ac:dyDescent="0.3">
      <c r="A1523" t="str">
        <f>"T14390"</f>
        <v>T14390</v>
      </c>
      <c r="B1523" t="s">
        <v>526</v>
      </c>
      <c r="C1523">
        <v>0</v>
      </c>
      <c r="D1523" s="2">
        <v>7420.1</v>
      </c>
      <c r="E1523" s="1">
        <v>43168</v>
      </c>
      <c r="F1523" t="str">
        <f>"CPI201803079264"</f>
        <v>CPI201803079264</v>
      </c>
      <c r="G1523" t="str">
        <f>"DEFERRED COMP 457B PAYABLE"</f>
        <v>DEFERRED COMP 457B PAYABLE</v>
      </c>
      <c r="H1523">
        <v>7312.6</v>
      </c>
      <c r="I1523" t="str">
        <f>"DEFERRED COMP 457B PAYABLE"</f>
        <v>DEFERRED COMP 457B PAYABLE</v>
      </c>
    </row>
    <row r="1524" spans="1:9" x14ac:dyDescent="0.3">
      <c r="A1524" t="str">
        <f>""</f>
        <v/>
      </c>
      <c r="F1524" t="str">
        <f>"CPI201803079268"</f>
        <v>CPI201803079268</v>
      </c>
      <c r="G1524" t="str">
        <f>"DEFERRED COMP 457B PAYABLE"</f>
        <v>DEFERRED COMP 457B PAYABLE</v>
      </c>
      <c r="H1524">
        <v>107.5</v>
      </c>
      <c r="I1524" t="str">
        <f>"DEFERRED COMP 457B PAYABLE"</f>
        <v>DEFERRED COMP 457B PAYABLE</v>
      </c>
    </row>
    <row r="1525" spans="1:9" x14ac:dyDescent="0.3">
      <c r="A1525" t="str">
        <f>"T14390"</f>
        <v>T14390</v>
      </c>
      <c r="B1525" t="s">
        <v>526</v>
      </c>
      <c r="C1525">
        <v>0</v>
      </c>
      <c r="D1525" s="2">
        <v>7430.01</v>
      </c>
      <c r="E1525" s="1">
        <v>43182</v>
      </c>
      <c r="F1525" t="str">
        <f>"CPI201803219715"</f>
        <v>CPI201803219715</v>
      </c>
      <c r="G1525" t="str">
        <f>"DEFERRED COMP 457B PAYABLE"</f>
        <v>DEFERRED COMP 457B PAYABLE</v>
      </c>
      <c r="H1525">
        <v>107.5</v>
      </c>
      <c r="I1525" t="str">
        <f>"DEFERRED COMP 457B PAYABLE"</f>
        <v>DEFERRED COMP 457B PAYABLE</v>
      </c>
    </row>
    <row r="1526" spans="1:9" x14ac:dyDescent="0.3">
      <c r="A1526" t="str">
        <f>""</f>
        <v/>
      </c>
      <c r="F1526" t="str">
        <f>"CPI201803219717"</f>
        <v>CPI201803219717</v>
      </c>
      <c r="G1526" t="str">
        <f>"DEFERRED COMP 457B PAYABLE"</f>
        <v>DEFERRED COMP 457B PAYABLE</v>
      </c>
      <c r="H1526">
        <v>7322.51</v>
      </c>
      <c r="I1526" t="str">
        <f>"DEFERRED COMP 457B PAYABLE"</f>
        <v>DEFERRED COMP 457B PAYABLE</v>
      </c>
    </row>
    <row r="1527" spans="1:9" x14ac:dyDescent="0.3">
      <c r="A1527" t="str">
        <f>"T10761"</f>
        <v>T10761</v>
      </c>
      <c r="B1527" t="s">
        <v>527</v>
      </c>
      <c r="C1527">
        <v>46199</v>
      </c>
      <c r="D1527" s="2">
        <v>1368.7</v>
      </c>
      <c r="E1527" s="1">
        <v>43168</v>
      </c>
      <c r="F1527" t="str">
        <f>"B13201803079264"</f>
        <v>B13201803079264</v>
      </c>
      <c r="G1527" t="str">
        <f>"Rosa Warren 15-10357-TMD"</f>
        <v>Rosa Warren 15-10357-TMD</v>
      </c>
      <c r="H1527">
        <v>853.85</v>
      </c>
      <c r="I1527" t="str">
        <f>"Rosa Warren 15-10357-TMD"</f>
        <v>Rosa Warren 15-10357-TMD</v>
      </c>
    </row>
    <row r="1528" spans="1:9" x14ac:dyDescent="0.3">
      <c r="A1528" t="str">
        <f>""</f>
        <v/>
      </c>
      <c r="F1528" t="str">
        <f>"BJL201803079264"</f>
        <v>BJL201803079264</v>
      </c>
      <c r="G1528" t="str">
        <f>"Julian Luna 14-10230-TMD"</f>
        <v>Julian Luna 14-10230-TMD</v>
      </c>
      <c r="H1528">
        <v>514.85</v>
      </c>
      <c r="I1528" t="str">
        <f>"Julian Luna 14-10230-TMD"</f>
        <v>Julian Luna 14-10230-TMD</v>
      </c>
    </row>
    <row r="1529" spans="1:9" x14ac:dyDescent="0.3">
      <c r="A1529" t="str">
        <f>"T10761"</f>
        <v>T10761</v>
      </c>
      <c r="B1529" t="s">
        <v>527</v>
      </c>
      <c r="C1529">
        <v>46236</v>
      </c>
      <c r="D1529" s="2">
        <v>1368.7</v>
      </c>
      <c r="E1529" s="1">
        <v>43182</v>
      </c>
      <c r="F1529" t="str">
        <f>"B13201803219717"</f>
        <v>B13201803219717</v>
      </c>
      <c r="G1529" t="str">
        <f>"Rosa Warren 15-10357-TMD"</f>
        <v>Rosa Warren 15-10357-TMD</v>
      </c>
      <c r="H1529">
        <v>853.85</v>
      </c>
      <c r="I1529" t="str">
        <f>"Rosa Warren 15-10357-TMD"</f>
        <v>Rosa Warren 15-10357-TMD</v>
      </c>
    </row>
    <row r="1530" spans="1:9" x14ac:dyDescent="0.3">
      <c r="A1530" t="str">
        <f>""</f>
        <v/>
      </c>
      <c r="F1530" t="str">
        <f>"BJL201803219717"</f>
        <v>BJL201803219717</v>
      </c>
      <c r="G1530" t="str">
        <f>"Julian Luna 14-10230-TMD"</f>
        <v>Julian Luna 14-10230-TMD</v>
      </c>
      <c r="H1530">
        <v>514.85</v>
      </c>
      <c r="I1530" t="str">
        <f>"Julian Luna 14-10230-TMD"</f>
        <v>Julian Luna 14-10230-TMD</v>
      </c>
    </row>
    <row r="1531" spans="1:9" x14ac:dyDescent="0.3">
      <c r="A1531" t="str">
        <f>"GUARD"</f>
        <v>GUARD</v>
      </c>
      <c r="B1531" t="s">
        <v>528</v>
      </c>
      <c r="C1531">
        <v>0</v>
      </c>
      <c r="D1531" s="2">
        <v>37377.68</v>
      </c>
      <c r="E1531" s="1">
        <v>43185</v>
      </c>
      <c r="F1531" t="str">
        <f>"201803269735"</f>
        <v>201803269735</v>
      </c>
      <c r="G1531" t="str">
        <f>"Dental Rounding March 2018"</f>
        <v>Dental Rounding March 2018</v>
      </c>
      <c r="H1531">
        <v>-6.04</v>
      </c>
      <c r="I1531" t="str">
        <f>"GUARDIAN"</f>
        <v>GUARDIAN</v>
      </c>
    </row>
    <row r="1532" spans="1:9" x14ac:dyDescent="0.3">
      <c r="A1532" t="str">
        <f>""</f>
        <v/>
      </c>
      <c r="F1532" t="str">
        <f>"201803269737"</f>
        <v>201803269737</v>
      </c>
      <c r="G1532" t="str">
        <f>"Life Ins Rounding"</f>
        <v>Life Ins Rounding</v>
      </c>
      <c r="H1532">
        <v>-0.28000000000000003</v>
      </c>
      <c r="I1532" t="str">
        <f>"GUARDIAN"</f>
        <v>GUARDIAN</v>
      </c>
    </row>
    <row r="1533" spans="1:9" x14ac:dyDescent="0.3">
      <c r="A1533" t="str">
        <f>""</f>
        <v/>
      </c>
      <c r="F1533" t="str">
        <f>"201803269738"</f>
        <v>201803269738</v>
      </c>
      <c r="G1533" t="str">
        <f>"LTD rounding March 2018"</f>
        <v>LTD rounding March 2018</v>
      </c>
      <c r="H1533">
        <v>-0.1</v>
      </c>
      <c r="I1533" t="str">
        <f>"LTD rounding March 2018"</f>
        <v>LTD rounding March 2018</v>
      </c>
    </row>
    <row r="1534" spans="1:9" x14ac:dyDescent="0.3">
      <c r="A1534" t="str">
        <f>""</f>
        <v/>
      </c>
      <c r="F1534" t="str">
        <f>"201803269733"</f>
        <v>201803269733</v>
      </c>
      <c r="G1534" t="str">
        <f>"Retiree Dental March 2018"</f>
        <v>Retiree Dental March 2018</v>
      </c>
      <c r="H1534">
        <v>2960.85</v>
      </c>
      <c r="I1534" t="str">
        <f>"Retiree Dental March 2018"</f>
        <v>Retiree Dental March 2018</v>
      </c>
    </row>
    <row r="1535" spans="1:9" x14ac:dyDescent="0.3">
      <c r="A1535" t="str">
        <f>""</f>
        <v/>
      </c>
      <c r="F1535" t="str">
        <f>"201803269734"</f>
        <v>201803269734</v>
      </c>
      <c r="G1535" t="str">
        <f>"COBRA March 2018"</f>
        <v>COBRA March 2018</v>
      </c>
      <c r="H1535">
        <v>70.83</v>
      </c>
      <c r="I1535" t="str">
        <f t="shared" ref="I1535:I1598" si="20">"GUARDIAN"</f>
        <v>GUARDIAN</v>
      </c>
    </row>
    <row r="1536" spans="1:9" x14ac:dyDescent="0.3">
      <c r="A1536" t="str">
        <f>""</f>
        <v/>
      </c>
      <c r="F1536" t="str">
        <f>"201803269736"</f>
        <v>201803269736</v>
      </c>
      <c r="G1536" t="str">
        <f>"Retiree Life Coverage"</f>
        <v>Retiree Life Coverage</v>
      </c>
      <c r="H1536">
        <v>136.18</v>
      </c>
      <c r="I1536" t="str">
        <f t="shared" si="20"/>
        <v>GUARDIAN</v>
      </c>
    </row>
    <row r="1537" spans="1:9" x14ac:dyDescent="0.3">
      <c r="A1537" t="str">
        <f>""</f>
        <v/>
      </c>
      <c r="F1537" t="str">
        <f>"ADC201803079264"</f>
        <v>ADC201803079264</v>
      </c>
      <c r="G1537" t="str">
        <f t="shared" ref="G1537:G1549" si="21">"GUARDIAN"</f>
        <v>GUARDIAN</v>
      </c>
      <c r="H1537">
        <v>4.99</v>
      </c>
      <c r="I1537" t="str">
        <f t="shared" si="20"/>
        <v>GUARDIAN</v>
      </c>
    </row>
    <row r="1538" spans="1:9" x14ac:dyDescent="0.3">
      <c r="A1538" t="str">
        <f>""</f>
        <v/>
      </c>
      <c r="F1538" t="str">
        <f>"ADC201803079268"</f>
        <v>ADC201803079268</v>
      </c>
      <c r="G1538" t="str">
        <f t="shared" si="21"/>
        <v>GUARDIAN</v>
      </c>
      <c r="H1538">
        <v>0.16</v>
      </c>
      <c r="I1538" t="str">
        <f t="shared" si="20"/>
        <v>GUARDIAN</v>
      </c>
    </row>
    <row r="1539" spans="1:9" x14ac:dyDescent="0.3">
      <c r="A1539" t="str">
        <f>""</f>
        <v/>
      </c>
      <c r="F1539" t="str">
        <f>"ADC201803219715"</f>
        <v>ADC201803219715</v>
      </c>
      <c r="G1539" t="str">
        <f t="shared" si="21"/>
        <v>GUARDIAN</v>
      </c>
      <c r="H1539">
        <v>0.16</v>
      </c>
      <c r="I1539" t="str">
        <f t="shared" si="20"/>
        <v>GUARDIAN</v>
      </c>
    </row>
    <row r="1540" spans="1:9" x14ac:dyDescent="0.3">
      <c r="A1540" t="str">
        <f>""</f>
        <v/>
      </c>
      <c r="F1540" t="str">
        <f>"ADC201803219717"</f>
        <v>ADC201803219717</v>
      </c>
      <c r="G1540" t="str">
        <f t="shared" si="21"/>
        <v>GUARDIAN</v>
      </c>
      <c r="H1540">
        <v>4.99</v>
      </c>
      <c r="I1540" t="str">
        <f t="shared" si="20"/>
        <v>GUARDIAN</v>
      </c>
    </row>
    <row r="1541" spans="1:9" x14ac:dyDescent="0.3">
      <c r="A1541" t="str">
        <f>""</f>
        <v/>
      </c>
      <c r="F1541" t="str">
        <f>"ADE201803079264"</f>
        <v>ADE201803079264</v>
      </c>
      <c r="G1541" t="str">
        <f t="shared" si="21"/>
        <v>GUARDIAN</v>
      </c>
      <c r="H1541">
        <v>198.42</v>
      </c>
      <c r="I1541" t="str">
        <f t="shared" si="20"/>
        <v>GUARDIAN</v>
      </c>
    </row>
    <row r="1542" spans="1:9" x14ac:dyDescent="0.3">
      <c r="A1542" t="str">
        <f>""</f>
        <v/>
      </c>
      <c r="F1542" t="str">
        <f>"ADE201803079268"</f>
        <v>ADE201803079268</v>
      </c>
      <c r="G1542" t="str">
        <f t="shared" si="21"/>
        <v>GUARDIAN</v>
      </c>
      <c r="H1542">
        <v>7.8</v>
      </c>
      <c r="I1542" t="str">
        <f t="shared" si="20"/>
        <v>GUARDIAN</v>
      </c>
    </row>
    <row r="1543" spans="1:9" x14ac:dyDescent="0.3">
      <c r="A1543" t="str">
        <f>""</f>
        <v/>
      </c>
      <c r="F1543" t="str">
        <f>"ADE201803219715"</f>
        <v>ADE201803219715</v>
      </c>
      <c r="G1543" t="str">
        <f t="shared" si="21"/>
        <v>GUARDIAN</v>
      </c>
      <c r="H1543">
        <v>7.8</v>
      </c>
      <c r="I1543" t="str">
        <f t="shared" si="20"/>
        <v>GUARDIAN</v>
      </c>
    </row>
    <row r="1544" spans="1:9" x14ac:dyDescent="0.3">
      <c r="A1544" t="str">
        <f>""</f>
        <v/>
      </c>
      <c r="F1544" t="str">
        <f>"ADE201803219717"</f>
        <v>ADE201803219717</v>
      </c>
      <c r="G1544" t="str">
        <f t="shared" si="21"/>
        <v>GUARDIAN</v>
      </c>
      <c r="H1544">
        <v>196.62</v>
      </c>
      <c r="I1544" t="str">
        <f t="shared" si="20"/>
        <v>GUARDIAN</v>
      </c>
    </row>
    <row r="1545" spans="1:9" x14ac:dyDescent="0.3">
      <c r="A1545" t="str">
        <f>""</f>
        <v/>
      </c>
      <c r="F1545" t="str">
        <f>"ADS201803079264"</f>
        <v>ADS201803079264</v>
      </c>
      <c r="G1545" t="str">
        <f t="shared" si="21"/>
        <v>GUARDIAN</v>
      </c>
      <c r="H1545">
        <v>30.5</v>
      </c>
      <c r="I1545" t="str">
        <f t="shared" si="20"/>
        <v>GUARDIAN</v>
      </c>
    </row>
    <row r="1546" spans="1:9" x14ac:dyDescent="0.3">
      <c r="A1546" t="str">
        <f>""</f>
        <v/>
      </c>
      <c r="F1546" t="str">
        <f>"ADS201803079268"</f>
        <v>ADS201803079268</v>
      </c>
      <c r="G1546" t="str">
        <f t="shared" si="21"/>
        <v>GUARDIAN</v>
      </c>
      <c r="H1546">
        <v>0.98</v>
      </c>
      <c r="I1546" t="str">
        <f t="shared" si="20"/>
        <v>GUARDIAN</v>
      </c>
    </row>
    <row r="1547" spans="1:9" x14ac:dyDescent="0.3">
      <c r="A1547" t="str">
        <f>""</f>
        <v/>
      </c>
      <c r="F1547" t="str">
        <f>"ADS201803219715"</f>
        <v>ADS201803219715</v>
      </c>
      <c r="G1547" t="str">
        <f t="shared" si="21"/>
        <v>GUARDIAN</v>
      </c>
      <c r="H1547">
        <v>0.98</v>
      </c>
      <c r="I1547" t="str">
        <f t="shared" si="20"/>
        <v>GUARDIAN</v>
      </c>
    </row>
    <row r="1548" spans="1:9" x14ac:dyDescent="0.3">
      <c r="A1548" t="str">
        <f>""</f>
        <v/>
      </c>
      <c r="F1548" t="str">
        <f>"ADS201803219717"</f>
        <v>ADS201803219717</v>
      </c>
      <c r="G1548" t="str">
        <f t="shared" si="21"/>
        <v>GUARDIAN</v>
      </c>
      <c r="H1548">
        <v>30.5</v>
      </c>
      <c r="I1548" t="str">
        <f t="shared" si="20"/>
        <v>GUARDIAN</v>
      </c>
    </row>
    <row r="1549" spans="1:9" x14ac:dyDescent="0.3">
      <c r="A1549" t="str">
        <f>""</f>
        <v/>
      </c>
      <c r="F1549" t="str">
        <f>"GDC201803079264"</f>
        <v>GDC201803079264</v>
      </c>
      <c r="G1549" t="str">
        <f t="shared" si="21"/>
        <v>GUARDIAN</v>
      </c>
      <c r="H1549">
        <v>2514.0500000000002</v>
      </c>
      <c r="I1549" t="str">
        <f t="shared" si="20"/>
        <v>GUARDIAN</v>
      </c>
    </row>
    <row r="1550" spans="1:9" x14ac:dyDescent="0.3">
      <c r="A1550" t="str">
        <f>""</f>
        <v/>
      </c>
      <c r="F1550" t="str">
        <f>""</f>
        <v/>
      </c>
      <c r="G1550" t="str">
        <f>""</f>
        <v/>
      </c>
      <c r="I1550" t="str">
        <f t="shared" si="20"/>
        <v>GUARDIAN</v>
      </c>
    </row>
    <row r="1551" spans="1:9" x14ac:dyDescent="0.3">
      <c r="A1551" t="str">
        <f>""</f>
        <v/>
      </c>
      <c r="F1551" t="str">
        <f>""</f>
        <v/>
      </c>
      <c r="G1551" t="str">
        <f>""</f>
        <v/>
      </c>
      <c r="I1551" t="str">
        <f t="shared" si="20"/>
        <v>GUARDIAN</v>
      </c>
    </row>
    <row r="1552" spans="1:9" x14ac:dyDescent="0.3">
      <c r="A1552" t="str">
        <f>""</f>
        <v/>
      </c>
      <c r="F1552" t="str">
        <f>""</f>
        <v/>
      </c>
      <c r="G1552" t="str">
        <f>""</f>
        <v/>
      </c>
      <c r="I1552" t="str">
        <f t="shared" si="20"/>
        <v>GUARDIAN</v>
      </c>
    </row>
    <row r="1553" spans="1:9" x14ac:dyDescent="0.3">
      <c r="A1553" t="str">
        <f>""</f>
        <v/>
      </c>
      <c r="F1553" t="str">
        <f>""</f>
        <v/>
      </c>
      <c r="G1553" t="str">
        <f>""</f>
        <v/>
      </c>
      <c r="I1553" t="str">
        <f t="shared" si="20"/>
        <v>GUARDIAN</v>
      </c>
    </row>
    <row r="1554" spans="1:9" x14ac:dyDescent="0.3">
      <c r="A1554" t="str">
        <f>""</f>
        <v/>
      </c>
      <c r="F1554" t="str">
        <f>""</f>
        <v/>
      </c>
      <c r="G1554" t="str">
        <f>""</f>
        <v/>
      </c>
      <c r="I1554" t="str">
        <f t="shared" si="20"/>
        <v>GUARDIAN</v>
      </c>
    </row>
    <row r="1555" spans="1:9" x14ac:dyDescent="0.3">
      <c r="A1555" t="str">
        <f>""</f>
        <v/>
      </c>
      <c r="F1555" t="str">
        <f>""</f>
        <v/>
      </c>
      <c r="G1555" t="str">
        <f>""</f>
        <v/>
      </c>
      <c r="I1555" t="str">
        <f t="shared" si="20"/>
        <v>GUARDIAN</v>
      </c>
    </row>
    <row r="1556" spans="1:9" x14ac:dyDescent="0.3">
      <c r="A1556" t="str">
        <f>""</f>
        <v/>
      </c>
      <c r="F1556" t="str">
        <f>""</f>
        <v/>
      </c>
      <c r="G1556" t="str">
        <f>""</f>
        <v/>
      </c>
      <c r="I1556" t="str">
        <f t="shared" si="20"/>
        <v>GUARDIAN</v>
      </c>
    </row>
    <row r="1557" spans="1:9" x14ac:dyDescent="0.3">
      <c r="A1557" t="str">
        <f>""</f>
        <v/>
      </c>
      <c r="F1557" t="str">
        <f>""</f>
        <v/>
      </c>
      <c r="G1557" t="str">
        <f>""</f>
        <v/>
      </c>
      <c r="I1557" t="str">
        <f t="shared" si="20"/>
        <v>GUARDIAN</v>
      </c>
    </row>
    <row r="1558" spans="1:9" x14ac:dyDescent="0.3">
      <c r="A1558" t="str">
        <f>""</f>
        <v/>
      </c>
      <c r="F1558" t="str">
        <f>""</f>
        <v/>
      </c>
      <c r="G1558" t="str">
        <f>""</f>
        <v/>
      </c>
      <c r="I1558" t="str">
        <f t="shared" si="20"/>
        <v>GUARDIAN</v>
      </c>
    </row>
    <row r="1559" spans="1:9" x14ac:dyDescent="0.3">
      <c r="A1559" t="str">
        <f>""</f>
        <v/>
      </c>
      <c r="F1559" t="str">
        <f>""</f>
        <v/>
      </c>
      <c r="G1559" t="str">
        <f>""</f>
        <v/>
      </c>
      <c r="I1559" t="str">
        <f t="shared" si="20"/>
        <v>GUARDIAN</v>
      </c>
    </row>
    <row r="1560" spans="1:9" x14ac:dyDescent="0.3">
      <c r="A1560" t="str">
        <f>""</f>
        <v/>
      </c>
      <c r="F1560" t="str">
        <f>""</f>
        <v/>
      </c>
      <c r="G1560" t="str">
        <f>""</f>
        <v/>
      </c>
      <c r="I1560" t="str">
        <f t="shared" si="20"/>
        <v>GUARDIAN</v>
      </c>
    </row>
    <row r="1561" spans="1:9" x14ac:dyDescent="0.3">
      <c r="A1561" t="str">
        <f>""</f>
        <v/>
      </c>
      <c r="F1561" t="str">
        <f>""</f>
        <v/>
      </c>
      <c r="G1561" t="str">
        <f>""</f>
        <v/>
      </c>
      <c r="I1561" t="str">
        <f t="shared" si="20"/>
        <v>GUARDIAN</v>
      </c>
    </row>
    <row r="1562" spans="1:9" x14ac:dyDescent="0.3">
      <c r="A1562" t="str">
        <f>""</f>
        <v/>
      </c>
      <c r="F1562" t="str">
        <f>""</f>
        <v/>
      </c>
      <c r="G1562" t="str">
        <f>""</f>
        <v/>
      </c>
      <c r="I1562" t="str">
        <f t="shared" si="20"/>
        <v>GUARDIAN</v>
      </c>
    </row>
    <row r="1563" spans="1:9" x14ac:dyDescent="0.3">
      <c r="A1563" t="str">
        <f>""</f>
        <v/>
      </c>
      <c r="F1563" t="str">
        <f>""</f>
        <v/>
      </c>
      <c r="G1563" t="str">
        <f>""</f>
        <v/>
      </c>
      <c r="I1563" t="str">
        <f t="shared" si="20"/>
        <v>GUARDIAN</v>
      </c>
    </row>
    <row r="1564" spans="1:9" x14ac:dyDescent="0.3">
      <c r="A1564" t="str">
        <f>""</f>
        <v/>
      </c>
      <c r="F1564" t="str">
        <f>""</f>
        <v/>
      </c>
      <c r="G1564" t="str">
        <f>""</f>
        <v/>
      </c>
      <c r="I1564" t="str">
        <f t="shared" si="20"/>
        <v>GUARDIAN</v>
      </c>
    </row>
    <row r="1565" spans="1:9" x14ac:dyDescent="0.3">
      <c r="A1565" t="str">
        <f>""</f>
        <v/>
      </c>
      <c r="F1565" t="str">
        <f>""</f>
        <v/>
      </c>
      <c r="G1565" t="str">
        <f>""</f>
        <v/>
      </c>
      <c r="I1565" t="str">
        <f t="shared" si="20"/>
        <v>GUARDIAN</v>
      </c>
    </row>
    <row r="1566" spans="1:9" x14ac:dyDescent="0.3">
      <c r="A1566" t="str">
        <f>""</f>
        <v/>
      </c>
      <c r="F1566" t="str">
        <f>""</f>
        <v/>
      </c>
      <c r="G1566" t="str">
        <f>""</f>
        <v/>
      </c>
      <c r="I1566" t="str">
        <f t="shared" si="20"/>
        <v>GUARDIAN</v>
      </c>
    </row>
    <row r="1567" spans="1:9" x14ac:dyDescent="0.3">
      <c r="A1567" t="str">
        <f>""</f>
        <v/>
      </c>
      <c r="F1567" t="str">
        <f>""</f>
        <v/>
      </c>
      <c r="G1567" t="str">
        <f>""</f>
        <v/>
      </c>
      <c r="I1567" t="str">
        <f t="shared" si="20"/>
        <v>GUARDIAN</v>
      </c>
    </row>
    <row r="1568" spans="1:9" x14ac:dyDescent="0.3">
      <c r="A1568" t="str">
        <f>""</f>
        <v/>
      </c>
      <c r="F1568" t="str">
        <f>""</f>
        <v/>
      </c>
      <c r="G1568" t="str">
        <f>""</f>
        <v/>
      </c>
      <c r="I1568" t="str">
        <f t="shared" si="20"/>
        <v>GUARDIAN</v>
      </c>
    </row>
    <row r="1569" spans="1:9" x14ac:dyDescent="0.3">
      <c r="A1569" t="str">
        <f>""</f>
        <v/>
      </c>
      <c r="F1569" t="str">
        <f>""</f>
        <v/>
      </c>
      <c r="G1569" t="str">
        <f>""</f>
        <v/>
      </c>
      <c r="I1569" t="str">
        <f t="shared" si="20"/>
        <v>GUARDIAN</v>
      </c>
    </row>
    <row r="1570" spans="1:9" x14ac:dyDescent="0.3">
      <c r="A1570" t="str">
        <f>""</f>
        <v/>
      </c>
      <c r="F1570" t="str">
        <f>""</f>
        <v/>
      </c>
      <c r="G1570" t="str">
        <f>""</f>
        <v/>
      </c>
      <c r="I1570" t="str">
        <f t="shared" si="20"/>
        <v>GUARDIAN</v>
      </c>
    </row>
    <row r="1571" spans="1:9" x14ac:dyDescent="0.3">
      <c r="A1571" t="str">
        <f>""</f>
        <v/>
      </c>
      <c r="F1571" t="str">
        <f>""</f>
        <v/>
      </c>
      <c r="G1571" t="str">
        <f>""</f>
        <v/>
      </c>
      <c r="I1571" t="str">
        <f t="shared" si="20"/>
        <v>GUARDIAN</v>
      </c>
    </row>
    <row r="1572" spans="1:9" x14ac:dyDescent="0.3">
      <c r="A1572" t="str">
        <f>""</f>
        <v/>
      </c>
      <c r="F1572" t="str">
        <f>""</f>
        <v/>
      </c>
      <c r="G1572" t="str">
        <f>""</f>
        <v/>
      </c>
      <c r="I1572" t="str">
        <f t="shared" si="20"/>
        <v>GUARDIAN</v>
      </c>
    </row>
    <row r="1573" spans="1:9" x14ac:dyDescent="0.3">
      <c r="A1573" t="str">
        <f>""</f>
        <v/>
      </c>
      <c r="F1573" t="str">
        <f>""</f>
        <v/>
      </c>
      <c r="G1573" t="str">
        <f>""</f>
        <v/>
      </c>
      <c r="I1573" t="str">
        <f t="shared" si="20"/>
        <v>GUARDIAN</v>
      </c>
    </row>
    <row r="1574" spans="1:9" x14ac:dyDescent="0.3">
      <c r="A1574" t="str">
        <f>""</f>
        <v/>
      </c>
      <c r="F1574" t="str">
        <f>""</f>
        <v/>
      </c>
      <c r="G1574" t="str">
        <f>""</f>
        <v/>
      </c>
      <c r="I1574" t="str">
        <f t="shared" si="20"/>
        <v>GUARDIAN</v>
      </c>
    </row>
    <row r="1575" spans="1:9" x14ac:dyDescent="0.3">
      <c r="A1575" t="str">
        <f>""</f>
        <v/>
      </c>
      <c r="F1575" t="str">
        <f>""</f>
        <v/>
      </c>
      <c r="G1575" t="str">
        <f>""</f>
        <v/>
      </c>
      <c r="I1575" t="str">
        <f t="shared" si="20"/>
        <v>GUARDIAN</v>
      </c>
    </row>
    <row r="1576" spans="1:9" x14ac:dyDescent="0.3">
      <c r="A1576" t="str">
        <f>""</f>
        <v/>
      </c>
      <c r="F1576" t="str">
        <f>""</f>
        <v/>
      </c>
      <c r="G1576" t="str">
        <f>""</f>
        <v/>
      </c>
      <c r="I1576" t="str">
        <f t="shared" si="20"/>
        <v>GUARDIAN</v>
      </c>
    </row>
    <row r="1577" spans="1:9" x14ac:dyDescent="0.3">
      <c r="A1577" t="str">
        <f>""</f>
        <v/>
      </c>
      <c r="F1577" t="str">
        <f>""</f>
        <v/>
      </c>
      <c r="G1577" t="str">
        <f>""</f>
        <v/>
      </c>
      <c r="I1577" t="str">
        <f t="shared" si="20"/>
        <v>GUARDIAN</v>
      </c>
    </row>
    <row r="1578" spans="1:9" x14ac:dyDescent="0.3">
      <c r="A1578" t="str">
        <f>""</f>
        <v/>
      </c>
      <c r="F1578" t="str">
        <f>""</f>
        <v/>
      </c>
      <c r="G1578" t="str">
        <f>""</f>
        <v/>
      </c>
      <c r="I1578" t="str">
        <f t="shared" si="20"/>
        <v>GUARDIAN</v>
      </c>
    </row>
    <row r="1579" spans="1:9" x14ac:dyDescent="0.3">
      <c r="A1579" t="str">
        <f>""</f>
        <v/>
      </c>
      <c r="F1579" t="str">
        <f>""</f>
        <v/>
      </c>
      <c r="G1579" t="str">
        <f>""</f>
        <v/>
      </c>
      <c r="I1579" t="str">
        <f t="shared" si="20"/>
        <v>GUARDIAN</v>
      </c>
    </row>
    <row r="1580" spans="1:9" x14ac:dyDescent="0.3">
      <c r="A1580" t="str">
        <f>""</f>
        <v/>
      </c>
      <c r="F1580" t="str">
        <f>"GDC201803079268"</f>
        <v>GDC201803079268</v>
      </c>
      <c r="G1580" t="str">
        <f>"GUARDIAN"</f>
        <v>GUARDIAN</v>
      </c>
      <c r="H1580">
        <v>97.95</v>
      </c>
      <c r="I1580" t="str">
        <f t="shared" si="20"/>
        <v>GUARDIAN</v>
      </c>
    </row>
    <row r="1581" spans="1:9" x14ac:dyDescent="0.3">
      <c r="A1581" t="str">
        <f>""</f>
        <v/>
      </c>
      <c r="F1581" t="str">
        <f>""</f>
        <v/>
      </c>
      <c r="G1581" t="str">
        <f>""</f>
        <v/>
      </c>
      <c r="I1581" t="str">
        <f t="shared" si="20"/>
        <v>GUARDIAN</v>
      </c>
    </row>
    <row r="1582" spans="1:9" x14ac:dyDescent="0.3">
      <c r="A1582" t="str">
        <f>""</f>
        <v/>
      </c>
      <c r="F1582" t="str">
        <f>"GDC201803219715"</f>
        <v>GDC201803219715</v>
      </c>
      <c r="G1582" t="str">
        <f>"GUARDIAN"</f>
        <v>GUARDIAN</v>
      </c>
      <c r="H1582">
        <v>97.95</v>
      </c>
      <c r="I1582" t="str">
        <f t="shared" si="20"/>
        <v>GUARDIAN</v>
      </c>
    </row>
    <row r="1583" spans="1:9" x14ac:dyDescent="0.3">
      <c r="A1583" t="str">
        <f>""</f>
        <v/>
      </c>
      <c r="F1583" t="str">
        <f>""</f>
        <v/>
      </c>
      <c r="G1583" t="str">
        <f>""</f>
        <v/>
      </c>
      <c r="I1583" t="str">
        <f t="shared" si="20"/>
        <v>GUARDIAN</v>
      </c>
    </row>
    <row r="1584" spans="1:9" x14ac:dyDescent="0.3">
      <c r="A1584" t="str">
        <f>""</f>
        <v/>
      </c>
      <c r="F1584" t="str">
        <f>"GDC201803219717"</f>
        <v>GDC201803219717</v>
      </c>
      <c r="G1584" t="str">
        <f>"GUARDIAN"</f>
        <v>GUARDIAN</v>
      </c>
      <c r="H1584">
        <v>2514.0500000000002</v>
      </c>
      <c r="I1584" t="str">
        <f t="shared" si="20"/>
        <v>GUARDIAN</v>
      </c>
    </row>
    <row r="1585" spans="1:9" x14ac:dyDescent="0.3">
      <c r="A1585" t="str">
        <f>""</f>
        <v/>
      </c>
      <c r="F1585" t="str">
        <f>""</f>
        <v/>
      </c>
      <c r="G1585" t="str">
        <f>""</f>
        <v/>
      </c>
      <c r="I1585" t="str">
        <f t="shared" si="20"/>
        <v>GUARDIAN</v>
      </c>
    </row>
    <row r="1586" spans="1:9" x14ac:dyDescent="0.3">
      <c r="A1586" t="str">
        <f>""</f>
        <v/>
      </c>
      <c r="F1586" t="str">
        <f>""</f>
        <v/>
      </c>
      <c r="G1586" t="str">
        <f>""</f>
        <v/>
      </c>
      <c r="I1586" t="str">
        <f t="shared" si="20"/>
        <v>GUARDIAN</v>
      </c>
    </row>
    <row r="1587" spans="1:9" x14ac:dyDescent="0.3">
      <c r="A1587" t="str">
        <f>""</f>
        <v/>
      </c>
      <c r="F1587" t="str">
        <f>""</f>
        <v/>
      </c>
      <c r="G1587" t="str">
        <f>""</f>
        <v/>
      </c>
      <c r="I1587" t="str">
        <f t="shared" si="20"/>
        <v>GUARDIAN</v>
      </c>
    </row>
    <row r="1588" spans="1:9" x14ac:dyDescent="0.3">
      <c r="A1588" t="str">
        <f>""</f>
        <v/>
      </c>
      <c r="F1588" t="str">
        <f>""</f>
        <v/>
      </c>
      <c r="G1588" t="str">
        <f>""</f>
        <v/>
      </c>
      <c r="I1588" t="str">
        <f t="shared" si="20"/>
        <v>GUARDIAN</v>
      </c>
    </row>
    <row r="1589" spans="1:9" x14ac:dyDescent="0.3">
      <c r="A1589" t="str">
        <f>""</f>
        <v/>
      </c>
      <c r="F1589" t="str">
        <f>""</f>
        <v/>
      </c>
      <c r="G1589" t="str">
        <f>""</f>
        <v/>
      </c>
      <c r="I1589" t="str">
        <f t="shared" si="20"/>
        <v>GUARDIAN</v>
      </c>
    </row>
    <row r="1590" spans="1:9" x14ac:dyDescent="0.3">
      <c r="A1590" t="str">
        <f>""</f>
        <v/>
      </c>
      <c r="F1590" t="str">
        <f>""</f>
        <v/>
      </c>
      <c r="G1590" t="str">
        <f>""</f>
        <v/>
      </c>
      <c r="I1590" t="str">
        <f t="shared" si="20"/>
        <v>GUARDIAN</v>
      </c>
    </row>
    <row r="1591" spans="1:9" x14ac:dyDescent="0.3">
      <c r="A1591" t="str">
        <f>""</f>
        <v/>
      </c>
      <c r="F1591" t="str">
        <f>""</f>
        <v/>
      </c>
      <c r="G1591" t="str">
        <f>""</f>
        <v/>
      </c>
      <c r="I1591" t="str">
        <f t="shared" si="20"/>
        <v>GUARDIAN</v>
      </c>
    </row>
    <row r="1592" spans="1:9" x14ac:dyDescent="0.3">
      <c r="A1592" t="str">
        <f>""</f>
        <v/>
      </c>
      <c r="F1592" t="str">
        <f>""</f>
        <v/>
      </c>
      <c r="G1592" t="str">
        <f>""</f>
        <v/>
      </c>
      <c r="I1592" t="str">
        <f t="shared" si="20"/>
        <v>GUARDIAN</v>
      </c>
    </row>
    <row r="1593" spans="1:9" x14ac:dyDescent="0.3">
      <c r="A1593" t="str">
        <f>""</f>
        <v/>
      </c>
      <c r="F1593" t="str">
        <f>""</f>
        <v/>
      </c>
      <c r="G1593" t="str">
        <f>""</f>
        <v/>
      </c>
      <c r="I1593" t="str">
        <f t="shared" si="20"/>
        <v>GUARDIAN</v>
      </c>
    </row>
    <row r="1594" spans="1:9" x14ac:dyDescent="0.3">
      <c r="A1594" t="str">
        <f>""</f>
        <v/>
      </c>
      <c r="F1594" t="str">
        <f>""</f>
        <v/>
      </c>
      <c r="G1594" t="str">
        <f>""</f>
        <v/>
      </c>
      <c r="I1594" t="str">
        <f t="shared" si="20"/>
        <v>GUARDIAN</v>
      </c>
    </row>
    <row r="1595" spans="1:9" x14ac:dyDescent="0.3">
      <c r="A1595" t="str">
        <f>""</f>
        <v/>
      </c>
      <c r="F1595" t="str">
        <f>""</f>
        <v/>
      </c>
      <c r="G1595" t="str">
        <f>""</f>
        <v/>
      </c>
      <c r="I1595" t="str">
        <f t="shared" si="20"/>
        <v>GUARDIAN</v>
      </c>
    </row>
    <row r="1596" spans="1:9" x14ac:dyDescent="0.3">
      <c r="A1596" t="str">
        <f>""</f>
        <v/>
      </c>
      <c r="F1596" t="str">
        <f>""</f>
        <v/>
      </c>
      <c r="G1596" t="str">
        <f>""</f>
        <v/>
      </c>
      <c r="I1596" t="str">
        <f t="shared" si="20"/>
        <v>GUARDIAN</v>
      </c>
    </row>
    <row r="1597" spans="1:9" x14ac:dyDescent="0.3">
      <c r="A1597" t="str">
        <f>""</f>
        <v/>
      </c>
      <c r="F1597" t="str">
        <f>""</f>
        <v/>
      </c>
      <c r="G1597" t="str">
        <f>""</f>
        <v/>
      </c>
      <c r="I1597" t="str">
        <f t="shared" si="20"/>
        <v>GUARDIAN</v>
      </c>
    </row>
    <row r="1598" spans="1:9" x14ac:dyDescent="0.3">
      <c r="A1598" t="str">
        <f>""</f>
        <v/>
      </c>
      <c r="F1598" t="str">
        <f>""</f>
        <v/>
      </c>
      <c r="G1598" t="str">
        <f>""</f>
        <v/>
      </c>
      <c r="I1598" t="str">
        <f t="shared" si="20"/>
        <v>GUARDIAN</v>
      </c>
    </row>
    <row r="1599" spans="1:9" x14ac:dyDescent="0.3">
      <c r="A1599" t="str">
        <f>""</f>
        <v/>
      </c>
      <c r="F1599" t="str">
        <f>""</f>
        <v/>
      </c>
      <c r="G1599" t="str">
        <f>""</f>
        <v/>
      </c>
      <c r="I1599" t="str">
        <f t="shared" ref="I1599:I1662" si="22">"GUARDIAN"</f>
        <v>GUARDIAN</v>
      </c>
    </row>
    <row r="1600" spans="1:9" x14ac:dyDescent="0.3">
      <c r="A1600" t="str">
        <f>""</f>
        <v/>
      </c>
      <c r="F1600" t="str">
        <f>""</f>
        <v/>
      </c>
      <c r="G1600" t="str">
        <f>""</f>
        <v/>
      </c>
      <c r="I1600" t="str">
        <f t="shared" si="22"/>
        <v>GUARDIAN</v>
      </c>
    </row>
    <row r="1601" spans="1:9" x14ac:dyDescent="0.3">
      <c r="A1601" t="str">
        <f>""</f>
        <v/>
      </c>
      <c r="F1601" t="str">
        <f>""</f>
        <v/>
      </c>
      <c r="G1601" t="str">
        <f>""</f>
        <v/>
      </c>
      <c r="I1601" t="str">
        <f t="shared" si="22"/>
        <v>GUARDIAN</v>
      </c>
    </row>
    <row r="1602" spans="1:9" x14ac:dyDescent="0.3">
      <c r="A1602" t="str">
        <f>""</f>
        <v/>
      </c>
      <c r="F1602" t="str">
        <f>""</f>
        <v/>
      </c>
      <c r="G1602" t="str">
        <f>""</f>
        <v/>
      </c>
      <c r="I1602" t="str">
        <f t="shared" si="22"/>
        <v>GUARDIAN</v>
      </c>
    </row>
    <row r="1603" spans="1:9" x14ac:dyDescent="0.3">
      <c r="A1603" t="str">
        <f>""</f>
        <v/>
      </c>
      <c r="F1603" t="str">
        <f>""</f>
        <v/>
      </c>
      <c r="G1603" t="str">
        <f>""</f>
        <v/>
      </c>
      <c r="I1603" t="str">
        <f t="shared" si="22"/>
        <v>GUARDIAN</v>
      </c>
    </row>
    <row r="1604" spans="1:9" x14ac:dyDescent="0.3">
      <c r="A1604" t="str">
        <f>""</f>
        <v/>
      </c>
      <c r="F1604" t="str">
        <f>""</f>
        <v/>
      </c>
      <c r="G1604" t="str">
        <f>""</f>
        <v/>
      </c>
      <c r="I1604" t="str">
        <f t="shared" si="22"/>
        <v>GUARDIAN</v>
      </c>
    </row>
    <row r="1605" spans="1:9" x14ac:dyDescent="0.3">
      <c r="A1605" t="str">
        <f>""</f>
        <v/>
      </c>
      <c r="F1605" t="str">
        <f>""</f>
        <v/>
      </c>
      <c r="G1605" t="str">
        <f>""</f>
        <v/>
      </c>
      <c r="I1605" t="str">
        <f t="shared" si="22"/>
        <v>GUARDIAN</v>
      </c>
    </row>
    <row r="1606" spans="1:9" x14ac:dyDescent="0.3">
      <c r="A1606" t="str">
        <f>""</f>
        <v/>
      </c>
      <c r="F1606" t="str">
        <f>""</f>
        <v/>
      </c>
      <c r="G1606" t="str">
        <f>""</f>
        <v/>
      </c>
      <c r="I1606" t="str">
        <f t="shared" si="22"/>
        <v>GUARDIAN</v>
      </c>
    </row>
    <row r="1607" spans="1:9" x14ac:dyDescent="0.3">
      <c r="A1607" t="str">
        <f>""</f>
        <v/>
      </c>
      <c r="F1607" t="str">
        <f>""</f>
        <v/>
      </c>
      <c r="G1607" t="str">
        <f>""</f>
        <v/>
      </c>
      <c r="I1607" t="str">
        <f t="shared" si="22"/>
        <v>GUARDIAN</v>
      </c>
    </row>
    <row r="1608" spans="1:9" x14ac:dyDescent="0.3">
      <c r="A1608" t="str">
        <f>""</f>
        <v/>
      </c>
      <c r="F1608" t="str">
        <f>""</f>
        <v/>
      </c>
      <c r="G1608" t="str">
        <f>""</f>
        <v/>
      </c>
      <c r="I1608" t="str">
        <f t="shared" si="22"/>
        <v>GUARDIAN</v>
      </c>
    </row>
    <row r="1609" spans="1:9" x14ac:dyDescent="0.3">
      <c r="A1609" t="str">
        <f>""</f>
        <v/>
      </c>
      <c r="F1609" t="str">
        <f>""</f>
        <v/>
      </c>
      <c r="G1609" t="str">
        <f>""</f>
        <v/>
      </c>
      <c r="I1609" t="str">
        <f t="shared" si="22"/>
        <v>GUARDIAN</v>
      </c>
    </row>
    <row r="1610" spans="1:9" x14ac:dyDescent="0.3">
      <c r="A1610" t="str">
        <f>""</f>
        <v/>
      </c>
      <c r="F1610" t="str">
        <f>""</f>
        <v/>
      </c>
      <c r="G1610" t="str">
        <f>""</f>
        <v/>
      </c>
      <c r="I1610" t="str">
        <f t="shared" si="22"/>
        <v>GUARDIAN</v>
      </c>
    </row>
    <row r="1611" spans="1:9" x14ac:dyDescent="0.3">
      <c r="A1611" t="str">
        <f>""</f>
        <v/>
      </c>
      <c r="F1611" t="str">
        <f>""</f>
        <v/>
      </c>
      <c r="G1611" t="str">
        <f>""</f>
        <v/>
      </c>
      <c r="I1611" t="str">
        <f t="shared" si="22"/>
        <v>GUARDIAN</v>
      </c>
    </row>
    <row r="1612" spans="1:9" x14ac:dyDescent="0.3">
      <c r="A1612" t="str">
        <f>""</f>
        <v/>
      </c>
      <c r="F1612" t="str">
        <f>""</f>
        <v/>
      </c>
      <c r="G1612" t="str">
        <f>""</f>
        <v/>
      </c>
      <c r="I1612" t="str">
        <f t="shared" si="22"/>
        <v>GUARDIAN</v>
      </c>
    </row>
    <row r="1613" spans="1:9" x14ac:dyDescent="0.3">
      <c r="A1613" t="str">
        <f>""</f>
        <v/>
      </c>
      <c r="F1613" t="str">
        <f>""</f>
        <v/>
      </c>
      <c r="G1613" t="str">
        <f>""</f>
        <v/>
      </c>
      <c r="I1613" t="str">
        <f t="shared" si="22"/>
        <v>GUARDIAN</v>
      </c>
    </row>
    <row r="1614" spans="1:9" x14ac:dyDescent="0.3">
      <c r="A1614" t="str">
        <f>""</f>
        <v/>
      </c>
      <c r="F1614" t="str">
        <f>""</f>
        <v/>
      </c>
      <c r="G1614" t="str">
        <f>""</f>
        <v/>
      </c>
      <c r="I1614" t="str">
        <f t="shared" si="22"/>
        <v>GUARDIAN</v>
      </c>
    </row>
    <row r="1615" spans="1:9" x14ac:dyDescent="0.3">
      <c r="A1615" t="str">
        <f>""</f>
        <v/>
      </c>
      <c r="F1615" t="str">
        <f>"GDE201803079264"</f>
        <v>GDE201803079264</v>
      </c>
      <c r="G1615" t="str">
        <f>"GUARDIAN"</f>
        <v>GUARDIAN</v>
      </c>
      <c r="H1615">
        <v>3936.8</v>
      </c>
      <c r="I1615" t="str">
        <f t="shared" si="22"/>
        <v>GUARDIAN</v>
      </c>
    </row>
    <row r="1616" spans="1:9" x14ac:dyDescent="0.3">
      <c r="A1616" t="str">
        <f>""</f>
        <v/>
      </c>
      <c r="F1616" t="str">
        <f>""</f>
        <v/>
      </c>
      <c r="G1616" t="str">
        <f>""</f>
        <v/>
      </c>
      <c r="I1616" t="str">
        <f t="shared" si="22"/>
        <v>GUARDIAN</v>
      </c>
    </row>
    <row r="1617" spans="1:9" x14ac:dyDescent="0.3">
      <c r="A1617" t="str">
        <f>""</f>
        <v/>
      </c>
      <c r="F1617" t="str">
        <f>""</f>
        <v/>
      </c>
      <c r="G1617" t="str">
        <f>""</f>
        <v/>
      </c>
      <c r="I1617" t="str">
        <f t="shared" si="22"/>
        <v>GUARDIAN</v>
      </c>
    </row>
    <row r="1618" spans="1:9" x14ac:dyDescent="0.3">
      <c r="A1618" t="str">
        <f>""</f>
        <v/>
      </c>
      <c r="F1618" t="str">
        <f>""</f>
        <v/>
      </c>
      <c r="G1618" t="str">
        <f>""</f>
        <v/>
      </c>
      <c r="I1618" t="str">
        <f t="shared" si="22"/>
        <v>GUARDIAN</v>
      </c>
    </row>
    <row r="1619" spans="1:9" x14ac:dyDescent="0.3">
      <c r="A1619" t="str">
        <f>""</f>
        <v/>
      </c>
      <c r="F1619" t="str">
        <f>""</f>
        <v/>
      </c>
      <c r="G1619" t="str">
        <f>""</f>
        <v/>
      </c>
      <c r="I1619" t="str">
        <f t="shared" si="22"/>
        <v>GUARDIAN</v>
      </c>
    </row>
    <row r="1620" spans="1:9" x14ac:dyDescent="0.3">
      <c r="A1620" t="str">
        <f>""</f>
        <v/>
      </c>
      <c r="F1620" t="str">
        <f>""</f>
        <v/>
      </c>
      <c r="G1620" t="str">
        <f>""</f>
        <v/>
      </c>
      <c r="I1620" t="str">
        <f t="shared" si="22"/>
        <v>GUARDIAN</v>
      </c>
    </row>
    <row r="1621" spans="1:9" x14ac:dyDescent="0.3">
      <c r="A1621" t="str">
        <f>""</f>
        <v/>
      </c>
      <c r="F1621" t="str">
        <f>""</f>
        <v/>
      </c>
      <c r="G1621" t="str">
        <f>""</f>
        <v/>
      </c>
      <c r="I1621" t="str">
        <f t="shared" si="22"/>
        <v>GUARDIAN</v>
      </c>
    </row>
    <row r="1622" spans="1:9" x14ac:dyDescent="0.3">
      <c r="A1622" t="str">
        <f>""</f>
        <v/>
      </c>
      <c r="F1622" t="str">
        <f>""</f>
        <v/>
      </c>
      <c r="G1622" t="str">
        <f>""</f>
        <v/>
      </c>
      <c r="I1622" t="str">
        <f t="shared" si="22"/>
        <v>GUARDIAN</v>
      </c>
    </row>
    <row r="1623" spans="1:9" x14ac:dyDescent="0.3">
      <c r="A1623" t="str">
        <f>""</f>
        <v/>
      </c>
      <c r="F1623" t="str">
        <f>""</f>
        <v/>
      </c>
      <c r="G1623" t="str">
        <f>""</f>
        <v/>
      </c>
      <c r="I1623" t="str">
        <f t="shared" si="22"/>
        <v>GUARDIAN</v>
      </c>
    </row>
    <row r="1624" spans="1:9" x14ac:dyDescent="0.3">
      <c r="A1624" t="str">
        <f>""</f>
        <v/>
      </c>
      <c r="F1624" t="str">
        <f>""</f>
        <v/>
      </c>
      <c r="G1624" t="str">
        <f>""</f>
        <v/>
      </c>
      <c r="I1624" t="str">
        <f t="shared" si="22"/>
        <v>GUARDIAN</v>
      </c>
    </row>
    <row r="1625" spans="1:9" x14ac:dyDescent="0.3">
      <c r="A1625" t="str">
        <f>""</f>
        <v/>
      </c>
      <c r="F1625" t="str">
        <f>""</f>
        <v/>
      </c>
      <c r="G1625" t="str">
        <f>""</f>
        <v/>
      </c>
      <c r="I1625" t="str">
        <f t="shared" si="22"/>
        <v>GUARDIAN</v>
      </c>
    </row>
    <row r="1626" spans="1:9" x14ac:dyDescent="0.3">
      <c r="A1626" t="str">
        <f>""</f>
        <v/>
      </c>
      <c r="F1626" t="str">
        <f>""</f>
        <v/>
      </c>
      <c r="G1626" t="str">
        <f>""</f>
        <v/>
      </c>
      <c r="I1626" t="str">
        <f t="shared" si="22"/>
        <v>GUARDIAN</v>
      </c>
    </row>
    <row r="1627" spans="1:9" x14ac:dyDescent="0.3">
      <c r="A1627" t="str">
        <f>""</f>
        <v/>
      </c>
      <c r="F1627" t="str">
        <f>""</f>
        <v/>
      </c>
      <c r="G1627" t="str">
        <f>""</f>
        <v/>
      </c>
      <c r="I1627" t="str">
        <f t="shared" si="22"/>
        <v>GUARDIAN</v>
      </c>
    </row>
    <row r="1628" spans="1:9" x14ac:dyDescent="0.3">
      <c r="A1628" t="str">
        <f>""</f>
        <v/>
      </c>
      <c r="F1628" t="str">
        <f>""</f>
        <v/>
      </c>
      <c r="G1628" t="str">
        <f>""</f>
        <v/>
      </c>
      <c r="I1628" t="str">
        <f t="shared" si="22"/>
        <v>GUARDIAN</v>
      </c>
    </row>
    <row r="1629" spans="1:9" x14ac:dyDescent="0.3">
      <c r="A1629" t="str">
        <f>""</f>
        <v/>
      </c>
      <c r="F1629" t="str">
        <f>""</f>
        <v/>
      </c>
      <c r="G1629" t="str">
        <f>""</f>
        <v/>
      </c>
      <c r="I1629" t="str">
        <f t="shared" si="22"/>
        <v>GUARDIAN</v>
      </c>
    </row>
    <row r="1630" spans="1:9" x14ac:dyDescent="0.3">
      <c r="A1630" t="str">
        <f>""</f>
        <v/>
      </c>
      <c r="F1630" t="str">
        <f>""</f>
        <v/>
      </c>
      <c r="G1630" t="str">
        <f>""</f>
        <v/>
      </c>
      <c r="I1630" t="str">
        <f t="shared" si="22"/>
        <v>GUARDIAN</v>
      </c>
    </row>
    <row r="1631" spans="1:9" x14ac:dyDescent="0.3">
      <c r="A1631" t="str">
        <f>""</f>
        <v/>
      </c>
      <c r="F1631" t="str">
        <f>""</f>
        <v/>
      </c>
      <c r="G1631" t="str">
        <f>""</f>
        <v/>
      </c>
      <c r="I1631" t="str">
        <f t="shared" si="22"/>
        <v>GUARDIAN</v>
      </c>
    </row>
    <row r="1632" spans="1:9" x14ac:dyDescent="0.3">
      <c r="A1632" t="str">
        <f>""</f>
        <v/>
      </c>
      <c r="F1632" t="str">
        <f>""</f>
        <v/>
      </c>
      <c r="G1632" t="str">
        <f>""</f>
        <v/>
      </c>
      <c r="I1632" t="str">
        <f t="shared" si="22"/>
        <v>GUARDIAN</v>
      </c>
    </row>
    <row r="1633" spans="1:9" x14ac:dyDescent="0.3">
      <c r="A1633" t="str">
        <f>""</f>
        <v/>
      </c>
      <c r="F1633" t="str">
        <f>""</f>
        <v/>
      </c>
      <c r="G1633" t="str">
        <f>""</f>
        <v/>
      </c>
      <c r="I1633" t="str">
        <f t="shared" si="22"/>
        <v>GUARDIAN</v>
      </c>
    </row>
    <row r="1634" spans="1:9" x14ac:dyDescent="0.3">
      <c r="A1634" t="str">
        <f>""</f>
        <v/>
      </c>
      <c r="F1634" t="str">
        <f>""</f>
        <v/>
      </c>
      <c r="G1634" t="str">
        <f>""</f>
        <v/>
      </c>
      <c r="I1634" t="str">
        <f t="shared" si="22"/>
        <v>GUARDIAN</v>
      </c>
    </row>
    <row r="1635" spans="1:9" x14ac:dyDescent="0.3">
      <c r="A1635" t="str">
        <f>""</f>
        <v/>
      </c>
      <c r="F1635" t="str">
        <f>""</f>
        <v/>
      </c>
      <c r="G1635" t="str">
        <f>""</f>
        <v/>
      </c>
      <c r="I1635" t="str">
        <f t="shared" si="22"/>
        <v>GUARDIAN</v>
      </c>
    </row>
    <row r="1636" spans="1:9" x14ac:dyDescent="0.3">
      <c r="A1636" t="str">
        <f>""</f>
        <v/>
      </c>
      <c r="F1636" t="str">
        <f>""</f>
        <v/>
      </c>
      <c r="G1636" t="str">
        <f>""</f>
        <v/>
      </c>
      <c r="I1636" t="str">
        <f t="shared" si="22"/>
        <v>GUARDIAN</v>
      </c>
    </row>
    <row r="1637" spans="1:9" x14ac:dyDescent="0.3">
      <c r="A1637" t="str">
        <f>""</f>
        <v/>
      </c>
      <c r="F1637" t="str">
        <f>""</f>
        <v/>
      </c>
      <c r="G1637" t="str">
        <f>""</f>
        <v/>
      </c>
      <c r="I1637" t="str">
        <f t="shared" si="22"/>
        <v>GUARDIAN</v>
      </c>
    </row>
    <row r="1638" spans="1:9" x14ac:dyDescent="0.3">
      <c r="A1638" t="str">
        <f>""</f>
        <v/>
      </c>
      <c r="F1638" t="str">
        <f>""</f>
        <v/>
      </c>
      <c r="G1638" t="str">
        <f>""</f>
        <v/>
      </c>
      <c r="I1638" t="str">
        <f t="shared" si="22"/>
        <v>GUARDIAN</v>
      </c>
    </row>
    <row r="1639" spans="1:9" x14ac:dyDescent="0.3">
      <c r="A1639" t="str">
        <f>""</f>
        <v/>
      </c>
      <c r="F1639" t="str">
        <f>""</f>
        <v/>
      </c>
      <c r="G1639" t="str">
        <f>""</f>
        <v/>
      </c>
      <c r="I1639" t="str">
        <f t="shared" si="22"/>
        <v>GUARDIAN</v>
      </c>
    </row>
    <row r="1640" spans="1:9" x14ac:dyDescent="0.3">
      <c r="A1640" t="str">
        <f>""</f>
        <v/>
      </c>
      <c r="F1640" t="str">
        <f>""</f>
        <v/>
      </c>
      <c r="G1640" t="str">
        <f>""</f>
        <v/>
      </c>
      <c r="I1640" t="str">
        <f t="shared" si="22"/>
        <v>GUARDIAN</v>
      </c>
    </row>
    <row r="1641" spans="1:9" x14ac:dyDescent="0.3">
      <c r="A1641" t="str">
        <f>""</f>
        <v/>
      </c>
      <c r="F1641" t="str">
        <f>""</f>
        <v/>
      </c>
      <c r="G1641" t="str">
        <f>""</f>
        <v/>
      </c>
      <c r="I1641" t="str">
        <f t="shared" si="22"/>
        <v>GUARDIAN</v>
      </c>
    </row>
    <row r="1642" spans="1:9" x14ac:dyDescent="0.3">
      <c r="A1642" t="str">
        <f>""</f>
        <v/>
      </c>
      <c r="F1642" t="str">
        <f>""</f>
        <v/>
      </c>
      <c r="G1642" t="str">
        <f>""</f>
        <v/>
      </c>
      <c r="I1642" t="str">
        <f t="shared" si="22"/>
        <v>GUARDIAN</v>
      </c>
    </row>
    <row r="1643" spans="1:9" x14ac:dyDescent="0.3">
      <c r="A1643" t="str">
        <f>""</f>
        <v/>
      </c>
      <c r="F1643" t="str">
        <f>""</f>
        <v/>
      </c>
      <c r="G1643" t="str">
        <f>""</f>
        <v/>
      </c>
      <c r="I1643" t="str">
        <f t="shared" si="22"/>
        <v>GUARDIAN</v>
      </c>
    </row>
    <row r="1644" spans="1:9" x14ac:dyDescent="0.3">
      <c r="A1644" t="str">
        <f>""</f>
        <v/>
      </c>
      <c r="F1644" t="str">
        <f>""</f>
        <v/>
      </c>
      <c r="G1644" t="str">
        <f>""</f>
        <v/>
      </c>
      <c r="I1644" t="str">
        <f t="shared" si="22"/>
        <v>GUARDIAN</v>
      </c>
    </row>
    <row r="1645" spans="1:9" x14ac:dyDescent="0.3">
      <c r="A1645" t="str">
        <f>""</f>
        <v/>
      </c>
      <c r="F1645" t="str">
        <f>""</f>
        <v/>
      </c>
      <c r="G1645" t="str">
        <f>""</f>
        <v/>
      </c>
      <c r="I1645" t="str">
        <f t="shared" si="22"/>
        <v>GUARDIAN</v>
      </c>
    </row>
    <row r="1646" spans="1:9" x14ac:dyDescent="0.3">
      <c r="A1646" t="str">
        <f>""</f>
        <v/>
      </c>
      <c r="F1646" t="str">
        <f>""</f>
        <v/>
      </c>
      <c r="G1646" t="str">
        <f>""</f>
        <v/>
      </c>
      <c r="I1646" t="str">
        <f t="shared" si="22"/>
        <v>GUARDIAN</v>
      </c>
    </row>
    <row r="1647" spans="1:9" x14ac:dyDescent="0.3">
      <c r="A1647" t="str">
        <f>""</f>
        <v/>
      </c>
      <c r="F1647" t="str">
        <f>""</f>
        <v/>
      </c>
      <c r="G1647" t="str">
        <f>""</f>
        <v/>
      </c>
      <c r="I1647" t="str">
        <f t="shared" si="22"/>
        <v>GUARDIAN</v>
      </c>
    </row>
    <row r="1648" spans="1:9" x14ac:dyDescent="0.3">
      <c r="A1648" t="str">
        <f>""</f>
        <v/>
      </c>
      <c r="F1648" t="str">
        <f>""</f>
        <v/>
      </c>
      <c r="G1648" t="str">
        <f>""</f>
        <v/>
      </c>
      <c r="I1648" t="str">
        <f t="shared" si="22"/>
        <v>GUARDIAN</v>
      </c>
    </row>
    <row r="1649" spans="1:9" x14ac:dyDescent="0.3">
      <c r="A1649" t="str">
        <f>""</f>
        <v/>
      </c>
      <c r="F1649" t="str">
        <f>""</f>
        <v/>
      </c>
      <c r="G1649" t="str">
        <f>""</f>
        <v/>
      </c>
      <c r="I1649" t="str">
        <f t="shared" si="22"/>
        <v>GUARDIAN</v>
      </c>
    </row>
    <row r="1650" spans="1:9" x14ac:dyDescent="0.3">
      <c r="A1650" t="str">
        <f>""</f>
        <v/>
      </c>
      <c r="F1650" t="str">
        <f>""</f>
        <v/>
      </c>
      <c r="G1650" t="str">
        <f>""</f>
        <v/>
      </c>
      <c r="I1650" t="str">
        <f t="shared" si="22"/>
        <v>GUARDIAN</v>
      </c>
    </row>
    <row r="1651" spans="1:9" x14ac:dyDescent="0.3">
      <c r="A1651" t="str">
        <f>""</f>
        <v/>
      </c>
      <c r="F1651" t="str">
        <f>""</f>
        <v/>
      </c>
      <c r="G1651" t="str">
        <f>""</f>
        <v/>
      </c>
      <c r="I1651" t="str">
        <f t="shared" si="22"/>
        <v>GUARDIAN</v>
      </c>
    </row>
    <row r="1652" spans="1:9" x14ac:dyDescent="0.3">
      <c r="A1652" t="str">
        <f>""</f>
        <v/>
      </c>
      <c r="F1652" t="str">
        <f>""</f>
        <v/>
      </c>
      <c r="G1652" t="str">
        <f>""</f>
        <v/>
      </c>
      <c r="I1652" t="str">
        <f t="shared" si="22"/>
        <v>GUARDIAN</v>
      </c>
    </row>
    <row r="1653" spans="1:9" x14ac:dyDescent="0.3">
      <c r="A1653" t="str">
        <f>""</f>
        <v/>
      </c>
      <c r="F1653" t="str">
        <f>""</f>
        <v/>
      </c>
      <c r="G1653" t="str">
        <f>""</f>
        <v/>
      </c>
      <c r="I1653" t="str">
        <f t="shared" si="22"/>
        <v>GUARDIAN</v>
      </c>
    </row>
    <row r="1654" spans="1:9" x14ac:dyDescent="0.3">
      <c r="A1654" t="str">
        <f>""</f>
        <v/>
      </c>
      <c r="F1654" t="str">
        <f>""</f>
        <v/>
      </c>
      <c r="G1654" t="str">
        <f>""</f>
        <v/>
      </c>
      <c r="I1654" t="str">
        <f t="shared" si="22"/>
        <v>GUARDIAN</v>
      </c>
    </row>
    <row r="1655" spans="1:9" x14ac:dyDescent="0.3">
      <c r="A1655" t="str">
        <f>""</f>
        <v/>
      </c>
      <c r="F1655" t="str">
        <f>""</f>
        <v/>
      </c>
      <c r="G1655" t="str">
        <f>""</f>
        <v/>
      </c>
      <c r="I1655" t="str">
        <f t="shared" si="22"/>
        <v>GUARDIAN</v>
      </c>
    </row>
    <row r="1656" spans="1:9" x14ac:dyDescent="0.3">
      <c r="A1656" t="str">
        <f>""</f>
        <v/>
      </c>
      <c r="F1656" t="str">
        <f>"GDE201803079268"</f>
        <v>GDE201803079268</v>
      </c>
      <c r="G1656" t="str">
        <f>"GUARDIAN"</f>
        <v>GUARDIAN</v>
      </c>
      <c r="H1656">
        <v>148</v>
      </c>
      <c r="I1656" t="str">
        <f t="shared" si="22"/>
        <v>GUARDIAN</v>
      </c>
    </row>
    <row r="1657" spans="1:9" x14ac:dyDescent="0.3">
      <c r="A1657" t="str">
        <f>""</f>
        <v/>
      </c>
      <c r="F1657" t="str">
        <f>"GDE201803219715"</f>
        <v>GDE201803219715</v>
      </c>
      <c r="G1657" t="str">
        <f>"GUARDIAN"</f>
        <v>GUARDIAN</v>
      </c>
      <c r="H1657">
        <v>148</v>
      </c>
      <c r="I1657" t="str">
        <f t="shared" si="22"/>
        <v>GUARDIAN</v>
      </c>
    </row>
    <row r="1658" spans="1:9" x14ac:dyDescent="0.3">
      <c r="A1658" t="str">
        <f>""</f>
        <v/>
      </c>
      <c r="F1658" t="str">
        <f>"GDE201803219717"</f>
        <v>GDE201803219717</v>
      </c>
      <c r="G1658" t="str">
        <f>"GUARDIAN"</f>
        <v>GUARDIAN</v>
      </c>
      <c r="H1658">
        <v>3877.6</v>
      </c>
      <c r="I1658" t="str">
        <f t="shared" si="22"/>
        <v>GUARDIAN</v>
      </c>
    </row>
    <row r="1659" spans="1:9" x14ac:dyDescent="0.3">
      <c r="A1659" t="str">
        <f>""</f>
        <v/>
      </c>
      <c r="F1659" t="str">
        <f>""</f>
        <v/>
      </c>
      <c r="G1659" t="str">
        <f>""</f>
        <v/>
      </c>
      <c r="I1659" t="str">
        <f t="shared" si="22"/>
        <v>GUARDIAN</v>
      </c>
    </row>
    <row r="1660" spans="1:9" x14ac:dyDescent="0.3">
      <c r="A1660" t="str">
        <f>""</f>
        <v/>
      </c>
      <c r="F1660" t="str">
        <f>""</f>
        <v/>
      </c>
      <c r="G1660" t="str">
        <f>""</f>
        <v/>
      </c>
      <c r="I1660" t="str">
        <f t="shared" si="22"/>
        <v>GUARDIAN</v>
      </c>
    </row>
    <row r="1661" spans="1:9" x14ac:dyDescent="0.3">
      <c r="A1661" t="str">
        <f>""</f>
        <v/>
      </c>
      <c r="F1661" t="str">
        <f>""</f>
        <v/>
      </c>
      <c r="G1661" t="str">
        <f>""</f>
        <v/>
      </c>
      <c r="I1661" t="str">
        <f t="shared" si="22"/>
        <v>GUARDIAN</v>
      </c>
    </row>
    <row r="1662" spans="1:9" x14ac:dyDescent="0.3">
      <c r="A1662" t="str">
        <f>""</f>
        <v/>
      </c>
      <c r="F1662" t="str">
        <f>""</f>
        <v/>
      </c>
      <c r="G1662" t="str">
        <f>""</f>
        <v/>
      </c>
      <c r="I1662" t="str">
        <f t="shared" si="22"/>
        <v>GUARDIAN</v>
      </c>
    </row>
    <row r="1663" spans="1:9" x14ac:dyDescent="0.3">
      <c r="A1663" t="str">
        <f>""</f>
        <v/>
      </c>
      <c r="F1663" t="str">
        <f>""</f>
        <v/>
      </c>
      <c r="G1663" t="str">
        <f>""</f>
        <v/>
      </c>
      <c r="I1663" t="str">
        <f t="shared" ref="I1663:I1726" si="23">"GUARDIAN"</f>
        <v>GUARDIAN</v>
      </c>
    </row>
    <row r="1664" spans="1:9" x14ac:dyDescent="0.3">
      <c r="A1664" t="str">
        <f>""</f>
        <v/>
      </c>
      <c r="F1664" t="str">
        <f>""</f>
        <v/>
      </c>
      <c r="G1664" t="str">
        <f>""</f>
        <v/>
      </c>
      <c r="I1664" t="str">
        <f t="shared" si="23"/>
        <v>GUARDIAN</v>
      </c>
    </row>
    <row r="1665" spans="1:9" x14ac:dyDescent="0.3">
      <c r="A1665" t="str">
        <f>""</f>
        <v/>
      </c>
      <c r="F1665" t="str">
        <f>""</f>
        <v/>
      </c>
      <c r="G1665" t="str">
        <f>""</f>
        <v/>
      </c>
      <c r="I1665" t="str">
        <f t="shared" si="23"/>
        <v>GUARDIAN</v>
      </c>
    </row>
    <row r="1666" spans="1:9" x14ac:dyDescent="0.3">
      <c r="A1666" t="str">
        <f>""</f>
        <v/>
      </c>
      <c r="F1666" t="str">
        <f>""</f>
        <v/>
      </c>
      <c r="G1666" t="str">
        <f>""</f>
        <v/>
      </c>
      <c r="I1666" t="str">
        <f t="shared" si="23"/>
        <v>GUARDIAN</v>
      </c>
    </row>
    <row r="1667" spans="1:9" x14ac:dyDescent="0.3">
      <c r="A1667" t="str">
        <f>""</f>
        <v/>
      </c>
      <c r="F1667" t="str">
        <f>""</f>
        <v/>
      </c>
      <c r="G1667" t="str">
        <f>""</f>
        <v/>
      </c>
      <c r="I1667" t="str">
        <f t="shared" si="23"/>
        <v>GUARDIAN</v>
      </c>
    </row>
    <row r="1668" spans="1:9" x14ac:dyDescent="0.3">
      <c r="A1668" t="str">
        <f>""</f>
        <v/>
      </c>
      <c r="F1668" t="str">
        <f>""</f>
        <v/>
      </c>
      <c r="G1668" t="str">
        <f>""</f>
        <v/>
      </c>
      <c r="I1668" t="str">
        <f t="shared" si="23"/>
        <v>GUARDIAN</v>
      </c>
    </row>
    <row r="1669" spans="1:9" x14ac:dyDescent="0.3">
      <c r="A1669" t="str">
        <f>""</f>
        <v/>
      </c>
      <c r="F1669" t="str">
        <f>""</f>
        <v/>
      </c>
      <c r="G1669" t="str">
        <f>""</f>
        <v/>
      </c>
      <c r="I1669" t="str">
        <f t="shared" si="23"/>
        <v>GUARDIAN</v>
      </c>
    </row>
    <row r="1670" spans="1:9" x14ac:dyDescent="0.3">
      <c r="A1670" t="str">
        <f>""</f>
        <v/>
      </c>
      <c r="F1670" t="str">
        <f>""</f>
        <v/>
      </c>
      <c r="G1670" t="str">
        <f>""</f>
        <v/>
      </c>
      <c r="I1670" t="str">
        <f t="shared" si="23"/>
        <v>GUARDIAN</v>
      </c>
    </row>
    <row r="1671" spans="1:9" x14ac:dyDescent="0.3">
      <c r="A1671" t="str">
        <f>""</f>
        <v/>
      </c>
      <c r="F1671" t="str">
        <f>""</f>
        <v/>
      </c>
      <c r="G1671" t="str">
        <f>""</f>
        <v/>
      </c>
      <c r="I1671" t="str">
        <f t="shared" si="23"/>
        <v>GUARDIAN</v>
      </c>
    </row>
    <row r="1672" spans="1:9" x14ac:dyDescent="0.3">
      <c r="A1672" t="str">
        <f>""</f>
        <v/>
      </c>
      <c r="F1672" t="str">
        <f>""</f>
        <v/>
      </c>
      <c r="G1672" t="str">
        <f>""</f>
        <v/>
      </c>
      <c r="I1672" t="str">
        <f t="shared" si="23"/>
        <v>GUARDIAN</v>
      </c>
    </row>
    <row r="1673" spans="1:9" x14ac:dyDescent="0.3">
      <c r="A1673" t="str">
        <f>""</f>
        <v/>
      </c>
      <c r="F1673" t="str">
        <f>""</f>
        <v/>
      </c>
      <c r="G1673" t="str">
        <f>""</f>
        <v/>
      </c>
      <c r="I1673" t="str">
        <f t="shared" si="23"/>
        <v>GUARDIAN</v>
      </c>
    </row>
    <row r="1674" spans="1:9" x14ac:dyDescent="0.3">
      <c r="A1674" t="str">
        <f>""</f>
        <v/>
      </c>
      <c r="F1674" t="str">
        <f>""</f>
        <v/>
      </c>
      <c r="G1674" t="str">
        <f>""</f>
        <v/>
      </c>
      <c r="I1674" t="str">
        <f t="shared" si="23"/>
        <v>GUARDIAN</v>
      </c>
    </row>
    <row r="1675" spans="1:9" x14ac:dyDescent="0.3">
      <c r="A1675" t="str">
        <f>""</f>
        <v/>
      </c>
      <c r="F1675" t="str">
        <f>""</f>
        <v/>
      </c>
      <c r="G1675" t="str">
        <f>""</f>
        <v/>
      </c>
      <c r="I1675" t="str">
        <f t="shared" si="23"/>
        <v>GUARDIAN</v>
      </c>
    </row>
    <row r="1676" spans="1:9" x14ac:dyDescent="0.3">
      <c r="A1676" t="str">
        <f>""</f>
        <v/>
      </c>
      <c r="F1676" t="str">
        <f>""</f>
        <v/>
      </c>
      <c r="G1676" t="str">
        <f>""</f>
        <v/>
      </c>
      <c r="I1676" t="str">
        <f t="shared" si="23"/>
        <v>GUARDIAN</v>
      </c>
    </row>
    <row r="1677" spans="1:9" x14ac:dyDescent="0.3">
      <c r="A1677" t="str">
        <f>""</f>
        <v/>
      </c>
      <c r="F1677" t="str">
        <f>""</f>
        <v/>
      </c>
      <c r="G1677" t="str">
        <f>""</f>
        <v/>
      </c>
      <c r="I1677" t="str">
        <f t="shared" si="23"/>
        <v>GUARDIAN</v>
      </c>
    </row>
    <row r="1678" spans="1:9" x14ac:dyDescent="0.3">
      <c r="A1678" t="str">
        <f>""</f>
        <v/>
      </c>
      <c r="F1678" t="str">
        <f>""</f>
        <v/>
      </c>
      <c r="G1678" t="str">
        <f>""</f>
        <v/>
      </c>
      <c r="I1678" t="str">
        <f t="shared" si="23"/>
        <v>GUARDIAN</v>
      </c>
    </row>
    <row r="1679" spans="1:9" x14ac:dyDescent="0.3">
      <c r="A1679" t="str">
        <f>""</f>
        <v/>
      </c>
      <c r="F1679" t="str">
        <f>""</f>
        <v/>
      </c>
      <c r="G1679" t="str">
        <f>""</f>
        <v/>
      </c>
      <c r="I1679" t="str">
        <f t="shared" si="23"/>
        <v>GUARDIAN</v>
      </c>
    </row>
    <row r="1680" spans="1:9" x14ac:dyDescent="0.3">
      <c r="A1680" t="str">
        <f>""</f>
        <v/>
      </c>
      <c r="F1680" t="str">
        <f>""</f>
        <v/>
      </c>
      <c r="G1680" t="str">
        <f>""</f>
        <v/>
      </c>
      <c r="I1680" t="str">
        <f t="shared" si="23"/>
        <v>GUARDIAN</v>
      </c>
    </row>
    <row r="1681" spans="1:9" x14ac:dyDescent="0.3">
      <c r="A1681" t="str">
        <f>""</f>
        <v/>
      </c>
      <c r="F1681" t="str">
        <f>""</f>
        <v/>
      </c>
      <c r="G1681" t="str">
        <f>""</f>
        <v/>
      </c>
      <c r="I1681" t="str">
        <f t="shared" si="23"/>
        <v>GUARDIAN</v>
      </c>
    </row>
    <row r="1682" spans="1:9" x14ac:dyDescent="0.3">
      <c r="A1682" t="str">
        <f>""</f>
        <v/>
      </c>
      <c r="F1682" t="str">
        <f>""</f>
        <v/>
      </c>
      <c r="G1682" t="str">
        <f>""</f>
        <v/>
      </c>
      <c r="I1682" t="str">
        <f t="shared" si="23"/>
        <v>GUARDIAN</v>
      </c>
    </row>
    <row r="1683" spans="1:9" x14ac:dyDescent="0.3">
      <c r="A1683" t="str">
        <f>""</f>
        <v/>
      </c>
      <c r="F1683" t="str">
        <f>""</f>
        <v/>
      </c>
      <c r="G1683" t="str">
        <f>""</f>
        <v/>
      </c>
      <c r="I1683" t="str">
        <f t="shared" si="23"/>
        <v>GUARDIAN</v>
      </c>
    </row>
    <row r="1684" spans="1:9" x14ac:dyDescent="0.3">
      <c r="A1684" t="str">
        <f>""</f>
        <v/>
      </c>
      <c r="F1684" t="str">
        <f>""</f>
        <v/>
      </c>
      <c r="G1684" t="str">
        <f>""</f>
        <v/>
      </c>
      <c r="I1684" t="str">
        <f t="shared" si="23"/>
        <v>GUARDIAN</v>
      </c>
    </row>
    <row r="1685" spans="1:9" x14ac:dyDescent="0.3">
      <c r="A1685" t="str">
        <f>""</f>
        <v/>
      </c>
      <c r="F1685" t="str">
        <f>""</f>
        <v/>
      </c>
      <c r="G1685" t="str">
        <f>""</f>
        <v/>
      </c>
      <c r="I1685" t="str">
        <f t="shared" si="23"/>
        <v>GUARDIAN</v>
      </c>
    </row>
    <row r="1686" spans="1:9" x14ac:dyDescent="0.3">
      <c r="A1686" t="str">
        <f>""</f>
        <v/>
      </c>
      <c r="F1686" t="str">
        <f>""</f>
        <v/>
      </c>
      <c r="G1686" t="str">
        <f>""</f>
        <v/>
      </c>
      <c r="I1686" t="str">
        <f t="shared" si="23"/>
        <v>GUARDIAN</v>
      </c>
    </row>
    <row r="1687" spans="1:9" x14ac:dyDescent="0.3">
      <c r="A1687" t="str">
        <f>""</f>
        <v/>
      </c>
      <c r="F1687" t="str">
        <f>""</f>
        <v/>
      </c>
      <c r="G1687" t="str">
        <f>""</f>
        <v/>
      </c>
      <c r="I1687" t="str">
        <f t="shared" si="23"/>
        <v>GUARDIAN</v>
      </c>
    </row>
    <row r="1688" spans="1:9" x14ac:dyDescent="0.3">
      <c r="A1688" t="str">
        <f>""</f>
        <v/>
      </c>
      <c r="F1688" t="str">
        <f>""</f>
        <v/>
      </c>
      <c r="G1688" t="str">
        <f>""</f>
        <v/>
      </c>
      <c r="I1688" t="str">
        <f t="shared" si="23"/>
        <v>GUARDIAN</v>
      </c>
    </row>
    <row r="1689" spans="1:9" x14ac:dyDescent="0.3">
      <c r="A1689" t="str">
        <f>""</f>
        <v/>
      </c>
      <c r="F1689" t="str">
        <f>""</f>
        <v/>
      </c>
      <c r="G1689" t="str">
        <f>""</f>
        <v/>
      </c>
      <c r="I1689" t="str">
        <f t="shared" si="23"/>
        <v>GUARDIAN</v>
      </c>
    </row>
    <row r="1690" spans="1:9" x14ac:dyDescent="0.3">
      <c r="A1690" t="str">
        <f>""</f>
        <v/>
      </c>
      <c r="F1690" t="str">
        <f>""</f>
        <v/>
      </c>
      <c r="G1690" t="str">
        <f>""</f>
        <v/>
      </c>
      <c r="I1690" t="str">
        <f t="shared" si="23"/>
        <v>GUARDIAN</v>
      </c>
    </row>
    <row r="1691" spans="1:9" x14ac:dyDescent="0.3">
      <c r="A1691" t="str">
        <f>""</f>
        <v/>
      </c>
      <c r="F1691" t="str">
        <f>""</f>
        <v/>
      </c>
      <c r="G1691" t="str">
        <f>""</f>
        <v/>
      </c>
      <c r="I1691" t="str">
        <f t="shared" si="23"/>
        <v>GUARDIAN</v>
      </c>
    </row>
    <row r="1692" spans="1:9" x14ac:dyDescent="0.3">
      <c r="A1692" t="str">
        <f>""</f>
        <v/>
      </c>
      <c r="F1692" t="str">
        <f>""</f>
        <v/>
      </c>
      <c r="G1692" t="str">
        <f>""</f>
        <v/>
      </c>
      <c r="I1692" t="str">
        <f t="shared" si="23"/>
        <v>GUARDIAN</v>
      </c>
    </row>
    <row r="1693" spans="1:9" x14ac:dyDescent="0.3">
      <c r="A1693" t="str">
        <f>""</f>
        <v/>
      </c>
      <c r="F1693" t="str">
        <f>""</f>
        <v/>
      </c>
      <c r="G1693" t="str">
        <f>""</f>
        <v/>
      </c>
      <c r="I1693" t="str">
        <f t="shared" si="23"/>
        <v>GUARDIAN</v>
      </c>
    </row>
    <row r="1694" spans="1:9" x14ac:dyDescent="0.3">
      <c r="A1694" t="str">
        <f>""</f>
        <v/>
      </c>
      <c r="F1694" t="str">
        <f>""</f>
        <v/>
      </c>
      <c r="G1694" t="str">
        <f>""</f>
        <v/>
      </c>
      <c r="I1694" t="str">
        <f t="shared" si="23"/>
        <v>GUARDIAN</v>
      </c>
    </row>
    <row r="1695" spans="1:9" x14ac:dyDescent="0.3">
      <c r="A1695" t="str">
        <f>""</f>
        <v/>
      </c>
      <c r="F1695" t="str">
        <f>""</f>
        <v/>
      </c>
      <c r="G1695" t="str">
        <f>""</f>
        <v/>
      </c>
      <c r="I1695" t="str">
        <f t="shared" si="23"/>
        <v>GUARDIAN</v>
      </c>
    </row>
    <row r="1696" spans="1:9" x14ac:dyDescent="0.3">
      <c r="A1696" t="str">
        <f>""</f>
        <v/>
      </c>
      <c r="F1696" t="str">
        <f>""</f>
        <v/>
      </c>
      <c r="G1696" t="str">
        <f>""</f>
        <v/>
      </c>
      <c r="I1696" t="str">
        <f t="shared" si="23"/>
        <v>GUARDIAN</v>
      </c>
    </row>
    <row r="1697" spans="1:9" x14ac:dyDescent="0.3">
      <c r="A1697" t="str">
        <f>""</f>
        <v/>
      </c>
      <c r="F1697" t="str">
        <f>""</f>
        <v/>
      </c>
      <c r="G1697" t="str">
        <f>""</f>
        <v/>
      </c>
      <c r="I1697" t="str">
        <f t="shared" si="23"/>
        <v>GUARDIAN</v>
      </c>
    </row>
    <row r="1698" spans="1:9" x14ac:dyDescent="0.3">
      <c r="A1698" t="str">
        <f>""</f>
        <v/>
      </c>
      <c r="F1698" t="str">
        <f>""</f>
        <v/>
      </c>
      <c r="G1698" t="str">
        <f>""</f>
        <v/>
      </c>
      <c r="I1698" t="str">
        <f t="shared" si="23"/>
        <v>GUARDIAN</v>
      </c>
    </row>
    <row r="1699" spans="1:9" x14ac:dyDescent="0.3">
      <c r="A1699" t="str">
        <f>""</f>
        <v/>
      </c>
      <c r="F1699" t="str">
        <f>"GDF201803079264"</f>
        <v>GDF201803079264</v>
      </c>
      <c r="G1699" t="str">
        <f>"GUARDIAN"</f>
        <v>GUARDIAN</v>
      </c>
      <c r="H1699">
        <v>2220.88</v>
      </c>
      <c r="I1699" t="str">
        <f t="shared" si="23"/>
        <v>GUARDIAN</v>
      </c>
    </row>
    <row r="1700" spans="1:9" x14ac:dyDescent="0.3">
      <c r="A1700" t="str">
        <f>""</f>
        <v/>
      </c>
      <c r="F1700" t="str">
        <f>""</f>
        <v/>
      </c>
      <c r="G1700" t="str">
        <f>""</f>
        <v/>
      </c>
      <c r="I1700" t="str">
        <f t="shared" si="23"/>
        <v>GUARDIAN</v>
      </c>
    </row>
    <row r="1701" spans="1:9" x14ac:dyDescent="0.3">
      <c r="A1701" t="str">
        <f>""</f>
        <v/>
      </c>
      <c r="F1701" t="str">
        <f>""</f>
        <v/>
      </c>
      <c r="G1701" t="str">
        <f>""</f>
        <v/>
      </c>
      <c r="I1701" t="str">
        <f t="shared" si="23"/>
        <v>GUARDIAN</v>
      </c>
    </row>
    <row r="1702" spans="1:9" x14ac:dyDescent="0.3">
      <c r="A1702" t="str">
        <f>""</f>
        <v/>
      </c>
      <c r="F1702" t="str">
        <f>""</f>
        <v/>
      </c>
      <c r="G1702" t="str">
        <f>""</f>
        <v/>
      </c>
      <c r="I1702" t="str">
        <f t="shared" si="23"/>
        <v>GUARDIAN</v>
      </c>
    </row>
    <row r="1703" spans="1:9" x14ac:dyDescent="0.3">
      <c r="A1703" t="str">
        <f>""</f>
        <v/>
      </c>
      <c r="F1703" t="str">
        <f>""</f>
        <v/>
      </c>
      <c r="G1703" t="str">
        <f>""</f>
        <v/>
      </c>
      <c r="I1703" t="str">
        <f t="shared" si="23"/>
        <v>GUARDIAN</v>
      </c>
    </row>
    <row r="1704" spans="1:9" x14ac:dyDescent="0.3">
      <c r="A1704" t="str">
        <f>""</f>
        <v/>
      </c>
      <c r="F1704" t="str">
        <f>""</f>
        <v/>
      </c>
      <c r="G1704" t="str">
        <f>""</f>
        <v/>
      </c>
      <c r="I1704" t="str">
        <f t="shared" si="23"/>
        <v>GUARDIAN</v>
      </c>
    </row>
    <row r="1705" spans="1:9" x14ac:dyDescent="0.3">
      <c r="A1705" t="str">
        <f>""</f>
        <v/>
      </c>
      <c r="F1705" t="str">
        <f>""</f>
        <v/>
      </c>
      <c r="G1705" t="str">
        <f>""</f>
        <v/>
      </c>
      <c r="I1705" t="str">
        <f t="shared" si="23"/>
        <v>GUARDIAN</v>
      </c>
    </row>
    <row r="1706" spans="1:9" x14ac:dyDescent="0.3">
      <c r="A1706" t="str">
        <f>""</f>
        <v/>
      </c>
      <c r="F1706" t="str">
        <f>""</f>
        <v/>
      </c>
      <c r="G1706" t="str">
        <f>""</f>
        <v/>
      </c>
      <c r="I1706" t="str">
        <f t="shared" si="23"/>
        <v>GUARDIAN</v>
      </c>
    </row>
    <row r="1707" spans="1:9" x14ac:dyDescent="0.3">
      <c r="A1707" t="str">
        <f>""</f>
        <v/>
      </c>
      <c r="F1707" t="str">
        <f>""</f>
        <v/>
      </c>
      <c r="G1707" t="str">
        <f>""</f>
        <v/>
      </c>
      <c r="I1707" t="str">
        <f t="shared" si="23"/>
        <v>GUARDIAN</v>
      </c>
    </row>
    <row r="1708" spans="1:9" x14ac:dyDescent="0.3">
      <c r="A1708" t="str">
        <f>""</f>
        <v/>
      </c>
      <c r="F1708" t="str">
        <f>""</f>
        <v/>
      </c>
      <c r="G1708" t="str">
        <f>""</f>
        <v/>
      </c>
      <c r="I1708" t="str">
        <f t="shared" si="23"/>
        <v>GUARDIAN</v>
      </c>
    </row>
    <row r="1709" spans="1:9" x14ac:dyDescent="0.3">
      <c r="A1709" t="str">
        <f>""</f>
        <v/>
      </c>
      <c r="F1709" t="str">
        <f>""</f>
        <v/>
      </c>
      <c r="G1709" t="str">
        <f>""</f>
        <v/>
      </c>
      <c r="I1709" t="str">
        <f t="shared" si="23"/>
        <v>GUARDIAN</v>
      </c>
    </row>
    <row r="1710" spans="1:9" x14ac:dyDescent="0.3">
      <c r="A1710" t="str">
        <f>""</f>
        <v/>
      </c>
      <c r="F1710" t="str">
        <f>""</f>
        <v/>
      </c>
      <c r="G1710" t="str">
        <f>""</f>
        <v/>
      </c>
      <c r="I1710" t="str">
        <f t="shared" si="23"/>
        <v>GUARDIAN</v>
      </c>
    </row>
    <row r="1711" spans="1:9" x14ac:dyDescent="0.3">
      <c r="A1711" t="str">
        <f>""</f>
        <v/>
      </c>
      <c r="F1711" t="str">
        <f>""</f>
        <v/>
      </c>
      <c r="G1711" t="str">
        <f>""</f>
        <v/>
      </c>
      <c r="I1711" t="str">
        <f t="shared" si="23"/>
        <v>GUARDIAN</v>
      </c>
    </row>
    <row r="1712" spans="1:9" x14ac:dyDescent="0.3">
      <c r="A1712" t="str">
        <f>""</f>
        <v/>
      </c>
      <c r="F1712" t="str">
        <f>""</f>
        <v/>
      </c>
      <c r="G1712" t="str">
        <f>""</f>
        <v/>
      </c>
      <c r="I1712" t="str">
        <f t="shared" si="23"/>
        <v>GUARDIAN</v>
      </c>
    </row>
    <row r="1713" spans="1:9" x14ac:dyDescent="0.3">
      <c r="A1713" t="str">
        <f>""</f>
        <v/>
      </c>
      <c r="F1713" t="str">
        <f>""</f>
        <v/>
      </c>
      <c r="G1713" t="str">
        <f>""</f>
        <v/>
      </c>
      <c r="I1713" t="str">
        <f t="shared" si="23"/>
        <v>GUARDIAN</v>
      </c>
    </row>
    <row r="1714" spans="1:9" x14ac:dyDescent="0.3">
      <c r="A1714" t="str">
        <f>""</f>
        <v/>
      </c>
      <c r="F1714" t="str">
        <f>""</f>
        <v/>
      </c>
      <c r="G1714" t="str">
        <f>""</f>
        <v/>
      </c>
      <c r="I1714" t="str">
        <f t="shared" si="23"/>
        <v>GUARDIAN</v>
      </c>
    </row>
    <row r="1715" spans="1:9" x14ac:dyDescent="0.3">
      <c r="A1715" t="str">
        <f>""</f>
        <v/>
      </c>
      <c r="F1715" t="str">
        <f>""</f>
        <v/>
      </c>
      <c r="G1715" t="str">
        <f>""</f>
        <v/>
      </c>
      <c r="I1715" t="str">
        <f t="shared" si="23"/>
        <v>GUARDIAN</v>
      </c>
    </row>
    <row r="1716" spans="1:9" x14ac:dyDescent="0.3">
      <c r="A1716" t="str">
        <f>""</f>
        <v/>
      </c>
      <c r="F1716" t="str">
        <f>""</f>
        <v/>
      </c>
      <c r="G1716" t="str">
        <f>""</f>
        <v/>
      </c>
      <c r="I1716" t="str">
        <f t="shared" si="23"/>
        <v>GUARDIAN</v>
      </c>
    </row>
    <row r="1717" spans="1:9" x14ac:dyDescent="0.3">
      <c r="A1717" t="str">
        <f>""</f>
        <v/>
      </c>
      <c r="F1717" t="str">
        <f>""</f>
        <v/>
      </c>
      <c r="G1717" t="str">
        <f>""</f>
        <v/>
      </c>
      <c r="I1717" t="str">
        <f t="shared" si="23"/>
        <v>GUARDIAN</v>
      </c>
    </row>
    <row r="1718" spans="1:9" x14ac:dyDescent="0.3">
      <c r="A1718" t="str">
        <f>""</f>
        <v/>
      </c>
      <c r="F1718" t="str">
        <f>""</f>
        <v/>
      </c>
      <c r="G1718" t="str">
        <f>""</f>
        <v/>
      </c>
      <c r="I1718" t="str">
        <f t="shared" si="23"/>
        <v>GUARDIAN</v>
      </c>
    </row>
    <row r="1719" spans="1:9" x14ac:dyDescent="0.3">
      <c r="A1719" t="str">
        <f>""</f>
        <v/>
      </c>
      <c r="F1719" t="str">
        <f>""</f>
        <v/>
      </c>
      <c r="G1719" t="str">
        <f>""</f>
        <v/>
      </c>
      <c r="I1719" t="str">
        <f t="shared" si="23"/>
        <v>GUARDIAN</v>
      </c>
    </row>
    <row r="1720" spans="1:9" x14ac:dyDescent="0.3">
      <c r="A1720" t="str">
        <f>""</f>
        <v/>
      </c>
      <c r="F1720" t="str">
        <f>""</f>
        <v/>
      </c>
      <c r="G1720" t="str">
        <f>""</f>
        <v/>
      </c>
      <c r="I1720" t="str">
        <f t="shared" si="23"/>
        <v>GUARDIAN</v>
      </c>
    </row>
    <row r="1721" spans="1:9" x14ac:dyDescent="0.3">
      <c r="A1721" t="str">
        <f>""</f>
        <v/>
      </c>
      <c r="F1721" t="str">
        <f>"GDF201803079268"</f>
        <v>GDF201803079268</v>
      </c>
      <c r="G1721" t="str">
        <f>"GUARDIAN"</f>
        <v>GUARDIAN</v>
      </c>
      <c r="H1721">
        <v>144.84</v>
      </c>
      <c r="I1721" t="str">
        <f t="shared" si="23"/>
        <v>GUARDIAN</v>
      </c>
    </row>
    <row r="1722" spans="1:9" x14ac:dyDescent="0.3">
      <c r="A1722" t="str">
        <f>""</f>
        <v/>
      </c>
      <c r="F1722" t="str">
        <f>""</f>
        <v/>
      </c>
      <c r="G1722" t="str">
        <f>""</f>
        <v/>
      </c>
      <c r="I1722" t="str">
        <f t="shared" si="23"/>
        <v>GUARDIAN</v>
      </c>
    </row>
    <row r="1723" spans="1:9" x14ac:dyDescent="0.3">
      <c r="A1723" t="str">
        <f>""</f>
        <v/>
      </c>
      <c r="F1723" t="str">
        <f>"GDF201803219715"</f>
        <v>GDF201803219715</v>
      </c>
      <c r="G1723" t="str">
        <f>"GUARDIAN"</f>
        <v>GUARDIAN</v>
      </c>
      <c r="H1723">
        <v>144.84</v>
      </c>
      <c r="I1723" t="str">
        <f t="shared" si="23"/>
        <v>GUARDIAN</v>
      </c>
    </row>
    <row r="1724" spans="1:9" x14ac:dyDescent="0.3">
      <c r="A1724" t="str">
        <f>""</f>
        <v/>
      </c>
      <c r="F1724" t="str">
        <f>""</f>
        <v/>
      </c>
      <c r="G1724" t="str">
        <f>""</f>
        <v/>
      </c>
      <c r="I1724" t="str">
        <f t="shared" si="23"/>
        <v>GUARDIAN</v>
      </c>
    </row>
    <row r="1725" spans="1:9" x14ac:dyDescent="0.3">
      <c r="A1725" t="str">
        <f>""</f>
        <v/>
      </c>
      <c r="F1725" t="str">
        <f>"GDF201803219717"</f>
        <v>GDF201803219717</v>
      </c>
      <c r="G1725" t="str">
        <f>"GUARDIAN"</f>
        <v>GUARDIAN</v>
      </c>
      <c r="H1725">
        <v>2220.88</v>
      </c>
      <c r="I1725" t="str">
        <f t="shared" si="23"/>
        <v>GUARDIAN</v>
      </c>
    </row>
    <row r="1726" spans="1:9" x14ac:dyDescent="0.3">
      <c r="A1726" t="str">
        <f>""</f>
        <v/>
      </c>
      <c r="F1726" t="str">
        <f>""</f>
        <v/>
      </c>
      <c r="G1726" t="str">
        <f>""</f>
        <v/>
      </c>
      <c r="I1726" t="str">
        <f t="shared" si="23"/>
        <v>GUARDIAN</v>
      </c>
    </row>
    <row r="1727" spans="1:9" x14ac:dyDescent="0.3">
      <c r="A1727" t="str">
        <f>""</f>
        <v/>
      </c>
      <c r="F1727" t="str">
        <f>""</f>
        <v/>
      </c>
      <c r="G1727" t="str">
        <f>""</f>
        <v/>
      </c>
      <c r="I1727" t="str">
        <f t="shared" ref="I1727:I1790" si="24">"GUARDIAN"</f>
        <v>GUARDIAN</v>
      </c>
    </row>
    <row r="1728" spans="1:9" x14ac:dyDescent="0.3">
      <c r="A1728" t="str">
        <f>""</f>
        <v/>
      </c>
      <c r="F1728" t="str">
        <f>""</f>
        <v/>
      </c>
      <c r="G1728" t="str">
        <f>""</f>
        <v/>
      </c>
      <c r="I1728" t="str">
        <f t="shared" si="24"/>
        <v>GUARDIAN</v>
      </c>
    </row>
    <row r="1729" spans="1:9" x14ac:dyDescent="0.3">
      <c r="A1729" t="str">
        <f>""</f>
        <v/>
      </c>
      <c r="F1729" t="str">
        <f>""</f>
        <v/>
      </c>
      <c r="G1729" t="str">
        <f>""</f>
        <v/>
      </c>
      <c r="I1729" t="str">
        <f t="shared" si="24"/>
        <v>GUARDIAN</v>
      </c>
    </row>
    <row r="1730" spans="1:9" x14ac:dyDescent="0.3">
      <c r="A1730" t="str">
        <f>""</f>
        <v/>
      </c>
      <c r="F1730" t="str">
        <f>""</f>
        <v/>
      </c>
      <c r="G1730" t="str">
        <f>""</f>
        <v/>
      </c>
      <c r="I1730" t="str">
        <f t="shared" si="24"/>
        <v>GUARDIAN</v>
      </c>
    </row>
    <row r="1731" spans="1:9" x14ac:dyDescent="0.3">
      <c r="A1731" t="str">
        <f>""</f>
        <v/>
      </c>
      <c r="F1731" t="str">
        <f>""</f>
        <v/>
      </c>
      <c r="G1731" t="str">
        <f>""</f>
        <v/>
      </c>
      <c r="I1731" t="str">
        <f t="shared" si="24"/>
        <v>GUARDIAN</v>
      </c>
    </row>
    <row r="1732" spans="1:9" x14ac:dyDescent="0.3">
      <c r="A1732" t="str">
        <f>""</f>
        <v/>
      </c>
      <c r="F1732" t="str">
        <f>""</f>
        <v/>
      </c>
      <c r="G1732" t="str">
        <f>""</f>
        <v/>
      </c>
      <c r="I1732" t="str">
        <f t="shared" si="24"/>
        <v>GUARDIAN</v>
      </c>
    </row>
    <row r="1733" spans="1:9" x14ac:dyDescent="0.3">
      <c r="A1733" t="str">
        <f>""</f>
        <v/>
      </c>
      <c r="F1733" t="str">
        <f>""</f>
        <v/>
      </c>
      <c r="G1733" t="str">
        <f>""</f>
        <v/>
      </c>
      <c r="I1733" t="str">
        <f t="shared" si="24"/>
        <v>GUARDIAN</v>
      </c>
    </row>
    <row r="1734" spans="1:9" x14ac:dyDescent="0.3">
      <c r="A1734" t="str">
        <f>""</f>
        <v/>
      </c>
      <c r="F1734" t="str">
        <f>""</f>
        <v/>
      </c>
      <c r="G1734" t="str">
        <f>""</f>
        <v/>
      </c>
      <c r="I1734" t="str">
        <f t="shared" si="24"/>
        <v>GUARDIAN</v>
      </c>
    </row>
    <row r="1735" spans="1:9" x14ac:dyDescent="0.3">
      <c r="A1735" t="str">
        <f>""</f>
        <v/>
      </c>
      <c r="F1735" t="str">
        <f>""</f>
        <v/>
      </c>
      <c r="G1735" t="str">
        <f>""</f>
        <v/>
      </c>
      <c r="I1735" t="str">
        <f t="shared" si="24"/>
        <v>GUARDIAN</v>
      </c>
    </row>
    <row r="1736" spans="1:9" x14ac:dyDescent="0.3">
      <c r="A1736" t="str">
        <f>""</f>
        <v/>
      </c>
      <c r="F1736" t="str">
        <f>""</f>
        <v/>
      </c>
      <c r="G1736" t="str">
        <f>""</f>
        <v/>
      </c>
      <c r="I1736" t="str">
        <f t="shared" si="24"/>
        <v>GUARDIAN</v>
      </c>
    </row>
    <row r="1737" spans="1:9" x14ac:dyDescent="0.3">
      <c r="A1737" t="str">
        <f>""</f>
        <v/>
      </c>
      <c r="F1737" t="str">
        <f>""</f>
        <v/>
      </c>
      <c r="G1737" t="str">
        <f>""</f>
        <v/>
      </c>
      <c r="I1737" t="str">
        <f t="shared" si="24"/>
        <v>GUARDIAN</v>
      </c>
    </row>
    <row r="1738" spans="1:9" x14ac:dyDescent="0.3">
      <c r="A1738" t="str">
        <f>""</f>
        <v/>
      </c>
      <c r="F1738" t="str">
        <f>""</f>
        <v/>
      </c>
      <c r="G1738" t="str">
        <f>""</f>
        <v/>
      </c>
      <c r="I1738" t="str">
        <f t="shared" si="24"/>
        <v>GUARDIAN</v>
      </c>
    </row>
    <row r="1739" spans="1:9" x14ac:dyDescent="0.3">
      <c r="A1739" t="str">
        <f>""</f>
        <v/>
      </c>
      <c r="F1739" t="str">
        <f>""</f>
        <v/>
      </c>
      <c r="G1739" t="str">
        <f>""</f>
        <v/>
      </c>
      <c r="I1739" t="str">
        <f t="shared" si="24"/>
        <v>GUARDIAN</v>
      </c>
    </row>
    <row r="1740" spans="1:9" x14ac:dyDescent="0.3">
      <c r="A1740" t="str">
        <f>""</f>
        <v/>
      </c>
      <c r="F1740" t="str">
        <f>""</f>
        <v/>
      </c>
      <c r="G1740" t="str">
        <f>""</f>
        <v/>
      </c>
      <c r="I1740" t="str">
        <f t="shared" si="24"/>
        <v>GUARDIAN</v>
      </c>
    </row>
    <row r="1741" spans="1:9" x14ac:dyDescent="0.3">
      <c r="A1741" t="str">
        <f>""</f>
        <v/>
      </c>
      <c r="F1741" t="str">
        <f>""</f>
        <v/>
      </c>
      <c r="G1741" t="str">
        <f>""</f>
        <v/>
      </c>
      <c r="I1741" t="str">
        <f t="shared" si="24"/>
        <v>GUARDIAN</v>
      </c>
    </row>
    <row r="1742" spans="1:9" x14ac:dyDescent="0.3">
      <c r="A1742" t="str">
        <f>""</f>
        <v/>
      </c>
      <c r="F1742" t="str">
        <f>""</f>
        <v/>
      </c>
      <c r="G1742" t="str">
        <f>""</f>
        <v/>
      </c>
      <c r="I1742" t="str">
        <f t="shared" si="24"/>
        <v>GUARDIAN</v>
      </c>
    </row>
    <row r="1743" spans="1:9" x14ac:dyDescent="0.3">
      <c r="A1743" t="str">
        <f>""</f>
        <v/>
      </c>
      <c r="F1743" t="str">
        <f>""</f>
        <v/>
      </c>
      <c r="G1743" t="str">
        <f>""</f>
        <v/>
      </c>
      <c r="I1743" t="str">
        <f t="shared" si="24"/>
        <v>GUARDIAN</v>
      </c>
    </row>
    <row r="1744" spans="1:9" x14ac:dyDescent="0.3">
      <c r="A1744" t="str">
        <f>""</f>
        <v/>
      </c>
      <c r="F1744" t="str">
        <f>""</f>
        <v/>
      </c>
      <c r="G1744" t="str">
        <f>""</f>
        <v/>
      </c>
      <c r="I1744" t="str">
        <f t="shared" si="24"/>
        <v>GUARDIAN</v>
      </c>
    </row>
    <row r="1745" spans="1:9" x14ac:dyDescent="0.3">
      <c r="A1745" t="str">
        <f>""</f>
        <v/>
      </c>
      <c r="F1745" t="str">
        <f>""</f>
        <v/>
      </c>
      <c r="G1745" t="str">
        <f>""</f>
        <v/>
      </c>
      <c r="I1745" t="str">
        <f t="shared" si="24"/>
        <v>GUARDIAN</v>
      </c>
    </row>
    <row r="1746" spans="1:9" x14ac:dyDescent="0.3">
      <c r="A1746" t="str">
        <f>""</f>
        <v/>
      </c>
      <c r="F1746" t="str">
        <f>""</f>
        <v/>
      </c>
      <c r="G1746" t="str">
        <f>""</f>
        <v/>
      </c>
      <c r="I1746" t="str">
        <f t="shared" si="24"/>
        <v>GUARDIAN</v>
      </c>
    </row>
    <row r="1747" spans="1:9" x14ac:dyDescent="0.3">
      <c r="A1747" t="str">
        <f>""</f>
        <v/>
      </c>
      <c r="F1747" t="str">
        <f>""</f>
        <v/>
      </c>
      <c r="G1747" t="str">
        <f>""</f>
        <v/>
      </c>
      <c r="I1747" t="str">
        <f t="shared" si="24"/>
        <v>GUARDIAN</v>
      </c>
    </row>
    <row r="1748" spans="1:9" x14ac:dyDescent="0.3">
      <c r="A1748" t="str">
        <f>""</f>
        <v/>
      </c>
      <c r="F1748" t="str">
        <f>"GDS201803079264"</f>
        <v>GDS201803079264</v>
      </c>
      <c r="G1748" t="str">
        <f>"GUARDIAN"</f>
        <v>GUARDIAN</v>
      </c>
      <c r="H1748">
        <v>1729.56</v>
      </c>
      <c r="I1748" t="str">
        <f t="shared" si="24"/>
        <v>GUARDIAN</v>
      </c>
    </row>
    <row r="1749" spans="1:9" x14ac:dyDescent="0.3">
      <c r="A1749" t="str">
        <f>""</f>
        <v/>
      </c>
      <c r="F1749" t="str">
        <f>""</f>
        <v/>
      </c>
      <c r="G1749" t="str">
        <f>""</f>
        <v/>
      </c>
      <c r="I1749" t="str">
        <f t="shared" si="24"/>
        <v>GUARDIAN</v>
      </c>
    </row>
    <row r="1750" spans="1:9" x14ac:dyDescent="0.3">
      <c r="A1750" t="str">
        <f>""</f>
        <v/>
      </c>
      <c r="F1750" t="str">
        <f>""</f>
        <v/>
      </c>
      <c r="G1750" t="str">
        <f>""</f>
        <v/>
      </c>
      <c r="I1750" t="str">
        <f t="shared" si="24"/>
        <v>GUARDIAN</v>
      </c>
    </row>
    <row r="1751" spans="1:9" x14ac:dyDescent="0.3">
      <c r="A1751" t="str">
        <f>""</f>
        <v/>
      </c>
      <c r="F1751" t="str">
        <f>""</f>
        <v/>
      </c>
      <c r="G1751" t="str">
        <f>""</f>
        <v/>
      </c>
      <c r="I1751" t="str">
        <f t="shared" si="24"/>
        <v>GUARDIAN</v>
      </c>
    </row>
    <row r="1752" spans="1:9" x14ac:dyDescent="0.3">
      <c r="A1752" t="str">
        <f>""</f>
        <v/>
      </c>
      <c r="F1752" t="str">
        <f>""</f>
        <v/>
      </c>
      <c r="G1752" t="str">
        <f>""</f>
        <v/>
      </c>
      <c r="I1752" t="str">
        <f t="shared" si="24"/>
        <v>GUARDIAN</v>
      </c>
    </row>
    <row r="1753" spans="1:9" x14ac:dyDescent="0.3">
      <c r="A1753" t="str">
        <f>""</f>
        <v/>
      </c>
      <c r="F1753" t="str">
        <f>""</f>
        <v/>
      </c>
      <c r="G1753" t="str">
        <f>""</f>
        <v/>
      </c>
      <c r="I1753" t="str">
        <f t="shared" si="24"/>
        <v>GUARDIAN</v>
      </c>
    </row>
    <row r="1754" spans="1:9" x14ac:dyDescent="0.3">
      <c r="A1754" t="str">
        <f>""</f>
        <v/>
      </c>
      <c r="F1754" t="str">
        <f>""</f>
        <v/>
      </c>
      <c r="G1754" t="str">
        <f>""</f>
        <v/>
      </c>
      <c r="I1754" t="str">
        <f t="shared" si="24"/>
        <v>GUARDIAN</v>
      </c>
    </row>
    <row r="1755" spans="1:9" x14ac:dyDescent="0.3">
      <c r="A1755" t="str">
        <f>""</f>
        <v/>
      </c>
      <c r="F1755" t="str">
        <f>""</f>
        <v/>
      </c>
      <c r="G1755" t="str">
        <f>""</f>
        <v/>
      </c>
      <c r="I1755" t="str">
        <f t="shared" si="24"/>
        <v>GUARDIAN</v>
      </c>
    </row>
    <row r="1756" spans="1:9" x14ac:dyDescent="0.3">
      <c r="A1756" t="str">
        <f>""</f>
        <v/>
      </c>
      <c r="F1756" t="str">
        <f>""</f>
        <v/>
      </c>
      <c r="G1756" t="str">
        <f>""</f>
        <v/>
      </c>
      <c r="I1756" t="str">
        <f t="shared" si="24"/>
        <v>GUARDIAN</v>
      </c>
    </row>
    <row r="1757" spans="1:9" x14ac:dyDescent="0.3">
      <c r="A1757" t="str">
        <f>""</f>
        <v/>
      </c>
      <c r="F1757" t="str">
        <f>""</f>
        <v/>
      </c>
      <c r="G1757" t="str">
        <f>""</f>
        <v/>
      </c>
      <c r="I1757" t="str">
        <f t="shared" si="24"/>
        <v>GUARDIAN</v>
      </c>
    </row>
    <row r="1758" spans="1:9" x14ac:dyDescent="0.3">
      <c r="A1758" t="str">
        <f>""</f>
        <v/>
      </c>
      <c r="F1758" t="str">
        <f>""</f>
        <v/>
      </c>
      <c r="G1758" t="str">
        <f>""</f>
        <v/>
      </c>
      <c r="I1758" t="str">
        <f t="shared" si="24"/>
        <v>GUARDIAN</v>
      </c>
    </row>
    <row r="1759" spans="1:9" x14ac:dyDescent="0.3">
      <c r="A1759" t="str">
        <f>""</f>
        <v/>
      </c>
      <c r="F1759" t="str">
        <f>""</f>
        <v/>
      </c>
      <c r="G1759" t="str">
        <f>""</f>
        <v/>
      </c>
      <c r="I1759" t="str">
        <f t="shared" si="24"/>
        <v>GUARDIAN</v>
      </c>
    </row>
    <row r="1760" spans="1:9" x14ac:dyDescent="0.3">
      <c r="A1760" t="str">
        <f>""</f>
        <v/>
      </c>
      <c r="F1760" t="str">
        <f>""</f>
        <v/>
      </c>
      <c r="G1760" t="str">
        <f>""</f>
        <v/>
      </c>
      <c r="I1760" t="str">
        <f t="shared" si="24"/>
        <v>GUARDIAN</v>
      </c>
    </row>
    <row r="1761" spans="1:9" x14ac:dyDescent="0.3">
      <c r="A1761" t="str">
        <f>""</f>
        <v/>
      </c>
      <c r="F1761" t="str">
        <f>""</f>
        <v/>
      </c>
      <c r="G1761" t="str">
        <f>""</f>
        <v/>
      </c>
      <c r="I1761" t="str">
        <f t="shared" si="24"/>
        <v>GUARDIAN</v>
      </c>
    </row>
    <row r="1762" spans="1:9" x14ac:dyDescent="0.3">
      <c r="A1762" t="str">
        <f>""</f>
        <v/>
      </c>
      <c r="F1762" t="str">
        <f>""</f>
        <v/>
      </c>
      <c r="G1762" t="str">
        <f>""</f>
        <v/>
      </c>
      <c r="I1762" t="str">
        <f t="shared" si="24"/>
        <v>GUARDIAN</v>
      </c>
    </row>
    <row r="1763" spans="1:9" x14ac:dyDescent="0.3">
      <c r="A1763" t="str">
        <f>""</f>
        <v/>
      </c>
      <c r="F1763" t="str">
        <f>""</f>
        <v/>
      </c>
      <c r="G1763" t="str">
        <f>""</f>
        <v/>
      </c>
      <c r="I1763" t="str">
        <f t="shared" si="24"/>
        <v>GUARDIAN</v>
      </c>
    </row>
    <row r="1764" spans="1:9" x14ac:dyDescent="0.3">
      <c r="A1764" t="str">
        <f>""</f>
        <v/>
      </c>
      <c r="F1764" t="str">
        <f>""</f>
        <v/>
      </c>
      <c r="G1764" t="str">
        <f>""</f>
        <v/>
      </c>
      <c r="I1764" t="str">
        <f t="shared" si="24"/>
        <v>GUARDIAN</v>
      </c>
    </row>
    <row r="1765" spans="1:9" x14ac:dyDescent="0.3">
      <c r="A1765" t="str">
        <f>""</f>
        <v/>
      </c>
      <c r="F1765" t="str">
        <f>""</f>
        <v/>
      </c>
      <c r="G1765" t="str">
        <f>""</f>
        <v/>
      </c>
      <c r="I1765" t="str">
        <f t="shared" si="24"/>
        <v>GUARDIAN</v>
      </c>
    </row>
    <row r="1766" spans="1:9" x14ac:dyDescent="0.3">
      <c r="A1766" t="str">
        <f>""</f>
        <v/>
      </c>
      <c r="F1766" t="str">
        <f>""</f>
        <v/>
      </c>
      <c r="G1766" t="str">
        <f>""</f>
        <v/>
      </c>
      <c r="I1766" t="str">
        <f t="shared" si="24"/>
        <v>GUARDIAN</v>
      </c>
    </row>
    <row r="1767" spans="1:9" x14ac:dyDescent="0.3">
      <c r="A1767" t="str">
        <f>""</f>
        <v/>
      </c>
      <c r="F1767" t="str">
        <f>""</f>
        <v/>
      </c>
      <c r="G1767" t="str">
        <f>""</f>
        <v/>
      </c>
      <c r="I1767" t="str">
        <f t="shared" si="24"/>
        <v>GUARDIAN</v>
      </c>
    </row>
    <row r="1768" spans="1:9" x14ac:dyDescent="0.3">
      <c r="A1768" t="str">
        <f>""</f>
        <v/>
      </c>
      <c r="F1768" t="str">
        <f>""</f>
        <v/>
      </c>
      <c r="G1768" t="str">
        <f>""</f>
        <v/>
      </c>
      <c r="I1768" t="str">
        <f t="shared" si="24"/>
        <v>GUARDIAN</v>
      </c>
    </row>
    <row r="1769" spans="1:9" x14ac:dyDescent="0.3">
      <c r="A1769" t="str">
        <f>""</f>
        <v/>
      </c>
      <c r="F1769" t="str">
        <f>""</f>
        <v/>
      </c>
      <c r="G1769" t="str">
        <f>""</f>
        <v/>
      </c>
      <c r="I1769" t="str">
        <f t="shared" si="24"/>
        <v>GUARDIAN</v>
      </c>
    </row>
    <row r="1770" spans="1:9" x14ac:dyDescent="0.3">
      <c r="A1770" t="str">
        <f>""</f>
        <v/>
      </c>
      <c r="F1770" t="str">
        <f>""</f>
        <v/>
      </c>
      <c r="G1770" t="str">
        <f>""</f>
        <v/>
      </c>
      <c r="I1770" t="str">
        <f t="shared" si="24"/>
        <v>GUARDIAN</v>
      </c>
    </row>
    <row r="1771" spans="1:9" x14ac:dyDescent="0.3">
      <c r="A1771" t="str">
        <f>""</f>
        <v/>
      </c>
      <c r="F1771" t="str">
        <f>""</f>
        <v/>
      </c>
      <c r="G1771" t="str">
        <f>""</f>
        <v/>
      </c>
      <c r="I1771" t="str">
        <f t="shared" si="24"/>
        <v>GUARDIAN</v>
      </c>
    </row>
    <row r="1772" spans="1:9" x14ac:dyDescent="0.3">
      <c r="A1772" t="str">
        <f>""</f>
        <v/>
      </c>
      <c r="F1772" t="str">
        <f>""</f>
        <v/>
      </c>
      <c r="G1772" t="str">
        <f>""</f>
        <v/>
      </c>
      <c r="I1772" t="str">
        <f t="shared" si="24"/>
        <v>GUARDIAN</v>
      </c>
    </row>
    <row r="1773" spans="1:9" x14ac:dyDescent="0.3">
      <c r="A1773" t="str">
        <f>""</f>
        <v/>
      </c>
      <c r="F1773" t="str">
        <f>""</f>
        <v/>
      </c>
      <c r="G1773" t="str">
        <f>""</f>
        <v/>
      </c>
      <c r="I1773" t="str">
        <f t="shared" si="24"/>
        <v>GUARDIAN</v>
      </c>
    </row>
    <row r="1774" spans="1:9" x14ac:dyDescent="0.3">
      <c r="A1774" t="str">
        <f>""</f>
        <v/>
      </c>
      <c r="F1774" t="str">
        <f>"GDS201803079268"</f>
        <v>GDS201803079268</v>
      </c>
      <c r="G1774" t="str">
        <f>"GUARDIAN"</f>
        <v>GUARDIAN</v>
      </c>
      <c r="H1774">
        <v>29.82</v>
      </c>
      <c r="I1774" t="str">
        <f t="shared" si="24"/>
        <v>GUARDIAN</v>
      </c>
    </row>
    <row r="1775" spans="1:9" x14ac:dyDescent="0.3">
      <c r="A1775" t="str">
        <f>""</f>
        <v/>
      </c>
      <c r="F1775" t="str">
        <f>""</f>
        <v/>
      </c>
      <c r="G1775" t="str">
        <f>""</f>
        <v/>
      </c>
      <c r="I1775" t="str">
        <f t="shared" si="24"/>
        <v>GUARDIAN</v>
      </c>
    </row>
    <row r="1776" spans="1:9" x14ac:dyDescent="0.3">
      <c r="A1776" t="str">
        <f>""</f>
        <v/>
      </c>
      <c r="F1776" t="str">
        <f>"GDS201803219715"</f>
        <v>GDS201803219715</v>
      </c>
      <c r="G1776" t="str">
        <f>"GUARDIAN"</f>
        <v>GUARDIAN</v>
      </c>
      <c r="H1776">
        <v>29.82</v>
      </c>
      <c r="I1776" t="str">
        <f t="shared" si="24"/>
        <v>GUARDIAN</v>
      </c>
    </row>
    <row r="1777" spans="1:9" x14ac:dyDescent="0.3">
      <c r="A1777" t="str">
        <f>""</f>
        <v/>
      </c>
      <c r="F1777" t="str">
        <f>""</f>
        <v/>
      </c>
      <c r="G1777" t="str">
        <f>""</f>
        <v/>
      </c>
      <c r="I1777" t="str">
        <f t="shared" si="24"/>
        <v>GUARDIAN</v>
      </c>
    </row>
    <row r="1778" spans="1:9" x14ac:dyDescent="0.3">
      <c r="A1778" t="str">
        <f>""</f>
        <v/>
      </c>
      <c r="F1778" t="str">
        <f>"GDS201803219717"</f>
        <v>GDS201803219717</v>
      </c>
      <c r="G1778" t="str">
        <f>"GUARDIAN"</f>
        <v>GUARDIAN</v>
      </c>
      <c r="H1778">
        <v>1729.56</v>
      </c>
      <c r="I1778" t="str">
        <f t="shared" si="24"/>
        <v>GUARDIAN</v>
      </c>
    </row>
    <row r="1779" spans="1:9" x14ac:dyDescent="0.3">
      <c r="A1779" t="str">
        <f>""</f>
        <v/>
      </c>
      <c r="F1779" t="str">
        <f>""</f>
        <v/>
      </c>
      <c r="G1779" t="str">
        <f>""</f>
        <v/>
      </c>
      <c r="I1779" t="str">
        <f t="shared" si="24"/>
        <v>GUARDIAN</v>
      </c>
    </row>
    <row r="1780" spans="1:9" x14ac:dyDescent="0.3">
      <c r="A1780" t="str">
        <f>""</f>
        <v/>
      </c>
      <c r="F1780" t="str">
        <f>""</f>
        <v/>
      </c>
      <c r="G1780" t="str">
        <f>""</f>
        <v/>
      </c>
      <c r="I1780" t="str">
        <f t="shared" si="24"/>
        <v>GUARDIAN</v>
      </c>
    </row>
    <row r="1781" spans="1:9" x14ac:dyDescent="0.3">
      <c r="A1781" t="str">
        <f>""</f>
        <v/>
      </c>
      <c r="F1781" t="str">
        <f>""</f>
        <v/>
      </c>
      <c r="G1781" t="str">
        <f>""</f>
        <v/>
      </c>
      <c r="I1781" t="str">
        <f t="shared" si="24"/>
        <v>GUARDIAN</v>
      </c>
    </row>
    <row r="1782" spans="1:9" x14ac:dyDescent="0.3">
      <c r="A1782" t="str">
        <f>""</f>
        <v/>
      </c>
      <c r="F1782" t="str">
        <f>""</f>
        <v/>
      </c>
      <c r="G1782" t="str">
        <f>""</f>
        <v/>
      </c>
      <c r="I1782" t="str">
        <f t="shared" si="24"/>
        <v>GUARDIAN</v>
      </c>
    </row>
    <row r="1783" spans="1:9" x14ac:dyDescent="0.3">
      <c r="A1783" t="str">
        <f>""</f>
        <v/>
      </c>
      <c r="F1783" t="str">
        <f>""</f>
        <v/>
      </c>
      <c r="G1783" t="str">
        <f>""</f>
        <v/>
      </c>
      <c r="I1783" t="str">
        <f t="shared" si="24"/>
        <v>GUARDIAN</v>
      </c>
    </row>
    <row r="1784" spans="1:9" x14ac:dyDescent="0.3">
      <c r="A1784" t="str">
        <f>""</f>
        <v/>
      </c>
      <c r="F1784" t="str">
        <f>""</f>
        <v/>
      </c>
      <c r="G1784" t="str">
        <f>""</f>
        <v/>
      </c>
      <c r="I1784" t="str">
        <f t="shared" si="24"/>
        <v>GUARDIAN</v>
      </c>
    </row>
    <row r="1785" spans="1:9" x14ac:dyDescent="0.3">
      <c r="A1785" t="str">
        <f>""</f>
        <v/>
      </c>
      <c r="F1785" t="str">
        <f>""</f>
        <v/>
      </c>
      <c r="G1785" t="str">
        <f>""</f>
        <v/>
      </c>
      <c r="I1785" t="str">
        <f t="shared" si="24"/>
        <v>GUARDIAN</v>
      </c>
    </row>
    <row r="1786" spans="1:9" x14ac:dyDescent="0.3">
      <c r="A1786" t="str">
        <f>""</f>
        <v/>
      </c>
      <c r="F1786" t="str">
        <f>""</f>
        <v/>
      </c>
      <c r="G1786" t="str">
        <f>""</f>
        <v/>
      </c>
      <c r="I1786" t="str">
        <f t="shared" si="24"/>
        <v>GUARDIAN</v>
      </c>
    </row>
    <row r="1787" spans="1:9" x14ac:dyDescent="0.3">
      <c r="A1787" t="str">
        <f>""</f>
        <v/>
      </c>
      <c r="F1787" t="str">
        <f>""</f>
        <v/>
      </c>
      <c r="G1787" t="str">
        <f>""</f>
        <v/>
      </c>
      <c r="I1787" t="str">
        <f t="shared" si="24"/>
        <v>GUARDIAN</v>
      </c>
    </row>
    <row r="1788" spans="1:9" x14ac:dyDescent="0.3">
      <c r="A1788" t="str">
        <f>""</f>
        <v/>
      </c>
      <c r="F1788" t="str">
        <f>""</f>
        <v/>
      </c>
      <c r="G1788" t="str">
        <f>""</f>
        <v/>
      </c>
      <c r="I1788" t="str">
        <f t="shared" si="24"/>
        <v>GUARDIAN</v>
      </c>
    </row>
    <row r="1789" spans="1:9" x14ac:dyDescent="0.3">
      <c r="A1789" t="str">
        <f>""</f>
        <v/>
      </c>
      <c r="F1789" t="str">
        <f>""</f>
        <v/>
      </c>
      <c r="G1789" t="str">
        <f>""</f>
        <v/>
      </c>
      <c r="I1789" t="str">
        <f t="shared" si="24"/>
        <v>GUARDIAN</v>
      </c>
    </row>
    <row r="1790" spans="1:9" x14ac:dyDescent="0.3">
      <c r="A1790" t="str">
        <f>""</f>
        <v/>
      </c>
      <c r="F1790" t="str">
        <f>""</f>
        <v/>
      </c>
      <c r="G1790" t="str">
        <f>""</f>
        <v/>
      </c>
      <c r="I1790" t="str">
        <f t="shared" si="24"/>
        <v>GUARDIAN</v>
      </c>
    </row>
    <row r="1791" spans="1:9" x14ac:dyDescent="0.3">
      <c r="A1791" t="str">
        <f>""</f>
        <v/>
      </c>
      <c r="F1791" t="str">
        <f>""</f>
        <v/>
      </c>
      <c r="G1791" t="str">
        <f>""</f>
        <v/>
      </c>
      <c r="I1791" t="str">
        <f t="shared" ref="I1791:I1803" si="25">"GUARDIAN"</f>
        <v>GUARDIAN</v>
      </c>
    </row>
    <row r="1792" spans="1:9" x14ac:dyDescent="0.3">
      <c r="A1792" t="str">
        <f>""</f>
        <v/>
      </c>
      <c r="F1792" t="str">
        <f>""</f>
        <v/>
      </c>
      <c r="G1792" t="str">
        <f>""</f>
        <v/>
      </c>
      <c r="I1792" t="str">
        <f t="shared" si="25"/>
        <v>GUARDIAN</v>
      </c>
    </row>
    <row r="1793" spans="1:9" x14ac:dyDescent="0.3">
      <c r="A1793" t="str">
        <f>""</f>
        <v/>
      </c>
      <c r="F1793" t="str">
        <f>""</f>
        <v/>
      </c>
      <c r="G1793" t="str">
        <f>""</f>
        <v/>
      </c>
      <c r="I1793" t="str">
        <f t="shared" si="25"/>
        <v>GUARDIAN</v>
      </c>
    </row>
    <row r="1794" spans="1:9" x14ac:dyDescent="0.3">
      <c r="A1794" t="str">
        <f>""</f>
        <v/>
      </c>
      <c r="F1794" t="str">
        <f>""</f>
        <v/>
      </c>
      <c r="G1794" t="str">
        <f>""</f>
        <v/>
      </c>
      <c r="I1794" t="str">
        <f t="shared" si="25"/>
        <v>GUARDIAN</v>
      </c>
    </row>
    <row r="1795" spans="1:9" x14ac:dyDescent="0.3">
      <c r="A1795" t="str">
        <f>""</f>
        <v/>
      </c>
      <c r="F1795" t="str">
        <f>""</f>
        <v/>
      </c>
      <c r="G1795" t="str">
        <f>""</f>
        <v/>
      </c>
      <c r="I1795" t="str">
        <f t="shared" si="25"/>
        <v>GUARDIAN</v>
      </c>
    </row>
    <row r="1796" spans="1:9" x14ac:dyDescent="0.3">
      <c r="A1796" t="str">
        <f>""</f>
        <v/>
      </c>
      <c r="F1796" t="str">
        <f>""</f>
        <v/>
      </c>
      <c r="G1796" t="str">
        <f>""</f>
        <v/>
      </c>
      <c r="I1796" t="str">
        <f t="shared" si="25"/>
        <v>GUARDIAN</v>
      </c>
    </row>
    <row r="1797" spans="1:9" x14ac:dyDescent="0.3">
      <c r="A1797" t="str">
        <f>""</f>
        <v/>
      </c>
      <c r="F1797" t="str">
        <f>""</f>
        <v/>
      </c>
      <c r="G1797" t="str">
        <f>""</f>
        <v/>
      </c>
      <c r="I1797" t="str">
        <f t="shared" si="25"/>
        <v>GUARDIAN</v>
      </c>
    </row>
    <row r="1798" spans="1:9" x14ac:dyDescent="0.3">
      <c r="A1798" t="str">
        <f>""</f>
        <v/>
      </c>
      <c r="F1798" t="str">
        <f>""</f>
        <v/>
      </c>
      <c r="G1798" t="str">
        <f>""</f>
        <v/>
      </c>
      <c r="I1798" t="str">
        <f t="shared" si="25"/>
        <v>GUARDIAN</v>
      </c>
    </row>
    <row r="1799" spans="1:9" x14ac:dyDescent="0.3">
      <c r="A1799" t="str">
        <f>""</f>
        <v/>
      </c>
      <c r="F1799" t="str">
        <f>""</f>
        <v/>
      </c>
      <c r="G1799" t="str">
        <f>""</f>
        <v/>
      </c>
      <c r="I1799" t="str">
        <f t="shared" si="25"/>
        <v>GUARDIAN</v>
      </c>
    </row>
    <row r="1800" spans="1:9" x14ac:dyDescent="0.3">
      <c r="A1800" t="str">
        <f>""</f>
        <v/>
      </c>
      <c r="F1800" t="str">
        <f>""</f>
        <v/>
      </c>
      <c r="G1800" t="str">
        <f>""</f>
        <v/>
      </c>
      <c r="I1800" t="str">
        <f t="shared" si="25"/>
        <v>GUARDIAN</v>
      </c>
    </row>
    <row r="1801" spans="1:9" x14ac:dyDescent="0.3">
      <c r="A1801" t="str">
        <f>""</f>
        <v/>
      </c>
      <c r="F1801" t="str">
        <f>""</f>
        <v/>
      </c>
      <c r="G1801" t="str">
        <f>""</f>
        <v/>
      </c>
      <c r="I1801" t="str">
        <f t="shared" si="25"/>
        <v>GUARDIAN</v>
      </c>
    </row>
    <row r="1802" spans="1:9" x14ac:dyDescent="0.3">
      <c r="A1802" t="str">
        <f>""</f>
        <v/>
      </c>
      <c r="F1802" t="str">
        <f>""</f>
        <v/>
      </c>
      <c r="G1802" t="str">
        <f>""</f>
        <v/>
      </c>
      <c r="I1802" t="str">
        <f t="shared" si="25"/>
        <v>GUARDIAN</v>
      </c>
    </row>
    <row r="1803" spans="1:9" x14ac:dyDescent="0.3">
      <c r="A1803" t="str">
        <f>""</f>
        <v/>
      </c>
      <c r="F1803" t="str">
        <f>""</f>
        <v/>
      </c>
      <c r="G1803" t="str">
        <f>""</f>
        <v/>
      </c>
      <c r="I1803" t="str">
        <f t="shared" si="25"/>
        <v>GUARDIAN</v>
      </c>
    </row>
    <row r="1804" spans="1:9" x14ac:dyDescent="0.3">
      <c r="A1804" t="str">
        <f>""</f>
        <v/>
      </c>
      <c r="F1804" t="str">
        <f>"GV1201803079264"</f>
        <v>GV1201803079264</v>
      </c>
      <c r="G1804" t="str">
        <f>"GUARDIAN VISION"</f>
        <v>GUARDIAN VISION</v>
      </c>
      <c r="H1804">
        <v>375.2</v>
      </c>
      <c r="I1804" t="str">
        <f>"GUARDIAN VISION"</f>
        <v>GUARDIAN VISION</v>
      </c>
    </row>
    <row r="1805" spans="1:9" x14ac:dyDescent="0.3">
      <c r="A1805" t="str">
        <f>""</f>
        <v/>
      </c>
      <c r="F1805" t="str">
        <f>"GV1201803079268"</f>
        <v>GV1201803079268</v>
      </c>
      <c r="G1805" t="str">
        <f>"GUARDIAN VISION"</f>
        <v>GUARDIAN VISION</v>
      </c>
      <c r="H1805">
        <v>5.6</v>
      </c>
      <c r="I1805" t="str">
        <f>"GUARDIAN VISION"</f>
        <v>GUARDIAN VISION</v>
      </c>
    </row>
    <row r="1806" spans="1:9" x14ac:dyDescent="0.3">
      <c r="A1806" t="str">
        <f>""</f>
        <v/>
      </c>
      <c r="F1806" t="str">
        <f>"GV1201803219715"</f>
        <v>GV1201803219715</v>
      </c>
      <c r="G1806" t="str">
        <f>"GUARDIAN VISION"</f>
        <v>GUARDIAN VISION</v>
      </c>
      <c r="H1806">
        <v>5.6</v>
      </c>
      <c r="I1806" t="str">
        <f>"GUARDIAN VISION"</f>
        <v>GUARDIAN VISION</v>
      </c>
    </row>
    <row r="1807" spans="1:9" x14ac:dyDescent="0.3">
      <c r="A1807" t="str">
        <f>""</f>
        <v/>
      </c>
      <c r="F1807" t="str">
        <f>"GV1201803219717"</f>
        <v>GV1201803219717</v>
      </c>
      <c r="G1807" t="str">
        <f>"GUARDIAN VISION"</f>
        <v>GUARDIAN VISION</v>
      </c>
      <c r="H1807">
        <v>375.2</v>
      </c>
      <c r="I1807" t="str">
        <f>"GUARDIAN VISION"</f>
        <v>GUARDIAN VISION</v>
      </c>
    </row>
    <row r="1808" spans="1:9" x14ac:dyDescent="0.3">
      <c r="A1808" t="str">
        <f>""</f>
        <v/>
      </c>
      <c r="F1808" t="str">
        <f>"GVE201803079264"</f>
        <v>GVE201803079264</v>
      </c>
      <c r="G1808" t="str">
        <f>"GUARDIAN VISION VENDOR"</f>
        <v>GUARDIAN VISION VENDOR</v>
      </c>
      <c r="H1808">
        <v>546.12</v>
      </c>
      <c r="I1808" t="str">
        <f>"GUARDIAN VISION VENDOR"</f>
        <v>GUARDIAN VISION VENDOR</v>
      </c>
    </row>
    <row r="1809" spans="1:9" x14ac:dyDescent="0.3">
      <c r="A1809" t="str">
        <f>""</f>
        <v/>
      </c>
      <c r="F1809" t="str">
        <f>"GVE201803079268"</f>
        <v>GVE201803079268</v>
      </c>
      <c r="G1809" t="str">
        <f>"GUARDIAN VISION VENDOR"</f>
        <v>GUARDIAN VISION VENDOR</v>
      </c>
      <c r="H1809">
        <v>25.83</v>
      </c>
      <c r="I1809" t="str">
        <f>"GUARDIAN VISION VENDOR"</f>
        <v>GUARDIAN VISION VENDOR</v>
      </c>
    </row>
    <row r="1810" spans="1:9" x14ac:dyDescent="0.3">
      <c r="A1810" t="str">
        <f>""</f>
        <v/>
      </c>
      <c r="F1810" t="str">
        <f>"GVE201803219715"</f>
        <v>GVE201803219715</v>
      </c>
      <c r="G1810" t="str">
        <f>"GUARDIAN VISION VENDOR"</f>
        <v>GUARDIAN VISION VENDOR</v>
      </c>
      <c r="H1810">
        <v>25.83</v>
      </c>
      <c r="I1810" t="str">
        <f>"GUARDIAN VISION VENDOR"</f>
        <v>GUARDIAN VISION VENDOR</v>
      </c>
    </row>
    <row r="1811" spans="1:9" x14ac:dyDescent="0.3">
      <c r="A1811" t="str">
        <f>""</f>
        <v/>
      </c>
      <c r="F1811" t="str">
        <f>"GVE201803219717"</f>
        <v>GVE201803219717</v>
      </c>
      <c r="G1811" t="str">
        <f>"GUARDIAN VISION VENDOR"</f>
        <v>GUARDIAN VISION VENDOR</v>
      </c>
      <c r="H1811">
        <v>538.74</v>
      </c>
      <c r="I1811" t="str">
        <f>"GUARDIAN VISION VENDOR"</f>
        <v>GUARDIAN VISION VENDOR</v>
      </c>
    </row>
    <row r="1812" spans="1:9" x14ac:dyDescent="0.3">
      <c r="A1812" t="str">
        <f>""</f>
        <v/>
      </c>
      <c r="F1812" t="str">
        <f>"GVF201803079264"</f>
        <v>GVF201803079264</v>
      </c>
      <c r="G1812" t="str">
        <f>"GUARDIAN VISION"</f>
        <v>GUARDIAN VISION</v>
      </c>
      <c r="H1812">
        <v>462.95</v>
      </c>
      <c r="I1812" t="str">
        <f>"GUARDIAN VISION"</f>
        <v>GUARDIAN VISION</v>
      </c>
    </row>
    <row r="1813" spans="1:9" x14ac:dyDescent="0.3">
      <c r="A1813" t="str">
        <f>""</f>
        <v/>
      </c>
      <c r="F1813" t="str">
        <f>"GVF201803079268"</f>
        <v>GVF201803079268</v>
      </c>
      <c r="G1813" t="str">
        <f>"GUARDIAN VISION VENDOR"</f>
        <v>GUARDIAN VISION VENDOR</v>
      </c>
      <c r="H1813">
        <v>29.55</v>
      </c>
      <c r="I1813" t="str">
        <f>"GUARDIAN VISION VENDOR"</f>
        <v>GUARDIAN VISION VENDOR</v>
      </c>
    </row>
    <row r="1814" spans="1:9" x14ac:dyDescent="0.3">
      <c r="A1814" t="str">
        <f>""</f>
        <v/>
      </c>
      <c r="F1814" t="str">
        <f>"GVF201803219715"</f>
        <v>GVF201803219715</v>
      </c>
      <c r="G1814" t="str">
        <f>"GUARDIAN VISION VENDOR"</f>
        <v>GUARDIAN VISION VENDOR</v>
      </c>
      <c r="H1814">
        <v>29.55</v>
      </c>
      <c r="I1814" t="str">
        <f>"GUARDIAN VISION VENDOR"</f>
        <v>GUARDIAN VISION VENDOR</v>
      </c>
    </row>
    <row r="1815" spans="1:9" x14ac:dyDescent="0.3">
      <c r="A1815" t="str">
        <f>""</f>
        <v/>
      </c>
      <c r="F1815" t="str">
        <f>"GVF201803219717"</f>
        <v>GVF201803219717</v>
      </c>
      <c r="G1815" t="str">
        <f>"GUARDIAN VISION"</f>
        <v>GUARDIAN VISION</v>
      </c>
      <c r="H1815">
        <v>462.95</v>
      </c>
      <c r="I1815" t="str">
        <f>"GUARDIAN VISION"</f>
        <v>GUARDIAN VISION</v>
      </c>
    </row>
    <row r="1816" spans="1:9" x14ac:dyDescent="0.3">
      <c r="A1816" t="str">
        <f>""</f>
        <v/>
      </c>
      <c r="F1816" t="str">
        <f>"LIA201803079264"</f>
        <v>LIA201803079264</v>
      </c>
      <c r="G1816" t="str">
        <f>"GUARDIAN"</f>
        <v>GUARDIAN</v>
      </c>
      <c r="H1816">
        <v>132.72999999999999</v>
      </c>
      <c r="I1816" t="str">
        <f t="shared" ref="I1816:I1847" si="26">"GUARDIAN"</f>
        <v>GUARDIAN</v>
      </c>
    </row>
    <row r="1817" spans="1:9" x14ac:dyDescent="0.3">
      <c r="A1817" t="str">
        <f>""</f>
        <v/>
      </c>
      <c r="F1817" t="str">
        <f>""</f>
        <v/>
      </c>
      <c r="G1817" t="str">
        <f>""</f>
        <v/>
      </c>
      <c r="I1817" t="str">
        <f t="shared" si="26"/>
        <v>GUARDIAN</v>
      </c>
    </row>
    <row r="1818" spans="1:9" x14ac:dyDescent="0.3">
      <c r="A1818" t="str">
        <f>""</f>
        <v/>
      </c>
      <c r="F1818" t="str">
        <f>""</f>
        <v/>
      </c>
      <c r="G1818" t="str">
        <f>""</f>
        <v/>
      </c>
      <c r="I1818" t="str">
        <f t="shared" si="26"/>
        <v>GUARDIAN</v>
      </c>
    </row>
    <row r="1819" spans="1:9" x14ac:dyDescent="0.3">
      <c r="A1819" t="str">
        <f>""</f>
        <v/>
      </c>
      <c r="F1819" t="str">
        <f>""</f>
        <v/>
      </c>
      <c r="G1819" t="str">
        <f>""</f>
        <v/>
      </c>
      <c r="I1819" t="str">
        <f t="shared" si="26"/>
        <v>GUARDIAN</v>
      </c>
    </row>
    <row r="1820" spans="1:9" x14ac:dyDescent="0.3">
      <c r="A1820" t="str">
        <f>""</f>
        <v/>
      </c>
      <c r="F1820" t="str">
        <f>""</f>
        <v/>
      </c>
      <c r="G1820" t="str">
        <f>""</f>
        <v/>
      </c>
      <c r="I1820" t="str">
        <f t="shared" si="26"/>
        <v>GUARDIAN</v>
      </c>
    </row>
    <row r="1821" spans="1:9" x14ac:dyDescent="0.3">
      <c r="A1821" t="str">
        <f>""</f>
        <v/>
      </c>
      <c r="F1821" t="str">
        <f>""</f>
        <v/>
      </c>
      <c r="G1821" t="str">
        <f>""</f>
        <v/>
      </c>
      <c r="I1821" t="str">
        <f t="shared" si="26"/>
        <v>GUARDIAN</v>
      </c>
    </row>
    <row r="1822" spans="1:9" x14ac:dyDescent="0.3">
      <c r="A1822" t="str">
        <f>""</f>
        <v/>
      </c>
      <c r="F1822" t="str">
        <f>""</f>
        <v/>
      </c>
      <c r="G1822" t="str">
        <f>""</f>
        <v/>
      </c>
      <c r="I1822" t="str">
        <f t="shared" si="26"/>
        <v>GUARDIAN</v>
      </c>
    </row>
    <row r="1823" spans="1:9" x14ac:dyDescent="0.3">
      <c r="A1823" t="str">
        <f>""</f>
        <v/>
      </c>
      <c r="F1823" t="str">
        <f>""</f>
        <v/>
      </c>
      <c r="G1823" t="str">
        <f>""</f>
        <v/>
      </c>
      <c r="I1823" t="str">
        <f t="shared" si="26"/>
        <v>GUARDIAN</v>
      </c>
    </row>
    <row r="1824" spans="1:9" x14ac:dyDescent="0.3">
      <c r="A1824" t="str">
        <f>""</f>
        <v/>
      </c>
      <c r="F1824" t="str">
        <f>""</f>
        <v/>
      </c>
      <c r="G1824" t="str">
        <f>""</f>
        <v/>
      </c>
      <c r="I1824" t="str">
        <f t="shared" si="26"/>
        <v>GUARDIAN</v>
      </c>
    </row>
    <row r="1825" spans="1:9" x14ac:dyDescent="0.3">
      <c r="A1825" t="str">
        <f>""</f>
        <v/>
      </c>
      <c r="F1825" t="str">
        <f>""</f>
        <v/>
      </c>
      <c r="G1825" t="str">
        <f>""</f>
        <v/>
      </c>
      <c r="I1825" t="str">
        <f t="shared" si="26"/>
        <v>GUARDIAN</v>
      </c>
    </row>
    <row r="1826" spans="1:9" x14ac:dyDescent="0.3">
      <c r="A1826" t="str">
        <f>""</f>
        <v/>
      </c>
      <c r="F1826" t="str">
        <f>""</f>
        <v/>
      </c>
      <c r="G1826" t="str">
        <f>""</f>
        <v/>
      </c>
      <c r="I1826" t="str">
        <f t="shared" si="26"/>
        <v>GUARDIAN</v>
      </c>
    </row>
    <row r="1827" spans="1:9" x14ac:dyDescent="0.3">
      <c r="A1827" t="str">
        <f>""</f>
        <v/>
      </c>
      <c r="F1827" t="str">
        <f>""</f>
        <v/>
      </c>
      <c r="G1827" t="str">
        <f>""</f>
        <v/>
      </c>
      <c r="I1827" t="str">
        <f t="shared" si="26"/>
        <v>GUARDIAN</v>
      </c>
    </row>
    <row r="1828" spans="1:9" x14ac:dyDescent="0.3">
      <c r="A1828" t="str">
        <f>""</f>
        <v/>
      </c>
      <c r="F1828" t="str">
        <f>""</f>
        <v/>
      </c>
      <c r="G1828" t="str">
        <f>""</f>
        <v/>
      </c>
      <c r="I1828" t="str">
        <f t="shared" si="26"/>
        <v>GUARDIAN</v>
      </c>
    </row>
    <row r="1829" spans="1:9" x14ac:dyDescent="0.3">
      <c r="A1829" t="str">
        <f>""</f>
        <v/>
      </c>
      <c r="F1829" t="str">
        <f>""</f>
        <v/>
      </c>
      <c r="G1829" t="str">
        <f>""</f>
        <v/>
      </c>
      <c r="I1829" t="str">
        <f t="shared" si="26"/>
        <v>GUARDIAN</v>
      </c>
    </row>
    <row r="1830" spans="1:9" x14ac:dyDescent="0.3">
      <c r="A1830" t="str">
        <f>""</f>
        <v/>
      </c>
      <c r="F1830" t="str">
        <f>""</f>
        <v/>
      </c>
      <c r="G1830" t="str">
        <f>""</f>
        <v/>
      </c>
      <c r="I1830" t="str">
        <f t="shared" si="26"/>
        <v>GUARDIAN</v>
      </c>
    </row>
    <row r="1831" spans="1:9" x14ac:dyDescent="0.3">
      <c r="A1831" t="str">
        <f>""</f>
        <v/>
      </c>
      <c r="F1831" t="str">
        <f>""</f>
        <v/>
      </c>
      <c r="G1831" t="str">
        <f>""</f>
        <v/>
      </c>
      <c r="I1831" t="str">
        <f t="shared" si="26"/>
        <v>GUARDIAN</v>
      </c>
    </row>
    <row r="1832" spans="1:9" x14ac:dyDescent="0.3">
      <c r="A1832" t="str">
        <f>""</f>
        <v/>
      </c>
      <c r="F1832" t="str">
        <f>""</f>
        <v/>
      </c>
      <c r="G1832" t="str">
        <f>""</f>
        <v/>
      </c>
      <c r="I1832" t="str">
        <f t="shared" si="26"/>
        <v>GUARDIAN</v>
      </c>
    </row>
    <row r="1833" spans="1:9" x14ac:dyDescent="0.3">
      <c r="A1833" t="str">
        <f>""</f>
        <v/>
      </c>
      <c r="F1833" t="str">
        <f>""</f>
        <v/>
      </c>
      <c r="G1833" t="str">
        <f>""</f>
        <v/>
      </c>
      <c r="I1833" t="str">
        <f t="shared" si="26"/>
        <v>GUARDIAN</v>
      </c>
    </row>
    <row r="1834" spans="1:9" x14ac:dyDescent="0.3">
      <c r="A1834" t="str">
        <f>""</f>
        <v/>
      </c>
      <c r="F1834" t="str">
        <f>""</f>
        <v/>
      </c>
      <c r="G1834" t="str">
        <f>""</f>
        <v/>
      </c>
      <c r="I1834" t="str">
        <f t="shared" si="26"/>
        <v>GUARDIAN</v>
      </c>
    </row>
    <row r="1835" spans="1:9" x14ac:dyDescent="0.3">
      <c r="A1835" t="str">
        <f>""</f>
        <v/>
      </c>
      <c r="F1835" t="str">
        <f>""</f>
        <v/>
      </c>
      <c r="G1835" t="str">
        <f>""</f>
        <v/>
      </c>
      <c r="I1835" t="str">
        <f t="shared" si="26"/>
        <v>GUARDIAN</v>
      </c>
    </row>
    <row r="1836" spans="1:9" x14ac:dyDescent="0.3">
      <c r="A1836" t="str">
        <f>""</f>
        <v/>
      </c>
      <c r="F1836" t="str">
        <f>""</f>
        <v/>
      </c>
      <c r="G1836" t="str">
        <f>""</f>
        <v/>
      </c>
      <c r="I1836" t="str">
        <f t="shared" si="26"/>
        <v>GUARDIAN</v>
      </c>
    </row>
    <row r="1837" spans="1:9" x14ac:dyDescent="0.3">
      <c r="A1837" t="str">
        <f>""</f>
        <v/>
      </c>
      <c r="F1837" t="str">
        <f>""</f>
        <v/>
      </c>
      <c r="G1837" t="str">
        <f>""</f>
        <v/>
      </c>
      <c r="I1837" t="str">
        <f t="shared" si="26"/>
        <v>GUARDIAN</v>
      </c>
    </row>
    <row r="1838" spans="1:9" x14ac:dyDescent="0.3">
      <c r="A1838" t="str">
        <f>""</f>
        <v/>
      </c>
      <c r="F1838" t="str">
        <f>"LIA201803219717"</f>
        <v>LIA201803219717</v>
      </c>
      <c r="G1838" t="str">
        <f>"GUARDIAN"</f>
        <v>GUARDIAN</v>
      </c>
      <c r="H1838">
        <v>132.72999999999999</v>
      </c>
      <c r="I1838" t="str">
        <f t="shared" si="26"/>
        <v>GUARDIAN</v>
      </c>
    </row>
    <row r="1839" spans="1:9" x14ac:dyDescent="0.3">
      <c r="A1839" t="str">
        <f>""</f>
        <v/>
      </c>
      <c r="F1839" t="str">
        <f>""</f>
        <v/>
      </c>
      <c r="G1839" t="str">
        <f>""</f>
        <v/>
      </c>
      <c r="I1839" t="str">
        <f t="shared" si="26"/>
        <v>GUARDIAN</v>
      </c>
    </row>
    <row r="1840" spans="1:9" x14ac:dyDescent="0.3">
      <c r="A1840" t="str">
        <f>""</f>
        <v/>
      </c>
      <c r="F1840" t="str">
        <f>""</f>
        <v/>
      </c>
      <c r="G1840" t="str">
        <f>""</f>
        <v/>
      </c>
      <c r="I1840" t="str">
        <f t="shared" si="26"/>
        <v>GUARDIAN</v>
      </c>
    </row>
    <row r="1841" spans="1:9" x14ac:dyDescent="0.3">
      <c r="A1841" t="str">
        <f>""</f>
        <v/>
      </c>
      <c r="F1841" t="str">
        <f>""</f>
        <v/>
      </c>
      <c r="G1841" t="str">
        <f>""</f>
        <v/>
      </c>
      <c r="I1841" t="str">
        <f t="shared" si="26"/>
        <v>GUARDIAN</v>
      </c>
    </row>
    <row r="1842" spans="1:9" x14ac:dyDescent="0.3">
      <c r="A1842" t="str">
        <f>""</f>
        <v/>
      </c>
      <c r="F1842" t="str">
        <f>""</f>
        <v/>
      </c>
      <c r="G1842" t="str">
        <f>""</f>
        <v/>
      </c>
      <c r="I1842" t="str">
        <f t="shared" si="26"/>
        <v>GUARDIAN</v>
      </c>
    </row>
    <row r="1843" spans="1:9" x14ac:dyDescent="0.3">
      <c r="A1843" t="str">
        <f>""</f>
        <v/>
      </c>
      <c r="F1843" t="str">
        <f>""</f>
        <v/>
      </c>
      <c r="G1843" t="str">
        <f>""</f>
        <v/>
      </c>
      <c r="I1843" t="str">
        <f t="shared" si="26"/>
        <v>GUARDIAN</v>
      </c>
    </row>
    <row r="1844" spans="1:9" x14ac:dyDescent="0.3">
      <c r="A1844" t="str">
        <f>""</f>
        <v/>
      </c>
      <c r="F1844" t="str">
        <f>""</f>
        <v/>
      </c>
      <c r="G1844" t="str">
        <f>""</f>
        <v/>
      </c>
      <c r="I1844" t="str">
        <f t="shared" si="26"/>
        <v>GUARDIAN</v>
      </c>
    </row>
    <row r="1845" spans="1:9" x14ac:dyDescent="0.3">
      <c r="A1845" t="str">
        <f>""</f>
        <v/>
      </c>
      <c r="F1845" t="str">
        <f>""</f>
        <v/>
      </c>
      <c r="G1845" t="str">
        <f>""</f>
        <v/>
      </c>
      <c r="I1845" t="str">
        <f t="shared" si="26"/>
        <v>GUARDIAN</v>
      </c>
    </row>
    <row r="1846" spans="1:9" x14ac:dyDescent="0.3">
      <c r="A1846" t="str">
        <f>""</f>
        <v/>
      </c>
      <c r="F1846" t="str">
        <f>""</f>
        <v/>
      </c>
      <c r="G1846" t="str">
        <f>""</f>
        <v/>
      </c>
      <c r="I1846" t="str">
        <f t="shared" si="26"/>
        <v>GUARDIAN</v>
      </c>
    </row>
    <row r="1847" spans="1:9" x14ac:dyDescent="0.3">
      <c r="A1847" t="str">
        <f>""</f>
        <v/>
      </c>
      <c r="F1847" t="str">
        <f>""</f>
        <v/>
      </c>
      <c r="G1847" t="str">
        <f>""</f>
        <v/>
      </c>
      <c r="I1847" t="str">
        <f t="shared" si="26"/>
        <v>GUARDIAN</v>
      </c>
    </row>
    <row r="1848" spans="1:9" x14ac:dyDescent="0.3">
      <c r="A1848" t="str">
        <f>""</f>
        <v/>
      </c>
      <c r="F1848" t="str">
        <f>""</f>
        <v/>
      </c>
      <c r="G1848" t="str">
        <f>""</f>
        <v/>
      </c>
      <c r="I1848" t="str">
        <f t="shared" ref="I1848:I1879" si="27">"GUARDIAN"</f>
        <v>GUARDIAN</v>
      </c>
    </row>
    <row r="1849" spans="1:9" x14ac:dyDescent="0.3">
      <c r="A1849" t="str">
        <f>""</f>
        <v/>
      </c>
      <c r="F1849" t="str">
        <f>""</f>
        <v/>
      </c>
      <c r="G1849" t="str">
        <f>""</f>
        <v/>
      </c>
      <c r="I1849" t="str">
        <f t="shared" si="27"/>
        <v>GUARDIAN</v>
      </c>
    </row>
    <row r="1850" spans="1:9" x14ac:dyDescent="0.3">
      <c r="A1850" t="str">
        <f>""</f>
        <v/>
      </c>
      <c r="F1850" t="str">
        <f>""</f>
        <v/>
      </c>
      <c r="G1850" t="str">
        <f>""</f>
        <v/>
      </c>
      <c r="I1850" t="str">
        <f t="shared" si="27"/>
        <v>GUARDIAN</v>
      </c>
    </row>
    <row r="1851" spans="1:9" x14ac:dyDescent="0.3">
      <c r="A1851" t="str">
        <f>""</f>
        <v/>
      </c>
      <c r="F1851" t="str">
        <f>""</f>
        <v/>
      </c>
      <c r="G1851" t="str">
        <f>""</f>
        <v/>
      </c>
      <c r="I1851" t="str">
        <f t="shared" si="27"/>
        <v>GUARDIAN</v>
      </c>
    </row>
    <row r="1852" spans="1:9" x14ac:dyDescent="0.3">
      <c r="A1852" t="str">
        <f>""</f>
        <v/>
      </c>
      <c r="F1852" t="str">
        <f>""</f>
        <v/>
      </c>
      <c r="G1852" t="str">
        <f>""</f>
        <v/>
      </c>
      <c r="I1852" t="str">
        <f t="shared" si="27"/>
        <v>GUARDIAN</v>
      </c>
    </row>
    <row r="1853" spans="1:9" x14ac:dyDescent="0.3">
      <c r="A1853" t="str">
        <f>""</f>
        <v/>
      </c>
      <c r="F1853" t="str">
        <f>""</f>
        <v/>
      </c>
      <c r="G1853" t="str">
        <f>""</f>
        <v/>
      </c>
      <c r="I1853" t="str">
        <f t="shared" si="27"/>
        <v>GUARDIAN</v>
      </c>
    </row>
    <row r="1854" spans="1:9" x14ac:dyDescent="0.3">
      <c r="A1854" t="str">
        <f>""</f>
        <v/>
      </c>
      <c r="F1854" t="str">
        <f>""</f>
        <v/>
      </c>
      <c r="G1854" t="str">
        <f>""</f>
        <v/>
      </c>
      <c r="I1854" t="str">
        <f t="shared" si="27"/>
        <v>GUARDIAN</v>
      </c>
    </row>
    <row r="1855" spans="1:9" x14ac:dyDescent="0.3">
      <c r="A1855" t="str">
        <f>""</f>
        <v/>
      </c>
      <c r="F1855" t="str">
        <f>""</f>
        <v/>
      </c>
      <c r="G1855" t="str">
        <f>""</f>
        <v/>
      </c>
      <c r="I1855" t="str">
        <f t="shared" si="27"/>
        <v>GUARDIAN</v>
      </c>
    </row>
    <row r="1856" spans="1:9" x14ac:dyDescent="0.3">
      <c r="A1856" t="str">
        <f>""</f>
        <v/>
      </c>
      <c r="F1856" t="str">
        <f>""</f>
        <v/>
      </c>
      <c r="G1856" t="str">
        <f>""</f>
        <v/>
      </c>
      <c r="I1856" t="str">
        <f t="shared" si="27"/>
        <v>GUARDIAN</v>
      </c>
    </row>
    <row r="1857" spans="1:9" x14ac:dyDescent="0.3">
      <c r="A1857" t="str">
        <f>""</f>
        <v/>
      </c>
      <c r="F1857" t="str">
        <f>""</f>
        <v/>
      </c>
      <c r="G1857" t="str">
        <f>""</f>
        <v/>
      </c>
      <c r="I1857" t="str">
        <f t="shared" si="27"/>
        <v>GUARDIAN</v>
      </c>
    </row>
    <row r="1858" spans="1:9" x14ac:dyDescent="0.3">
      <c r="A1858" t="str">
        <f>""</f>
        <v/>
      </c>
      <c r="F1858" t="str">
        <f>""</f>
        <v/>
      </c>
      <c r="G1858" t="str">
        <f>""</f>
        <v/>
      </c>
      <c r="I1858" t="str">
        <f t="shared" si="27"/>
        <v>GUARDIAN</v>
      </c>
    </row>
    <row r="1859" spans="1:9" x14ac:dyDescent="0.3">
      <c r="A1859" t="str">
        <f>""</f>
        <v/>
      </c>
      <c r="F1859" t="str">
        <f>""</f>
        <v/>
      </c>
      <c r="G1859" t="str">
        <f>""</f>
        <v/>
      </c>
      <c r="I1859" t="str">
        <f t="shared" si="27"/>
        <v>GUARDIAN</v>
      </c>
    </row>
    <row r="1860" spans="1:9" x14ac:dyDescent="0.3">
      <c r="A1860" t="str">
        <f>""</f>
        <v/>
      </c>
      <c r="F1860" t="str">
        <f>"LIC201803079264"</f>
        <v>LIC201803079264</v>
      </c>
      <c r="G1860" t="str">
        <f>"GUARDIAN"</f>
        <v>GUARDIAN</v>
      </c>
      <c r="H1860">
        <v>34.6</v>
      </c>
      <c r="I1860" t="str">
        <f t="shared" si="27"/>
        <v>GUARDIAN</v>
      </c>
    </row>
    <row r="1861" spans="1:9" x14ac:dyDescent="0.3">
      <c r="A1861" t="str">
        <f>""</f>
        <v/>
      </c>
      <c r="F1861" t="str">
        <f>"LIC201803079268"</f>
        <v>LIC201803079268</v>
      </c>
      <c r="G1861" t="str">
        <f>"GUARDIAN"</f>
        <v>GUARDIAN</v>
      </c>
      <c r="H1861">
        <v>1.05</v>
      </c>
      <c r="I1861" t="str">
        <f t="shared" si="27"/>
        <v>GUARDIAN</v>
      </c>
    </row>
    <row r="1862" spans="1:9" x14ac:dyDescent="0.3">
      <c r="A1862" t="str">
        <f>""</f>
        <v/>
      </c>
      <c r="F1862" t="str">
        <f>"LIC201803219715"</f>
        <v>LIC201803219715</v>
      </c>
      <c r="G1862" t="str">
        <f>"GUARDIAN"</f>
        <v>GUARDIAN</v>
      </c>
      <c r="H1862">
        <v>1.05</v>
      </c>
      <c r="I1862" t="str">
        <f t="shared" si="27"/>
        <v>GUARDIAN</v>
      </c>
    </row>
    <row r="1863" spans="1:9" x14ac:dyDescent="0.3">
      <c r="A1863" t="str">
        <f>""</f>
        <v/>
      </c>
      <c r="F1863" t="str">
        <f>"LIC201803219717"</f>
        <v>LIC201803219717</v>
      </c>
      <c r="G1863" t="str">
        <f>"GUARDIAN"</f>
        <v>GUARDIAN</v>
      </c>
      <c r="H1863">
        <v>34.6</v>
      </c>
      <c r="I1863" t="str">
        <f t="shared" si="27"/>
        <v>GUARDIAN</v>
      </c>
    </row>
    <row r="1864" spans="1:9" x14ac:dyDescent="0.3">
      <c r="A1864" t="str">
        <f>""</f>
        <v/>
      </c>
      <c r="F1864" t="str">
        <f>"LIE201803079264"</f>
        <v>LIE201803079264</v>
      </c>
      <c r="G1864" t="str">
        <f>"GUARDIAN"</f>
        <v>GUARDIAN</v>
      </c>
      <c r="H1864">
        <v>3230.9</v>
      </c>
      <c r="I1864" t="str">
        <f t="shared" si="27"/>
        <v>GUARDIAN</v>
      </c>
    </row>
    <row r="1865" spans="1:9" x14ac:dyDescent="0.3">
      <c r="A1865" t="str">
        <f>""</f>
        <v/>
      </c>
      <c r="F1865" t="str">
        <f>""</f>
        <v/>
      </c>
      <c r="G1865" t="str">
        <f>""</f>
        <v/>
      </c>
      <c r="I1865" t="str">
        <f t="shared" si="27"/>
        <v>GUARDIAN</v>
      </c>
    </row>
    <row r="1866" spans="1:9" x14ac:dyDescent="0.3">
      <c r="A1866" t="str">
        <f>""</f>
        <v/>
      </c>
      <c r="F1866" t="str">
        <f>""</f>
        <v/>
      </c>
      <c r="G1866" t="str">
        <f>""</f>
        <v/>
      </c>
      <c r="I1866" t="str">
        <f t="shared" si="27"/>
        <v>GUARDIAN</v>
      </c>
    </row>
    <row r="1867" spans="1:9" x14ac:dyDescent="0.3">
      <c r="A1867" t="str">
        <f>""</f>
        <v/>
      </c>
      <c r="F1867" t="str">
        <f>""</f>
        <v/>
      </c>
      <c r="G1867" t="str">
        <f>""</f>
        <v/>
      </c>
      <c r="I1867" t="str">
        <f t="shared" si="27"/>
        <v>GUARDIAN</v>
      </c>
    </row>
    <row r="1868" spans="1:9" x14ac:dyDescent="0.3">
      <c r="A1868" t="str">
        <f>""</f>
        <v/>
      </c>
      <c r="F1868" t="str">
        <f>""</f>
        <v/>
      </c>
      <c r="G1868" t="str">
        <f>""</f>
        <v/>
      </c>
      <c r="I1868" t="str">
        <f t="shared" si="27"/>
        <v>GUARDIAN</v>
      </c>
    </row>
    <row r="1869" spans="1:9" x14ac:dyDescent="0.3">
      <c r="A1869" t="str">
        <f>""</f>
        <v/>
      </c>
      <c r="F1869" t="str">
        <f>""</f>
        <v/>
      </c>
      <c r="G1869" t="str">
        <f>""</f>
        <v/>
      </c>
      <c r="I1869" t="str">
        <f t="shared" si="27"/>
        <v>GUARDIAN</v>
      </c>
    </row>
    <row r="1870" spans="1:9" x14ac:dyDescent="0.3">
      <c r="A1870" t="str">
        <f>""</f>
        <v/>
      </c>
      <c r="F1870" t="str">
        <f>""</f>
        <v/>
      </c>
      <c r="G1870" t="str">
        <f>""</f>
        <v/>
      </c>
      <c r="I1870" t="str">
        <f t="shared" si="27"/>
        <v>GUARDIAN</v>
      </c>
    </row>
    <row r="1871" spans="1:9" x14ac:dyDescent="0.3">
      <c r="A1871" t="str">
        <f>""</f>
        <v/>
      </c>
      <c r="F1871" t="str">
        <f>""</f>
        <v/>
      </c>
      <c r="G1871" t="str">
        <f>""</f>
        <v/>
      </c>
      <c r="I1871" t="str">
        <f t="shared" si="27"/>
        <v>GUARDIAN</v>
      </c>
    </row>
    <row r="1872" spans="1:9" x14ac:dyDescent="0.3">
      <c r="A1872" t="str">
        <f>""</f>
        <v/>
      </c>
      <c r="F1872" t="str">
        <f>""</f>
        <v/>
      </c>
      <c r="G1872" t="str">
        <f>""</f>
        <v/>
      </c>
      <c r="I1872" t="str">
        <f t="shared" si="27"/>
        <v>GUARDIAN</v>
      </c>
    </row>
    <row r="1873" spans="1:9" x14ac:dyDescent="0.3">
      <c r="A1873" t="str">
        <f>""</f>
        <v/>
      </c>
      <c r="F1873" t="str">
        <f>""</f>
        <v/>
      </c>
      <c r="G1873" t="str">
        <f>""</f>
        <v/>
      </c>
      <c r="I1873" t="str">
        <f t="shared" si="27"/>
        <v>GUARDIAN</v>
      </c>
    </row>
    <row r="1874" spans="1:9" x14ac:dyDescent="0.3">
      <c r="A1874" t="str">
        <f>""</f>
        <v/>
      </c>
      <c r="F1874" t="str">
        <f>""</f>
        <v/>
      </c>
      <c r="G1874" t="str">
        <f>""</f>
        <v/>
      </c>
      <c r="I1874" t="str">
        <f t="shared" si="27"/>
        <v>GUARDIAN</v>
      </c>
    </row>
    <row r="1875" spans="1:9" x14ac:dyDescent="0.3">
      <c r="A1875" t="str">
        <f>""</f>
        <v/>
      </c>
      <c r="F1875" t="str">
        <f>""</f>
        <v/>
      </c>
      <c r="G1875" t="str">
        <f>""</f>
        <v/>
      </c>
      <c r="I1875" t="str">
        <f t="shared" si="27"/>
        <v>GUARDIAN</v>
      </c>
    </row>
    <row r="1876" spans="1:9" x14ac:dyDescent="0.3">
      <c r="A1876" t="str">
        <f>""</f>
        <v/>
      </c>
      <c r="F1876" t="str">
        <f>""</f>
        <v/>
      </c>
      <c r="G1876" t="str">
        <f>""</f>
        <v/>
      </c>
      <c r="I1876" t="str">
        <f t="shared" si="27"/>
        <v>GUARDIAN</v>
      </c>
    </row>
    <row r="1877" spans="1:9" x14ac:dyDescent="0.3">
      <c r="A1877" t="str">
        <f>""</f>
        <v/>
      </c>
      <c r="F1877" t="str">
        <f>""</f>
        <v/>
      </c>
      <c r="G1877" t="str">
        <f>""</f>
        <v/>
      </c>
      <c r="I1877" t="str">
        <f t="shared" si="27"/>
        <v>GUARDIAN</v>
      </c>
    </row>
    <row r="1878" spans="1:9" x14ac:dyDescent="0.3">
      <c r="A1878" t="str">
        <f>""</f>
        <v/>
      </c>
      <c r="F1878" t="str">
        <f>""</f>
        <v/>
      </c>
      <c r="G1878" t="str">
        <f>""</f>
        <v/>
      </c>
      <c r="I1878" t="str">
        <f t="shared" si="27"/>
        <v>GUARDIAN</v>
      </c>
    </row>
    <row r="1879" spans="1:9" x14ac:dyDescent="0.3">
      <c r="A1879" t="str">
        <f>""</f>
        <v/>
      </c>
      <c r="F1879" t="str">
        <f>""</f>
        <v/>
      </c>
      <c r="G1879" t="str">
        <f>""</f>
        <v/>
      </c>
      <c r="I1879" t="str">
        <f t="shared" si="27"/>
        <v>GUARDIAN</v>
      </c>
    </row>
    <row r="1880" spans="1:9" x14ac:dyDescent="0.3">
      <c r="A1880" t="str">
        <f>""</f>
        <v/>
      </c>
      <c r="F1880" t="str">
        <f>""</f>
        <v/>
      </c>
      <c r="G1880" t="str">
        <f>""</f>
        <v/>
      </c>
      <c r="I1880" t="str">
        <f t="shared" ref="I1880:I1911" si="28">"GUARDIAN"</f>
        <v>GUARDIAN</v>
      </c>
    </row>
    <row r="1881" spans="1:9" x14ac:dyDescent="0.3">
      <c r="A1881" t="str">
        <f>""</f>
        <v/>
      </c>
      <c r="F1881" t="str">
        <f>""</f>
        <v/>
      </c>
      <c r="G1881" t="str">
        <f>""</f>
        <v/>
      </c>
      <c r="I1881" t="str">
        <f t="shared" si="28"/>
        <v>GUARDIAN</v>
      </c>
    </row>
    <row r="1882" spans="1:9" x14ac:dyDescent="0.3">
      <c r="A1882" t="str">
        <f>""</f>
        <v/>
      </c>
      <c r="F1882" t="str">
        <f>""</f>
        <v/>
      </c>
      <c r="G1882" t="str">
        <f>""</f>
        <v/>
      </c>
      <c r="I1882" t="str">
        <f t="shared" si="28"/>
        <v>GUARDIAN</v>
      </c>
    </row>
    <row r="1883" spans="1:9" x14ac:dyDescent="0.3">
      <c r="A1883" t="str">
        <f>""</f>
        <v/>
      </c>
      <c r="F1883" t="str">
        <f>""</f>
        <v/>
      </c>
      <c r="G1883" t="str">
        <f>""</f>
        <v/>
      </c>
      <c r="I1883" t="str">
        <f t="shared" si="28"/>
        <v>GUARDIAN</v>
      </c>
    </row>
    <row r="1884" spans="1:9" x14ac:dyDescent="0.3">
      <c r="A1884" t="str">
        <f>""</f>
        <v/>
      </c>
      <c r="F1884" t="str">
        <f>""</f>
        <v/>
      </c>
      <c r="G1884" t="str">
        <f>""</f>
        <v/>
      </c>
      <c r="I1884" t="str">
        <f t="shared" si="28"/>
        <v>GUARDIAN</v>
      </c>
    </row>
    <row r="1885" spans="1:9" x14ac:dyDescent="0.3">
      <c r="A1885" t="str">
        <f>""</f>
        <v/>
      </c>
      <c r="F1885" t="str">
        <f>""</f>
        <v/>
      </c>
      <c r="G1885" t="str">
        <f>""</f>
        <v/>
      </c>
      <c r="I1885" t="str">
        <f t="shared" si="28"/>
        <v>GUARDIAN</v>
      </c>
    </row>
    <row r="1886" spans="1:9" x14ac:dyDescent="0.3">
      <c r="A1886" t="str">
        <f>""</f>
        <v/>
      </c>
      <c r="F1886" t="str">
        <f>""</f>
        <v/>
      </c>
      <c r="G1886" t="str">
        <f>""</f>
        <v/>
      </c>
      <c r="I1886" t="str">
        <f t="shared" si="28"/>
        <v>GUARDIAN</v>
      </c>
    </row>
    <row r="1887" spans="1:9" x14ac:dyDescent="0.3">
      <c r="A1887" t="str">
        <f>""</f>
        <v/>
      </c>
      <c r="F1887" t="str">
        <f>""</f>
        <v/>
      </c>
      <c r="G1887" t="str">
        <f>""</f>
        <v/>
      </c>
      <c r="I1887" t="str">
        <f t="shared" si="28"/>
        <v>GUARDIAN</v>
      </c>
    </row>
    <row r="1888" spans="1:9" x14ac:dyDescent="0.3">
      <c r="A1888" t="str">
        <f>""</f>
        <v/>
      </c>
      <c r="F1888" t="str">
        <f>""</f>
        <v/>
      </c>
      <c r="G1888" t="str">
        <f>""</f>
        <v/>
      </c>
      <c r="I1888" t="str">
        <f t="shared" si="28"/>
        <v>GUARDIAN</v>
      </c>
    </row>
    <row r="1889" spans="1:9" x14ac:dyDescent="0.3">
      <c r="A1889" t="str">
        <f>""</f>
        <v/>
      </c>
      <c r="F1889" t="str">
        <f>""</f>
        <v/>
      </c>
      <c r="G1889" t="str">
        <f>""</f>
        <v/>
      </c>
      <c r="I1889" t="str">
        <f t="shared" si="28"/>
        <v>GUARDIAN</v>
      </c>
    </row>
    <row r="1890" spans="1:9" x14ac:dyDescent="0.3">
      <c r="A1890" t="str">
        <f>""</f>
        <v/>
      </c>
      <c r="F1890" t="str">
        <f>""</f>
        <v/>
      </c>
      <c r="G1890" t="str">
        <f>""</f>
        <v/>
      </c>
      <c r="I1890" t="str">
        <f t="shared" si="28"/>
        <v>GUARDIAN</v>
      </c>
    </row>
    <row r="1891" spans="1:9" x14ac:dyDescent="0.3">
      <c r="A1891" t="str">
        <f>""</f>
        <v/>
      </c>
      <c r="F1891" t="str">
        <f>""</f>
        <v/>
      </c>
      <c r="G1891" t="str">
        <f>""</f>
        <v/>
      </c>
      <c r="I1891" t="str">
        <f t="shared" si="28"/>
        <v>GUARDIAN</v>
      </c>
    </row>
    <row r="1892" spans="1:9" x14ac:dyDescent="0.3">
      <c r="A1892" t="str">
        <f>""</f>
        <v/>
      </c>
      <c r="F1892" t="str">
        <f>""</f>
        <v/>
      </c>
      <c r="G1892" t="str">
        <f>""</f>
        <v/>
      </c>
      <c r="I1892" t="str">
        <f t="shared" si="28"/>
        <v>GUARDIAN</v>
      </c>
    </row>
    <row r="1893" spans="1:9" x14ac:dyDescent="0.3">
      <c r="A1893" t="str">
        <f>""</f>
        <v/>
      </c>
      <c r="F1893" t="str">
        <f>""</f>
        <v/>
      </c>
      <c r="G1893" t="str">
        <f>""</f>
        <v/>
      </c>
      <c r="I1893" t="str">
        <f t="shared" si="28"/>
        <v>GUARDIAN</v>
      </c>
    </row>
    <row r="1894" spans="1:9" x14ac:dyDescent="0.3">
      <c r="A1894" t="str">
        <f>""</f>
        <v/>
      </c>
      <c r="F1894" t="str">
        <f>""</f>
        <v/>
      </c>
      <c r="G1894" t="str">
        <f>""</f>
        <v/>
      </c>
      <c r="I1894" t="str">
        <f t="shared" si="28"/>
        <v>GUARDIAN</v>
      </c>
    </row>
    <row r="1895" spans="1:9" x14ac:dyDescent="0.3">
      <c r="A1895" t="str">
        <f>""</f>
        <v/>
      </c>
      <c r="F1895" t="str">
        <f>""</f>
        <v/>
      </c>
      <c r="G1895" t="str">
        <f>""</f>
        <v/>
      </c>
      <c r="I1895" t="str">
        <f t="shared" si="28"/>
        <v>GUARDIAN</v>
      </c>
    </row>
    <row r="1896" spans="1:9" x14ac:dyDescent="0.3">
      <c r="A1896" t="str">
        <f>""</f>
        <v/>
      </c>
      <c r="F1896" t="str">
        <f>""</f>
        <v/>
      </c>
      <c r="G1896" t="str">
        <f>""</f>
        <v/>
      </c>
      <c r="I1896" t="str">
        <f t="shared" si="28"/>
        <v>GUARDIAN</v>
      </c>
    </row>
    <row r="1897" spans="1:9" x14ac:dyDescent="0.3">
      <c r="A1897" t="str">
        <f>""</f>
        <v/>
      </c>
      <c r="F1897" t="str">
        <f>""</f>
        <v/>
      </c>
      <c r="G1897" t="str">
        <f>""</f>
        <v/>
      </c>
      <c r="I1897" t="str">
        <f t="shared" si="28"/>
        <v>GUARDIAN</v>
      </c>
    </row>
    <row r="1898" spans="1:9" x14ac:dyDescent="0.3">
      <c r="A1898" t="str">
        <f>""</f>
        <v/>
      </c>
      <c r="F1898" t="str">
        <f>""</f>
        <v/>
      </c>
      <c r="G1898" t="str">
        <f>""</f>
        <v/>
      </c>
      <c r="I1898" t="str">
        <f t="shared" si="28"/>
        <v>GUARDIAN</v>
      </c>
    </row>
    <row r="1899" spans="1:9" x14ac:dyDescent="0.3">
      <c r="A1899" t="str">
        <f>""</f>
        <v/>
      </c>
      <c r="F1899" t="str">
        <f>""</f>
        <v/>
      </c>
      <c r="G1899" t="str">
        <f>""</f>
        <v/>
      </c>
      <c r="I1899" t="str">
        <f t="shared" si="28"/>
        <v>GUARDIAN</v>
      </c>
    </row>
    <row r="1900" spans="1:9" x14ac:dyDescent="0.3">
      <c r="A1900" t="str">
        <f>""</f>
        <v/>
      </c>
      <c r="F1900" t="str">
        <f>""</f>
        <v/>
      </c>
      <c r="G1900" t="str">
        <f>""</f>
        <v/>
      </c>
      <c r="I1900" t="str">
        <f t="shared" si="28"/>
        <v>GUARDIAN</v>
      </c>
    </row>
    <row r="1901" spans="1:9" x14ac:dyDescent="0.3">
      <c r="A1901" t="str">
        <f>""</f>
        <v/>
      </c>
      <c r="F1901" t="str">
        <f>""</f>
        <v/>
      </c>
      <c r="G1901" t="str">
        <f>""</f>
        <v/>
      </c>
      <c r="I1901" t="str">
        <f t="shared" si="28"/>
        <v>GUARDIAN</v>
      </c>
    </row>
    <row r="1902" spans="1:9" x14ac:dyDescent="0.3">
      <c r="A1902" t="str">
        <f>""</f>
        <v/>
      </c>
      <c r="F1902" t="str">
        <f>""</f>
        <v/>
      </c>
      <c r="G1902" t="str">
        <f>""</f>
        <v/>
      </c>
      <c r="I1902" t="str">
        <f t="shared" si="28"/>
        <v>GUARDIAN</v>
      </c>
    </row>
    <row r="1903" spans="1:9" x14ac:dyDescent="0.3">
      <c r="A1903" t="str">
        <f>""</f>
        <v/>
      </c>
      <c r="F1903" t="str">
        <f>""</f>
        <v/>
      </c>
      <c r="G1903" t="str">
        <f>""</f>
        <v/>
      </c>
      <c r="I1903" t="str">
        <f t="shared" si="28"/>
        <v>GUARDIAN</v>
      </c>
    </row>
    <row r="1904" spans="1:9" x14ac:dyDescent="0.3">
      <c r="A1904" t="str">
        <f>""</f>
        <v/>
      </c>
      <c r="F1904" t="str">
        <f>""</f>
        <v/>
      </c>
      <c r="G1904" t="str">
        <f>""</f>
        <v/>
      </c>
      <c r="I1904" t="str">
        <f t="shared" si="28"/>
        <v>GUARDIAN</v>
      </c>
    </row>
    <row r="1905" spans="1:9" x14ac:dyDescent="0.3">
      <c r="A1905" t="str">
        <f>""</f>
        <v/>
      </c>
      <c r="F1905" t="str">
        <f>""</f>
        <v/>
      </c>
      <c r="G1905" t="str">
        <f>""</f>
        <v/>
      </c>
      <c r="I1905" t="str">
        <f t="shared" si="28"/>
        <v>GUARDIAN</v>
      </c>
    </row>
    <row r="1906" spans="1:9" x14ac:dyDescent="0.3">
      <c r="A1906" t="str">
        <f>""</f>
        <v/>
      </c>
      <c r="F1906" t="str">
        <f>""</f>
        <v/>
      </c>
      <c r="G1906" t="str">
        <f>""</f>
        <v/>
      </c>
      <c r="I1906" t="str">
        <f t="shared" si="28"/>
        <v>GUARDIAN</v>
      </c>
    </row>
    <row r="1907" spans="1:9" x14ac:dyDescent="0.3">
      <c r="A1907" t="str">
        <f>""</f>
        <v/>
      </c>
      <c r="F1907" t="str">
        <f>""</f>
        <v/>
      </c>
      <c r="G1907" t="str">
        <f>""</f>
        <v/>
      </c>
      <c r="I1907" t="str">
        <f t="shared" si="28"/>
        <v>GUARDIAN</v>
      </c>
    </row>
    <row r="1908" spans="1:9" x14ac:dyDescent="0.3">
      <c r="A1908" t="str">
        <f>""</f>
        <v/>
      </c>
      <c r="F1908" t="str">
        <f>""</f>
        <v/>
      </c>
      <c r="G1908" t="str">
        <f>""</f>
        <v/>
      </c>
      <c r="I1908" t="str">
        <f t="shared" si="28"/>
        <v>GUARDIAN</v>
      </c>
    </row>
    <row r="1909" spans="1:9" x14ac:dyDescent="0.3">
      <c r="A1909" t="str">
        <f>""</f>
        <v/>
      </c>
      <c r="F1909" t="str">
        <f>""</f>
        <v/>
      </c>
      <c r="G1909" t="str">
        <f>""</f>
        <v/>
      </c>
      <c r="I1909" t="str">
        <f t="shared" si="28"/>
        <v>GUARDIAN</v>
      </c>
    </row>
    <row r="1910" spans="1:9" x14ac:dyDescent="0.3">
      <c r="A1910" t="str">
        <f>""</f>
        <v/>
      </c>
      <c r="F1910" t="str">
        <f>""</f>
        <v/>
      </c>
      <c r="G1910" t="str">
        <f>""</f>
        <v/>
      </c>
      <c r="I1910" t="str">
        <f t="shared" si="28"/>
        <v>GUARDIAN</v>
      </c>
    </row>
    <row r="1911" spans="1:9" x14ac:dyDescent="0.3">
      <c r="A1911" t="str">
        <f>""</f>
        <v/>
      </c>
      <c r="F1911" t="str">
        <f>""</f>
        <v/>
      </c>
      <c r="G1911" t="str">
        <f>""</f>
        <v/>
      </c>
      <c r="I1911" t="str">
        <f t="shared" si="28"/>
        <v>GUARDIAN</v>
      </c>
    </row>
    <row r="1912" spans="1:9" x14ac:dyDescent="0.3">
      <c r="A1912" t="str">
        <f>""</f>
        <v/>
      </c>
      <c r="F1912" t="str">
        <f>""</f>
        <v/>
      </c>
      <c r="G1912" t="str">
        <f>""</f>
        <v/>
      </c>
      <c r="I1912" t="str">
        <f t="shared" ref="I1912:I1943" si="29">"GUARDIAN"</f>
        <v>GUARDIAN</v>
      </c>
    </row>
    <row r="1913" spans="1:9" x14ac:dyDescent="0.3">
      <c r="A1913" t="str">
        <f>""</f>
        <v/>
      </c>
      <c r="F1913" t="str">
        <f>""</f>
        <v/>
      </c>
      <c r="G1913" t="str">
        <f>""</f>
        <v/>
      </c>
      <c r="I1913" t="str">
        <f t="shared" si="29"/>
        <v>GUARDIAN</v>
      </c>
    </row>
    <row r="1914" spans="1:9" x14ac:dyDescent="0.3">
      <c r="A1914" t="str">
        <f>""</f>
        <v/>
      </c>
      <c r="F1914" t="str">
        <f>"LIE201803079268"</f>
        <v>LIE201803079268</v>
      </c>
      <c r="G1914" t="str">
        <f>"GUARDIAN"</f>
        <v>GUARDIAN</v>
      </c>
      <c r="H1914">
        <v>137</v>
      </c>
      <c r="I1914" t="str">
        <f t="shared" si="29"/>
        <v>GUARDIAN</v>
      </c>
    </row>
    <row r="1915" spans="1:9" x14ac:dyDescent="0.3">
      <c r="A1915" t="str">
        <f>""</f>
        <v/>
      </c>
      <c r="F1915" t="str">
        <f>""</f>
        <v/>
      </c>
      <c r="G1915" t="str">
        <f>""</f>
        <v/>
      </c>
      <c r="I1915" t="str">
        <f t="shared" si="29"/>
        <v>GUARDIAN</v>
      </c>
    </row>
    <row r="1916" spans="1:9" x14ac:dyDescent="0.3">
      <c r="A1916" t="str">
        <f>""</f>
        <v/>
      </c>
      <c r="F1916" t="str">
        <f>"LIE201803219715"</f>
        <v>LIE201803219715</v>
      </c>
      <c r="G1916" t="str">
        <f>"GUARDIAN"</f>
        <v>GUARDIAN</v>
      </c>
      <c r="H1916">
        <v>137</v>
      </c>
      <c r="I1916" t="str">
        <f t="shared" si="29"/>
        <v>GUARDIAN</v>
      </c>
    </row>
    <row r="1917" spans="1:9" x14ac:dyDescent="0.3">
      <c r="A1917" t="str">
        <f>""</f>
        <v/>
      </c>
      <c r="F1917" t="str">
        <f>""</f>
        <v/>
      </c>
      <c r="G1917" t="str">
        <f>""</f>
        <v/>
      </c>
      <c r="I1917" t="str">
        <f t="shared" si="29"/>
        <v>GUARDIAN</v>
      </c>
    </row>
    <row r="1918" spans="1:9" x14ac:dyDescent="0.3">
      <c r="A1918" t="str">
        <f>""</f>
        <v/>
      </c>
      <c r="F1918" t="str">
        <f>"LIE201803219717"</f>
        <v>LIE201803219717</v>
      </c>
      <c r="G1918" t="str">
        <f>"GUARDIAN"</f>
        <v>GUARDIAN</v>
      </c>
      <c r="H1918">
        <v>3198.9</v>
      </c>
      <c r="I1918" t="str">
        <f t="shared" si="29"/>
        <v>GUARDIAN</v>
      </c>
    </row>
    <row r="1919" spans="1:9" x14ac:dyDescent="0.3">
      <c r="A1919" t="str">
        <f>""</f>
        <v/>
      </c>
      <c r="F1919" t="str">
        <f>""</f>
        <v/>
      </c>
      <c r="G1919" t="str">
        <f>""</f>
        <v/>
      </c>
      <c r="I1919" t="str">
        <f t="shared" si="29"/>
        <v>GUARDIAN</v>
      </c>
    </row>
    <row r="1920" spans="1:9" x14ac:dyDescent="0.3">
      <c r="A1920" t="str">
        <f>""</f>
        <v/>
      </c>
      <c r="F1920" t="str">
        <f>""</f>
        <v/>
      </c>
      <c r="G1920" t="str">
        <f>""</f>
        <v/>
      </c>
      <c r="I1920" t="str">
        <f t="shared" si="29"/>
        <v>GUARDIAN</v>
      </c>
    </row>
    <row r="1921" spans="1:9" x14ac:dyDescent="0.3">
      <c r="A1921" t="str">
        <f>""</f>
        <v/>
      </c>
      <c r="F1921" t="str">
        <f>""</f>
        <v/>
      </c>
      <c r="G1921" t="str">
        <f>""</f>
        <v/>
      </c>
      <c r="I1921" t="str">
        <f t="shared" si="29"/>
        <v>GUARDIAN</v>
      </c>
    </row>
    <row r="1922" spans="1:9" x14ac:dyDescent="0.3">
      <c r="A1922" t="str">
        <f>""</f>
        <v/>
      </c>
      <c r="F1922" t="str">
        <f>""</f>
        <v/>
      </c>
      <c r="G1922" t="str">
        <f>""</f>
        <v/>
      </c>
      <c r="I1922" t="str">
        <f t="shared" si="29"/>
        <v>GUARDIAN</v>
      </c>
    </row>
    <row r="1923" spans="1:9" x14ac:dyDescent="0.3">
      <c r="A1923" t="str">
        <f>""</f>
        <v/>
      </c>
      <c r="F1923" t="str">
        <f>""</f>
        <v/>
      </c>
      <c r="G1923" t="str">
        <f>""</f>
        <v/>
      </c>
      <c r="I1923" t="str">
        <f t="shared" si="29"/>
        <v>GUARDIAN</v>
      </c>
    </row>
    <row r="1924" spans="1:9" x14ac:dyDescent="0.3">
      <c r="A1924" t="str">
        <f>""</f>
        <v/>
      </c>
      <c r="F1924" t="str">
        <f>""</f>
        <v/>
      </c>
      <c r="G1924" t="str">
        <f>""</f>
        <v/>
      </c>
      <c r="I1924" t="str">
        <f t="shared" si="29"/>
        <v>GUARDIAN</v>
      </c>
    </row>
    <row r="1925" spans="1:9" x14ac:dyDescent="0.3">
      <c r="A1925" t="str">
        <f>""</f>
        <v/>
      </c>
      <c r="F1925" t="str">
        <f>""</f>
        <v/>
      </c>
      <c r="G1925" t="str">
        <f>""</f>
        <v/>
      </c>
      <c r="I1925" t="str">
        <f t="shared" si="29"/>
        <v>GUARDIAN</v>
      </c>
    </row>
    <row r="1926" spans="1:9" x14ac:dyDescent="0.3">
      <c r="A1926" t="str">
        <f>""</f>
        <v/>
      </c>
      <c r="F1926" t="str">
        <f>""</f>
        <v/>
      </c>
      <c r="G1926" t="str">
        <f>""</f>
        <v/>
      </c>
      <c r="I1926" t="str">
        <f t="shared" si="29"/>
        <v>GUARDIAN</v>
      </c>
    </row>
    <row r="1927" spans="1:9" x14ac:dyDescent="0.3">
      <c r="A1927" t="str">
        <f>""</f>
        <v/>
      </c>
      <c r="F1927" t="str">
        <f>""</f>
        <v/>
      </c>
      <c r="G1927" t="str">
        <f>""</f>
        <v/>
      </c>
      <c r="I1927" t="str">
        <f t="shared" si="29"/>
        <v>GUARDIAN</v>
      </c>
    </row>
    <row r="1928" spans="1:9" x14ac:dyDescent="0.3">
      <c r="A1928" t="str">
        <f>""</f>
        <v/>
      </c>
      <c r="F1928" t="str">
        <f>""</f>
        <v/>
      </c>
      <c r="G1928" t="str">
        <f>""</f>
        <v/>
      </c>
      <c r="I1928" t="str">
        <f t="shared" si="29"/>
        <v>GUARDIAN</v>
      </c>
    </row>
    <row r="1929" spans="1:9" x14ac:dyDescent="0.3">
      <c r="A1929" t="str">
        <f>""</f>
        <v/>
      </c>
      <c r="F1929" t="str">
        <f>""</f>
        <v/>
      </c>
      <c r="G1929" t="str">
        <f>""</f>
        <v/>
      </c>
      <c r="I1929" t="str">
        <f t="shared" si="29"/>
        <v>GUARDIAN</v>
      </c>
    </row>
    <row r="1930" spans="1:9" x14ac:dyDescent="0.3">
      <c r="A1930" t="str">
        <f>""</f>
        <v/>
      </c>
      <c r="F1930" t="str">
        <f>""</f>
        <v/>
      </c>
      <c r="G1930" t="str">
        <f>""</f>
        <v/>
      </c>
      <c r="I1930" t="str">
        <f t="shared" si="29"/>
        <v>GUARDIAN</v>
      </c>
    </row>
    <row r="1931" spans="1:9" x14ac:dyDescent="0.3">
      <c r="A1931" t="str">
        <f>""</f>
        <v/>
      </c>
      <c r="F1931" t="str">
        <f>""</f>
        <v/>
      </c>
      <c r="G1931" t="str">
        <f>""</f>
        <v/>
      </c>
      <c r="I1931" t="str">
        <f t="shared" si="29"/>
        <v>GUARDIAN</v>
      </c>
    </row>
    <row r="1932" spans="1:9" x14ac:dyDescent="0.3">
      <c r="A1932" t="str">
        <f>""</f>
        <v/>
      </c>
      <c r="F1932" t="str">
        <f>""</f>
        <v/>
      </c>
      <c r="G1932" t="str">
        <f>""</f>
        <v/>
      </c>
      <c r="I1932" t="str">
        <f t="shared" si="29"/>
        <v>GUARDIAN</v>
      </c>
    </row>
    <row r="1933" spans="1:9" x14ac:dyDescent="0.3">
      <c r="A1933" t="str">
        <f>""</f>
        <v/>
      </c>
      <c r="F1933" t="str">
        <f>""</f>
        <v/>
      </c>
      <c r="G1933" t="str">
        <f>""</f>
        <v/>
      </c>
      <c r="I1933" t="str">
        <f t="shared" si="29"/>
        <v>GUARDIAN</v>
      </c>
    </row>
    <row r="1934" spans="1:9" x14ac:dyDescent="0.3">
      <c r="A1934" t="str">
        <f>""</f>
        <v/>
      </c>
      <c r="F1934" t="str">
        <f>""</f>
        <v/>
      </c>
      <c r="G1934" t="str">
        <f>""</f>
        <v/>
      </c>
      <c r="I1934" t="str">
        <f t="shared" si="29"/>
        <v>GUARDIAN</v>
      </c>
    </row>
    <row r="1935" spans="1:9" x14ac:dyDescent="0.3">
      <c r="A1935" t="str">
        <f>""</f>
        <v/>
      </c>
      <c r="F1935" t="str">
        <f>""</f>
        <v/>
      </c>
      <c r="G1935" t="str">
        <f>""</f>
        <v/>
      </c>
      <c r="I1935" t="str">
        <f t="shared" si="29"/>
        <v>GUARDIAN</v>
      </c>
    </row>
    <row r="1936" spans="1:9" x14ac:dyDescent="0.3">
      <c r="A1936" t="str">
        <f>""</f>
        <v/>
      </c>
      <c r="F1936" t="str">
        <f>""</f>
        <v/>
      </c>
      <c r="G1936" t="str">
        <f>""</f>
        <v/>
      </c>
      <c r="I1936" t="str">
        <f t="shared" si="29"/>
        <v>GUARDIAN</v>
      </c>
    </row>
    <row r="1937" spans="1:9" x14ac:dyDescent="0.3">
      <c r="A1937" t="str">
        <f>""</f>
        <v/>
      </c>
      <c r="F1937" t="str">
        <f>""</f>
        <v/>
      </c>
      <c r="G1937" t="str">
        <f>""</f>
        <v/>
      </c>
      <c r="I1937" t="str">
        <f t="shared" si="29"/>
        <v>GUARDIAN</v>
      </c>
    </row>
    <row r="1938" spans="1:9" x14ac:dyDescent="0.3">
      <c r="A1938" t="str">
        <f>""</f>
        <v/>
      </c>
      <c r="F1938" t="str">
        <f>""</f>
        <v/>
      </c>
      <c r="G1938" t="str">
        <f>""</f>
        <v/>
      </c>
      <c r="I1938" t="str">
        <f t="shared" si="29"/>
        <v>GUARDIAN</v>
      </c>
    </row>
    <row r="1939" spans="1:9" x14ac:dyDescent="0.3">
      <c r="A1939" t="str">
        <f>""</f>
        <v/>
      </c>
      <c r="F1939" t="str">
        <f>""</f>
        <v/>
      </c>
      <c r="G1939" t="str">
        <f>""</f>
        <v/>
      </c>
      <c r="I1939" t="str">
        <f t="shared" si="29"/>
        <v>GUARDIAN</v>
      </c>
    </row>
    <row r="1940" spans="1:9" x14ac:dyDescent="0.3">
      <c r="A1940" t="str">
        <f>""</f>
        <v/>
      </c>
      <c r="F1940" t="str">
        <f>""</f>
        <v/>
      </c>
      <c r="G1940" t="str">
        <f>""</f>
        <v/>
      </c>
      <c r="I1940" t="str">
        <f t="shared" si="29"/>
        <v>GUARDIAN</v>
      </c>
    </row>
    <row r="1941" spans="1:9" x14ac:dyDescent="0.3">
      <c r="A1941" t="str">
        <f>""</f>
        <v/>
      </c>
      <c r="F1941" t="str">
        <f>""</f>
        <v/>
      </c>
      <c r="G1941" t="str">
        <f>""</f>
        <v/>
      </c>
      <c r="I1941" t="str">
        <f t="shared" si="29"/>
        <v>GUARDIAN</v>
      </c>
    </row>
    <row r="1942" spans="1:9" x14ac:dyDescent="0.3">
      <c r="A1942" t="str">
        <f>""</f>
        <v/>
      </c>
      <c r="F1942" t="str">
        <f>""</f>
        <v/>
      </c>
      <c r="G1942" t="str">
        <f>""</f>
        <v/>
      </c>
      <c r="I1942" t="str">
        <f t="shared" si="29"/>
        <v>GUARDIAN</v>
      </c>
    </row>
    <row r="1943" spans="1:9" x14ac:dyDescent="0.3">
      <c r="A1943" t="str">
        <f>""</f>
        <v/>
      </c>
      <c r="F1943" t="str">
        <f>""</f>
        <v/>
      </c>
      <c r="G1943" t="str">
        <f>""</f>
        <v/>
      </c>
      <c r="I1943" t="str">
        <f t="shared" si="29"/>
        <v>GUARDIAN</v>
      </c>
    </row>
    <row r="1944" spans="1:9" x14ac:dyDescent="0.3">
      <c r="A1944" t="str">
        <f>""</f>
        <v/>
      </c>
      <c r="F1944" t="str">
        <f>""</f>
        <v/>
      </c>
      <c r="G1944" t="str">
        <f>""</f>
        <v/>
      </c>
      <c r="I1944" t="str">
        <f t="shared" ref="I1944:I1977" si="30">"GUARDIAN"</f>
        <v>GUARDIAN</v>
      </c>
    </row>
    <row r="1945" spans="1:9" x14ac:dyDescent="0.3">
      <c r="A1945" t="str">
        <f>""</f>
        <v/>
      </c>
      <c r="F1945" t="str">
        <f>""</f>
        <v/>
      </c>
      <c r="G1945" t="str">
        <f>""</f>
        <v/>
      </c>
      <c r="I1945" t="str">
        <f t="shared" si="30"/>
        <v>GUARDIAN</v>
      </c>
    </row>
    <row r="1946" spans="1:9" x14ac:dyDescent="0.3">
      <c r="A1946" t="str">
        <f>""</f>
        <v/>
      </c>
      <c r="F1946" t="str">
        <f>""</f>
        <v/>
      </c>
      <c r="G1946" t="str">
        <f>""</f>
        <v/>
      </c>
      <c r="I1946" t="str">
        <f t="shared" si="30"/>
        <v>GUARDIAN</v>
      </c>
    </row>
    <row r="1947" spans="1:9" x14ac:dyDescent="0.3">
      <c r="A1947" t="str">
        <f>""</f>
        <v/>
      </c>
      <c r="F1947" t="str">
        <f>""</f>
        <v/>
      </c>
      <c r="G1947" t="str">
        <f>""</f>
        <v/>
      </c>
      <c r="I1947" t="str">
        <f t="shared" si="30"/>
        <v>GUARDIAN</v>
      </c>
    </row>
    <row r="1948" spans="1:9" x14ac:dyDescent="0.3">
      <c r="A1948" t="str">
        <f>""</f>
        <v/>
      </c>
      <c r="F1948" t="str">
        <f>""</f>
        <v/>
      </c>
      <c r="G1948" t="str">
        <f>""</f>
        <v/>
      </c>
      <c r="I1948" t="str">
        <f t="shared" si="30"/>
        <v>GUARDIAN</v>
      </c>
    </row>
    <row r="1949" spans="1:9" x14ac:dyDescent="0.3">
      <c r="A1949" t="str">
        <f>""</f>
        <v/>
      </c>
      <c r="F1949" t="str">
        <f>""</f>
        <v/>
      </c>
      <c r="G1949" t="str">
        <f>""</f>
        <v/>
      </c>
      <c r="I1949" t="str">
        <f t="shared" si="30"/>
        <v>GUARDIAN</v>
      </c>
    </row>
    <row r="1950" spans="1:9" x14ac:dyDescent="0.3">
      <c r="A1950" t="str">
        <f>""</f>
        <v/>
      </c>
      <c r="F1950" t="str">
        <f>""</f>
        <v/>
      </c>
      <c r="G1950" t="str">
        <f>""</f>
        <v/>
      </c>
      <c r="I1950" t="str">
        <f t="shared" si="30"/>
        <v>GUARDIAN</v>
      </c>
    </row>
    <row r="1951" spans="1:9" x14ac:dyDescent="0.3">
      <c r="A1951" t="str">
        <f>""</f>
        <v/>
      </c>
      <c r="F1951" t="str">
        <f>""</f>
        <v/>
      </c>
      <c r="G1951" t="str">
        <f>""</f>
        <v/>
      </c>
      <c r="I1951" t="str">
        <f t="shared" si="30"/>
        <v>GUARDIAN</v>
      </c>
    </row>
    <row r="1952" spans="1:9" x14ac:dyDescent="0.3">
      <c r="A1952" t="str">
        <f>""</f>
        <v/>
      </c>
      <c r="F1952" t="str">
        <f>""</f>
        <v/>
      </c>
      <c r="G1952" t="str">
        <f>""</f>
        <v/>
      </c>
      <c r="I1952" t="str">
        <f t="shared" si="30"/>
        <v>GUARDIAN</v>
      </c>
    </row>
    <row r="1953" spans="1:9" x14ac:dyDescent="0.3">
      <c r="A1953" t="str">
        <f>""</f>
        <v/>
      </c>
      <c r="F1953" t="str">
        <f>""</f>
        <v/>
      </c>
      <c r="G1953" t="str">
        <f>""</f>
        <v/>
      </c>
      <c r="I1953" t="str">
        <f t="shared" si="30"/>
        <v>GUARDIAN</v>
      </c>
    </row>
    <row r="1954" spans="1:9" x14ac:dyDescent="0.3">
      <c r="A1954" t="str">
        <f>""</f>
        <v/>
      </c>
      <c r="F1954" t="str">
        <f>""</f>
        <v/>
      </c>
      <c r="G1954" t="str">
        <f>""</f>
        <v/>
      </c>
      <c r="I1954" t="str">
        <f t="shared" si="30"/>
        <v>GUARDIAN</v>
      </c>
    </row>
    <row r="1955" spans="1:9" x14ac:dyDescent="0.3">
      <c r="A1955" t="str">
        <f>""</f>
        <v/>
      </c>
      <c r="F1955" t="str">
        <f>""</f>
        <v/>
      </c>
      <c r="G1955" t="str">
        <f>""</f>
        <v/>
      </c>
      <c r="I1955" t="str">
        <f t="shared" si="30"/>
        <v>GUARDIAN</v>
      </c>
    </row>
    <row r="1956" spans="1:9" x14ac:dyDescent="0.3">
      <c r="A1956" t="str">
        <f>""</f>
        <v/>
      </c>
      <c r="F1956" t="str">
        <f>""</f>
        <v/>
      </c>
      <c r="G1956" t="str">
        <f>""</f>
        <v/>
      </c>
      <c r="I1956" t="str">
        <f t="shared" si="30"/>
        <v>GUARDIAN</v>
      </c>
    </row>
    <row r="1957" spans="1:9" x14ac:dyDescent="0.3">
      <c r="A1957" t="str">
        <f>""</f>
        <v/>
      </c>
      <c r="F1957" t="str">
        <f>""</f>
        <v/>
      </c>
      <c r="G1957" t="str">
        <f>""</f>
        <v/>
      </c>
      <c r="I1957" t="str">
        <f t="shared" si="30"/>
        <v>GUARDIAN</v>
      </c>
    </row>
    <row r="1958" spans="1:9" x14ac:dyDescent="0.3">
      <c r="A1958" t="str">
        <f>""</f>
        <v/>
      </c>
      <c r="F1958" t="str">
        <f>""</f>
        <v/>
      </c>
      <c r="G1958" t="str">
        <f>""</f>
        <v/>
      </c>
      <c r="I1958" t="str">
        <f t="shared" si="30"/>
        <v>GUARDIAN</v>
      </c>
    </row>
    <row r="1959" spans="1:9" x14ac:dyDescent="0.3">
      <c r="A1959" t="str">
        <f>""</f>
        <v/>
      </c>
      <c r="F1959" t="str">
        <f>""</f>
        <v/>
      </c>
      <c r="G1959" t="str">
        <f>""</f>
        <v/>
      </c>
      <c r="I1959" t="str">
        <f t="shared" si="30"/>
        <v>GUARDIAN</v>
      </c>
    </row>
    <row r="1960" spans="1:9" x14ac:dyDescent="0.3">
      <c r="A1960" t="str">
        <f>""</f>
        <v/>
      </c>
      <c r="F1960" t="str">
        <f>""</f>
        <v/>
      </c>
      <c r="G1960" t="str">
        <f>""</f>
        <v/>
      </c>
      <c r="I1960" t="str">
        <f t="shared" si="30"/>
        <v>GUARDIAN</v>
      </c>
    </row>
    <row r="1961" spans="1:9" x14ac:dyDescent="0.3">
      <c r="A1961" t="str">
        <f>""</f>
        <v/>
      </c>
      <c r="F1961" t="str">
        <f>""</f>
        <v/>
      </c>
      <c r="G1961" t="str">
        <f>""</f>
        <v/>
      </c>
      <c r="I1961" t="str">
        <f t="shared" si="30"/>
        <v>GUARDIAN</v>
      </c>
    </row>
    <row r="1962" spans="1:9" x14ac:dyDescent="0.3">
      <c r="A1962" t="str">
        <f>""</f>
        <v/>
      </c>
      <c r="F1962" t="str">
        <f>""</f>
        <v/>
      </c>
      <c r="G1962" t="str">
        <f>""</f>
        <v/>
      </c>
      <c r="I1962" t="str">
        <f t="shared" si="30"/>
        <v>GUARDIAN</v>
      </c>
    </row>
    <row r="1963" spans="1:9" x14ac:dyDescent="0.3">
      <c r="A1963" t="str">
        <f>""</f>
        <v/>
      </c>
      <c r="F1963" t="str">
        <f>""</f>
        <v/>
      </c>
      <c r="G1963" t="str">
        <f>""</f>
        <v/>
      </c>
      <c r="I1963" t="str">
        <f t="shared" si="30"/>
        <v>GUARDIAN</v>
      </c>
    </row>
    <row r="1964" spans="1:9" x14ac:dyDescent="0.3">
      <c r="A1964" t="str">
        <f>""</f>
        <v/>
      </c>
      <c r="F1964" t="str">
        <f>""</f>
        <v/>
      </c>
      <c r="G1964" t="str">
        <f>""</f>
        <v/>
      </c>
      <c r="I1964" t="str">
        <f t="shared" si="30"/>
        <v>GUARDIAN</v>
      </c>
    </row>
    <row r="1965" spans="1:9" x14ac:dyDescent="0.3">
      <c r="A1965" t="str">
        <f>""</f>
        <v/>
      </c>
      <c r="F1965" t="str">
        <f>""</f>
        <v/>
      </c>
      <c r="G1965" t="str">
        <f>""</f>
        <v/>
      </c>
      <c r="I1965" t="str">
        <f t="shared" si="30"/>
        <v>GUARDIAN</v>
      </c>
    </row>
    <row r="1966" spans="1:9" x14ac:dyDescent="0.3">
      <c r="A1966" t="str">
        <f>""</f>
        <v/>
      </c>
      <c r="F1966" t="str">
        <f>""</f>
        <v/>
      </c>
      <c r="G1966" t="str">
        <f>""</f>
        <v/>
      </c>
      <c r="I1966" t="str">
        <f t="shared" si="30"/>
        <v>GUARDIAN</v>
      </c>
    </row>
    <row r="1967" spans="1:9" x14ac:dyDescent="0.3">
      <c r="A1967" t="str">
        <f>""</f>
        <v/>
      </c>
      <c r="F1967" t="str">
        <f>""</f>
        <v/>
      </c>
      <c r="G1967" t="str">
        <f>""</f>
        <v/>
      </c>
      <c r="I1967" t="str">
        <f t="shared" si="30"/>
        <v>GUARDIAN</v>
      </c>
    </row>
    <row r="1968" spans="1:9" x14ac:dyDescent="0.3">
      <c r="A1968" t="str">
        <f>""</f>
        <v/>
      </c>
      <c r="F1968" t="str">
        <f>"LIS201803079264"</f>
        <v>LIS201803079264</v>
      </c>
      <c r="G1968" t="str">
        <f t="shared" ref="G1968:G1977" si="31">"GUARDIAN"</f>
        <v>GUARDIAN</v>
      </c>
      <c r="H1968">
        <v>388.74</v>
      </c>
      <c r="I1968" t="str">
        <f t="shared" si="30"/>
        <v>GUARDIAN</v>
      </c>
    </row>
    <row r="1969" spans="1:9" x14ac:dyDescent="0.3">
      <c r="A1969" t="str">
        <f>""</f>
        <v/>
      </c>
      <c r="F1969" t="str">
        <f>"LIS201803079268"</f>
        <v>LIS201803079268</v>
      </c>
      <c r="G1969" t="str">
        <f t="shared" si="31"/>
        <v>GUARDIAN</v>
      </c>
      <c r="H1969">
        <v>36.700000000000003</v>
      </c>
      <c r="I1969" t="str">
        <f t="shared" si="30"/>
        <v>GUARDIAN</v>
      </c>
    </row>
    <row r="1970" spans="1:9" x14ac:dyDescent="0.3">
      <c r="A1970" t="str">
        <f>""</f>
        <v/>
      </c>
      <c r="F1970" t="str">
        <f>"LIS201803219715"</f>
        <v>LIS201803219715</v>
      </c>
      <c r="G1970" t="str">
        <f t="shared" si="31"/>
        <v>GUARDIAN</v>
      </c>
      <c r="H1970">
        <v>36.700000000000003</v>
      </c>
      <c r="I1970" t="str">
        <f t="shared" si="30"/>
        <v>GUARDIAN</v>
      </c>
    </row>
    <row r="1971" spans="1:9" x14ac:dyDescent="0.3">
      <c r="A1971" t="str">
        <f>""</f>
        <v/>
      </c>
      <c r="F1971" t="str">
        <f>"LIS201803219717"</f>
        <v>LIS201803219717</v>
      </c>
      <c r="G1971" t="str">
        <f t="shared" si="31"/>
        <v>GUARDIAN</v>
      </c>
      <c r="H1971">
        <v>388.74</v>
      </c>
      <c r="I1971" t="str">
        <f t="shared" si="30"/>
        <v>GUARDIAN</v>
      </c>
    </row>
    <row r="1972" spans="1:9" x14ac:dyDescent="0.3">
      <c r="A1972" t="str">
        <f>""</f>
        <v/>
      </c>
      <c r="F1972" t="str">
        <f>"LTD201803079264"</f>
        <v>LTD201803079264</v>
      </c>
      <c r="G1972" t="str">
        <f t="shared" si="31"/>
        <v>GUARDIAN</v>
      </c>
      <c r="H1972">
        <v>686.59</v>
      </c>
      <c r="I1972" t="str">
        <f t="shared" si="30"/>
        <v>GUARDIAN</v>
      </c>
    </row>
    <row r="1973" spans="1:9" x14ac:dyDescent="0.3">
      <c r="A1973" t="str">
        <f>""</f>
        <v/>
      </c>
      <c r="F1973" t="str">
        <f>"LTD201803219717"</f>
        <v>LTD201803219717</v>
      </c>
      <c r="G1973" t="str">
        <f t="shared" si="31"/>
        <v>GUARDIAN</v>
      </c>
      <c r="H1973">
        <v>686.59</v>
      </c>
      <c r="I1973" t="str">
        <f t="shared" si="30"/>
        <v>GUARDIAN</v>
      </c>
    </row>
    <row r="1974" spans="1:9" x14ac:dyDescent="0.3">
      <c r="A1974" t="str">
        <f>"GUARDI"</f>
        <v>GUARDI</v>
      </c>
      <c r="B1974" t="s">
        <v>528</v>
      </c>
      <c r="C1974">
        <v>0</v>
      </c>
      <c r="D1974" s="2">
        <v>112.44</v>
      </c>
      <c r="E1974" s="1">
        <v>43185</v>
      </c>
      <c r="F1974" t="str">
        <f>"AEG201803079264"</f>
        <v>AEG201803079264</v>
      </c>
      <c r="G1974" t="str">
        <f t="shared" si="31"/>
        <v>GUARDIAN</v>
      </c>
      <c r="H1974">
        <v>6.66</v>
      </c>
      <c r="I1974" t="str">
        <f t="shared" si="30"/>
        <v>GUARDIAN</v>
      </c>
    </row>
    <row r="1975" spans="1:9" x14ac:dyDescent="0.3">
      <c r="A1975" t="str">
        <f>""</f>
        <v/>
      </c>
      <c r="F1975" t="str">
        <f>"AEG201803219717"</f>
        <v>AEG201803219717</v>
      </c>
      <c r="G1975" t="str">
        <f t="shared" si="31"/>
        <v>GUARDIAN</v>
      </c>
      <c r="H1975">
        <v>6.66</v>
      </c>
      <c r="I1975" t="str">
        <f t="shared" si="30"/>
        <v>GUARDIAN</v>
      </c>
    </row>
    <row r="1976" spans="1:9" x14ac:dyDescent="0.3">
      <c r="A1976" t="str">
        <f>""</f>
        <v/>
      </c>
      <c r="F1976" t="str">
        <f>"AFG201803079264"</f>
        <v>AFG201803079264</v>
      </c>
      <c r="G1976" t="str">
        <f t="shared" si="31"/>
        <v>GUARDIAN</v>
      </c>
      <c r="H1976">
        <v>49.56</v>
      </c>
      <c r="I1976" t="str">
        <f t="shared" si="30"/>
        <v>GUARDIAN</v>
      </c>
    </row>
    <row r="1977" spans="1:9" x14ac:dyDescent="0.3">
      <c r="A1977" t="str">
        <f>""</f>
        <v/>
      </c>
      <c r="F1977" t="str">
        <f>"AFG201803219717"</f>
        <v>AFG201803219717</v>
      </c>
      <c r="G1977" t="str">
        <f t="shared" si="31"/>
        <v>GUARDIAN</v>
      </c>
      <c r="H1977">
        <v>49.56</v>
      </c>
      <c r="I1977" t="str">
        <f t="shared" si="30"/>
        <v>GUARDIAN</v>
      </c>
    </row>
    <row r="1978" spans="1:9" x14ac:dyDescent="0.3">
      <c r="A1978" t="str">
        <f>"IRSACS"</f>
        <v>IRSACS</v>
      </c>
      <c r="B1978" t="s">
        <v>529</v>
      </c>
      <c r="C1978">
        <v>46198</v>
      </c>
      <c r="D1978" s="2">
        <v>238.43</v>
      </c>
      <c r="E1978" s="1">
        <v>43168</v>
      </c>
      <c r="F1978" t="str">
        <f>"IJ2201803079264"</f>
        <v>IJ2201803079264</v>
      </c>
      <c r="G1978" t="str">
        <f>"LISA JACKSON 2 IRS LEVY"</f>
        <v>LISA JACKSON 2 IRS LEVY</v>
      </c>
      <c r="H1978">
        <v>238.43</v>
      </c>
      <c r="I1978" t="str">
        <f>"LISA JACKSON 2 IRS LEVY"</f>
        <v>LISA JACKSON 2 IRS LEVY</v>
      </c>
    </row>
    <row r="1979" spans="1:9" x14ac:dyDescent="0.3">
      <c r="A1979" t="str">
        <f>"IRSACS"</f>
        <v>IRSACS</v>
      </c>
      <c r="B1979" t="s">
        <v>529</v>
      </c>
      <c r="C1979">
        <v>46235</v>
      </c>
      <c r="D1979" s="2">
        <v>238.43</v>
      </c>
      <c r="E1979" s="1">
        <v>43182</v>
      </c>
      <c r="F1979" t="str">
        <f>"IJ2201803219717"</f>
        <v>IJ2201803219717</v>
      </c>
      <c r="G1979" t="str">
        <f>"LISA JACKSON 2 IRS LEVY"</f>
        <v>LISA JACKSON 2 IRS LEVY</v>
      </c>
      <c r="H1979">
        <v>238.43</v>
      </c>
      <c r="I1979" t="str">
        <f>"LISA JACKSON 2 IRS LEVY"</f>
        <v>LISA JACKSON 2 IRS LEVY</v>
      </c>
    </row>
    <row r="1980" spans="1:9" x14ac:dyDescent="0.3">
      <c r="A1980" t="str">
        <f>"IRSPY"</f>
        <v>IRSPY</v>
      </c>
      <c r="B1980" t="s">
        <v>530</v>
      </c>
      <c r="C1980">
        <v>0</v>
      </c>
      <c r="D1980" s="2">
        <v>206758.06</v>
      </c>
      <c r="E1980" s="1">
        <v>43168</v>
      </c>
      <c r="F1980" t="str">
        <f>"T1 201803079264"</f>
        <v>T1 201803079264</v>
      </c>
      <c r="G1980" t="str">
        <f>"FEDERAL WITHHOLDING"</f>
        <v>FEDERAL WITHHOLDING</v>
      </c>
      <c r="H1980">
        <v>65842.12</v>
      </c>
      <c r="I1980" t="str">
        <f>"FEDERAL WITHHOLDING"</f>
        <v>FEDERAL WITHHOLDING</v>
      </c>
    </row>
    <row r="1981" spans="1:9" x14ac:dyDescent="0.3">
      <c r="A1981" t="str">
        <f>""</f>
        <v/>
      </c>
      <c r="F1981" t="str">
        <f>"T1 201803079268"</f>
        <v>T1 201803079268</v>
      </c>
      <c r="G1981" t="str">
        <f>"FEDERAL WITHHOLDING"</f>
        <v>FEDERAL WITHHOLDING</v>
      </c>
      <c r="H1981">
        <v>2771.94</v>
      </c>
      <c r="I1981" t="str">
        <f>"FEDERAL WITHHOLDING"</f>
        <v>FEDERAL WITHHOLDING</v>
      </c>
    </row>
    <row r="1982" spans="1:9" x14ac:dyDescent="0.3">
      <c r="A1982" t="str">
        <f>""</f>
        <v/>
      </c>
      <c r="F1982" t="str">
        <f>"T1 201803079269"</f>
        <v>T1 201803079269</v>
      </c>
      <c r="G1982" t="str">
        <f>"FEDERAL WITHHOLDING"</f>
        <v>FEDERAL WITHHOLDING</v>
      </c>
      <c r="H1982">
        <v>3746.62</v>
      </c>
      <c r="I1982" t="str">
        <f>"FEDERAL WITHHOLDING"</f>
        <v>FEDERAL WITHHOLDING</v>
      </c>
    </row>
    <row r="1983" spans="1:9" x14ac:dyDescent="0.3">
      <c r="A1983" t="str">
        <f>""</f>
        <v/>
      </c>
      <c r="F1983" t="str">
        <f>"T3 201803079264"</f>
        <v>T3 201803079264</v>
      </c>
      <c r="G1983" t="str">
        <f>"SOCIAL SECURITY TAXES"</f>
        <v>SOCIAL SECURITY TAXES</v>
      </c>
      <c r="H1983">
        <v>99288.9</v>
      </c>
      <c r="I1983" t="str">
        <f t="shared" ref="I1983:I2014" si="32">"SOCIAL SECURITY TAXES"</f>
        <v>SOCIAL SECURITY TAXES</v>
      </c>
    </row>
    <row r="1984" spans="1:9" x14ac:dyDescent="0.3">
      <c r="A1984" t="str">
        <f>""</f>
        <v/>
      </c>
      <c r="F1984" t="str">
        <f>""</f>
        <v/>
      </c>
      <c r="G1984" t="str">
        <f>""</f>
        <v/>
      </c>
      <c r="I1984" t="str">
        <f t="shared" si="32"/>
        <v>SOCIAL SECURITY TAXES</v>
      </c>
    </row>
    <row r="1985" spans="1:9" x14ac:dyDescent="0.3">
      <c r="A1985" t="str">
        <f>""</f>
        <v/>
      </c>
      <c r="F1985" t="str">
        <f>""</f>
        <v/>
      </c>
      <c r="G1985" t="str">
        <f>""</f>
        <v/>
      </c>
      <c r="I1985" t="str">
        <f t="shared" si="32"/>
        <v>SOCIAL SECURITY TAXES</v>
      </c>
    </row>
    <row r="1986" spans="1:9" x14ac:dyDescent="0.3">
      <c r="A1986" t="str">
        <f>""</f>
        <v/>
      </c>
      <c r="F1986" t="str">
        <f>""</f>
        <v/>
      </c>
      <c r="G1986" t="str">
        <f>""</f>
        <v/>
      </c>
      <c r="I1986" t="str">
        <f t="shared" si="32"/>
        <v>SOCIAL SECURITY TAXES</v>
      </c>
    </row>
    <row r="1987" spans="1:9" x14ac:dyDescent="0.3">
      <c r="A1987" t="str">
        <f>""</f>
        <v/>
      </c>
      <c r="F1987" t="str">
        <f>""</f>
        <v/>
      </c>
      <c r="G1987" t="str">
        <f>""</f>
        <v/>
      </c>
      <c r="I1987" t="str">
        <f t="shared" si="32"/>
        <v>SOCIAL SECURITY TAXES</v>
      </c>
    </row>
    <row r="1988" spans="1:9" x14ac:dyDescent="0.3">
      <c r="A1988" t="str">
        <f>""</f>
        <v/>
      </c>
      <c r="F1988" t="str">
        <f>""</f>
        <v/>
      </c>
      <c r="G1988" t="str">
        <f>""</f>
        <v/>
      </c>
      <c r="I1988" t="str">
        <f t="shared" si="32"/>
        <v>SOCIAL SECURITY TAXES</v>
      </c>
    </row>
    <row r="1989" spans="1:9" x14ac:dyDescent="0.3">
      <c r="A1989" t="str">
        <f>""</f>
        <v/>
      </c>
      <c r="F1989" t="str">
        <f>""</f>
        <v/>
      </c>
      <c r="G1989" t="str">
        <f>""</f>
        <v/>
      </c>
      <c r="I1989" t="str">
        <f t="shared" si="32"/>
        <v>SOCIAL SECURITY TAXES</v>
      </c>
    </row>
    <row r="1990" spans="1:9" x14ac:dyDescent="0.3">
      <c r="A1990" t="str">
        <f>""</f>
        <v/>
      </c>
      <c r="F1990" t="str">
        <f>""</f>
        <v/>
      </c>
      <c r="G1990" t="str">
        <f>""</f>
        <v/>
      </c>
      <c r="I1990" t="str">
        <f t="shared" si="32"/>
        <v>SOCIAL SECURITY TAXES</v>
      </c>
    </row>
    <row r="1991" spans="1:9" x14ac:dyDescent="0.3">
      <c r="A1991" t="str">
        <f>""</f>
        <v/>
      </c>
      <c r="F1991" t="str">
        <f>""</f>
        <v/>
      </c>
      <c r="G1991" t="str">
        <f>""</f>
        <v/>
      </c>
      <c r="I1991" t="str">
        <f t="shared" si="32"/>
        <v>SOCIAL SECURITY TAXES</v>
      </c>
    </row>
    <row r="1992" spans="1:9" x14ac:dyDescent="0.3">
      <c r="A1992" t="str">
        <f>""</f>
        <v/>
      </c>
      <c r="F1992" t="str">
        <f>""</f>
        <v/>
      </c>
      <c r="G1992" t="str">
        <f>""</f>
        <v/>
      </c>
      <c r="I1992" t="str">
        <f t="shared" si="32"/>
        <v>SOCIAL SECURITY TAXES</v>
      </c>
    </row>
    <row r="1993" spans="1:9" x14ac:dyDescent="0.3">
      <c r="A1993" t="str">
        <f>""</f>
        <v/>
      </c>
      <c r="F1993" t="str">
        <f>""</f>
        <v/>
      </c>
      <c r="G1993" t="str">
        <f>""</f>
        <v/>
      </c>
      <c r="I1993" t="str">
        <f t="shared" si="32"/>
        <v>SOCIAL SECURITY TAXES</v>
      </c>
    </row>
    <row r="1994" spans="1:9" x14ac:dyDescent="0.3">
      <c r="A1994" t="str">
        <f>""</f>
        <v/>
      </c>
      <c r="F1994" t="str">
        <f>""</f>
        <v/>
      </c>
      <c r="G1994" t="str">
        <f>""</f>
        <v/>
      </c>
      <c r="I1994" t="str">
        <f t="shared" si="32"/>
        <v>SOCIAL SECURITY TAXES</v>
      </c>
    </row>
    <row r="1995" spans="1:9" x14ac:dyDescent="0.3">
      <c r="A1995" t="str">
        <f>""</f>
        <v/>
      </c>
      <c r="F1995" t="str">
        <f>""</f>
        <v/>
      </c>
      <c r="G1995" t="str">
        <f>""</f>
        <v/>
      </c>
      <c r="I1995" t="str">
        <f t="shared" si="32"/>
        <v>SOCIAL SECURITY TAXES</v>
      </c>
    </row>
    <row r="1996" spans="1:9" x14ac:dyDescent="0.3">
      <c r="A1996" t="str">
        <f>""</f>
        <v/>
      </c>
      <c r="F1996" t="str">
        <f>""</f>
        <v/>
      </c>
      <c r="G1996" t="str">
        <f>""</f>
        <v/>
      </c>
      <c r="I1996" t="str">
        <f t="shared" si="32"/>
        <v>SOCIAL SECURITY TAXES</v>
      </c>
    </row>
    <row r="1997" spans="1:9" x14ac:dyDescent="0.3">
      <c r="A1997" t="str">
        <f>""</f>
        <v/>
      </c>
      <c r="F1997" t="str">
        <f>""</f>
        <v/>
      </c>
      <c r="G1997" t="str">
        <f>""</f>
        <v/>
      </c>
      <c r="I1997" t="str">
        <f t="shared" si="32"/>
        <v>SOCIAL SECURITY TAXES</v>
      </c>
    </row>
    <row r="1998" spans="1:9" x14ac:dyDescent="0.3">
      <c r="A1998" t="str">
        <f>""</f>
        <v/>
      </c>
      <c r="F1998" t="str">
        <f>""</f>
        <v/>
      </c>
      <c r="G1998" t="str">
        <f>""</f>
        <v/>
      </c>
      <c r="I1998" t="str">
        <f t="shared" si="32"/>
        <v>SOCIAL SECURITY TAXES</v>
      </c>
    </row>
    <row r="1999" spans="1:9" x14ac:dyDescent="0.3">
      <c r="A1999" t="str">
        <f>""</f>
        <v/>
      </c>
      <c r="F1999" t="str">
        <f>""</f>
        <v/>
      </c>
      <c r="G1999" t="str">
        <f>""</f>
        <v/>
      </c>
      <c r="I1999" t="str">
        <f t="shared" si="32"/>
        <v>SOCIAL SECURITY TAXES</v>
      </c>
    </row>
    <row r="2000" spans="1:9" x14ac:dyDescent="0.3">
      <c r="A2000" t="str">
        <f>""</f>
        <v/>
      </c>
      <c r="F2000" t="str">
        <f>""</f>
        <v/>
      </c>
      <c r="G2000" t="str">
        <f>""</f>
        <v/>
      </c>
      <c r="I2000" t="str">
        <f t="shared" si="32"/>
        <v>SOCIAL SECURITY TAXES</v>
      </c>
    </row>
    <row r="2001" spans="1:9" x14ac:dyDescent="0.3">
      <c r="A2001" t="str">
        <f>""</f>
        <v/>
      </c>
      <c r="F2001" t="str">
        <f>""</f>
        <v/>
      </c>
      <c r="G2001" t="str">
        <f>""</f>
        <v/>
      </c>
      <c r="I2001" t="str">
        <f t="shared" si="32"/>
        <v>SOCIAL SECURITY TAXES</v>
      </c>
    </row>
    <row r="2002" spans="1:9" x14ac:dyDescent="0.3">
      <c r="A2002" t="str">
        <f>""</f>
        <v/>
      </c>
      <c r="F2002" t="str">
        <f>""</f>
        <v/>
      </c>
      <c r="G2002" t="str">
        <f>""</f>
        <v/>
      </c>
      <c r="I2002" t="str">
        <f t="shared" si="32"/>
        <v>SOCIAL SECURITY TAXES</v>
      </c>
    </row>
    <row r="2003" spans="1:9" x14ac:dyDescent="0.3">
      <c r="A2003" t="str">
        <f>""</f>
        <v/>
      </c>
      <c r="F2003" t="str">
        <f>""</f>
        <v/>
      </c>
      <c r="G2003" t="str">
        <f>""</f>
        <v/>
      </c>
      <c r="I2003" t="str">
        <f t="shared" si="32"/>
        <v>SOCIAL SECURITY TAXES</v>
      </c>
    </row>
    <row r="2004" spans="1:9" x14ac:dyDescent="0.3">
      <c r="A2004" t="str">
        <f>""</f>
        <v/>
      </c>
      <c r="F2004" t="str">
        <f>""</f>
        <v/>
      </c>
      <c r="G2004" t="str">
        <f>""</f>
        <v/>
      </c>
      <c r="I2004" t="str">
        <f t="shared" si="32"/>
        <v>SOCIAL SECURITY TAXES</v>
      </c>
    </row>
    <row r="2005" spans="1:9" x14ac:dyDescent="0.3">
      <c r="A2005" t="str">
        <f>""</f>
        <v/>
      </c>
      <c r="F2005" t="str">
        <f>""</f>
        <v/>
      </c>
      <c r="G2005" t="str">
        <f>""</f>
        <v/>
      </c>
      <c r="I2005" t="str">
        <f t="shared" si="32"/>
        <v>SOCIAL SECURITY TAXES</v>
      </c>
    </row>
    <row r="2006" spans="1:9" x14ac:dyDescent="0.3">
      <c r="A2006" t="str">
        <f>""</f>
        <v/>
      </c>
      <c r="F2006" t="str">
        <f>""</f>
        <v/>
      </c>
      <c r="G2006" t="str">
        <f>""</f>
        <v/>
      </c>
      <c r="I2006" t="str">
        <f t="shared" si="32"/>
        <v>SOCIAL SECURITY TAXES</v>
      </c>
    </row>
    <row r="2007" spans="1:9" x14ac:dyDescent="0.3">
      <c r="A2007" t="str">
        <f>""</f>
        <v/>
      </c>
      <c r="F2007" t="str">
        <f>""</f>
        <v/>
      </c>
      <c r="G2007" t="str">
        <f>""</f>
        <v/>
      </c>
      <c r="I2007" t="str">
        <f t="shared" si="32"/>
        <v>SOCIAL SECURITY TAXES</v>
      </c>
    </row>
    <row r="2008" spans="1:9" x14ac:dyDescent="0.3">
      <c r="A2008" t="str">
        <f>""</f>
        <v/>
      </c>
      <c r="F2008" t="str">
        <f>""</f>
        <v/>
      </c>
      <c r="G2008" t="str">
        <f>""</f>
        <v/>
      </c>
      <c r="I2008" t="str">
        <f t="shared" si="32"/>
        <v>SOCIAL SECURITY TAXES</v>
      </c>
    </row>
    <row r="2009" spans="1:9" x14ac:dyDescent="0.3">
      <c r="A2009" t="str">
        <f>""</f>
        <v/>
      </c>
      <c r="F2009" t="str">
        <f>""</f>
        <v/>
      </c>
      <c r="G2009" t="str">
        <f>""</f>
        <v/>
      </c>
      <c r="I2009" t="str">
        <f t="shared" si="32"/>
        <v>SOCIAL SECURITY TAXES</v>
      </c>
    </row>
    <row r="2010" spans="1:9" x14ac:dyDescent="0.3">
      <c r="A2010" t="str">
        <f>""</f>
        <v/>
      </c>
      <c r="F2010" t="str">
        <f>""</f>
        <v/>
      </c>
      <c r="G2010" t="str">
        <f>""</f>
        <v/>
      </c>
      <c r="I2010" t="str">
        <f t="shared" si="32"/>
        <v>SOCIAL SECURITY TAXES</v>
      </c>
    </row>
    <row r="2011" spans="1:9" x14ac:dyDescent="0.3">
      <c r="A2011" t="str">
        <f>""</f>
        <v/>
      </c>
      <c r="F2011" t="str">
        <f>""</f>
        <v/>
      </c>
      <c r="G2011" t="str">
        <f>""</f>
        <v/>
      </c>
      <c r="I2011" t="str">
        <f t="shared" si="32"/>
        <v>SOCIAL SECURITY TAXES</v>
      </c>
    </row>
    <row r="2012" spans="1:9" x14ac:dyDescent="0.3">
      <c r="A2012" t="str">
        <f>""</f>
        <v/>
      </c>
      <c r="F2012" t="str">
        <f>""</f>
        <v/>
      </c>
      <c r="G2012" t="str">
        <f>""</f>
        <v/>
      </c>
      <c r="I2012" t="str">
        <f t="shared" si="32"/>
        <v>SOCIAL SECURITY TAXES</v>
      </c>
    </row>
    <row r="2013" spans="1:9" x14ac:dyDescent="0.3">
      <c r="A2013" t="str">
        <f>""</f>
        <v/>
      </c>
      <c r="F2013" t="str">
        <f>""</f>
        <v/>
      </c>
      <c r="G2013" t="str">
        <f>""</f>
        <v/>
      </c>
      <c r="I2013" t="str">
        <f t="shared" si="32"/>
        <v>SOCIAL SECURITY TAXES</v>
      </c>
    </row>
    <row r="2014" spans="1:9" x14ac:dyDescent="0.3">
      <c r="A2014" t="str">
        <f>""</f>
        <v/>
      </c>
      <c r="F2014" t="str">
        <f>""</f>
        <v/>
      </c>
      <c r="G2014" t="str">
        <f>""</f>
        <v/>
      </c>
      <c r="I2014" t="str">
        <f t="shared" si="32"/>
        <v>SOCIAL SECURITY TAXES</v>
      </c>
    </row>
    <row r="2015" spans="1:9" x14ac:dyDescent="0.3">
      <c r="A2015" t="str">
        <f>""</f>
        <v/>
      </c>
      <c r="F2015" t="str">
        <f>""</f>
        <v/>
      </c>
      <c r="G2015" t="str">
        <f>""</f>
        <v/>
      </c>
      <c r="I2015" t="str">
        <f t="shared" ref="I2015:I2038" si="33">"SOCIAL SECURITY TAXES"</f>
        <v>SOCIAL SECURITY TAXES</v>
      </c>
    </row>
    <row r="2016" spans="1:9" x14ac:dyDescent="0.3">
      <c r="A2016" t="str">
        <f>""</f>
        <v/>
      </c>
      <c r="F2016" t="str">
        <f>""</f>
        <v/>
      </c>
      <c r="G2016" t="str">
        <f>""</f>
        <v/>
      </c>
      <c r="I2016" t="str">
        <f t="shared" si="33"/>
        <v>SOCIAL SECURITY TAXES</v>
      </c>
    </row>
    <row r="2017" spans="1:9" x14ac:dyDescent="0.3">
      <c r="A2017" t="str">
        <f>""</f>
        <v/>
      </c>
      <c r="F2017" t="str">
        <f>""</f>
        <v/>
      </c>
      <c r="G2017" t="str">
        <f>""</f>
        <v/>
      </c>
      <c r="I2017" t="str">
        <f t="shared" si="33"/>
        <v>SOCIAL SECURITY TAXES</v>
      </c>
    </row>
    <row r="2018" spans="1:9" x14ac:dyDescent="0.3">
      <c r="A2018" t="str">
        <f>""</f>
        <v/>
      </c>
      <c r="F2018" t="str">
        <f>""</f>
        <v/>
      </c>
      <c r="G2018" t="str">
        <f>""</f>
        <v/>
      </c>
      <c r="I2018" t="str">
        <f t="shared" si="33"/>
        <v>SOCIAL SECURITY TAXES</v>
      </c>
    </row>
    <row r="2019" spans="1:9" x14ac:dyDescent="0.3">
      <c r="A2019" t="str">
        <f>""</f>
        <v/>
      </c>
      <c r="F2019" t="str">
        <f>""</f>
        <v/>
      </c>
      <c r="G2019" t="str">
        <f>""</f>
        <v/>
      </c>
      <c r="I2019" t="str">
        <f t="shared" si="33"/>
        <v>SOCIAL SECURITY TAXES</v>
      </c>
    </row>
    <row r="2020" spans="1:9" x14ac:dyDescent="0.3">
      <c r="A2020" t="str">
        <f>""</f>
        <v/>
      </c>
      <c r="F2020" t="str">
        <f>""</f>
        <v/>
      </c>
      <c r="G2020" t="str">
        <f>""</f>
        <v/>
      </c>
      <c r="I2020" t="str">
        <f t="shared" si="33"/>
        <v>SOCIAL SECURITY TAXES</v>
      </c>
    </row>
    <row r="2021" spans="1:9" x14ac:dyDescent="0.3">
      <c r="A2021" t="str">
        <f>""</f>
        <v/>
      </c>
      <c r="F2021" t="str">
        <f>""</f>
        <v/>
      </c>
      <c r="G2021" t="str">
        <f>""</f>
        <v/>
      </c>
      <c r="I2021" t="str">
        <f t="shared" si="33"/>
        <v>SOCIAL SECURITY TAXES</v>
      </c>
    </row>
    <row r="2022" spans="1:9" x14ac:dyDescent="0.3">
      <c r="A2022" t="str">
        <f>""</f>
        <v/>
      </c>
      <c r="F2022" t="str">
        <f>""</f>
        <v/>
      </c>
      <c r="G2022" t="str">
        <f>""</f>
        <v/>
      </c>
      <c r="I2022" t="str">
        <f t="shared" si="33"/>
        <v>SOCIAL SECURITY TAXES</v>
      </c>
    </row>
    <row r="2023" spans="1:9" x14ac:dyDescent="0.3">
      <c r="A2023" t="str">
        <f>""</f>
        <v/>
      </c>
      <c r="F2023" t="str">
        <f>""</f>
        <v/>
      </c>
      <c r="G2023" t="str">
        <f>""</f>
        <v/>
      </c>
      <c r="I2023" t="str">
        <f t="shared" si="33"/>
        <v>SOCIAL SECURITY TAXES</v>
      </c>
    </row>
    <row r="2024" spans="1:9" x14ac:dyDescent="0.3">
      <c r="A2024" t="str">
        <f>""</f>
        <v/>
      </c>
      <c r="F2024" t="str">
        <f>""</f>
        <v/>
      </c>
      <c r="G2024" t="str">
        <f>""</f>
        <v/>
      </c>
      <c r="I2024" t="str">
        <f t="shared" si="33"/>
        <v>SOCIAL SECURITY TAXES</v>
      </c>
    </row>
    <row r="2025" spans="1:9" x14ac:dyDescent="0.3">
      <c r="A2025" t="str">
        <f>""</f>
        <v/>
      </c>
      <c r="F2025" t="str">
        <f>""</f>
        <v/>
      </c>
      <c r="G2025" t="str">
        <f>""</f>
        <v/>
      </c>
      <c r="I2025" t="str">
        <f t="shared" si="33"/>
        <v>SOCIAL SECURITY TAXES</v>
      </c>
    </row>
    <row r="2026" spans="1:9" x14ac:dyDescent="0.3">
      <c r="A2026" t="str">
        <f>""</f>
        <v/>
      </c>
      <c r="F2026" t="str">
        <f>""</f>
        <v/>
      </c>
      <c r="G2026" t="str">
        <f>""</f>
        <v/>
      </c>
      <c r="I2026" t="str">
        <f t="shared" si="33"/>
        <v>SOCIAL SECURITY TAXES</v>
      </c>
    </row>
    <row r="2027" spans="1:9" x14ac:dyDescent="0.3">
      <c r="A2027" t="str">
        <f>""</f>
        <v/>
      </c>
      <c r="F2027" t="str">
        <f>""</f>
        <v/>
      </c>
      <c r="G2027" t="str">
        <f>""</f>
        <v/>
      </c>
      <c r="I2027" t="str">
        <f t="shared" si="33"/>
        <v>SOCIAL SECURITY TAXES</v>
      </c>
    </row>
    <row r="2028" spans="1:9" x14ac:dyDescent="0.3">
      <c r="A2028" t="str">
        <f>""</f>
        <v/>
      </c>
      <c r="F2028" t="str">
        <f>""</f>
        <v/>
      </c>
      <c r="G2028" t="str">
        <f>""</f>
        <v/>
      </c>
      <c r="I2028" t="str">
        <f t="shared" si="33"/>
        <v>SOCIAL SECURITY TAXES</v>
      </c>
    </row>
    <row r="2029" spans="1:9" x14ac:dyDescent="0.3">
      <c r="A2029" t="str">
        <f>""</f>
        <v/>
      </c>
      <c r="F2029" t="str">
        <f>""</f>
        <v/>
      </c>
      <c r="G2029" t="str">
        <f>""</f>
        <v/>
      </c>
      <c r="I2029" t="str">
        <f t="shared" si="33"/>
        <v>SOCIAL SECURITY TAXES</v>
      </c>
    </row>
    <row r="2030" spans="1:9" x14ac:dyDescent="0.3">
      <c r="A2030" t="str">
        <f>""</f>
        <v/>
      </c>
      <c r="F2030" t="str">
        <f>""</f>
        <v/>
      </c>
      <c r="G2030" t="str">
        <f>""</f>
        <v/>
      </c>
      <c r="I2030" t="str">
        <f t="shared" si="33"/>
        <v>SOCIAL SECURITY TAXES</v>
      </c>
    </row>
    <row r="2031" spans="1:9" x14ac:dyDescent="0.3">
      <c r="A2031" t="str">
        <f>""</f>
        <v/>
      </c>
      <c r="F2031" t="str">
        <f>""</f>
        <v/>
      </c>
      <c r="G2031" t="str">
        <f>""</f>
        <v/>
      </c>
      <c r="I2031" t="str">
        <f t="shared" si="33"/>
        <v>SOCIAL SECURITY TAXES</v>
      </c>
    </row>
    <row r="2032" spans="1:9" x14ac:dyDescent="0.3">
      <c r="A2032" t="str">
        <f>""</f>
        <v/>
      </c>
      <c r="F2032" t="str">
        <f>""</f>
        <v/>
      </c>
      <c r="G2032" t="str">
        <f>""</f>
        <v/>
      </c>
      <c r="I2032" t="str">
        <f t="shared" si="33"/>
        <v>SOCIAL SECURITY TAXES</v>
      </c>
    </row>
    <row r="2033" spans="1:9" x14ac:dyDescent="0.3">
      <c r="A2033" t="str">
        <f>""</f>
        <v/>
      </c>
      <c r="F2033" t="str">
        <f>""</f>
        <v/>
      </c>
      <c r="G2033" t="str">
        <f>""</f>
        <v/>
      </c>
      <c r="I2033" t="str">
        <f t="shared" si="33"/>
        <v>SOCIAL SECURITY TAXES</v>
      </c>
    </row>
    <row r="2034" spans="1:9" x14ac:dyDescent="0.3">
      <c r="A2034" t="str">
        <f>""</f>
        <v/>
      </c>
      <c r="F2034" t="str">
        <f>""</f>
        <v/>
      </c>
      <c r="G2034" t="str">
        <f>""</f>
        <v/>
      </c>
      <c r="I2034" t="str">
        <f t="shared" si="33"/>
        <v>SOCIAL SECURITY TAXES</v>
      </c>
    </row>
    <row r="2035" spans="1:9" x14ac:dyDescent="0.3">
      <c r="A2035" t="str">
        <f>""</f>
        <v/>
      </c>
      <c r="F2035" t="str">
        <f>"T3 201803079268"</f>
        <v>T3 201803079268</v>
      </c>
      <c r="G2035" t="str">
        <f>"SOCIAL SECURITY TAXES"</f>
        <v>SOCIAL SECURITY TAXES</v>
      </c>
      <c r="H2035">
        <v>3945.94</v>
      </c>
      <c r="I2035" t="str">
        <f t="shared" si="33"/>
        <v>SOCIAL SECURITY TAXES</v>
      </c>
    </row>
    <row r="2036" spans="1:9" x14ac:dyDescent="0.3">
      <c r="A2036" t="str">
        <f>""</f>
        <v/>
      </c>
      <c r="F2036" t="str">
        <f>""</f>
        <v/>
      </c>
      <c r="G2036" t="str">
        <f>""</f>
        <v/>
      </c>
      <c r="I2036" t="str">
        <f t="shared" si="33"/>
        <v>SOCIAL SECURITY TAXES</v>
      </c>
    </row>
    <row r="2037" spans="1:9" x14ac:dyDescent="0.3">
      <c r="A2037" t="str">
        <f>""</f>
        <v/>
      </c>
      <c r="F2037" t="str">
        <f>"T3 201803079269"</f>
        <v>T3 201803079269</v>
      </c>
      <c r="G2037" t="str">
        <f>"SOCIAL SECURITY TAXES"</f>
        <v>SOCIAL SECURITY TAXES</v>
      </c>
      <c r="H2037">
        <v>5688.64</v>
      </c>
      <c r="I2037" t="str">
        <f t="shared" si="33"/>
        <v>SOCIAL SECURITY TAXES</v>
      </c>
    </row>
    <row r="2038" spans="1:9" x14ac:dyDescent="0.3">
      <c r="A2038" t="str">
        <f>""</f>
        <v/>
      </c>
      <c r="F2038" t="str">
        <f>""</f>
        <v/>
      </c>
      <c r="G2038" t="str">
        <f>""</f>
        <v/>
      </c>
      <c r="I2038" t="str">
        <f t="shared" si="33"/>
        <v>SOCIAL SECURITY TAXES</v>
      </c>
    </row>
    <row r="2039" spans="1:9" x14ac:dyDescent="0.3">
      <c r="A2039" t="str">
        <f>""</f>
        <v/>
      </c>
      <c r="F2039" t="str">
        <f>"T4 201803079264"</f>
        <v>T4 201803079264</v>
      </c>
      <c r="G2039" t="str">
        <f>"MEDICARE TAXES"</f>
        <v>MEDICARE TAXES</v>
      </c>
      <c r="H2039">
        <v>23220.62</v>
      </c>
      <c r="I2039" t="str">
        <f t="shared" ref="I2039:I2070" si="34">"MEDICARE TAXES"</f>
        <v>MEDICARE TAXES</v>
      </c>
    </row>
    <row r="2040" spans="1:9" x14ac:dyDescent="0.3">
      <c r="A2040" t="str">
        <f>""</f>
        <v/>
      </c>
      <c r="F2040" t="str">
        <f>""</f>
        <v/>
      </c>
      <c r="G2040" t="str">
        <f>""</f>
        <v/>
      </c>
      <c r="I2040" t="str">
        <f t="shared" si="34"/>
        <v>MEDICARE TAXES</v>
      </c>
    </row>
    <row r="2041" spans="1:9" x14ac:dyDescent="0.3">
      <c r="A2041" t="str">
        <f>""</f>
        <v/>
      </c>
      <c r="F2041" t="str">
        <f>""</f>
        <v/>
      </c>
      <c r="G2041" t="str">
        <f>""</f>
        <v/>
      </c>
      <c r="I2041" t="str">
        <f t="shared" si="34"/>
        <v>MEDICARE TAXES</v>
      </c>
    </row>
    <row r="2042" spans="1:9" x14ac:dyDescent="0.3">
      <c r="A2042" t="str">
        <f>""</f>
        <v/>
      </c>
      <c r="F2042" t="str">
        <f>""</f>
        <v/>
      </c>
      <c r="G2042" t="str">
        <f>""</f>
        <v/>
      </c>
      <c r="I2042" t="str">
        <f t="shared" si="34"/>
        <v>MEDICARE TAXES</v>
      </c>
    </row>
    <row r="2043" spans="1:9" x14ac:dyDescent="0.3">
      <c r="A2043" t="str">
        <f>""</f>
        <v/>
      </c>
      <c r="F2043" t="str">
        <f>""</f>
        <v/>
      </c>
      <c r="G2043" t="str">
        <f>""</f>
        <v/>
      </c>
      <c r="I2043" t="str">
        <f t="shared" si="34"/>
        <v>MEDICARE TAXES</v>
      </c>
    </row>
    <row r="2044" spans="1:9" x14ac:dyDescent="0.3">
      <c r="A2044" t="str">
        <f>""</f>
        <v/>
      </c>
      <c r="F2044" t="str">
        <f>""</f>
        <v/>
      </c>
      <c r="G2044" t="str">
        <f>""</f>
        <v/>
      </c>
      <c r="I2044" t="str">
        <f t="shared" si="34"/>
        <v>MEDICARE TAXES</v>
      </c>
    </row>
    <row r="2045" spans="1:9" x14ac:dyDescent="0.3">
      <c r="A2045" t="str">
        <f>""</f>
        <v/>
      </c>
      <c r="F2045" t="str">
        <f>""</f>
        <v/>
      </c>
      <c r="G2045" t="str">
        <f>""</f>
        <v/>
      </c>
      <c r="I2045" t="str">
        <f t="shared" si="34"/>
        <v>MEDICARE TAXES</v>
      </c>
    </row>
    <row r="2046" spans="1:9" x14ac:dyDescent="0.3">
      <c r="A2046" t="str">
        <f>""</f>
        <v/>
      </c>
      <c r="F2046" t="str">
        <f>""</f>
        <v/>
      </c>
      <c r="G2046" t="str">
        <f>""</f>
        <v/>
      </c>
      <c r="I2046" t="str">
        <f t="shared" si="34"/>
        <v>MEDICARE TAXES</v>
      </c>
    </row>
    <row r="2047" spans="1:9" x14ac:dyDescent="0.3">
      <c r="A2047" t="str">
        <f>""</f>
        <v/>
      </c>
      <c r="F2047" t="str">
        <f>""</f>
        <v/>
      </c>
      <c r="G2047" t="str">
        <f>""</f>
        <v/>
      </c>
      <c r="I2047" t="str">
        <f t="shared" si="34"/>
        <v>MEDICARE TAXES</v>
      </c>
    </row>
    <row r="2048" spans="1:9" x14ac:dyDescent="0.3">
      <c r="A2048" t="str">
        <f>""</f>
        <v/>
      </c>
      <c r="F2048" t="str">
        <f>""</f>
        <v/>
      </c>
      <c r="G2048" t="str">
        <f>""</f>
        <v/>
      </c>
      <c r="I2048" t="str">
        <f t="shared" si="34"/>
        <v>MEDICARE TAXES</v>
      </c>
    </row>
    <row r="2049" spans="1:9" x14ac:dyDescent="0.3">
      <c r="A2049" t="str">
        <f>""</f>
        <v/>
      </c>
      <c r="F2049" t="str">
        <f>""</f>
        <v/>
      </c>
      <c r="G2049" t="str">
        <f>""</f>
        <v/>
      </c>
      <c r="I2049" t="str">
        <f t="shared" si="34"/>
        <v>MEDICARE TAXES</v>
      </c>
    </row>
    <row r="2050" spans="1:9" x14ac:dyDescent="0.3">
      <c r="A2050" t="str">
        <f>""</f>
        <v/>
      </c>
      <c r="F2050" t="str">
        <f>""</f>
        <v/>
      </c>
      <c r="G2050" t="str">
        <f>""</f>
        <v/>
      </c>
      <c r="I2050" t="str">
        <f t="shared" si="34"/>
        <v>MEDICARE TAXES</v>
      </c>
    </row>
    <row r="2051" spans="1:9" x14ac:dyDescent="0.3">
      <c r="A2051" t="str">
        <f>""</f>
        <v/>
      </c>
      <c r="F2051" t="str">
        <f>""</f>
        <v/>
      </c>
      <c r="G2051" t="str">
        <f>""</f>
        <v/>
      </c>
      <c r="I2051" t="str">
        <f t="shared" si="34"/>
        <v>MEDICARE TAXES</v>
      </c>
    </row>
    <row r="2052" spans="1:9" x14ac:dyDescent="0.3">
      <c r="A2052" t="str">
        <f>""</f>
        <v/>
      </c>
      <c r="F2052" t="str">
        <f>""</f>
        <v/>
      </c>
      <c r="G2052" t="str">
        <f>""</f>
        <v/>
      </c>
      <c r="I2052" t="str">
        <f t="shared" si="34"/>
        <v>MEDICARE TAXES</v>
      </c>
    </row>
    <row r="2053" spans="1:9" x14ac:dyDescent="0.3">
      <c r="A2053" t="str">
        <f>""</f>
        <v/>
      </c>
      <c r="F2053" t="str">
        <f>""</f>
        <v/>
      </c>
      <c r="G2053" t="str">
        <f>""</f>
        <v/>
      </c>
      <c r="I2053" t="str">
        <f t="shared" si="34"/>
        <v>MEDICARE TAXES</v>
      </c>
    </row>
    <row r="2054" spans="1:9" x14ac:dyDescent="0.3">
      <c r="A2054" t="str">
        <f>""</f>
        <v/>
      </c>
      <c r="F2054" t="str">
        <f>""</f>
        <v/>
      </c>
      <c r="G2054" t="str">
        <f>""</f>
        <v/>
      </c>
      <c r="I2054" t="str">
        <f t="shared" si="34"/>
        <v>MEDICARE TAXES</v>
      </c>
    </row>
    <row r="2055" spans="1:9" x14ac:dyDescent="0.3">
      <c r="A2055" t="str">
        <f>""</f>
        <v/>
      </c>
      <c r="F2055" t="str">
        <f>""</f>
        <v/>
      </c>
      <c r="G2055" t="str">
        <f>""</f>
        <v/>
      </c>
      <c r="I2055" t="str">
        <f t="shared" si="34"/>
        <v>MEDICARE TAXES</v>
      </c>
    </row>
    <row r="2056" spans="1:9" x14ac:dyDescent="0.3">
      <c r="A2056" t="str">
        <f>""</f>
        <v/>
      </c>
      <c r="F2056" t="str">
        <f>""</f>
        <v/>
      </c>
      <c r="G2056" t="str">
        <f>""</f>
        <v/>
      </c>
      <c r="I2056" t="str">
        <f t="shared" si="34"/>
        <v>MEDICARE TAXES</v>
      </c>
    </row>
    <row r="2057" spans="1:9" x14ac:dyDescent="0.3">
      <c r="A2057" t="str">
        <f>""</f>
        <v/>
      </c>
      <c r="F2057" t="str">
        <f>""</f>
        <v/>
      </c>
      <c r="G2057" t="str">
        <f>""</f>
        <v/>
      </c>
      <c r="I2057" t="str">
        <f t="shared" si="34"/>
        <v>MEDICARE TAXES</v>
      </c>
    </row>
    <row r="2058" spans="1:9" x14ac:dyDescent="0.3">
      <c r="A2058" t="str">
        <f>""</f>
        <v/>
      </c>
      <c r="F2058" t="str">
        <f>""</f>
        <v/>
      </c>
      <c r="G2058" t="str">
        <f>""</f>
        <v/>
      </c>
      <c r="I2058" t="str">
        <f t="shared" si="34"/>
        <v>MEDICARE TAXES</v>
      </c>
    </row>
    <row r="2059" spans="1:9" x14ac:dyDescent="0.3">
      <c r="A2059" t="str">
        <f>""</f>
        <v/>
      </c>
      <c r="F2059" t="str">
        <f>""</f>
        <v/>
      </c>
      <c r="G2059" t="str">
        <f>""</f>
        <v/>
      </c>
      <c r="I2059" t="str">
        <f t="shared" si="34"/>
        <v>MEDICARE TAXES</v>
      </c>
    </row>
    <row r="2060" spans="1:9" x14ac:dyDescent="0.3">
      <c r="A2060" t="str">
        <f>""</f>
        <v/>
      </c>
      <c r="F2060" t="str">
        <f>""</f>
        <v/>
      </c>
      <c r="G2060" t="str">
        <f>""</f>
        <v/>
      </c>
      <c r="I2060" t="str">
        <f t="shared" si="34"/>
        <v>MEDICARE TAXES</v>
      </c>
    </row>
    <row r="2061" spans="1:9" x14ac:dyDescent="0.3">
      <c r="A2061" t="str">
        <f>""</f>
        <v/>
      </c>
      <c r="F2061" t="str">
        <f>""</f>
        <v/>
      </c>
      <c r="G2061" t="str">
        <f>""</f>
        <v/>
      </c>
      <c r="I2061" t="str">
        <f t="shared" si="34"/>
        <v>MEDICARE TAXES</v>
      </c>
    </row>
    <row r="2062" spans="1:9" x14ac:dyDescent="0.3">
      <c r="A2062" t="str">
        <f>""</f>
        <v/>
      </c>
      <c r="F2062" t="str">
        <f>""</f>
        <v/>
      </c>
      <c r="G2062" t="str">
        <f>""</f>
        <v/>
      </c>
      <c r="I2062" t="str">
        <f t="shared" si="34"/>
        <v>MEDICARE TAXES</v>
      </c>
    </row>
    <row r="2063" spans="1:9" x14ac:dyDescent="0.3">
      <c r="A2063" t="str">
        <f>""</f>
        <v/>
      </c>
      <c r="F2063" t="str">
        <f>""</f>
        <v/>
      </c>
      <c r="G2063" t="str">
        <f>""</f>
        <v/>
      </c>
      <c r="I2063" t="str">
        <f t="shared" si="34"/>
        <v>MEDICARE TAXES</v>
      </c>
    </row>
    <row r="2064" spans="1:9" x14ac:dyDescent="0.3">
      <c r="A2064" t="str">
        <f>""</f>
        <v/>
      </c>
      <c r="F2064" t="str">
        <f>""</f>
        <v/>
      </c>
      <c r="G2064" t="str">
        <f>""</f>
        <v/>
      </c>
      <c r="I2064" t="str">
        <f t="shared" si="34"/>
        <v>MEDICARE TAXES</v>
      </c>
    </row>
    <row r="2065" spans="1:9" x14ac:dyDescent="0.3">
      <c r="A2065" t="str">
        <f>""</f>
        <v/>
      </c>
      <c r="F2065" t="str">
        <f>""</f>
        <v/>
      </c>
      <c r="G2065" t="str">
        <f>""</f>
        <v/>
      </c>
      <c r="I2065" t="str">
        <f t="shared" si="34"/>
        <v>MEDICARE TAXES</v>
      </c>
    </row>
    <row r="2066" spans="1:9" x14ac:dyDescent="0.3">
      <c r="A2066" t="str">
        <f>""</f>
        <v/>
      </c>
      <c r="F2066" t="str">
        <f>""</f>
        <v/>
      </c>
      <c r="G2066" t="str">
        <f>""</f>
        <v/>
      </c>
      <c r="I2066" t="str">
        <f t="shared" si="34"/>
        <v>MEDICARE TAXES</v>
      </c>
    </row>
    <row r="2067" spans="1:9" x14ac:dyDescent="0.3">
      <c r="A2067" t="str">
        <f>""</f>
        <v/>
      </c>
      <c r="F2067" t="str">
        <f>""</f>
        <v/>
      </c>
      <c r="G2067" t="str">
        <f>""</f>
        <v/>
      </c>
      <c r="I2067" t="str">
        <f t="shared" si="34"/>
        <v>MEDICARE TAXES</v>
      </c>
    </row>
    <row r="2068" spans="1:9" x14ac:dyDescent="0.3">
      <c r="A2068" t="str">
        <f>""</f>
        <v/>
      </c>
      <c r="F2068" t="str">
        <f>""</f>
        <v/>
      </c>
      <c r="G2068" t="str">
        <f>""</f>
        <v/>
      </c>
      <c r="I2068" t="str">
        <f t="shared" si="34"/>
        <v>MEDICARE TAXES</v>
      </c>
    </row>
    <row r="2069" spans="1:9" x14ac:dyDescent="0.3">
      <c r="A2069" t="str">
        <f>""</f>
        <v/>
      </c>
      <c r="F2069" t="str">
        <f>""</f>
        <v/>
      </c>
      <c r="G2069" t="str">
        <f>""</f>
        <v/>
      </c>
      <c r="I2069" t="str">
        <f t="shared" si="34"/>
        <v>MEDICARE TAXES</v>
      </c>
    </row>
    <row r="2070" spans="1:9" x14ac:dyDescent="0.3">
      <c r="A2070" t="str">
        <f>""</f>
        <v/>
      </c>
      <c r="F2070" t="str">
        <f>""</f>
        <v/>
      </c>
      <c r="G2070" t="str">
        <f>""</f>
        <v/>
      </c>
      <c r="I2070" t="str">
        <f t="shared" si="34"/>
        <v>MEDICARE TAXES</v>
      </c>
    </row>
    <row r="2071" spans="1:9" x14ac:dyDescent="0.3">
      <c r="A2071" t="str">
        <f>""</f>
        <v/>
      </c>
      <c r="F2071" t="str">
        <f>""</f>
        <v/>
      </c>
      <c r="G2071" t="str">
        <f>""</f>
        <v/>
      </c>
      <c r="I2071" t="str">
        <f t="shared" ref="I2071:I2094" si="35">"MEDICARE TAXES"</f>
        <v>MEDICARE TAXES</v>
      </c>
    </row>
    <row r="2072" spans="1:9" x14ac:dyDescent="0.3">
      <c r="A2072" t="str">
        <f>""</f>
        <v/>
      </c>
      <c r="F2072" t="str">
        <f>""</f>
        <v/>
      </c>
      <c r="G2072" t="str">
        <f>""</f>
        <v/>
      </c>
      <c r="I2072" t="str">
        <f t="shared" si="35"/>
        <v>MEDICARE TAXES</v>
      </c>
    </row>
    <row r="2073" spans="1:9" x14ac:dyDescent="0.3">
      <c r="A2073" t="str">
        <f>""</f>
        <v/>
      </c>
      <c r="F2073" t="str">
        <f>""</f>
        <v/>
      </c>
      <c r="G2073" t="str">
        <f>""</f>
        <v/>
      </c>
      <c r="I2073" t="str">
        <f t="shared" si="35"/>
        <v>MEDICARE TAXES</v>
      </c>
    </row>
    <row r="2074" spans="1:9" x14ac:dyDescent="0.3">
      <c r="A2074" t="str">
        <f>""</f>
        <v/>
      </c>
      <c r="F2074" t="str">
        <f>""</f>
        <v/>
      </c>
      <c r="G2074" t="str">
        <f>""</f>
        <v/>
      </c>
      <c r="I2074" t="str">
        <f t="shared" si="35"/>
        <v>MEDICARE TAXES</v>
      </c>
    </row>
    <row r="2075" spans="1:9" x14ac:dyDescent="0.3">
      <c r="A2075" t="str">
        <f>""</f>
        <v/>
      </c>
      <c r="F2075" t="str">
        <f>""</f>
        <v/>
      </c>
      <c r="G2075" t="str">
        <f>""</f>
        <v/>
      </c>
      <c r="I2075" t="str">
        <f t="shared" si="35"/>
        <v>MEDICARE TAXES</v>
      </c>
    </row>
    <row r="2076" spans="1:9" x14ac:dyDescent="0.3">
      <c r="A2076" t="str">
        <f>""</f>
        <v/>
      </c>
      <c r="F2076" t="str">
        <f>""</f>
        <v/>
      </c>
      <c r="G2076" t="str">
        <f>""</f>
        <v/>
      </c>
      <c r="I2076" t="str">
        <f t="shared" si="35"/>
        <v>MEDICARE TAXES</v>
      </c>
    </row>
    <row r="2077" spans="1:9" x14ac:dyDescent="0.3">
      <c r="A2077" t="str">
        <f>""</f>
        <v/>
      </c>
      <c r="F2077" t="str">
        <f>""</f>
        <v/>
      </c>
      <c r="G2077" t="str">
        <f>""</f>
        <v/>
      </c>
      <c r="I2077" t="str">
        <f t="shared" si="35"/>
        <v>MEDICARE TAXES</v>
      </c>
    </row>
    <row r="2078" spans="1:9" x14ac:dyDescent="0.3">
      <c r="A2078" t="str">
        <f>""</f>
        <v/>
      </c>
      <c r="F2078" t="str">
        <f>""</f>
        <v/>
      </c>
      <c r="G2078" t="str">
        <f>""</f>
        <v/>
      </c>
      <c r="I2078" t="str">
        <f t="shared" si="35"/>
        <v>MEDICARE TAXES</v>
      </c>
    </row>
    <row r="2079" spans="1:9" x14ac:dyDescent="0.3">
      <c r="A2079" t="str">
        <f>""</f>
        <v/>
      </c>
      <c r="F2079" t="str">
        <f>""</f>
        <v/>
      </c>
      <c r="G2079" t="str">
        <f>""</f>
        <v/>
      </c>
      <c r="I2079" t="str">
        <f t="shared" si="35"/>
        <v>MEDICARE TAXES</v>
      </c>
    </row>
    <row r="2080" spans="1:9" x14ac:dyDescent="0.3">
      <c r="A2080" t="str">
        <f>""</f>
        <v/>
      </c>
      <c r="F2080" t="str">
        <f>""</f>
        <v/>
      </c>
      <c r="G2080" t="str">
        <f>""</f>
        <v/>
      </c>
      <c r="I2080" t="str">
        <f t="shared" si="35"/>
        <v>MEDICARE TAXES</v>
      </c>
    </row>
    <row r="2081" spans="1:9" x14ac:dyDescent="0.3">
      <c r="A2081" t="str">
        <f>""</f>
        <v/>
      </c>
      <c r="F2081" t="str">
        <f>""</f>
        <v/>
      </c>
      <c r="G2081" t="str">
        <f>""</f>
        <v/>
      </c>
      <c r="I2081" t="str">
        <f t="shared" si="35"/>
        <v>MEDICARE TAXES</v>
      </c>
    </row>
    <row r="2082" spans="1:9" x14ac:dyDescent="0.3">
      <c r="A2082" t="str">
        <f>""</f>
        <v/>
      </c>
      <c r="F2082" t="str">
        <f>""</f>
        <v/>
      </c>
      <c r="G2082" t="str">
        <f>""</f>
        <v/>
      </c>
      <c r="I2082" t="str">
        <f t="shared" si="35"/>
        <v>MEDICARE TAXES</v>
      </c>
    </row>
    <row r="2083" spans="1:9" x14ac:dyDescent="0.3">
      <c r="A2083" t="str">
        <f>""</f>
        <v/>
      </c>
      <c r="F2083" t="str">
        <f>""</f>
        <v/>
      </c>
      <c r="G2083" t="str">
        <f>""</f>
        <v/>
      </c>
      <c r="I2083" t="str">
        <f t="shared" si="35"/>
        <v>MEDICARE TAXES</v>
      </c>
    </row>
    <row r="2084" spans="1:9" x14ac:dyDescent="0.3">
      <c r="A2084" t="str">
        <f>""</f>
        <v/>
      </c>
      <c r="F2084" t="str">
        <f>""</f>
        <v/>
      </c>
      <c r="G2084" t="str">
        <f>""</f>
        <v/>
      </c>
      <c r="I2084" t="str">
        <f t="shared" si="35"/>
        <v>MEDICARE TAXES</v>
      </c>
    </row>
    <row r="2085" spans="1:9" x14ac:dyDescent="0.3">
      <c r="A2085" t="str">
        <f>""</f>
        <v/>
      </c>
      <c r="F2085" t="str">
        <f>""</f>
        <v/>
      </c>
      <c r="G2085" t="str">
        <f>""</f>
        <v/>
      </c>
      <c r="I2085" t="str">
        <f t="shared" si="35"/>
        <v>MEDICARE TAXES</v>
      </c>
    </row>
    <row r="2086" spans="1:9" x14ac:dyDescent="0.3">
      <c r="A2086" t="str">
        <f>""</f>
        <v/>
      </c>
      <c r="F2086" t="str">
        <f>""</f>
        <v/>
      </c>
      <c r="G2086" t="str">
        <f>""</f>
        <v/>
      </c>
      <c r="I2086" t="str">
        <f t="shared" si="35"/>
        <v>MEDICARE TAXES</v>
      </c>
    </row>
    <row r="2087" spans="1:9" x14ac:dyDescent="0.3">
      <c r="A2087" t="str">
        <f>""</f>
        <v/>
      </c>
      <c r="F2087" t="str">
        <f>""</f>
        <v/>
      </c>
      <c r="G2087" t="str">
        <f>""</f>
        <v/>
      </c>
      <c r="I2087" t="str">
        <f t="shared" si="35"/>
        <v>MEDICARE TAXES</v>
      </c>
    </row>
    <row r="2088" spans="1:9" x14ac:dyDescent="0.3">
      <c r="A2088" t="str">
        <f>""</f>
        <v/>
      </c>
      <c r="F2088" t="str">
        <f>""</f>
        <v/>
      </c>
      <c r="G2088" t="str">
        <f>""</f>
        <v/>
      </c>
      <c r="I2088" t="str">
        <f t="shared" si="35"/>
        <v>MEDICARE TAXES</v>
      </c>
    </row>
    <row r="2089" spans="1:9" x14ac:dyDescent="0.3">
      <c r="A2089" t="str">
        <f>""</f>
        <v/>
      </c>
      <c r="F2089" t="str">
        <f>""</f>
        <v/>
      </c>
      <c r="G2089" t="str">
        <f>""</f>
        <v/>
      </c>
      <c r="I2089" t="str">
        <f t="shared" si="35"/>
        <v>MEDICARE TAXES</v>
      </c>
    </row>
    <row r="2090" spans="1:9" x14ac:dyDescent="0.3">
      <c r="A2090" t="str">
        <f>""</f>
        <v/>
      </c>
      <c r="F2090" t="str">
        <f>""</f>
        <v/>
      </c>
      <c r="G2090" t="str">
        <f>""</f>
        <v/>
      </c>
      <c r="I2090" t="str">
        <f t="shared" si="35"/>
        <v>MEDICARE TAXES</v>
      </c>
    </row>
    <row r="2091" spans="1:9" x14ac:dyDescent="0.3">
      <c r="A2091" t="str">
        <f>""</f>
        <v/>
      </c>
      <c r="F2091" t="str">
        <f>"T4 201803079268"</f>
        <v>T4 201803079268</v>
      </c>
      <c r="G2091" t="str">
        <f>"MEDICARE TAXES"</f>
        <v>MEDICARE TAXES</v>
      </c>
      <c r="H2091">
        <v>922.84</v>
      </c>
      <c r="I2091" t="str">
        <f t="shared" si="35"/>
        <v>MEDICARE TAXES</v>
      </c>
    </row>
    <row r="2092" spans="1:9" x14ac:dyDescent="0.3">
      <c r="A2092" t="str">
        <f>""</f>
        <v/>
      </c>
      <c r="F2092" t="str">
        <f>""</f>
        <v/>
      </c>
      <c r="G2092" t="str">
        <f>""</f>
        <v/>
      </c>
      <c r="I2092" t="str">
        <f t="shared" si="35"/>
        <v>MEDICARE TAXES</v>
      </c>
    </row>
    <row r="2093" spans="1:9" x14ac:dyDescent="0.3">
      <c r="A2093" t="str">
        <f>""</f>
        <v/>
      </c>
      <c r="F2093" t="str">
        <f>"T4 201803079269"</f>
        <v>T4 201803079269</v>
      </c>
      <c r="G2093" t="str">
        <f>"MEDICARE TAXES"</f>
        <v>MEDICARE TAXES</v>
      </c>
      <c r="H2093">
        <v>1330.44</v>
      </c>
      <c r="I2093" t="str">
        <f t="shared" si="35"/>
        <v>MEDICARE TAXES</v>
      </c>
    </row>
    <row r="2094" spans="1:9" x14ac:dyDescent="0.3">
      <c r="A2094" t="str">
        <f>""</f>
        <v/>
      </c>
      <c r="F2094" t="str">
        <f>""</f>
        <v/>
      </c>
      <c r="G2094" t="str">
        <f>""</f>
        <v/>
      </c>
      <c r="I2094" t="str">
        <f t="shared" si="35"/>
        <v>MEDICARE TAXES</v>
      </c>
    </row>
    <row r="2095" spans="1:9" x14ac:dyDescent="0.3">
      <c r="A2095" t="str">
        <f>"IRSPY"</f>
        <v>IRSPY</v>
      </c>
      <c r="B2095" t="s">
        <v>530</v>
      </c>
      <c r="C2095">
        <v>0</v>
      </c>
      <c r="D2095" s="2">
        <v>204541.86</v>
      </c>
      <c r="E2095" s="1">
        <v>43182</v>
      </c>
      <c r="F2095" t="str">
        <f>"T1 201803219715"</f>
        <v>T1 201803219715</v>
      </c>
      <c r="G2095" t="str">
        <f>"FEDERAL WITHHOLDING"</f>
        <v>FEDERAL WITHHOLDING</v>
      </c>
      <c r="H2095">
        <v>2839.59</v>
      </c>
      <c r="I2095" t="str">
        <f>"FEDERAL WITHHOLDING"</f>
        <v>FEDERAL WITHHOLDING</v>
      </c>
    </row>
    <row r="2096" spans="1:9" x14ac:dyDescent="0.3">
      <c r="A2096" t="str">
        <f>""</f>
        <v/>
      </c>
      <c r="F2096" t="str">
        <f>"T1 201803219716"</f>
        <v>T1 201803219716</v>
      </c>
      <c r="G2096" t="str">
        <f>"FEDERAL WITHHOLDING"</f>
        <v>FEDERAL WITHHOLDING</v>
      </c>
      <c r="H2096">
        <v>3622.96</v>
      </c>
      <c r="I2096" t="str">
        <f>"FEDERAL WITHHOLDING"</f>
        <v>FEDERAL WITHHOLDING</v>
      </c>
    </row>
    <row r="2097" spans="1:9" x14ac:dyDescent="0.3">
      <c r="A2097" t="str">
        <f>""</f>
        <v/>
      </c>
      <c r="F2097" t="str">
        <f>"T1 201803219717"</f>
        <v>T1 201803219717</v>
      </c>
      <c r="G2097" t="str">
        <f>"FEDERAL WITHHOLDING"</f>
        <v>FEDERAL WITHHOLDING</v>
      </c>
      <c r="H2097">
        <v>65118.11</v>
      </c>
      <c r="I2097" t="str">
        <f>"FEDERAL WITHHOLDING"</f>
        <v>FEDERAL WITHHOLDING</v>
      </c>
    </row>
    <row r="2098" spans="1:9" x14ac:dyDescent="0.3">
      <c r="A2098" t="str">
        <f>""</f>
        <v/>
      </c>
      <c r="F2098" t="str">
        <f>"T3 201803219715"</f>
        <v>T3 201803219715</v>
      </c>
      <c r="G2098" t="str">
        <f>"SOCIAL SECURITY TAXES"</f>
        <v>SOCIAL SECURITY TAXES</v>
      </c>
      <c r="H2098">
        <v>3994.62</v>
      </c>
      <c r="I2098" t="str">
        <f t="shared" ref="I2098:I2129" si="36">"SOCIAL SECURITY TAXES"</f>
        <v>SOCIAL SECURITY TAXES</v>
      </c>
    </row>
    <row r="2099" spans="1:9" x14ac:dyDescent="0.3">
      <c r="A2099" t="str">
        <f>""</f>
        <v/>
      </c>
      <c r="F2099" t="str">
        <f>""</f>
        <v/>
      </c>
      <c r="G2099" t="str">
        <f>""</f>
        <v/>
      </c>
      <c r="I2099" t="str">
        <f t="shared" si="36"/>
        <v>SOCIAL SECURITY TAXES</v>
      </c>
    </row>
    <row r="2100" spans="1:9" x14ac:dyDescent="0.3">
      <c r="A2100" t="str">
        <f>""</f>
        <v/>
      </c>
      <c r="F2100" t="str">
        <f>"T3 201803219716"</f>
        <v>T3 201803219716</v>
      </c>
      <c r="G2100" t="str">
        <f>"SOCIAL SECURITY TAXES"</f>
        <v>SOCIAL SECURITY TAXES</v>
      </c>
      <c r="H2100">
        <v>5497.1</v>
      </c>
      <c r="I2100" t="str">
        <f t="shared" si="36"/>
        <v>SOCIAL SECURITY TAXES</v>
      </c>
    </row>
    <row r="2101" spans="1:9" x14ac:dyDescent="0.3">
      <c r="A2101" t="str">
        <f>""</f>
        <v/>
      </c>
      <c r="F2101" t="str">
        <f>""</f>
        <v/>
      </c>
      <c r="G2101" t="str">
        <f>""</f>
        <v/>
      </c>
      <c r="I2101" t="str">
        <f t="shared" si="36"/>
        <v>SOCIAL SECURITY TAXES</v>
      </c>
    </row>
    <row r="2102" spans="1:9" x14ac:dyDescent="0.3">
      <c r="A2102" t="str">
        <f>""</f>
        <v/>
      </c>
      <c r="F2102" t="str">
        <f>"T3 201803219717"</f>
        <v>T3 201803219717</v>
      </c>
      <c r="G2102" t="str">
        <f>"SOCIAL SECURITY TAXES"</f>
        <v>SOCIAL SECURITY TAXES</v>
      </c>
      <c r="H2102">
        <v>98267.839999999997</v>
      </c>
      <c r="I2102" t="str">
        <f t="shared" si="36"/>
        <v>SOCIAL SECURITY TAXES</v>
      </c>
    </row>
    <row r="2103" spans="1:9" x14ac:dyDescent="0.3">
      <c r="A2103" t="str">
        <f>""</f>
        <v/>
      </c>
      <c r="F2103" t="str">
        <f>""</f>
        <v/>
      </c>
      <c r="G2103" t="str">
        <f>""</f>
        <v/>
      </c>
      <c r="I2103" t="str">
        <f t="shared" si="36"/>
        <v>SOCIAL SECURITY TAXES</v>
      </c>
    </row>
    <row r="2104" spans="1:9" x14ac:dyDescent="0.3">
      <c r="A2104" t="str">
        <f>""</f>
        <v/>
      </c>
      <c r="F2104" t="str">
        <f>""</f>
        <v/>
      </c>
      <c r="G2104" t="str">
        <f>""</f>
        <v/>
      </c>
      <c r="I2104" t="str">
        <f t="shared" si="36"/>
        <v>SOCIAL SECURITY TAXES</v>
      </c>
    </row>
    <row r="2105" spans="1:9" x14ac:dyDescent="0.3">
      <c r="A2105" t="str">
        <f>""</f>
        <v/>
      </c>
      <c r="F2105" t="str">
        <f>""</f>
        <v/>
      </c>
      <c r="G2105" t="str">
        <f>""</f>
        <v/>
      </c>
      <c r="I2105" t="str">
        <f t="shared" si="36"/>
        <v>SOCIAL SECURITY TAXES</v>
      </c>
    </row>
    <row r="2106" spans="1:9" x14ac:dyDescent="0.3">
      <c r="A2106" t="str">
        <f>""</f>
        <v/>
      </c>
      <c r="F2106" t="str">
        <f>""</f>
        <v/>
      </c>
      <c r="G2106" t="str">
        <f>""</f>
        <v/>
      </c>
      <c r="I2106" t="str">
        <f t="shared" si="36"/>
        <v>SOCIAL SECURITY TAXES</v>
      </c>
    </row>
    <row r="2107" spans="1:9" x14ac:dyDescent="0.3">
      <c r="A2107" t="str">
        <f>""</f>
        <v/>
      </c>
      <c r="F2107" t="str">
        <f>""</f>
        <v/>
      </c>
      <c r="G2107" t="str">
        <f>""</f>
        <v/>
      </c>
      <c r="I2107" t="str">
        <f t="shared" si="36"/>
        <v>SOCIAL SECURITY TAXES</v>
      </c>
    </row>
    <row r="2108" spans="1:9" x14ac:dyDescent="0.3">
      <c r="A2108" t="str">
        <f>""</f>
        <v/>
      </c>
      <c r="F2108" t="str">
        <f>""</f>
        <v/>
      </c>
      <c r="G2108" t="str">
        <f>""</f>
        <v/>
      </c>
      <c r="I2108" t="str">
        <f t="shared" si="36"/>
        <v>SOCIAL SECURITY TAXES</v>
      </c>
    </row>
    <row r="2109" spans="1:9" x14ac:dyDescent="0.3">
      <c r="A2109" t="str">
        <f>""</f>
        <v/>
      </c>
      <c r="F2109" t="str">
        <f>""</f>
        <v/>
      </c>
      <c r="G2109" t="str">
        <f>""</f>
        <v/>
      </c>
      <c r="I2109" t="str">
        <f t="shared" si="36"/>
        <v>SOCIAL SECURITY TAXES</v>
      </c>
    </row>
    <row r="2110" spans="1:9" x14ac:dyDescent="0.3">
      <c r="A2110" t="str">
        <f>""</f>
        <v/>
      </c>
      <c r="F2110" t="str">
        <f>""</f>
        <v/>
      </c>
      <c r="G2110" t="str">
        <f>""</f>
        <v/>
      </c>
      <c r="I2110" t="str">
        <f t="shared" si="36"/>
        <v>SOCIAL SECURITY TAXES</v>
      </c>
    </row>
    <row r="2111" spans="1:9" x14ac:dyDescent="0.3">
      <c r="A2111" t="str">
        <f>""</f>
        <v/>
      </c>
      <c r="F2111" t="str">
        <f>""</f>
        <v/>
      </c>
      <c r="G2111" t="str">
        <f>""</f>
        <v/>
      </c>
      <c r="I2111" t="str">
        <f t="shared" si="36"/>
        <v>SOCIAL SECURITY TAXES</v>
      </c>
    </row>
    <row r="2112" spans="1:9" x14ac:dyDescent="0.3">
      <c r="A2112" t="str">
        <f>""</f>
        <v/>
      </c>
      <c r="F2112" t="str">
        <f>""</f>
        <v/>
      </c>
      <c r="G2112" t="str">
        <f>""</f>
        <v/>
      </c>
      <c r="I2112" t="str">
        <f t="shared" si="36"/>
        <v>SOCIAL SECURITY TAXES</v>
      </c>
    </row>
    <row r="2113" spans="1:9" x14ac:dyDescent="0.3">
      <c r="A2113" t="str">
        <f>""</f>
        <v/>
      </c>
      <c r="F2113" t="str">
        <f>""</f>
        <v/>
      </c>
      <c r="G2113" t="str">
        <f>""</f>
        <v/>
      </c>
      <c r="I2113" t="str">
        <f t="shared" si="36"/>
        <v>SOCIAL SECURITY TAXES</v>
      </c>
    </row>
    <row r="2114" spans="1:9" x14ac:dyDescent="0.3">
      <c r="A2114" t="str">
        <f>""</f>
        <v/>
      </c>
      <c r="F2114" t="str">
        <f>""</f>
        <v/>
      </c>
      <c r="G2114" t="str">
        <f>""</f>
        <v/>
      </c>
      <c r="I2114" t="str">
        <f t="shared" si="36"/>
        <v>SOCIAL SECURITY TAXES</v>
      </c>
    </row>
    <row r="2115" spans="1:9" x14ac:dyDescent="0.3">
      <c r="A2115" t="str">
        <f>""</f>
        <v/>
      </c>
      <c r="F2115" t="str">
        <f>""</f>
        <v/>
      </c>
      <c r="G2115" t="str">
        <f>""</f>
        <v/>
      </c>
      <c r="I2115" t="str">
        <f t="shared" si="36"/>
        <v>SOCIAL SECURITY TAXES</v>
      </c>
    </row>
    <row r="2116" spans="1:9" x14ac:dyDescent="0.3">
      <c r="A2116" t="str">
        <f>""</f>
        <v/>
      </c>
      <c r="F2116" t="str">
        <f>""</f>
        <v/>
      </c>
      <c r="G2116" t="str">
        <f>""</f>
        <v/>
      </c>
      <c r="I2116" t="str">
        <f t="shared" si="36"/>
        <v>SOCIAL SECURITY TAXES</v>
      </c>
    </row>
    <row r="2117" spans="1:9" x14ac:dyDescent="0.3">
      <c r="A2117" t="str">
        <f>""</f>
        <v/>
      </c>
      <c r="F2117" t="str">
        <f>""</f>
        <v/>
      </c>
      <c r="G2117" t="str">
        <f>""</f>
        <v/>
      </c>
      <c r="I2117" t="str">
        <f t="shared" si="36"/>
        <v>SOCIAL SECURITY TAXES</v>
      </c>
    </row>
    <row r="2118" spans="1:9" x14ac:dyDescent="0.3">
      <c r="A2118" t="str">
        <f>""</f>
        <v/>
      </c>
      <c r="F2118" t="str">
        <f>""</f>
        <v/>
      </c>
      <c r="G2118" t="str">
        <f>""</f>
        <v/>
      </c>
      <c r="I2118" t="str">
        <f t="shared" si="36"/>
        <v>SOCIAL SECURITY TAXES</v>
      </c>
    </row>
    <row r="2119" spans="1:9" x14ac:dyDescent="0.3">
      <c r="A2119" t="str">
        <f>""</f>
        <v/>
      </c>
      <c r="F2119" t="str">
        <f>""</f>
        <v/>
      </c>
      <c r="G2119" t="str">
        <f>""</f>
        <v/>
      </c>
      <c r="I2119" t="str">
        <f t="shared" si="36"/>
        <v>SOCIAL SECURITY TAXES</v>
      </c>
    </row>
    <row r="2120" spans="1:9" x14ac:dyDescent="0.3">
      <c r="A2120" t="str">
        <f>""</f>
        <v/>
      </c>
      <c r="F2120" t="str">
        <f>""</f>
        <v/>
      </c>
      <c r="G2120" t="str">
        <f>""</f>
        <v/>
      </c>
      <c r="I2120" t="str">
        <f t="shared" si="36"/>
        <v>SOCIAL SECURITY TAXES</v>
      </c>
    </row>
    <row r="2121" spans="1:9" x14ac:dyDescent="0.3">
      <c r="A2121" t="str">
        <f>""</f>
        <v/>
      </c>
      <c r="F2121" t="str">
        <f>""</f>
        <v/>
      </c>
      <c r="G2121" t="str">
        <f>""</f>
        <v/>
      </c>
      <c r="I2121" t="str">
        <f t="shared" si="36"/>
        <v>SOCIAL SECURITY TAXES</v>
      </c>
    </row>
    <row r="2122" spans="1:9" x14ac:dyDescent="0.3">
      <c r="A2122" t="str">
        <f>""</f>
        <v/>
      </c>
      <c r="F2122" t="str">
        <f>""</f>
        <v/>
      </c>
      <c r="G2122" t="str">
        <f>""</f>
        <v/>
      </c>
      <c r="I2122" t="str">
        <f t="shared" si="36"/>
        <v>SOCIAL SECURITY TAXES</v>
      </c>
    </row>
    <row r="2123" spans="1:9" x14ac:dyDescent="0.3">
      <c r="A2123" t="str">
        <f>""</f>
        <v/>
      </c>
      <c r="F2123" t="str">
        <f>""</f>
        <v/>
      </c>
      <c r="G2123" t="str">
        <f>""</f>
        <v/>
      </c>
      <c r="I2123" t="str">
        <f t="shared" si="36"/>
        <v>SOCIAL SECURITY TAXES</v>
      </c>
    </row>
    <row r="2124" spans="1:9" x14ac:dyDescent="0.3">
      <c r="A2124" t="str">
        <f>""</f>
        <v/>
      </c>
      <c r="F2124" t="str">
        <f>""</f>
        <v/>
      </c>
      <c r="G2124" t="str">
        <f>""</f>
        <v/>
      </c>
      <c r="I2124" t="str">
        <f t="shared" si="36"/>
        <v>SOCIAL SECURITY TAXES</v>
      </c>
    </row>
    <row r="2125" spans="1:9" x14ac:dyDescent="0.3">
      <c r="A2125" t="str">
        <f>""</f>
        <v/>
      </c>
      <c r="F2125" t="str">
        <f>""</f>
        <v/>
      </c>
      <c r="G2125" t="str">
        <f>""</f>
        <v/>
      </c>
      <c r="I2125" t="str">
        <f t="shared" si="36"/>
        <v>SOCIAL SECURITY TAXES</v>
      </c>
    </row>
    <row r="2126" spans="1:9" x14ac:dyDescent="0.3">
      <c r="A2126" t="str">
        <f>""</f>
        <v/>
      </c>
      <c r="F2126" t="str">
        <f>""</f>
        <v/>
      </c>
      <c r="G2126" t="str">
        <f>""</f>
        <v/>
      </c>
      <c r="I2126" t="str">
        <f t="shared" si="36"/>
        <v>SOCIAL SECURITY TAXES</v>
      </c>
    </row>
    <row r="2127" spans="1:9" x14ac:dyDescent="0.3">
      <c r="A2127" t="str">
        <f>""</f>
        <v/>
      </c>
      <c r="F2127" t="str">
        <f>""</f>
        <v/>
      </c>
      <c r="G2127" t="str">
        <f>""</f>
        <v/>
      </c>
      <c r="I2127" t="str">
        <f t="shared" si="36"/>
        <v>SOCIAL SECURITY TAXES</v>
      </c>
    </row>
    <row r="2128" spans="1:9" x14ac:dyDescent="0.3">
      <c r="A2128" t="str">
        <f>""</f>
        <v/>
      </c>
      <c r="F2128" t="str">
        <f>""</f>
        <v/>
      </c>
      <c r="G2128" t="str">
        <f>""</f>
        <v/>
      </c>
      <c r="I2128" t="str">
        <f t="shared" si="36"/>
        <v>SOCIAL SECURITY TAXES</v>
      </c>
    </row>
    <row r="2129" spans="1:9" x14ac:dyDescent="0.3">
      <c r="A2129" t="str">
        <f>""</f>
        <v/>
      </c>
      <c r="F2129" t="str">
        <f>""</f>
        <v/>
      </c>
      <c r="G2129" t="str">
        <f>""</f>
        <v/>
      </c>
      <c r="I2129" t="str">
        <f t="shared" si="36"/>
        <v>SOCIAL SECURITY TAXES</v>
      </c>
    </row>
    <row r="2130" spans="1:9" x14ac:dyDescent="0.3">
      <c r="A2130" t="str">
        <f>""</f>
        <v/>
      </c>
      <c r="F2130" t="str">
        <f>""</f>
        <v/>
      </c>
      <c r="G2130" t="str">
        <f>""</f>
        <v/>
      </c>
      <c r="I2130" t="str">
        <f t="shared" ref="I2130:I2153" si="37">"SOCIAL SECURITY TAXES"</f>
        <v>SOCIAL SECURITY TAXES</v>
      </c>
    </row>
    <row r="2131" spans="1:9" x14ac:dyDescent="0.3">
      <c r="A2131" t="str">
        <f>""</f>
        <v/>
      </c>
      <c r="F2131" t="str">
        <f>""</f>
        <v/>
      </c>
      <c r="G2131" t="str">
        <f>""</f>
        <v/>
      </c>
      <c r="I2131" t="str">
        <f t="shared" si="37"/>
        <v>SOCIAL SECURITY TAXES</v>
      </c>
    </row>
    <row r="2132" spans="1:9" x14ac:dyDescent="0.3">
      <c r="A2132" t="str">
        <f>""</f>
        <v/>
      </c>
      <c r="F2132" t="str">
        <f>""</f>
        <v/>
      </c>
      <c r="G2132" t="str">
        <f>""</f>
        <v/>
      </c>
      <c r="I2132" t="str">
        <f t="shared" si="37"/>
        <v>SOCIAL SECURITY TAXES</v>
      </c>
    </row>
    <row r="2133" spans="1:9" x14ac:dyDescent="0.3">
      <c r="A2133" t="str">
        <f>""</f>
        <v/>
      </c>
      <c r="F2133" t="str">
        <f>""</f>
        <v/>
      </c>
      <c r="G2133" t="str">
        <f>""</f>
        <v/>
      </c>
      <c r="I2133" t="str">
        <f t="shared" si="37"/>
        <v>SOCIAL SECURITY TAXES</v>
      </c>
    </row>
    <row r="2134" spans="1:9" x14ac:dyDescent="0.3">
      <c r="A2134" t="str">
        <f>""</f>
        <v/>
      </c>
      <c r="F2134" t="str">
        <f>""</f>
        <v/>
      </c>
      <c r="G2134" t="str">
        <f>""</f>
        <v/>
      </c>
      <c r="I2134" t="str">
        <f t="shared" si="37"/>
        <v>SOCIAL SECURITY TAXES</v>
      </c>
    </row>
    <row r="2135" spans="1:9" x14ac:dyDescent="0.3">
      <c r="A2135" t="str">
        <f>""</f>
        <v/>
      </c>
      <c r="F2135" t="str">
        <f>""</f>
        <v/>
      </c>
      <c r="G2135" t="str">
        <f>""</f>
        <v/>
      </c>
      <c r="I2135" t="str">
        <f t="shared" si="37"/>
        <v>SOCIAL SECURITY TAXES</v>
      </c>
    </row>
    <row r="2136" spans="1:9" x14ac:dyDescent="0.3">
      <c r="A2136" t="str">
        <f>""</f>
        <v/>
      </c>
      <c r="F2136" t="str">
        <f>""</f>
        <v/>
      </c>
      <c r="G2136" t="str">
        <f>""</f>
        <v/>
      </c>
      <c r="I2136" t="str">
        <f t="shared" si="37"/>
        <v>SOCIAL SECURITY TAXES</v>
      </c>
    </row>
    <row r="2137" spans="1:9" x14ac:dyDescent="0.3">
      <c r="A2137" t="str">
        <f>""</f>
        <v/>
      </c>
      <c r="F2137" t="str">
        <f>""</f>
        <v/>
      </c>
      <c r="G2137" t="str">
        <f>""</f>
        <v/>
      </c>
      <c r="I2137" t="str">
        <f t="shared" si="37"/>
        <v>SOCIAL SECURITY TAXES</v>
      </c>
    </row>
    <row r="2138" spans="1:9" x14ac:dyDescent="0.3">
      <c r="A2138" t="str">
        <f>""</f>
        <v/>
      </c>
      <c r="F2138" t="str">
        <f>""</f>
        <v/>
      </c>
      <c r="G2138" t="str">
        <f>""</f>
        <v/>
      </c>
      <c r="I2138" t="str">
        <f t="shared" si="37"/>
        <v>SOCIAL SECURITY TAXES</v>
      </c>
    </row>
    <row r="2139" spans="1:9" x14ac:dyDescent="0.3">
      <c r="A2139" t="str">
        <f>""</f>
        <v/>
      </c>
      <c r="F2139" t="str">
        <f>""</f>
        <v/>
      </c>
      <c r="G2139" t="str">
        <f>""</f>
        <v/>
      </c>
      <c r="I2139" t="str">
        <f t="shared" si="37"/>
        <v>SOCIAL SECURITY TAXES</v>
      </c>
    </row>
    <row r="2140" spans="1:9" x14ac:dyDescent="0.3">
      <c r="A2140" t="str">
        <f>""</f>
        <v/>
      </c>
      <c r="F2140" t="str">
        <f>""</f>
        <v/>
      </c>
      <c r="G2140" t="str">
        <f>""</f>
        <v/>
      </c>
      <c r="I2140" t="str">
        <f t="shared" si="37"/>
        <v>SOCIAL SECURITY TAXES</v>
      </c>
    </row>
    <row r="2141" spans="1:9" x14ac:dyDescent="0.3">
      <c r="A2141" t="str">
        <f>""</f>
        <v/>
      </c>
      <c r="F2141" t="str">
        <f>""</f>
        <v/>
      </c>
      <c r="G2141" t="str">
        <f>""</f>
        <v/>
      </c>
      <c r="I2141" t="str">
        <f t="shared" si="37"/>
        <v>SOCIAL SECURITY TAXES</v>
      </c>
    </row>
    <row r="2142" spans="1:9" x14ac:dyDescent="0.3">
      <c r="A2142" t="str">
        <f>""</f>
        <v/>
      </c>
      <c r="F2142" t="str">
        <f>""</f>
        <v/>
      </c>
      <c r="G2142" t="str">
        <f>""</f>
        <v/>
      </c>
      <c r="I2142" t="str">
        <f t="shared" si="37"/>
        <v>SOCIAL SECURITY TAXES</v>
      </c>
    </row>
    <row r="2143" spans="1:9" x14ac:dyDescent="0.3">
      <c r="A2143" t="str">
        <f>""</f>
        <v/>
      </c>
      <c r="F2143" t="str">
        <f>""</f>
        <v/>
      </c>
      <c r="G2143" t="str">
        <f>""</f>
        <v/>
      </c>
      <c r="I2143" t="str">
        <f t="shared" si="37"/>
        <v>SOCIAL SECURITY TAXES</v>
      </c>
    </row>
    <row r="2144" spans="1:9" x14ac:dyDescent="0.3">
      <c r="A2144" t="str">
        <f>""</f>
        <v/>
      </c>
      <c r="F2144" t="str">
        <f>""</f>
        <v/>
      </c>
      <c r="G2144" t="str">
        <f>""</f>
        <v/>
      </c>
      <c r="I2144" t="str">
        <f t="shared" si="37"/>
        <v>SOCIAL SECURITY TAXES</v>
      </c>
    </row>
    <row r="2145" spans="1:9" x14ac:dyDescent="0.3">
      <c r="A2145" t="str">
        <f>""</f>
        <v/>
      </c>
      <c r="F2145" t="str">
        <f>""</f>
        <v/>
      </c>
      <c r="G2145" t="str">
        <f>""</f>
        <v/>
      </c>
      <c r="I2145" t="str">
        <f t="shared" si="37"/>
        <v>SOCIAL SECURITY TAXES</v>
      </c>
    </row>
    <row r="2146" spans="1:9" x14ac:dyDescent="0.3">
      <c r="A2146" t="str">
        <f>""</f>
        <v/>
      </c>
      <c r="F2146" t="str">
        <f>""</f>
        <v/>
      </c>
      <c r="G2146" t="str">
        <f>""</f>
        <v/>
      </c>
      <c r="I2146" t="str">
        <f t="shared" si="37"/>
        <v>SOCIAL SECURITY TAXES</v>
      </c>
    </row>
    <row r="2147" spans="1:9" x14ac:dyDescent="0.3">
      <c r="A2147" t="str">
        <f>""</f>
        <v/>
      </c>
      <c r="F2147" t="str">
        <f>""</f>
        <v/>
      </c>
      <c r="G2147" t="str">
        <f>""</f>
        <v/>
      </c>
      <c r="I2147" t="str">
        <f t="shared" si="37"/>
        <v>SOCIAL SECURITY TAXES</v>
      </c>
    </row>
    <row r="2148" spans="1:9" x14ac:dyDescent="0.3">
      <c r="A2148" t="str">
        <f>""</f>
        <v/>
      </c>
      <c r="F2148" t="str">
        <f>""</f>
        <v/>
      </c>
      <c r="G2148" t="str">
        <f>""</f>
        <v/>
      </c>
      <c r="I2148" t="str">
        <f t="shared" si="37"/>
        <v>SOCIAL SECURITY TAXES</v>
      </c>
    </row>
    <row r="2149" spans="1:9" x14ac:dyDescent="0.3">
      <c r="A2149" t="str">
        <f>""</f>
        <v/>
      </c>
      <c r="F2149" t="str">
        <f>""</f>
        <v/>
      </c>
      <c r="G2149" t="str">
        <f>""</f>
        <v/>
      </c>
      <c r="I2149" t="str">
        <f t="shared" si="37"/>
        <v>SOCIAL SECURITY TAXES</v>
      </c>
    </row>
    <row r="2150" spans="1:9" x14ac:dyDescent="0.3">
      <c r="A2150" t="str">
        <f>""</f>
        <v/>
      </c>
      <c r="F2150" t="str">
        <f>""</f>
        <v/>
      </c>
      <c r="G2150" t="str">
        <f>""</f>
        <v/>
      </c>
      <c r="I2150" t="str">
        <f t="shared" si="37"/>
        <v>SOCIAL SECURITY TAXES</v>
      </c>
    </row>
    <row r="2151" spans="1:9" x14ac:dyDescent="0.3">
      <c r="A2151" t="str">
        <f>""</f>
        <v/>
      </c>
      <c r="F2151" t="str">
        <f>""</f>
        <v/>
      </c>
      <c r="G2151" t="str">
        <f>""</f>
        <v/>
      </c>
      <c r="I2151" t="str">
        <f t="shared" si="37"/>
        <v>SOCIAL SECURITY TAXES</v>
      </c>
    </row>
    <row r="2152" spans="1:9" x14ac:dyDescent="0.3">
      <c r="A2152" t="str">
        <f>""</f>
        <v/>
      </c>
      <c r="F2152" t="str">
        <f>""</f>
        <v/>
      </c>
      <c r="G2152" t="str">
        <f>""</f>
        <v/>
      </c>
      <c r="I2152" t="str">
        <f t="shared" si="37"/>
        <v>SOCIAL SECURITY TAXES</v>
      </c>
    </row>
    <row r="2153" spans="1:9" x14ac:dyDescent="0.3">
      <c r="A2153" t="str">
        <f>""</f>
        <v/>
      </c>
      <c r="F2153" t="str">
        <f>""</f>
        <v/>
      </c>
      <c r="G2153" t="str">
        <f>""</f>
        <v/>
      </c>
      <c r="I2153" t="str">
        <f t="shared" si="37"/>
        <v>SOCIAL SECURITY TAXES</v>
      </c>
    </row>
    <row r="2154" spans="1:9" x14ac:dyDescent="0.3">
      <c r="A2154" t="str">
        <f>""</f>
        <v/>
      </c>
      <c r="F2154" t="str">
        <f>"T4 201803219715"</f>
        <v>T4 201803219715</v>
      </c>
      <c r="G2154" t="str">
        <f>"MEDICARE TAXES"</f>
        <v>MEDICARE TAXES</v>
      </c>
      <c r="H2154">
        <v>934.2</v>
      </c>
      <c r="I2154" t="str">
        <f t="shared" ref="I2154:I2185" si="38">"MEDICARE TAXES"</f>
        <v>MEDICARE TAXES</v>
      </c>
    </row>
    <row r="2155" spans="1:9" x14ac:dyDescent="0.3">
      <c r="A2155" t="str">
        <f>""</f>
        <v/>
      </c>
      <c r="F2155" t="str">
        <f>""</f>
        <v/>
      </c>
      <c r="G2155" t="str">
        <f>""</f>
        <v/>
      </c>
      <c r="I2155" t="str">
        <f t="shared" si="38"/>
        <v>MEDICARE TAXES</v>
      </c>
    </row>
    <row r="2156" spans="1:9" x14ac:dyDescent="0.3">
      <c r="A2156" t="str">
        <f>""</f>
        <v/>
      </c>
      <c r="F2156" t="str">
        <f>"T4 201803219716"</f>
        <v>T4 201803219716</v>
      </c>
      <c r="G2156" t="str">
        <f>"MEDICARE TAXES"</f>
        <v>MEDICARE TAXES</v>
      </c>
      <c r="H2156">
        <v>1285.6400000000001</v>
      </c>
      <c r="I2156" t="str">
        <f t="shared" si="38"/>
        <v>MEDICARE TAXES</v>
      </c>
    </row>
    <row r="2157" spans="1:9" x14ac:dyDescent="0.3">
      <c r="A2157" t="str">
        <f>""</f>
        <v/>
      </c>
      <c r="F2157" t="str">
        <f>""</f>
        <v/>
      </c>
      <c r="G2157" t="str">
        <f>""</f>
        <v/>
      </c>
      <c r="I2157" t="str">
        <f t="shared" si="38"/>
        <v>MEDICARE TAXES</v>
      </c>
    </row>
    <row r="2158" spans="1:9" x14ac:dyDescent="0.3">
      <c r="A2158" t="str">
        <f>""</f>
        <v/>
      </c>
      <c r="F2158" t="str">
        <f>"T4 201803219717"</f>
        <v>T4 201803219717</v>
      </c>
      <c r="G2158" t="str">
        <f>"MEDICARE TAXES"</f>
        <v>MEDICARE TAXES</v>
      </c>
      <c r="H2158">
        <v>22981.8</v>
      </c>
      <c r="I2158" t="str">
        <f t="shared" si="38"/>
        <v>MEDICARE TAXES</v>
      </c>
    </row>
    <row r="2159" spans="1:9" x14ac:dyDescent="0.3">
      <c r="A2159" t="str">
        <f>""</f>
        <v/>
      </c>
      <c r="F2159" t="str">
        <f>""</f>
        <v/>
      </c>
      <c r="G2159" t="str">
        <f>""</f>
        <v/>
      </c>
      <c r="I2159" t="str">
        <f t="shared" si="38"/>
        <v>MEDICARE TAXES</v>
      </c>
    </row>
    <row r="2160" spans="1:9" x14ac:dyDescent="0.3">
      <c r="A2160" t="str">
        <f>""</f>
        <v/>
      </c>
      <c r="F2160" t="str">
        <f>""</f>
        <v/>
      </c>
      <c r="G2160" t="str">
        <f>""</f>
        <v/>
      </c>
      <c r="I2160" t="str">
        <f t="shared" si="38"/>
        <v>MEDICARE TAXES</v>
      </c>
    </row>
    <row r="2161" spans="1:9" x14ac:dyDescent="0.3">
      <c r="A2161" t="str">
        <f>""</f>
        <v/>
      </c>
      <c r="F2161" t="str">
        <f>""</f>
        <v/>
      </c>
      <c r="G2161" t="str">
        <f>""</f>
        <v/>
      </c>
      <c r="I2161" t="str">
        <f t="shared" si="38"/>
        <v>MEDICARE TAXES</v>
      </c>
    </row>
    <row r="2162" spans="1:9" x14ac:dyDescent="0.3">
      <c r="A2162" t="str">
        <f>""</f>
        <v/>
      </c>
      <c r="F2162" t="str">
        <f>""</f>
        <v/>
      </c>
      <c r="G2162" t="str">
        <f>""</f>
        <v/>
      </c>
      <c r="I2162" t="str">
        <f t="shared" si="38"/>
        <v>MEDICARE TAXES</v>
      </c>
    </row>
    <row r="2163" spans="1:9" x14ac:dyDescent="0.3">
      <c r="A2163" t="str">
        <f>""</f>
        <v/>
      </c>
      <c r="F2163" t="str">
        <f>""</f>
        <v/>
      </c>
      <c r="G2163" t="str">
        <f>""</f>
        <v/>
      </c>
      <c r="I2163" t="str">
        <f t="shared" si="38"/>
        <v>MEDICARE TAXES</v>
      </c>
    </row>
    <row r="2164" spans="1:9" x14ac:dyDescent="0.3">
      <c r="A2164" t="str">
        <f>""</f>
        <v/>
      </c>
      <c r="F2164" t="str">
        <f>""</f>
        <v/>
      </c>
      <c r="G2164" t="str">
        <f>""</f>
        <v/>
      </c>
      <c r="I2164" t="str">
        <f t="shared" si="38"/>
        <v>MEDICARE TAXES</v>
      </c>
    </row>
    <row r="2165" spans="1:9" x14ac:dyDescent="0.3">
      <c r="A2165" t="str">
        <f>""</f>
        <v/>
      </c>
      <c r="F2165" t="str">
        <f>""</f>
        <v/>
      </c>
      <c r="G2165" t="str">
        <f>""</f>
        <v/>
      </c>
      <c r="I2165" t="str">
        <f t="shared" si="38"/>
        <v>MEDICARE TAXES</v>
      </c>
    </row>
    <row r="2166" spans="1:9" x14ac:dyDescent="0.3">
      <c r="A2166" t="str">
        <f>""</f>
        <v/>
      </c>
      <c r="F2166" t="str">
        <f>""</f>
        <v/>
      </c>
      <c r="G2166" t="str">
        <f>""</f>
        <v/>
      </c>
      <c r="I2166" t="str">
        <f t="shared" si="38"/>
        <v>MEDICARE TAXES</v>
      </c>
    </row>
    <row r="2167" spans="1:9" x14ac:dyDescent="0.3">
      <c r="A2167" t="str">
        <f>""</f>
        <v/>
      </c>
      <c r="F2167" t="str">
        <f>""</f>
        <v/>
      </c>
      <c r="G2167" t="str">
        <f>""</f>
        <v/>
      </c>
      <c r="I2167" t="str">
        <f t="shared" si="38"/>
        <v>MEDICARE TAXES</v>
      </c>
    </row>
    <row r="2168" spans="1:9" x14ac:dyDescent="0.3">
      <c r="A2168" t="str">
        <f>""</f>
        <v/>
      </c>
      <c r="F2168" t="str">
        <f>""</f>
        <v/>
      </c>
      <c r="G2168" t="str">
        <f>""</f>
        <v/>
      </c>
      <c r="I2168" t="str">
        <f t="shared" si="38"/>
        <v>MEDICARE TAXES</v>
      </c>
    </row>
    <row r="2169" spans="1:9" x14ac:dyDescent="0.3">
      <c r="A2169" t="str">
        <f>""</f>
        <v/>
      </c>
      <c r="F2169" t="str">
        <f>""</f>
        <v/>
      </c>
      <c r="G2169" t="str">
        <f>""</f>
        <v/>
      </c>
      <c r="I2169" t="str">
        <f t="shared" si="38"/>
        <v>MEDICARE TAXES</v>
      </c>
    </row>
    <row r="2170" spans="1:9" x14ac:dyDescent="0.3">
      <c r="A2170" t="str">
        <f>""</f>
        <v/>
      </c>
      <c r="F2170" t="str">
        <f>""</f>
        <v/>
      </c>
      <c r="G2170" t="str">
        <f>""</f>
        <v/>
      </c>
      <c r="I2170" t="str">
        <f t="shared" si="38"/>
        <v>MEDICARE TAXES</v>
      </c>
    </row>
    <row r="2171" spans="1:9" x14ac:dyDescent="0.3">
      <c r="A2171" t="str">
        <f>""</f>
        <v/>
      </c>
      <c r="F2171" t="str">
        <f>""</f>
        <v/>
      </c>
      <c r="G2171" t="str">
        <f>""</f>
        <v/>
      </c>
      <c r="I2171" t="str">
        <f t="shared" si="38"/>
        <v>MEDICARE TAXES</v>
      </c>
    </row>
    <row r="2172" spans="1:9" x14ac:dyDescent="0.3">
      <c r="A2172" t="str">
        <f>""</f>
        <v/>
      </c>
      <c r="F2172" t="str">
        <f>""</f>
        <v/>
      </c>
      <c r="G2172" t="str">
        <f>""</f>
        <v/>
      </c>
      <c r="I2172" t="str">
        <f t="shared" si="38"/>
        <v>MEDICARE TAXES</v>
      </c>
    </row>
    <row r="2173" spans="1:9" x14ac:dyDescent="0.3">
      <c r="A2173" t="str">
        <f>""</f>
        <v/>
      </c>
      <c r="F2173" t="str">
        <f>""</f>
        <v/>
      </c>
      <c r="G2173" t="str">
        <f>""</f>
        <v/>
      </c>
      <c r="I2173" t="str">
        <f t="shared" si="38"/>
        <v>MEDICARE TAXES</v>
      </c>
    </row>
    <row r="2174" spans="1:9" x14ac:dyDescent="0.3">
      <c r="A2174" t="str">
        <f>""</f>
        <v/>
      </c>
      <c r="F2174" t="str">
        <f>""</f>
        <v/>
      </c>
      <c r="G2174" t="str">
        <f>""</f>
        <v/>
      </c>
      <c r="I2174" t="str">
        <f t="shared" si="38"/>
        <v>MEDICARE TAXES</v>
      </c>
    </row>
    <row r="2175" spans="1:9" x14ac:dyDescent="0.3">
      <c r="A2175" t="str">
        <f>""</f>
        <v/>
      </c>
      <c r="F2175" t="str">
        <f>""</f>
        <v/>
      </c>
      <c r="G2175" t="str">
        <f>""</f>
        <v/>
      </c>
      <c r="I2175" t="str">
        <f t="shared" si="38"/>
        <v>MEDICARE TAXES</v>
      </c>
    </row>
    <row r="2176" spans="1:9" x14ac:dyDescent="0.3">
      <c r="A2176" t="str">
        <f>""</f>
        <v/>
      </c>
      <c r="F2176" t="str">
        <f>""</f>
        <v/>
      </c>
      <c r="G2176" t="str">
        <f>""</f>
        <v/>
      </c>
      <c r="I2176" t="str">
        <f t="shared" si="38"/>
        <v>MEDICARE TAXES</v>
      </c>
    </row>
    <row r="2177" spans="1:9" x14ac:dyDescent="0.3">
      <c r="A2177" t="str">
        <f>""</f>
        <v/>
      </c>
      <c r="F2177" t="str">
        <f>""</f>
        <v/>
      </c>
      <c r="G2177" t="str">
        <f>""</f>
        <v/>
      </c>
      <c r="I2177" t="str">
        <f t="shared" si="38"/>
        <v>MEDICARE TAXES</v>
      </c>
    </row>
    <row r="2178" spans="1:9" x14ac:dyDescent="0.3">
      <c r="A2178" t="str">
        <f>""</f>
        <v/>
      </c>
      <c r="F2178" t="str">
        <f>""</f>
        <v/>
      </c>
      <c r="G2178" t="str">
        <f>""</f>
        <v/>
      </c>
      <c r="I2178" t="str">
        <f t="shared" si="38"/>
        <v>MEDICARE TAXES</v>
      </c>
    </row>
    <row r="2179" spans="1:9" x14ac:dyDescent="0.3">
      <c r="A2179" t="str">
        <f>""</f>
        <v/>
      </c>
      <c r="F2179" t="str">
        <f>""</f>
        <v/>
      </c>
      <c r="G2179" t="str">
        <f>""</f>
        <v/>
      </c>
      <c r="I2179" t="str">
        <f t="shared" si="38"/>
        <v>MEDICARE TAXES</v>
      </c>
    </row>
    <row r="2180" spans="1:9" x14ac:dyDescent="0.3">
      <c r="A2180" t="str">
        <f>""</f>
        <v/>
      </c>
      <c r="F2180" t="str">
        <f>""</f>
        <v/>
      </c>
      <c r="G2180" t="str">
        <f>""</f>
        <v/>
      </c>
      <c r="I2180" t="str">
        <f t="shared" si="38"/>
        <v>MEDICARE TAXES</v>
      </c>
    </row>
    <row r="2181" spans="1:9" x14ac:dyDescent="0.3">
      <c r="A2181" t="str">
        <f>""</f>
        <v/>
      </c>
      <c r="F2181" t="str">
        <f>""</f>
        <v/>
      </c>
      <c r="G2181" t="str">
        <f>""</f>
        <v/>
      </c>
      <c r="I2181" t="str">
        <f t="shared" si="38"/>
        <v>MEDICARE TAXES</v>
      </c>
    </row>
    <row r="2182" spans="1:9" x14ac:dyDescent="0.3">
      <c r="A2182" t="str">
        <f>""</f>
        <v/>
      </c>
      <c r="F2182" t="str">
        <f>""</f>
        <v/>
      </c>
      <c r="G2182" t="str">
        <f>""</f>
        <v/>
      </c>
      <c r="I2182" t="str">
        <f t="shared" si="38"/>
        <v>MEDICARE TAXES</v>
      </c>
    </row>
    <row r="2183" spans="1:9" x14ac:dyDescent="0.3">
      <c r="A2183" t="str">
        <f>""</f>
        <v/>
      </c>
      <c r="F2183" t="str">
        <f>""</f>
        <v/>
      </c>
      <c r="G2183" t="str">
        <f>""</f>
        <v/>
      </c>
      <c r="I2183" t="str">
        <f t="shared" si="38"/>
        <v>MEDICARE TAXES</v>
      </c>
    </row>
    <row r="2184" spans="1:9" x14ac:dyDescent="0.3">
      <c r="A2184" t="str">
        <f>""</f>
        <v/>
      </c>
      <c r="F2184" t="str">
        <f>""</f>
        <v/>
      </c>
      <c r="G2184" t="str">
        <f>""</f>
        <v/>
      </c>
      <c r="I2184" t="str">
        <f t="shared" si="38"/>
        <v>MEDICARE TAXES</v>
      </c>
    </row>
    <row r="2185" spans="1:9" x14ac:dyDescent="0.3">
      <c r="A2185" t="str">
        <f>""</f>
        <v/>
      </c>
      <c r="F2185" t="str">
        <f>""</f>
        <v/>
      </c>
      <c r="G2185" t="str">
        <f>""</f>
        <v/>
      </c>
      <c r="I2185" t="str">
        <f t="shared" si="38"/>
        <v>MEDICARE TAXES</v>
      </c>
    </row>
    <row r="2186" spans="1:9" x14ac:dyDescent="0.3">
      <c r="A2186" t="str">
        <f>""</f>
        <v/>
      </c>
      <c r="F2186" t="str">
        <f>""</f>
        <v/>
      </c>
      <c r="G2186" t="str">
        <f>""</f>
        <v/>
      </c>
      <c r="I2186" t="str">
        <f t="shared" ref="I2186:I2209" si="39">"MEDICARE TAXES"</f>
        <v>MEDICARE TAXES</v>
      </c>
    </row>
    <row r="2187" spans="1:9" x14ac:dyDescent="0.3">
      <c r="A2187" t="str">
        <f>""</f>
        <v/>
      </c>
      <c r="F2187" t="str">
        <f>""</f>
        <v/>
      </c>
      <c r="G2187" t="str">
        <f>""</f>
        <v/>
      </c>
      <c r="I2187" t="str">
        <f t="shared" si="39"/>
        <v>MEDICARE TAXES</v>
      </c>
    </row>
    <row r="2188" spans="1:9" x14ac:dyDescent="0.3">
      <c r="A2188" t="str">
        <f>""</f>
        <v/>
      </c>
      <c r="F2188" t="str">
        <f>""</f>
        <v/>
      </c>
      <c r="G2188" t="str">
        <f>""</f>
        <v/>
      </c>
      <c r="I2188" t="str">
        <f t="shared" si="39"/>
        <v>MEDICARE TAXES</v>
      </c>
    </row>
    <row r="2189" spans="1:9" x14ac:dyDescent="0.3">
      <c r="A2189" t="str">
        <f>""</f>
        <v/>
      </c>
      <c r="F2189" t="str">
        <f>""</f>
        <v/>
      </c>
      <c r="G2189" t="str">
        <f>""</f>
        <v/>
      </c>
      <c r="I2189" t="str">
        <f t="shared" si="39"/>
        <v>MEDICARE TAXES</v>
      </c>
    </row>
    <row r="2190" spans="1:9" x14ac:dyDescent="0.3">
      <c r="A2190" t="str">
        <f>""</f>
        <v/>
      </c>
      <c r="F2190" t="str">
        <f>""</f>
        <v/>
      </c>
      <c r="G2190" t="str">
        <f>""</f>
        <v/>
      </c>
      <c r="I2190" t="str">
        <f t="shared" si="39"/>
        <v>MEDICARE TAXES</v>
      </c>
    </row>
    <row r="2191" spans="1:9" x14ac:dyDescent="0.3">
      <c r="A2191" t="str">
        <f>""</f>
        <v/>
      </c>
      <c r="F2191" t="str">
        <f>""</f>
        <v/>
      </c>
      <c r="G2191" t="str">
        <f>""</f>
        <v/>
      </c>
      <c r="I2191" t="str">
        <f t="shared" si="39"/>
        <v>MEDICARE TAXES</v>
      </c>
    </row>
    <row r="2192" spans="1:9" x14ac:dyDescent="0.3">
      <c r="A2192" t="str">
        <f>""</f>
        <v/>
      </c>
      <c r="F2192" t="str">
        <f>""</f>
        <v/>
      </c>
      <c r="G2192" t="str">
        <f>""</f>
        <v/>
      </c>
      <c r="I2192" t="str">
        <f t="shared" si="39"/>
        <v>MEDICARE TAXES</v>
      </c>
    </row>
    <row r="2193" spans="1:9" x14ac:dyDescent="0.3">
      <c r="A2193" t="str">
        <f>""</f>
        <v/>
      </c>
      <c r="F2193" t="str">
        <f>""</f>
        <v/>
      </c>
      <c r="G2193" t="str">
        <f>""</f>
        <v/>
      </c>
      <c r="I2193" t="str">
        <f t="shared" si="39"/>
        <v>MEDICARE TAXES</v>
      </c>
    </row>
    <row r="2194" spans="1:9" x14ac:dyDescent="0.3">
      <c r="A2194" t="str">
        <f>""</f>
        <v/>
      </c>
      <c r="F2194" t="str">
        <f>""</f>
        <v/>
      </c>
      <c r="G2194" t="str">
        <f>""</f>
        <v/>
      </c>
      <c r="I2194" t="str">
        <f t="shared" si="39"/>
        <v>MEDICARE TAXES</v>
      </c>
    </row>
    <row r="2195" spans="1:9" x14ac:dyDescent="0.3">
      <c r="A2195" t="str">
        <f>""</f>
        <v/>
      </c>
      <c r="F2195" t="str">
        <f>""</f>
        <v/>
      </c>
      <c r="G2195" t="str">
        <f>""</f>
        <v/>
      </c>
      <c r="I2195" t="str">
        <f t="shared" si="39"/>
        <v>MEDICARE TAXES</v>
      </c>
    </row>
    <row r="2196" spans="1:9" x14ac:dyDescent="0.3">
      <c r="A2196" t="str">
        <f>""</f>
        <v/>
      </c>
      <c r="F2196" t="str">
        <f>""</f>
        <v/>
      </c>
      <c r="G2196" t="str">
        <f>""</f>
        <v/>
      </c>
      <c r="I2196" t="str">
        <f t="shared" si="39"/>
        <v>MEDICARE TAXES</v>
      </c>
    </row>
    <row r="2197" spans="1:9" x14ac:dyDescent="0.3">
      <c r="A2197" t="str">
        <f>""</f>
        <v/>
      </c>
      <c r="F2197" t="str">
        <f>""</f>
        <v/>
      </c>
      <c r="G2197" t="str">
        <f>""</f>
        <v/>
      </c>
      <c r="I2197" t="str">
        <f t="shared" si="39"/>
        <v>MEDICARE TAXES</v>
      </c>
    </row>
    <row r="2198" spans="1:9" x14ac:dyDescent="0.3">
      <c r="A2198" t="str">
        <f>""</f>
        <v/>
      </c>
      <c r="F2198" t="str">
        <f>""</f>
        <v/>
      </c>
      <c r="G2198" t="str">
        <f>""</f>
        <v/>
      </c>
      <c r="I2198" t="str">
        <f t="shared" si="39"/>
        <v>MEDICARE TAXES</v>
      </c>
    </row>
    <row r="2199" spans="1:9" x14ac:dyDescent="0.3">
      <c r="A2199" t="str">
        <f>""</f>
        <v/>
      </c>
      <c r="F2199" t="str">
        <f>""</f>
        <v/>
      </c>
      <c r="G2199" t="str">
        <f>""</f>
        <v/>
      </c>
      <c r="I2199" t="str">
        <f t="shared" si="39"/>
        <v>MEDICARE TAXES</v>
      </c>
    </row>
    <row r="2200" spans="1:9" x14ac:dyDescent="0.3">
      <c r="A2200" t="str">
        <f>""</f>
        <v/>
      </c>
      <c r="F2200" t="str">
        <f>""</f>
        <v/>
      </c>
      <c r="G2200" t="str">
        <f>""</f>
        <v/>
      </c>
      <c r="I2200" t="str">
        <f t="shared" si="39"/>
        <v>MEDICARE TAXES</v>
      </c>
    </row>
    <row r="2201" spans="1:9" x14ac:dyDescent="0.3">
      <c r="A2201" t="str">
        <f>""</f>
        <v/>
      </c>
      <c r="F2201" t="str">
        <f>""</f>
        <v/>
      </c>
      <c r="G2201" t="str">
        <f>""</f>
        <v/>
      </c>
      <c r="I2201" t="str">
        <f t="shared" si="39"/>
        <v>MEDICARE TAXES</v>
      </c>
    </row>
    <row r="2202" spans="1:9" x14ac:dyDescent="0.3">
      <c r="A2202" t="str">
        <f>""</f>
        <v/>
      </c>
      <c r="F2202" t="str">
        <f>""</f>
        <v/>
      </c>
      <c r="G2202" t="str">
        <f>""</f>
        <v/>
      </c>
      <c r="I2202" t="str">
        <f t="shared" si="39"/>
        <v>MEDICARE TAXES</v>
      </c>
    </row>
    <row r="2203" spans="1:9" x14ac:dyDescent="0.3">
      <c r="A2203" t="str">
        <f>""</f>
        <v/>
      </c>
      <c r="F2203" t="str">
        <f>""</f>
        <v/>
      </c>
      <c r="G2203" t="str">
        <f>""</f>
        <v/>
      </c>
      <c r="I2203" t="str">
        <f t="shared" si="39"/>
        <v>MEDICARE TAXES</v>
      </c>
    </row>
    <row r="2204" spans="1:9" x14ac:dyDescent="0.3">
      <c r="A2204" t="str">
        <f>""</f>
        <v/>
      </c>
      <c r="F2204" t="str">
        <f>""</f>
        <v/>
      </c>
      <c r="G2204" t="str">
        <f>""</f>
        <v/>
      </c>
      <c r="I2204" t="str">
        <f t="shared" si="39"/>
        <v>MEDICARE TAXES</v>
      </c>
    </row>
    <row r="2205" spans="1:9" x14ac:dyDescent="0.3">
      <c r="A2205" t="str">
        <f>""</f>
        <v/>
      </c>
      <c r="F2205" t="str">
        <f>""</f>
        <v/>
      </c>
      <c r="G2205" t="str">
        <f>""</f>
        <v/>
      </c>
      <c r="I2205" t="str">
        <f t="shared" si="39"/>
        <v>MEDICARE TAXES</v>
      </c>
    </row>
    <row r="2206" spans="1:9" x14ac:dyDescent="0.3">
      <c r="A2206" t="str">
        <f>""</f>
        <v/>
      </c>
      <c r="F2206" t="str">
        <f>""</f>
        <v/>
      </c>
      <c r="G2206" t="str">
        <f>""</f>
        <v/>
      </c>
      <c r="I2206" t="str">
        <f t="shared" si="39"/>
        <v>MEDICARE TAXES</v>
      </c>
    </row>
    <row r="2207" spans="1:9" x14ac:dyDescent="0.3">
      <c r="A2207" t="str">
        <f>""</f>
        <v/>
      </c>
      <c r="F2207" t="str">
        <f>""</f>
        <v/>
      </c>
      <c r="G2207" t="str">
        <f>""</f>
        <v/>
      </c>
      <c r="I2207" t="str">
        <f t="shared" si="39"/>
        <v>MEDICARE TAXES</v>
      </c>
    </row>
    <row r="2208" spans="1:9" x14ac:dyDescent="0.3">
      <c r="A2208" t="str">
        <f>""</f>
        <v/>
      </c>
      <c r="F2208" t="str">
        <f>""</f>
        <v/>
      </c>
      <c r="G2208" t="str">
        <f>""</f>
        <v/>
      </c>
      <c r="I2208" t="str">
        <f t="shared" si="39"/>
        <v>MEDICARE TAXES</v>
      </c>
    </row>
    <row r="2209" spans="1:9" x14ac:dyDescent="0.3">
      <c r="A2209" t="str">
        <f>""</f>
        <v/>
      </c>
      <c r="F2209" t="str">
        <f>""</f>
        <v/>
      </c>
      <c r="G2209" t="str">
        <f>""</f>
        <v/>
      </c>
      <c r="I2209" t="str">
        <f t="shared" si="39"/>
        <v>MEDICARE TAXES</v>
      </c>
    </row>
    <row r="2210" spans="1:9" x14ac:dyDescent="0.3">
      <c r="A2210" t="str">
        <f>"004638"</f>
        <v>004638</v>
      </c>
      <c r="B2210" t="s">
        <v>531</v>
      </c>
      <c r="C2210">
        <v>46197</v>
      </c>
      <c r="D2210" s="2">
        <v>268.74</v>
      </c>
      <c r="E2210" s="1">
        <v>43168</v>
      </c>
      <c r="F2210" t="str">
        <f>"C64201803079264"</f>
        <v>C64201803079264</v>
      </c>
      <c r="G2210" t="str">
        <f>"CASE #912745322"</f>
        <v>CASE #912745322</v>
      </c>
      <c r="H2210">
        <v>268.74</v>
      </c>
      <c r="I2210" t="str">
        <f>"CASE #912745322"</f>
        <v>CASE #912745322</v>
      </c>
    </row>
    <row r="2211" spans="1:9" x14ac:dyDescent="0.3">
      <c r="A2211" t="str">
        <f>"004638"</f>
        <v>004638</v>
      </c>
      <c r="B2211" t="s">
        <v>531</v>
      </c>
      <c r="C2211">
        <v>46234</v>
      </c>
      <c r="D2211" s="2">
        <v>268.74</v>
      </c>
      <c r="E2211" s="1">
        <v>43182</v>
      </c>
      <c r="F2211" t="str">
        <f>"C64201803219717"</f>
        <v>C64201803219717</v>
      </c>
      <c r="G2211" t="str">
        <f>"CASE #912745322"</f>
        <v>CASE #912745322</v>
      </c>
      <c r="H2211">
        <v>268.74</v>
      </c>
      <c r="I2211" t="str">
        <f>"CASE #912745322"</f>
        <v>CASE #912745322</v>
      </c>
    </row>
    <row r="2212" spans="1:9" x14ac:dyDescent="0.3">
      <c r="A2212" t="str">
        <f>"001507"</f>
        <v>001507</v>
      </c>
      <c r="B2212" t="s">
        <v>532</v>
      </c>
      <c r="C2212">
        <v>0</v>
      </c>
      <c r="D2212" s="2">
        <v>27910.83</v>
      </c>
      <c r="E2212" s="1">
        <v>43185</v>
      </c>
      <c r="F2212" t="str">
        <f>"201803269739"</f>
        <v>201803269739</v>
      </c>
      <c r="G2212" t="str">
        <f>"MONUMENTAL LIFE INS CO"</f>
        <v>MONUMENTAL LIFE INS CO</v>
      </c>
      <c r="H2212">
        <v>27910.83</v>
      </c>
      <c r="I2212" t="str">
        <f>"MONUMENTAL LIFE INS CO"</f>
        <v>MONUMENTAL LIFE INS CO</v>
      </c>
    </row>
    <row r="2213" spans="1:9" x14ac:dyDescent="0.3">
      <c r="A2213" t="str">
        <f>"002456"</f>
        <v>002456</v>
      </c>
      <c r="B2213" t="s">
        <v>533</v>
      </c>
      <c r="C2213">
        <v>0</v>
      </c>
      <c r="D2213" s="2">
        <v>731.02</v>
      </c>
      <c r="E2213" s="1">
        <v>43185</v>
      </c>
      <c r="F2213" t="str">
        <f>"LIX201803079264"</f>
        <v>LIX201803079264</v>
      </c>
      <c r="G2213" t="str">
        <f>"TEXAS LIFE/OLIVO GROUP"</f>
        <v>TEXAS LIFE/OLIVO GROUP</v>
      </c>
      <c r="H2213">
        <v>365.51</v>
      </c>
      <c r="I2213" t="str">
        <f>"TEXAS LIFE/OLIVO GROUP"</f>
        <v>TEXAS LIFE/OLIVO GROUP</v>
      </c>
    </row>
    <row r="2214" spans="1:9" x14ac:dyDescent="0.3">
      <c r="A2214" t="str">
        <f>""</f>
        <v/>
      </c>
      <c r="F2214" t="str">
        <f>"LIX201803219717"</f>
        <v>LIX201803219717</v>
      </c>
      <c r="G2214" t="str">
        <f>"TEXAS LIFE/OLIVO GROUP"</f>
        <v>TEXAS LIFE/OLIVO GROUP</v>
      </c>
      <c r="H2214">
        <v>365.51</v>
      </c>
      <c r="I2214" t="str">
        <f>"TEXAS LIFE/OLIVO GROUP"</f>
        <v>TEXAS LIFE/OLIVO GROUP</v>
      </c>
    </row>
    <row r="2215" spans="1:9" x14ac:dyDescent="0.3">
      <c r="A2215" t="str">
        <f>"TACHEB"</f>
        <v>TACHEB</v>
      </c>
      <c r="B2215" t="s">
        <v>534</v>
      </c>
      <c r="C2215">
        <v>46241</v>
      </c>
      <c r="D2215" s="2">
        <v>338550.54</v>
      </c>
      <c r="E2215" s="1">
        <v>43185</v>
      </c>
      <c r="F2215" t="str">
        <f>"201803269740"</f>
        <v>201803269740</v>
      </c>
      <c r="G2215" t="str">
        <f>"Retiree March 2018"</f>
        <v>Retiree March 2018</v>
      </c>
      <c r="H2215">
        <v>15769.22</v>
      </c>
      <c r="I2215" t="str">
        <f>"TAC HEALTH BENEFITS POOL"</f>
        <v>TAC HEALTH BENEFITS POOL</v>
      </c>
    </row>
    <row r="2216" spans="1:9" x14ac:dyDescent="0.3">
      <c r="A2216" t="str">
        <f>""</f>
        <v/>
      </c>
      <c r="F2216" t="str">
        <f>"201803269741"</f>
        <v>201803269741</v>
      </c>
      <c r="G2216" t="str">
        <f>"COBRA Sue Cerf"</f>
        <v>COBRA Sue Cerf</v>
      </c>
      <c r="H2216">
        <v>653.05999999999995</v>
      </c>
      <c r="I2216" t="str">
        <f>"TAC HEALTH BENEFITS POOL"</f>
        <v>TAC HEALTH BENEFITS POOL</v>
      </c>
    </row>
    <row r="2217" spans="1:9" x14ac:dyDescent="0.3">
      <c r="A2217" t="str">
        <f>""</f>
        <v/>
      </c>
      <c r="F2217" t="str">
        <f>"2EC201803079264"</f>
        <v>2EC201803079264</v>
      </c>
      <c r="G2217" t="str">
        <f>"BCBS PAYABLE"</f>
        <v>BCBS PAYABLE</v>
      </c>
      <c r="H2217">
        <v>44432.19</v>
      </c>
      <c r="I2217" t="str">
        <f t="shared" ref="I2217:I2280" si="40">"BCBS PAYABLE"</f>
        <v>BCBS PAYABLE</v>
      </c>
    </row>
    <row r="2218" spans="1:9" x14ac:dyDescent="0.3">
      <c r="A2218" t="str">
        <f>""</f>
        <v/>
      </c>
      <c r="F2218" t="str">
        <f>""</f>
        <v/>
      </c>
      <c r="G2218" t="str">
        <f>""</f>
        <v/>
      </c>
      <c r="I2218" t="str">
        <f t="shared" si="40"/>
        <v>BCBS PAYABLE</v>
      </c>
    </row>
    <row r="2219" spans="1:9" x14ac:dyDescent="0.3">
      <c r="A2219" t="str">
        <f>""</f>
        <v/>
      </c>
      <c r="F2219" t="str">
        <f>""</f>
        <v/>
      </c>
      <c r="G2219" t="str">
        <f>""</f>
        <v/>
      </c>
      <c r="I2219" t="str">
        <f t="shared" si="40"/>
        <v>BCBS PAYABLE</v>
      </c>
    </row>
    <row r="2220" spans="1:9" x14ac:dyDescent="0.3">
      <c r="A2220" t="str">
        <f>""</f>
        <v/>
      </c>
      <c r="F2220" t="str">
        <f>""</f>
        <v/>
      </c>
      <c r="G2220" t="str">
        <f>""</f>
        <v/>
      </c>
      <c r="I2220" t="str">
        <f t="shared" si="40"/>
        <v>BCBS PAYABLE</v>
      </c>
    </row>
    <row r="2221" spans="1:9" x14ac:dyDescent="0.3">
      <c r="A2221" t="str">
        <f>""</f>
        <v/>
      </c>
      <c r="F2221" t="str">
        <f>""</f>
        <v/>
      </c>
      <c r="G2221" t="str">
        <f>""</f>
        <v/>
      </c>
      <c r="I2221" t="str">
        <f t="shared" si="40"/>
        <v>BCBS PAYABLE</v>
      </c>
    </row>
    <row r="2222" spans="1:9" x14ac:dyDescent="0.3">
      <c r="A2222" t="str">
        <f>""</f>
        <v/>
      </c>
      <c r="F2222" t="str">
        <f>""</f>
        <v/>
      </c>
      <c r="G2222" t="str">
        <f>""</f>
        <v/>
      </c>
      <c r="I2222" t="str">
        <f t="shared" si="40"/>
        <v>BCBS PAYABLE</v>
      </c>
    </row>
    <row r="2223" spans="1:9" x14ac:dyDescent="0.3">
      <c r="A2223" t="str">
        <f>""</f>
        <v/>
      </c>
      <c r="F2223" t="str">
        <f>""</f>
        <v/>
      </c>
      <c r="G2223" t="str">
        <f>""</f>
        <v/>
      </c>
      <c r="I2223" t="str">
        <f t="shared" si="40"/>
        <v>BCBS PAYABLE</v>
      </c>
    </row>
    <row r="2224" spans="1:9" x14ac:dyDescent="0.3">
      <c r="A2224" t="str">
        <f>""</f>
        <v/>
      </c>
      <c r="F2224" t="str">
        <f>""</f>
        <v/>
      </c>
      <c r="G2224" t="str">
        <f>""</f>
        <v/>
      </c>
      <c r="I2224" t="str">
        <f t="shared" si="40"/>
        <v>BCBS PAYABLE</v>
      </c>
    </row>
    <row r="2225" spans="1:9" x14ac:dyDescent="0.3">
      <c r="A2225" t="str">
        <f>""</f>
        <v/>
      </c>
      <c r="F2225" t="str">
        <f>""</f>
        <v/>
      </c>
      <c r="G2225" t="str">
        <f>""</f>
        <v/>
      </c>
      <c r="I2225" t="str">
        <f t="shared" si="40"/>
        <v>BCBS PAYABLE</v>
      </c>
    </row>
    <row r="2226" spans="1:9" x14ac:dyDescent="0.3">
      <c r="A2226" t="str">
        <f>""</f>
        <v/>
      </c>
      <c r="F2226" t="str">
        <f>""</f>
        <v/>
      </c>
      <c r="G2226" t="str">
        <f>""</f>
        <v/>
      </c>
      <c r="I2226" t="str">
        <f t="shared" si="40"/>
        <v>BCBS PAYABLE</v>
      </c>
    </row>
    <row r="2227" spans="1:9" x14ac:dyDescent="0.3">
      <c r="A2227" t="str">
        <f>""</f>
        <v/>
      </c>
      <c r="F2227" t="str">
        <f>""</f>
        <v/>
      </c>
      <c r="G2227" t="str">
        <f>""</f>
        <v/>
      </c>
      <c r="I2227" t="str">
        <f t="shared" si="40"/>
        <v>BCBS PAYABLE</v>
      </c>
    </row>
    <row r="2228" spans="1:9" x14ac:dyDescent="0.3">
      <c r="A2228" t="str">
        <f>""</f>
        <v/>
      </c>
      <c r="F2228" t="str">
        <f>""</f>
        <v/>
      </c>
      <c r="G2228" t="str">
        <f>""</f>
        <v/>
      </c>
      <c r="I2228" t="str">
        <f t="shared" si="40"/>
        <v>BCBS PAYABLE</v>
      </c>
    </row>
    <row r="2229" spans="1:9" x14ac:dyDescent="0.3">
      <c r="A2229" t="str">
        <f>""</f>
        <v/>
      </c>
      <c r="F2229" t="str">
        <f>""</f>
        <v/>
      </c>
      <c r="G2229" t="str">
        <f>""</f>
        <v/>
      </c>
      <c r="I2229" t="str">
        <f t="shared" si="40"/>
        <v>BCBS PAYABLE</v>
      </c>
    </row>
    <row r="2230" spans="1:9" x14ac:dyDescent="0.3">
      <c r="A2230" t="str">
        <f>""</f>
        <v/>
      </c>
      <c r="F2230" t="str">
        <f>""</f>
        <v/>
      </c>
      <c r="G2230" t="str">
        <f>""</f>
        <v/>
      </c>
      <c r="I2230" t="str">
        <f t="shared" si="40"/>
        <v>BCBS PAYABLE</v>
      </c>
    </row>
    <row r="2231" spans="1:9" x14ac:dyDescent="0.3">
      <c r="A2231" t="str">
        <f>""</f>
        <v/>
      </c>
      <c r="F2231" t="str">
        <f>""</f>
        <v/>
      </c>
      <c r="G2231" t="str">
        <f>""</f>
        <v/>
      </c>
      <c r="I2231" t="str">
        <f t="shared" si="40"/>
        <v>BCBS PAYABLE</v>
      </c>
    </row>
    <row r="2232" spans="1:9" x14ac:dyDescent="0.3">
      <c r="A2232" t="str">
        <f>""</f>
        <v/>
      </c>
      <c r="F2232" t="str">
        <f>""</f>
        <v/>
      </c>
      <c r="G2232" t="str">
        <f>""</f>
        <v/>
      </c>
      <c r="I2232" t="str">
        <f t="shared" si="40"/>
        <v>BCBS PAYABLE</v>
      </c>
    </row>
    <row r="2233" spans="1:9" x14ac:dyDescent="0.3">
      <c r="A2233" t="str">
        <f>""</f>
        <v/>
      </c>
      <c r="F2233" t="str">
        <f>""</f>
        <v/>
      </c>
      <c r="G2233" t="str">
        <f>""</f>
        <v/>
      </c>
      <c r="I2233" t="str">
        <f t="shared" si="40"/>
        <v>BCBS PAYABLE</v>
      </c>
    </row>
    <row r="2234" spans="1:9" x14ac:dyDescent="0.3">
      <c r="A2234" t="str">
        <f>""</f>
        <v/>
      </c>
      <c r="F2234" t="str">
        <f>""</f>
        <v/>
      </c>
      <c r="G2234" t="str">
        <f>""</f>
        <v/>
      </c>
      <c r="I2234" t="str">
        <f t="shared" si="40"/>
        <v>BCBS PAYABLE</v>
      </c>
    </row>
    <row r="2235" spans="1:9" x14ac:dyDescent="0.3">
      <c r="A2235" t="str">
        <f>""</f>
        <v/>
      </c>
      <c r="F2235" t="str">
        <f>""</f>
        <v/>
      </c>
      <c r="G2235" t="str">
        <f>""</f>
        <v/>
      </c>
      <c r="I2235" t="str">
        <f t="shared" si="40"/>
        <v>BCBS PAYABLE</v>
      </c>
    </row>
    <row r="2236" spans="1:9" x14ac:dyDescent="0.3">
      <c r="A2236" t="str">
        <f>""</f>
        <v/>
      </c>
      <c r="F2236" t="str">
        <f>""</f>
        <v/>
      </c>
      <c r="G2236" t="str">
        <f>""</f>
        <v/>
      </c>
      <c r="I2236" t="str">
        <f t="shared" si="40"/>
        <v>BCBS PAYABLE</v>
      </c>
    </row>
    <row r="2237" spans="1:9" x14ac:dyDescent="0.3">
      <c r="A2237" t="str">
        <f>""</f>
        <v/>
      </c>
      <c r="F2237" t="str">
        <f>""</f>
        <v/>
      </c>
      <c r="G2237" t="str">
        <f>""</f>
        <v/>
      </c>
      <c r="I2237" t="str">
        <f t="shared" si="40"/>
        <v>BCBS PAYABLE</v>
      </c>
    </row>
    <row r="2238" spans="1:9" x14ac:dyDescent="0.3">
      <c r="A2238" t="str">
        <f>""</f>
        <v/>
      </c>
      <c r="F2238" t="str">
        <f>""</f>
        <v/>
      </c>
      <c r="G2238" t="str">
        <f>""</f>
        <v/>
      </c>
      <c r="I2238" t="str">
        <f t="shared" si="40"/>
        <v>BCBS PAYABLE</v>
      </c>
    </row>
    <row r="2239" spans="1:9" x14ac:dyDescent="0.3">
      <c r="A2239" t="str">
        <f>""</f>
        <v/>
      </c>
      <c r="F2239" t="str">
        <f>""</f>
        <v/>
      </c>
      <c r="G2239" t="str">
        <f>""</f>
        <v/>
      </c>
      <c r="I2239" t="str">
        <f t="shared" si="40"/>
        <v>BCBS PAYABLE</v>
      </c>
    </row>
    <row r="2240" spans="1:9" x14ac:dyDescent="0.3">
      <c r="A2240" t="str">
        <f>""</f>
        <v/>
      </c>
      <c r="F2240" t="str">
        <f>""</f>
        <v/>
      </c>
      <c r="G2240" t="str">
        <f>""</f>
        <v/>
      </c>
      <c r="I2240" t="str">
        <f t="shared" si="40"/>
        <v>BCBS PAYABLE</v>
      </c>
    </row>
    <row r="2241" spans="1:9" x14ac:dyDescent="0.3">
      <c r="A2241" t="str">
        <f>""</f>
        <v/>
      </c>
      <c r="F2241" t="str">
        <f>""</f>
        <v/>
      </c>
      <c r="G2241" t="str">
        <f>""</f>
        <v/>
      </c>
      <c r="I2241" t="str">
        <f t="shared" si="40"/>
        <v>BCBS PAYABLE</v>
      </c>
    </row>
    <row r="2242" spans="1:9" x14ac:dyDescent="0.3">
      <c r="A2242" t="str">
        <f>""</f>
        <v/>
      </c>
      <c r="F2242" t="str">
        <f>""</f>
        <v/>
      </c>
      <c r="G2242" t="str">
        <f>""</f>
        <v/>
      </c>
      <c r="I2242" t="str">
        <f t="shared" si="40"/>
        <v>BCBS PAYABLE</v>
      </c>
    </row>
    <row r="2243" spans="1:9" x14ac:dyDescent="0.3">
      <c r="A2243" t="str">
        <f>""</f>
        <v/>
      </c>
      <c r="F2243" t="str">
        <f>""</f>
        <v/>
      </c>
      <c r="G2243" t="str">
        <f>""</f>
        <v/>
      </c>
      <c r="I2243" t="str">
        <f t="shared" si="40"/>
        <v>BCBS PAYABLE</v>
      </c>
    </row>
    <row r="2244" spans="1:9" x14ac:dyDescent="0.3">
      <c r="A2244" t="str">
        <f>""</f>
        <v/>
      </c>
      <c r="F2244" t="str">
        <f>""</f>
        <v/>
      </c>
      <c r="G2244" t="str">
        <f>""</f>
        <v/>
      </c>
      <c r="I2244" t="str">
        <f t="shared" si="40"/>
        <v>BCBS PAYABLE</v>
      </c>
    </row>
    <row r="2245" spans="1:9" x14ac:dyDescent="0.3">
      <c r="A2245" t="str">
        <f>""</f>
        <v/>
      </c>
      <c r="F2245" t="str">
        <f>""</f>
        <v/>
      </c>
      <c r="G2245" t="str">
        <f>""</f>
        <v/>
      </c>
      <c r="I2245" t="str">
        <f t="shared" si="40"/>
        <v>BCBS PAYABLE</v>
      </c>
    </row>
    <row r="2246" spans="1:9" x14ac:dyDescent="0.3">
      <c r="A2246" t="str">
        <f>""</f>
        <v/>
      </c>
      <c r="F2246" t="str">
        <f>""</f>
        <v/>
      </c>
      <c r="G2246" t="str">
        <f>""</f>
        <v/>
      </c>
      <c r="I2246" t="str">
        <f t="shared" si="40"/>
        <v>BCBS PAYABLE</v>
      </c>
    </row>
    <row r="2247" spans="1:9" x14ac:dyDescent="0.3">
      <c r="A2247" t="str">
        <f>""</f>
        <v/>
      </c>
      <c r="F2247" t="str">
        <f>""</f>
        <v/>
      </c>
      <c r="G2247" t="str">
        <f>""</f>
        <v/>
      </c>
      <c r="I2247" t="str">
        <f t="shared" si="40"/>
        <v>BCBS PAYABLE</v>
      </c>
    </row>
    <row r="2248" spans="1:9" x14ac:dyDescent="0.3">
      <c r="A2248" t="str">
        <f>""</f>
        <v/>
      </c>
      <c r="F2248" t="str">
        <f>""</f>
        <v/>
      </c>
      <c r="G2248" t="str">
        <f>""</f>
        <v/>
      </c>
      <c r="I2248" t="str">
        <f t="shared" si="40"/>
        <v>BCBS PAYABLE</v>
      </c>
    </row>
    <row r="2249" spans="1:9" x14ac:dyDescent="0.3">
      <c r="A2249" t="str">
        <f>""</f>
        <v/>
      </c>
      <c r="F2249" t="str">
        <f>""</f>
        <v/>
      </c>
      <c r="G2249" t="str">
        <f>""</f>
        <v/>
      </c>
      <c r="I2249" t="str">
        <f t="shared" si="40"/>
        <v>BCBS PAYABLE</v>
      </c>
    </row>
    <row r="2250" spans="1:9" x14ac:dyDescent="0.3">
      <c r="A2250" t="str">
        <f>""</f>
        <v/>
      </c>
      <c r="F2250" t="str">
        <f>"2EC201803079268"</f>
        <v>2EC201803079268</v>
      </c>
      <c r="G2250" t="str">
        <f>"BCBS PAYABLE"</f>
        <v>BCBS PAYABLE</v>
      </c>
      <c r="H2250">
        <v>1795.24</v>
      </c>
      <c r="I2250" t="str">
        <f t="shared" si="40"/>
        <v>BCBS PAYABLE</v>
      </c>
    </row>
    <row r="2251" spans="1:9" x14ac:dyDescent="0.3">
      <c r="A2251" t="str">
        <f>""</f>
        <v/>
      </c>
      <c r="F2251" t="str">
        <f>""</f>
        <v/>
      </c>
      <c r="G2251" t="str">
        <f>""</f>
        <v/>
      </c>
      <c r="I2251" t="str">
        <f t="shared" si="40"/>
        <v>BCBS PAYABLE</v>
      </c>
    </row>
    <row r="2252" spans="1:9" x14ac:dyDescent="0.3">
      <c r="A2252" t="str">
        <f>""</f>
        <v/>
      </c>
      <c r="F2252" t="str">
        <f>"2EC201803219715"</f>
        <v>2EC201803219715</v>
      </c>
      <c r="G2252" t="str">
        <f>"BCBS PAYABLE"</f>
        <v>BCBS PAYABLE</v>
      </c>
      <c r="H2252">
        <v>1795.24</v>
      </c>
      <c r="I2252" t="str">
        <f t="shared" si="40"/>
        <v>BCBS PAYABLE</v>
      </c>
    </row>
    <row r="2253" spans="1:9" x14ac:dyDescent="0.3">
      <c r="A2253" t="str">
        <f>""</f>
        <v/>
      </c>
      <c r="F2253" t="str">
        <f>""</f>
        <v/>
      </c>
      <c r="G2253" t="str">
        <f>""</f>
        <v/>
      </c>
      <c r="I2253" t="str">
        <f t="shared" si="40"/>
        <v>BCBS PAYABLE</v>
      </c>
    </row>
    <row r="2254" spans="1:9" x14ac:dyDescent="0.3">
      <c r="A2254" t="str">
        <f>""</f>
        <v/>
      </c>
      <c r="F2254" t="str">
        <f>"2EC201803219717"</f>
        <v>2EC201803219717</v>
      </c>
      <c r="G2254" t="str">
        <f>"BCBS PAYABLE"</f>
        <v>BCBS PAYABLE</v>
      </c>
      <c r="H2254">
        <v>44432.19</v>
      </c>
      <c r="I2254" t="str">
        <f t="shared" si="40"/>
        <v>BCBS PAYABLE</v>
      </c>
    </row>
    <row r="2255" spans="1:9" x14ac:dyDescent="0.3">
      <c r="A2255" t="str">
        <f>""</f>
        <v/>
      </c>
      <c r="F2255" t="str">
        <f>""</f>
        <v/>
      </c>
      <c r="G2255" t="str">
        <f>""</f>
        <v/>
      </c>
      <c r="I2255" t="str">
        <f t="shared" si="40"/>
        <v>BCBS PAYABLE</v>
      </c>
    </row>
    <row r="2256" spans="1:9" x14ac:dyDescent="0.3">
      <c r="A2256" t="str">
        <f>""</f>
        <v/>
      </c>
      <c r="F2256" t="str">
        <f>""</f>
        <v/>
      </c>
      <c r="G2256" t="str">
        <f>""</f>
        <v/>
      </c>
      <c r="I2256" t="str">
        <f t="shared" si="40"/>
        <v>BCBS PAYABLE</v>
      </c>
    </row>
    <row r="2257" spans="1:9" x14ac:dyDescent="0.3">
      <c r="A2257" t="str">
        <f>""</f>
        <v/>
      </c>
      <c r="F2257" t="str">
        <f>""</f>
        <v/>
      </c>
      <c r="G2257" t="str">
        <f>""</f>
        <v/>
      </c>
      <c r="I2257" t="str">
        <f t="shared" si="40"/>
        <v>BCBS PAYABLE</v>
      </c>
    </row>
    <row r="2258" spans="1:9" x14ac:dyDescent="0.3">
      <c r="A2258" t="str">
        <f>""</f>
        <v/>
      </c>
      <c r="F2258" t="str">
        <f>""</f>
        <v/>
      </c>
      <c r="G2258" t="str">
        <f>""</f>
        <v/>
      </c>
      <c r="I2258" t="str">
        <f t="shared" si="40"/>
        <v>BCBS PAYABLE</v>
      </c>
    </row>
    <row r="2259" spans="1:9" x14ac:dyDescent="0.3">
      <c r="A2259" t="str">
        <f>""</f>
        <v/>
      </c>
      <c r="F2259" t="str">
        <f>""</f>
        <v/>
      </c>
      <c r="G2259" t="str">
        <f>""</f>
        <v/>
      </c>
      <c r="I2259" t="str">
        <f t="shared" si="40"/>
        <v>BCBS PAYABLE</v>
      </c>
    </row>
    <row r="2260" spans="1:9" x14ac:dyDescent="0.3">
      <c r="A2260" t="str">
        <f>""</f>
        <v/>
      </c>
      <c r="F2260" t="str">
        <f>""</f>
        <v/>
      </c>
      <c r="G2260" t="str">
        <f>""</f>
        <v/>
      </c>
      <c r="I2260" t="str">
        <f t="shared" si="40"/>
        <v>BCBS PAYABLE</v>
      </c>
    </row>
    <row r="2261" spans="1:9" x14ac:dyDescent="0.3">
      <c r="A2261" t="str">
        <f>""</f>
        <v/>
      </c>
      <c r="F2261" t="str">
        <f>""</f>
        <v/>
      </c>
      <c r="G2261" t="str">
        <f>""</f>
        <v/>
      </c>
      <c r="I2261" t="str">
        <f t="shared" si="40"/>
        <v>BCBS PAYABLE</v>
      </c>
    </row>
    <row r="2262" spans="1:9" x14ac:dyDescent="0.3">
      <c r="A2262" t="str">
        <f>""</f>
        <v/>
      </c>
      <c r="F2262" t="str">
        <f>""</f>
        <v/>
      </c>
      <c r="G2262" t="str">
        <f>""</f>
        <v/>
      </c>
      <c r="I2262" t="str">
        <f t="shared" si="40"/>
        <v>BCBS PAYABLE</v>
      </c>
    </row>
    <row r="2263" spans="1:9" x14ac:dyDescent="0.3">
      <c r="A2263" t="str">
        <f>""</f>
        <v/>
      </c>
      <c r="F2263" t="str">
        <f>""</f>
        <v/>
      </c>
      <c r="G2263" t="str">
        <f>""</f>
        <v/>
      </c>
      <c r="I2263" t="str">
        <f t="shared" si="40"/>
        <v>BCBS PAYABLE</v>
      </c>
    </row>
    <row r="2264" spans="1:9" x14ac:dyDescent="0.3">
      <c r="A2264" t="str">
        <f>""</f>
        <v/>
      </c>
      <c r="F2264" t="str">
        <f>""</f>
        <v/>
      </c>
      <c r="G2264" t="str">
        <f>""</f>
        <v/>
      </c>
      <c r="I2264" t="str">
        <f t="shared" si="40"/>
        <v>BCBS PAYABLE</v>
      </c>
    </row>
    <row r="2265" spans="1:9" x14ac:dyDescent="0.3">
      <c r="A2265" t="str">
        <f>""</f>
        <v/>
      </c>
      <c r="F2265" t="str">
        <f>""</f>
        <v/>
      </c>
      <c r="G2265" t="str">
        <f>""</f>
        <v/>
      </c>
      <c r="I2265" t="str">
        <f t="shared" si="40"/>
        <v>BCBS PAYABLE</v>
      </c>
    </row>
    <row r="2266" spans="1:9" x14ac:dyDescent="0.3">
      <c r="A2266" t="str">
        <f>""</f>
        <v/>
      </c>
      <c r="F2266" t="str">
        <f>""</f>
        <v/>
      </c>
      <c r="G2266" t="str">
        <f>""</f>
        <v/>
      </c>
      <c r="I2266" t="str">
        <f t="shared" si="40"/>
        <v>BCBS PAYABLE</v>
      </c>
    </row>
    <row r="2267" spans="1:9" x14ac:dyDescent="0.3">
      <c r="A2267" t="str">
        <f>""</f>
        <v/>
      </c>
      <c r="F2267" t="str">
        <f>""</f>
        <v/>
      </c>
      <c r="G2267" t="str">
        <f>""</f>
        <v/>
      </c>
      <c r="I2267" t="str">
        <f t="shared" si="40"/>
        <v>BCBS PAYABLE</v>
      </c>
    </row>
    <row r="2268" spans="1:9" x14ac:dyDescent="0.3">
      <c r="A2268" t="str">
        <f>""</f>
        <v/>
      </c>
      <c r="F2268" t="str">
        <f>""</f>
        <v/>
      </c>
      <c r="G2268" t="str">
        <f>""</f>
        <v/>
      </c>
      <c r="I2268" t="str">
        <f t="shared" si="40"/>
        <v>BCBS PAYABLE</v>
      </c>
    </row>
    <row r="2269" spans="1:9" x14ac:dyDescent="0.3">
      <c r="A2269" t="str">
        <f>""</f>
        <v/>
      </c>
      <c r="F2269" t="str">
        <f>""</f>
        <v/>
      </c>
      <c r="G2269" t="str">
        <f>""</f>
        <v/>
      </c>
      <c r="I2269" t="str">
        <f t="shared" si="40"/>
        <v>BCBS PAYABLE</v>
      </c>
    </row>
    <row r="2270" spans="1:9" x14ac:dyDescent="0.3">
      <c r="A2270" t="str">
        <f>""</f>
        <v/>
      </c>
      <c r="F2270" t="str">
        <f>""</f>
        <v/>
      </c>
      <c r="G2270" t="str">
        <f>""</f>
        <v/>
      </c>
      <c r="I2270" t="str">
        <f t="shared" si="40"/>
        <v>BCBS PAYABLE</v>
      </c>
    </row>
    <row r="2271" spans="1:9" x14ac:dyDescent="0.3">
      <c r="A2271" t="str">
        <f>""</f>
        <v/>
      </c>
      <c r="F2271" t="str">
        <f>""</f>
        <v/>
      </c>
      <c r="G2271" t="str">
        <f>""</f>
        <v/>
      </c>
      <c r="I2271" t="str">
        <f t="shared" si="40"/>
        <v>BCBS PAYABLE</v>
      </c>
    </row>
    <row r="2272" spans="1:9" x14ac:dyDescent="0.3">
      <c r="A2272" t="str">
        <f>""</f>
        <v/>
      </c>
      <c r="F2272" t="str">
        <f>""</f>
        <v/>
      </c>
      <c r="G2272" t="str">
        <f>""</f>
        <v/>
      </c>
      <c r="I2272" t="str">
        <f t="shared" si="40"/>
        <v>BCBS PAYABLE</v>
      </c>
    </row>
    <row r="2273" spans="1:9" x14ac:dyDescent="0.3">
      <c r="A2273" t="str">
        <f>""</f>
        <v/>
      </c>
      <c r="F2273" t="str">
        <f>""</f>
        <v/>
      </c>
      <c r="G2273" t="str">
        <f>""</f>
        <v/>
      </c>
      <c r="I2273" t="str">
        <f t="shared" si="40"/>
        <v>BCBS PAYABLE</v>
      </c>
    </row>
    <row r="2274" spans="1:9" x14ac:dyDescent="0.3">
      <c r="A2274" t="str">
        <f>""</f>
        <v/>
      </c>
      <c r="F2274" t="str">
        <f>""</f>
        <v/>
      </c>
      <c r="G2274" t="str">
        <f>""</f>
        <v/>
      </c>
      <c r="I2274" t="str">
        <f t="shared" si="40"/>
        <v>BCBS PAYABLE</v>
      </c>
    </row>
    <row r="2275" spans="1:9" x14ac:dyDescent="0.3">
      <c r="A2275" t="str">
        <f>""</f>
        <v/>
      </c>
      <c r="F2275" t="str">
        <f>""</f>
        <v/>
      </c>
      <c r="G2275" t="str">
        <f>""</f>
        <v/>
      </c>
      <c r="I2275" t="str">
        <f t="shared" si="40"/>
        <v>BCBS PAYABLE</v>
      </c>
    </row>
    <row r="2276" spans="1:9" x14ac:dyDescent="0.3">
      <c r="A2276" t="str">
        <f>""</f>
        <v/>
      </c>
      <c r="F2276" t="str">
        <f>""</f>
        <v/>
      </c>
      <c r="G2276" t="str">
        <f>""</f>
        <v/>
      </c>
      <c r="I2276" t="str">
        <f t="shared" si="40"/>
        <v>BCBS PAYABLE</v>
      </c>
    </row>
    <row r="2277" spans="1:9" x14ac:dyDescent="0.3">
      <c r="A2277" t="str">
        <f>""</f>
        <v/>
      </c>
      <c r="F2277" t="str">
        <f>""</f>
        <v/>
      </c>
      <c r="G2277" t="str">
        <f>""</f>
        <v/>
      </c>
      <c r="I2277" t="str">
        <f t="shared" si="40"/>
        <v>BCBS PAYABLE</v>
      </c>
    </row>
    <row r="2278" spans="1:9" x14ac:dyDescent="0.3">
      <c r="A2278" t="str">
        <f>""</f>
        <v/>
      </c>
      <c r="F2278" t="str">
        <f>""</f>
        <v/>
      </c>
      <c r="G2278" t="str">
        <f>""</f>
        <v/>
      </c>
      <c r="I2278" t="str">
        <f t="shared" si="40"/>
        <v>BCBS PAYABLE</v>
      </c>
    </row>
    <row r="2279" spans="1:9" x14ac:dyDescent="0.3">
      <c r="A2279" t="str">
        <f>""</f>
        <v/>
      </c>
      <c r="F2279" t="str">
        <f>""</f>
        <v/>
      </c>
      <c r="G2279" t="str">
        <f>""</f>
        <v/>
      </c>
      <c r="I2279" t="str">
        <f t="shared" si="40"/>
        <v>BCBS PAYABLE</v>
      </c>
    </row>
    <row r="2280" spans="1:9" x14ac:dyDescent="0.3">
      <c r="A2280" t="str">
        <f>""</f>
        <v/>
      </c>
      <c r="F2280" t="str">
        <f>""</f>
        <v/>
      </c>
      <c r="G2280" t="str">
        <f>""</f>
        <v/>
      </c>
      <c r="I2280" t="str">
        <f t="shared" si="40"/>
        <v>BCBS PAYABLE</v>
      </c>
    </row>
    <row r="2281" spans="1:9" x14ac:dyDescent="0.3">
      <c r="A2281" t="str">
        <f>""</f>
        <v/>
      </c>
      <c r="F2281" t="str">
        <f>""</f>
        <v/>
      </c>
      <c r="G2281" t="str">
        <f>""</f>
        <v/>
      </c>
      <c r="I2281" t="str">
        <f t="shared" ref="I2281:I2344" si="41">"BCBS PAYABLE"</f>
        <v>BCBS PAYABLE</v>
      </c>
    </row>
    <row r="2282" spans="1:9" x14ac:dyDescent="0.3">
      <c r="A2282" t="str">
        <f>""</f>
        <v/>
      </c>
      <c r="F2282" t="str">
        <f>""</f>
        <v/>
      </c>
      <c r="G2282" t="str">
        <f>""</f>
        <v/>
      </c>
      <c r="I2282" t="str">
        <f t="shared" si="41"/>
        <v>BCBS PAYABLE</v>
      </c>
    </row>
    <row r="2283" spans="1:9" x14ac:dyDescent="0.3">
      <c r="A2283" t="str">
        <f>""</f>
        <v/>
      </c>
      <c r="F2283" t="str">
        <f>""</f>
        <v/>
      </c>
      <c r="G2283" t="str">
        <f>""</f>
        <v/>
      </c>
      <c r="I2283" t="str">
        <f t="shared" si="41"/>
        <v>BCBS PAYABLE</v>
      </c>
    </row>
    <row r="2284" spans="1:9" x14ac:dyDescent="0.3">
      <c r="A2284" t="str">
        <f>""</f>
        <v/>
      </c>
      <c r="F2284" t="str">
        <f>""</f>
        <v/>
      </c>
      <c r="G2284" t="str">
        <f>""</f>
        <v/>
      </c>
      <c r="I2284" t="str">
        <f t="shared" si="41"/>
        <v>BCBS PAYABLE</v>
      </c>
    </row>
    <row r="2285" spans="1:9" x14ac:dyDescent="0.3">
      <c r="A2285" t="str">
        <f>""</f>
        <v/>
      </c>
      <c r="F2285" t="str">
        <f>""</f>
        <v/>
      </c>
      <c r="G2285" t="str">
        <f>""</f>
        <v/>
      </c>
      <c r="I2285" t="str">
        <f t="shared" si="41"/>
        <v>BCBS PAYABLE</v>
      </c>
    </row>
    <row r="2286" spans="1:9" x14ac:dyDescent="0.3">
      <c r="A2286" t="str">
        <f>""</f>
        <v/>
      </c>
      <c r="F2286" t="str">
        <f>""</f>
        <v/>
      </c>
      <c r="G2286" t="str">
        <f>""</f>
        <v/>
      </c>
      <c r="I2286" t="str">
        <f t="shared" si="41"/>
        <v>BCBS PAYABLE</v>
      </c>
    </row>
    <row r="2287" spans="1:9" x14ac:dyDescent="0.3">
      <c r="A2287" t="str">
        <f>""</f>
        <v/>
      </c>
      <c r="F2287" t="str">
        <f>"2EF201803079264"</f>
        <v>2EF201803079264</v>
      </c>
      <c r="G2287" t="str">
        <f>"BCBS PAYABLE"</f>
        <v>BCBS PAYABLE</v>
      </c>
      <c r="H2287">
        <v>2675.61</v>
      </c>
      <c r="I2287" t="str">
        <f t="shared" si="41"/>
        <v>BCBS PAYABLE</v>
      </c>
    </row>
    <row r="2288" spans="1:9" x14ac:dyDescent="0.3">
      <c r="A2288" t="str">
        <f>""</f>
        <v/>
      </c>
      <c r="F2288" t="str">
        <f>""</f>
        <v/>
      </c>
      <c r="G2288" t="str">
        <f>""</f>
        <v/>
      </c>
      <c r="I2288" t="str">
        <f t="shared" si="41"/>
        <v>BCBS PAYABLE</v>
      </c>
    </row>
    <row r="2289" spans="1:9" x14ac:dyDescent="0.3">
      <c r="A2289" t="str">
        <f>""</f>
        <v/>
      </c>
      <c r="F2289" t="str">
        <f>""</f>
        <v/>
      </c>
      <c r="G2289" t="str">
        <f>""</f>
        <v/>
      </c>
      <c r="I2289" t="str">
        <f t="shared" si="41"/>
        <v>BCBS PAYABLE</v>
      </c>
    </row>
    <row r="2290" spans="1:9" x14ac:dyDescent="0.3">
      <c r="A2290" t="str">
        <f>""</f>
        <v/>
      </c>
      <c r="F2290" t="str">
        <f>""</f>
        <v/>
      </c>
      <c r="G2290" t="str">
        <f>""</f>
        <v/>
      </c>
      <c r="I2290" t="str">
        <f t="shared" si="41"/>
        <v>BCBS PAYABLE</v>
      </c>
    </row>
    <row r="2291" spans="1:9" x14ac:dyDescent="0.3">
      <c r="A2291" t="str">
        <f>""</f>
        <v/>
      </c>
      <c r="F2291" t="str">
        <f>"2EF201803219717"</f>
        <v>2EF201803219717</v>
      </c>
      <c r="G2291" t="str">
        <f>"BCBS PAYABLE"</f>
        <v>BCBS PAYABLE</v>
      </c>
      <c r="H2291">
        <v>2675.61</v>
      </c>
      <c r="I2291" t="str">
        <f t="shared" si="41"/>
        <v>BCBS PAYABLE</v>
      </c>
    </row>
    <row r="2292" spans="1:9" x14ac:dyDescent="0.3">
      <c r="A2292" t="str">
        <f>""</f>
        <v/>
      </c>
      <c r="F2292" t="str">
        <f>""</f>
        <v/>
      </c>
      <c r="G2292" t="str">
        <f>""</f>
        <v/>
      </c>
      <c r="I2292" t="str">
        <f t="shared" si="41"/>
        <v>BCBS PAYABLE</v>
      </c>
    </row>
    <row r="2293" spans="1:9" x14ac:dyDescent="0.3">
      <c r="A2293" t="str">
        <f>""</f>
        <v/>
      </c>
      <c r="F2293" t="str">
        <f>""</f>
        <v/>
      </c>
      <c r="G2293" t="str">
        <f>""</f>
        <v/>
      </c>
      <c r="I2293" t="str">
        <f t="shared" si="41"/>
        <v>BCBS PAYABLE</v>
      </c>
    </row>
    <row r="2294" spans="1:9" x14ac:dyDescent="0.3">
      <c r="A2294" t="str">
        <f>""</f>
        <v/>
      </c>
      <c r="F2294" t="str">
        <f>""</f>
        <v/>
      </c>
      <c r="G2294" t="str">
        <f>""</f>
        <v/>
      </c>
      <c r="I2294" t="str">
        <f t="shared" si="41"/>
        <v>BCBS PAYABLE</v>
      </c>
    </row>
    <row r="2295" spans="1:9" x14ac:dyDescent="0.3">
      <c r="A2295" t="str">
        <f>""</f>
        <v/>
      </c>
      <c r="F2295" t="str">
        <f>"2EO201803079264"</f>
        <v>2EO201803079264</v>
      </c>
      <c r="G2295" t="str">
        <f>"BCBS PAYABLE"</f>
        <v>BCBS PAYABLE</v>
      </c>
      <c r="H2295">
        <v>92081.46</v>
      </c>
      <c r="I2295" t="str">
        <f t="shared" si="41"/>
        <v>BCBS PAYABLE</v>
      </c>
    </row>
    <row r="2296" spans="1:9" x14ac:dyDescent="0.3">
      <c r="A2296" t="str">
        <f>""</f>
        <v/>
      </c>
      <c r="F2296" t="str">
        <f>""</f>
        <v/>
      </c>
      <c r="G2296" t="str">
        <f>""</f>
        <v/>
      </c>
      <c r="I2296" t="str">
        <f t="shared" si="41"/>
        <v>BCBS PAYABLE</v>
      </c>
    </row>
    <row r="2297" spans="1:9" x14ac:dyDescent="0.3">
      <c r="A2297" t="str">
        <f>""</f>
        <v/>
      </c>
      <c r="F2297" t="str">
        <f>""</f>
        <v/>
      </c>
      <c r="G2297" t="str">
        <f>""</f>
        <v/>
      </c>
      <c r="I2297" t="str">
        <f t="shared" si="41"/>
        <v>BCBS PAYABLE</v>
      </c>
    </row>
    <row r="2298" spans="1:9" x14ac:dyDescent="0.3">
      <c r="A2298" t="str">
        <f>""</f>
        <v/>
      </c>
      <c r="F2298" t="str">
        <f>""</f>
        <v/>
      </c>
      <c r="G2298" t="str">
        <f>""</f>
        <v/>
      </c>
      <c r="I2298" t="str">
        <f t="shared" si="41"/>
        <v>BCBS PAYABLE</v>
      </c>
    </row>
    <row r="2299" spans="1:9" x14ac:dyDescent="0.3">
      <c r="A2299" t="str">
        <f>""</f>
        <v/>
      </c>
      <c r="F2299" t="str">
        <f>""</f>
        <v/>
      </c>
      <c r="G2299" t="str">
        <f>""</f>
        <v/>
      </c>
      <c r="I2299" t="str">
        <f t="shared" si="41"/>
        <v>BCBS PAYABLE</v>
      </c>
    </row>
    <row r="2300" spans="1:9" x14ac:dyDescent="0.3">
      <c r="A2300" t="str">
        <f>""</f>
        <v/>
      </c>
      <c r="F2300" t="str">
        <f>""</f>
        <v/>
      </c>
      <c r="G2300" t="str">
        <f>""</f>
        <v/>
      </c>
      <c r="I2300" t="str">
        <f t="shared" si="41"/>
        <v>BCBS PAYABLE</v>
      </c>
    </row>
    <row r="2301" spans="1:9" x14ac:dyDescent="0.3">
      <c r="A2301" t="str">
        <f>""</f>
        <v/>
      </c>
      <c r="F2301" t="str">
        <f>""</f>
        <v/>
      </c>
      <c r="G2301" t="str">
        <f>""</f>
        <v/>
      </c>
      <c r="I2301" t="str">
        <f t="shared" si="41"/>
        <v>BCBS PAYABLE</v>
      </c>
    </row>
    <row r="2302" spans="1:9" x14ac:dyDescent="0.3">
      <c r="A2302" t="str">
        <f>""</f>
        <v/>
      </c>
      <c r="F2302" t="str">
        <f>""</f>
        <v/>
      </c>
      <c r="G2302" t="str">
        <f>""</f>
        <v/>
      </c>
      <c r="I2302" t="str">
        <f t="shared" si="41"/>
        <v>BCBS PAYABLE</v>
      </c>
    </row>
    <row r="2303" spans="1:9" x14ac:dyDescent="0.3">
      <c r="A2303" t="str">
        <f>""</f>
        <v/>
      </c>
      <c r="F2303" t="str">
        <f>""</f>
        <v/>
      </c>
      <c r="G2303" t="str">
        <f>""</f>
        <v/>
      </c>
      <c r="I2303" t="str">
        <f t="shared" si="41"/>
        <v>BCBS PAYABLE</v>
      </c>
    </row>
    <row r="2304" spans="1:9" x14ac:dyDescent="0.3">
      <c r="A2304" t="str">
        <f>""</f>
        <v/>
      </c>
      <c r="F2304" t="str">
        <f>""</f>
        <v/>
      </c>
      <c r="G2304" t="str">
        <f>""</f>
        <v/>
      </c>
      <c r="I2304" t="str">
        <f t="shared" si="41"/>
        <v>BCBS PAYABLE</v>
      </c>
    </row>
    <row r="2305" spans="1:9" x14ac:dyDescent="0.3">
      <c r="A2305" t="str">
        <f>""</f>
        <v/>
      </c>
      <c r="F2305" t="str">
        <f>""</f>
        <v/>
      </c>
      <c r="G2305" t="str">
        <f>""</f>
        <v/>
      </c>
      <c r="I2305" t="str">
        <f t="shared" si="41"/>
        <v>BCBS PAYABLE</v>
      </c>
    </row>
    <row r="2306" spans="1:9" x14ac:dyDescent="0.3">
      <c r="A2306" t="str">
        <f>""</f>
        <v/>
      </c>
      <c r="F2306" t="str">
        <f>""</f>
        <v/>
      </c>
      <c r="G2306" t="str">
        <f>""</f>
        <v/>
      </c>
      <c r="I2306" t="str">
        <f t="shared" si="41"/>
        <v>BCBS PAYABLE</v>
      </c>
    </row>
    <row r="2307" spans="1:9" x14ac:dyDescent="0.3">
      <c r="A2307" t="str">
        <f>""</f>
        <v/>
      </c>
      <c r="F2307" t="str">
        <f>""</f>
        <v/>
      </c>
      <c r="G2307" t="str">
        <f>""</f>
        <v/>
      </c>
      <c r="I2307" t="str">
        <f t="shared" si="41"/>
        <v>BCBS PAYABLE</v>
      </c>
    </row>
    <row r="2308" spans="1:9" x14ac:dyDescent="0.3">
      <c r="A2308" t="str">
        <f>""</f>
        <v/>
      </c>
      <c r="F2308" t="str">
        <f>""</f>
        <v/>
      </c>
      <c r="G2308" t="str">
        <f>""</f>
        <v/>
      </c>
      <c r="I2308" t="str">
        <f t="shared" si="41"/>
        <v>BCBS PAYABLE</v>
      </c>
    </row>
    <row r="2309" spans="1:9" x14ac:dyDescent="0.3">
      <c r="A2309" t="str">
        <f>""</f>
        <v/>
      </c>
      <c r="F2309" t="str">
        <f>""</f>
        <v/>
      </c>
      <c r="G2309" t="str">
        <f>""</f>
        <v/>
      </c>
      <c r="I2309" t="str">
        <f t="shared" si="41"/>
        <v>BCBS PAYABLE</v>
      </c>
    </row>
    <row r="2310" spans="1:9" x14ac:dyDescent="0.3">
      <c r="A2310" t="str">
        <f>""</f>
        <v/>
      </c>
      <c r="F2310" t="str">
        <f>""</f>
        <v/>
      </c>
      <c r="G2310" t="str">
        <f>""</f>
        <v/>
      </c>
      <c r="I2310" t="str">
        <f t="shared" si="41"/>
        <v>BCBS PAYABLE</v>
      </c>
    </row>
    <row r="2311" spans="1:9" x14ac:dyDescent="0.3">
      <c r="A2311" t="str">
        <f>""</f>
        <v/>
      </c>
      <c r="F2311" t="str">
        <f>""</f>
        <v/>
      </c>
      <c r="G2311" t="str">
        <f>""</f>
        <v/>
      </c>
      <c r="I2311" t="str">
        <f t="shared" si="41"/>
        <v>BCBS PAYABLE</v>
      </c>
    </row>
    <row r="2312" spans="1:9" x14ac:dyDescent="0.3">
      <c r="A2312" t="str">
        <f>""</f>
        <v/>
      </c>
      <c r="F2312" t="str">
        <f>""</f>
        <v/>
      </c>
      <c r="G2312" t="str">
        <f>""</f>
        <v/>
      </c>
      <c r="I2312" t="str">
        <f t="shared" si="41"/>
        <v>BCBS PAYABLE</v>
      </c>
    </row>
    <row r="2313" spans="1:9" x14ac:dyDescent="0.3">
      <c r="A2313" t="str">
        <f>""</f>
        <v/>
      </c>
      <c r="F2313" t="str">
        <f>""</f>
        <v/>
      </c>
      <c r="G2313" t="str">
        <f>""</f>
        <v/>
      </c>
      <c r="I2313" t="str">
        <f t="shared" si="41"/>
        <v>BCBS PAYABLE</v>
      </c>
    </row>
    <row r="2314" spans="1:9" x14ac:dyDescent="0.3">
      <c r="A2314" t="str">
        <f>""</f>
        <v/>
      </c>
      <c r="F2314" t="str">
        <f>""</f>
        <v/>
      </c>
      <c r="G2314" t="str">
        <f>""</f>
        <v/>
      </c>
      <c r="I2314" t="str">
        <f t="shared" si="41"/>
        <v>BCBS PAYABLE</v>
      </c>
    </row>
    <row r="2315" spans="1:9" x14ac:dyDescent="0.3">
      <c r="A2315" t="str">
        <f>""</f>
        <v/>
      </c>
      <c r="F2315" t="str">
        <f>""</f>
        <v/>
      </c>
      <c r="G2315" t="str">
        <f>""</f>
        <v/>
      </c>
      <c r="I2315" t="str">
        <f t="shared" si="41"/>
        <v>BCBS PAYABLE</v>
      </c>
    </row>
    <row r="2316" spans="1:9" x14ac:dyDescent="0.3">
      <c r="A2316" t="str">
        <f>""</f>
        <v/>
      </c>
      <c r="F2316" t="str">
        <f>""</f>
        <v/>
      </c>
      <c r="G2316" t="str">
        <f>""</f>
        <v/>
      </c>
      <c r="I2316" t="str">
        <f t="shared" si="41"/>
        <v>BCBS PAYABLE</v>
      </c>
    </row>
    <row r="2317" spans="1:9" x14ac:dyDescent="0.3">
      <c r="A2317" t="str">
        <f>""</f>
        <v/>
      </c>
      <c r="F2317" t="str">
        <f>""</f>
        <v/>
      </c>
      <c r="G2317" t="str">
        <f>""</f>
        <v/>
      </c>
      <c r="I2317" t="str">
        <f t="shared" si="41"/>
        <v>BCBS PAYABLE</v>
      </c>
    </row>
    <row r="2318" spans="1:9" x14ac:dyDescent="0.3">
      <c r="A2318" t="str">
        <f>""</f>
        <v/>
      </c>
      <c r="F2318" t="str">
        <f>""</f>
        <v/>
      </c>
      <c r="G2318" t="str">
        <f>""</f>
        <v/>
      </c>
      <c r="I2318" t="str">
        <f t="shared" si="41"/>
        <v>BCBS PAYABLE</v>
      </c>
    </row>
    <row r="2319" spans="1:9" x14ac:dyDescent="0.3">
      <c r="A2319" t="str">
        <f>""</f>
        <v/>
      </c>
      <c r="F2319" t="str">
        <f>""</f>
        <v/>
      </c>
      <c r="G2319" t="str">
        <f>""</f>
        <v/>
      </c>
      <c r="I2319" t="str">
        <f t="shared" si="41"/>
        <v>BCBS PAYABLE</v>
      </c>
    </row>
    <row r="2320" spans="1:9" x14ac:dyDescent="0.3">
      <c r="A2320" t="str">
        <f>""</f>
        <v/>
      </c>
      <c r="F2320" t="str">
        <f>""</f>
        <v/>
      </c>
      <c r="G2320" t="str">
        <f>""</f>
        <v/>
      </c>
      <c r="I2320" t="str">
        <f t="shared" si="41"/>
        <v>BCBS PAYABLE</v>
      </c>
    </row>
    <row r="2321" spans="1:9" x14ac:dyDescent="0.3">
      <c r="A2321" t="str">
        <f>""</f>
        <v/>
      </c>
      <c r="F2321" t="str">
        <f>""</f>
        <v/>
      </c>
      <c r="G2321" t="str">
        <f>""</f>
        <v/>
      </c>
      <c r="I2321" t="str">
        <f t="shared" si="41"/>
        <v>BCBS PAYABLE</v>
      </c>
    </row>
    <row r="2322" spans="1:9" x14ac:dyDescent="0.3">
      <c r="A2322" t="str">
        <f>""</f>
        <v/>
      </c>
      <c r="F2322" t="str">
        <f>""</f>
        <v/>
      </c>
      <c r="G2322" t="str">
        <f>""</f>
        <v/>
      </c>
      <c r="I2322" t="str">
        <f t="shared" si="41"/>
        <v>BCBS PAYABLE</v>
      </c>
    </row>
    <row r="2323" spans="1:9" x14ac:dyDescent="0.3">
      <c r="A2323" t="str">
        <f>""</f>
        <v/>
      </c>
      <c r="F2323" t="str">
        <f>""</f>
        <v/>
      </c>
      <c r="G2323" t="str">
        <f>""</f>
        <v/>
      </c>
      <c r="I2323" t="str">
        <f t="shared" si="41"/>
        <v>BCBS PAYABLE</v>
      </c>
    </row>
    <row r="2324" spans="1:9" x14ac:dyDescent="0.3">
      <c r="A2324" t="str">
        <f>""</f>
        <v/>
      </c>
      <c r="F2324" t="str">
        <f>""</f>
        <v/>
      </c>
      <c r="G2324" t="str">
        <f>""</f>
        <v/>
      </c>
      <c r="I2324" t="str">
        <f t="shared" si="41"/>
        <v>BCBS PAYABLE</v>
      </c>
    </row>
    <row r="2325" spans="1:9" x14ac:dyDescent="0.3">
      <c r="A2325" t="str">
        <f>""</f>
        <v/>
      </c>
      <c r="F2325" t="str">
        <f>""</f>
        <v/>
      </c>
      <c r="G2325" t="str">
        <f>""</f>
        <v/>
      </c>
      <c r="I2325" t="str">
        <f t="shared" si="41"/>
        <v>BCBS PAYABLE</v>
      </c>
    </row>
    <row r="2326" spans="1:9" x14ac:dyDescent="0.3">
      <c r="A2326" t="str">
        <f>""</f>
        <v/>
      </c>
      <c r="F2326" t="str">
        <f>""</f>
        <v/>
      </c>
      <c r="G2326" t="str">
        <f>""</f>
        <v/>
      </c>
      <c r="I2326" t="str">
        <f t="shared" si="41"/>
        <v>BCBS PAYABLE</v>
      </c>
    </row>
    <row r="2327" spans="1:9" x14ac:dyDescent="0.3">
      <c r="A2327" t="str">
        <f>""</f>
        <v/>
      </c>
      <c r="F2327" t="str">
        <f>""</f>
        <v/>
      </c>
      <c r="G2327" t="str">
        <f>""</f>
        <v/>
      </c>
      <c r="I2327" t="str">
        <f t="shared" si="41"/>
        <v>BCBS PAYABLE</v>
      </c>
    </row>
    <row r="2328" spans="1:9" x14ac:dyDescent="0.3">
      <c r="A2328" t="str">
        <f>""</f>
        <v/>
      </c>
      <c r="F2328" t="str">
        <f>""</f>
        <v/>
      </c>
      <c r="G2328" t="str">
        <f>""</f>
        <v/>
      </c>
      <c r="I2328" t="str">
        <f t="shared" si="41"/>
        <v>BCBS PAYABLE</v>
      </c>
    </row>
    <row r="2329" spans="1:9" x14ac:dyDescent="0.3">
      <c r="A2329" t="str">
        <f>""</f>
        <v/>
      </c>
      <c r="F2329" t="str">
        <f>""</f>
        <v/>
      </c>
      <c r="G2329" t="str">
        <f>""</f>
        <v/>
      </c>
      <c r="I2329" t="str">
        <f t="shared" si="41"/>
        <v>BCBS PAYABLE</v>
      </c>
    </row>
    <row r="2330" spans="1:9" x14ac:dyDescent="0.3">
      <c r="A2330" t="str">
        <f>""</f>
        <v/>
      </c>
      <c r="F2330" t="str">
        <f>""</f>
        <v/>
      </c>
      <c r="G2330" t="str">
        <f>""</f>
        <v/>
      </c>
      <c r="I2330" t="str">
        <f t="shared" si="41"/>
        <v>BCBS PAYABLE</v>
      </c>
    </row>
    <row r="2331" spans="1:9" x14ac:dyDescent="0.3">
      <c r="A2331" t="str">
        <f>""</f>
        <v/>
      </c>
      <c r="F2331" t="str">
        <f>""</f>
        <v/>
      </c>
      <c r="G2331" t="str">
        <f>""</f>
        <v/>
      </c>
      <c r="I2331" t="str">
        <f t="shared" si="41"/>
        <v>BCBS PAYABLE</v>
      </c>
    </row>
    <row r="2332" spans="1:9" x14ac:dyDescent="0.3">
      <c r="A2332" t="str">
        <f>""</f>
        <v/>
      </c>
      <c r="F2332" t="str">
        <f>""</f>
        <v/>
      </c>
      <c r="G2332" t="str">
        <f>""</f>
        <v/>
      </c>
      <c r="I2332" t="str">
        <f t="shared" si="41"/>
        <v>BCBS PAYABLE</v>
      </c>
    </row>
    <row r="2333" spans="1:9" x14ac:dyDescent="0.3">
      <c r="A2333" t="str">
        <f>""</f>
        <v/>
      </c>
      <c r="F2333" t="str">
        <f>""</f>
        <v/>
      </c>
      <c r="G2333" t="str">
        <f>""</f>
        <v/>
      </c>
      <c r="I2333" t="str">
        <f t="shared" si="41"/>
        <v>BCBS PAYABLE</v>
      </c>
    </row>
    <row r="2334" spans="1:9" x14ac:dyDescent="0.3">
      <c r="A2334" t="str">
        <f>""</f>
        <v/>
      </c>
      <c r="F2334" t="str">
        <f>""</f>
        <v/>
      </c>
      <c r="G2334" t="str">
        <f>""</f>
        <v/>
      </c>
      <c r="I2334" t="str">
        <f t="shared" si="41"/>
        <v>BCBS PAYABLE</v>
      </c>
    </row>
    <row r="2335" spans="1:9" x14ac:dyDescent="0.3">
      <c r="A2335" t="str">
        <f>""</f>
        <v/>
      </c>
      <c r="F2335" t="str">
        <f>""</f>
        <v/>
      </c>
      <c r="G2335" t="str">
        <f>""</f>
        <v/>
      </c>
      <c r="I2335" t="str">
        <f t="shared" si="41"/>
        <v>BCBS PAYABLE</v>
      </c>
    </row>
    <row r="2336" spans="1:9" x14ac:dyDescent="0.3">
      <c r="A2336" t="str">
        <f>""</f>
        <v/>
      </c>
      <c r="F2336" t="str">
        <f>""</f>
        <v/>
      </c>
      <c r="G2336" t="str">
        <f>""</f>
        <v/>
      </c>
      <c r="I2336" t="str">
        <f t="shared" si="41"/>
        <v>BCBS PAYABLE</v>
      </c>
    </row>
    <row r="2337" spans="1:9" x14ac:dyDescent="0.3">
      <c r="A2337" t="str">
        <f>""</f>
        <v/>
      </c>
      <c r="F2337" t="str">
        <f>"2EO201803079268"</f>
        <v>2EO201803079268</v>
      </c>
      <c r="G2337" t="str">
        <f>"BCBS PAYABLE"</f>
        <v>BCBS PAYABLE</v>
      </c>
      <c r="H2337">
        <v>3591.83</v>
      </c>
      <c r="I2337" t="str">
        <f t="shared" si="41"/>
        <v>BCBS PAYABLE</v>
      </c>
    </row>
    <row r="2338" spans="1:9" x14ac:dyDescent="0.3">
      <c r="A2338" t="str">
        <f>""</f>
        <v/>
      </c>
      <c r="F2338" t="str">
        <f>"2EO201803219715"</f>
        <v>2EO201803219715</v>
      </c>
      <c r="G2338" t="str">
        <f>"BCBS PAYABLE"</f>
        <v>BCBS PAYABLE</v>
      </c>
      <c r="H2338">
        <v>3591.83</v>
      </c>
      <c r="I2338" t="str">
        <f t="shared" si="41"/>
        <v>BCBS PAYABLE</v>
      </c>
    </row>
    <row r="2339" spans="1:9" x14ac:dyDescent="0.3">
      <c r="A2339" t="str">
        <f>""</f>
        <v/>
      </c>
      <c r="F2339" t="str">
        <f>"2EO201803219717"</f>
        <v>2EO201803219717</v>
      </c>
      <c r="G2339" t="str">
        <f>"BCBS PAYABLE"</f>
        <v>BCBS PAYABLE</v>
      </c>
      <c r="H2339">
        <v>90775.34</v>
      </c>
      <c r="I2339" t="str">
        <f t="shared" si="41"/>
        <v>BCBS PAYABLE</v>
      </c>
    </row>
    <row r="2340" spans="1:9" x14ac:dyDescent="0.3">
      <c r="A2340" t="str">
        <f>""</f>
        <v/>
      </c>
      <c r="F2340" t="str">
        <f>""</f>
        <v/>
      </c>
      <c r="G2340" t="str">
        <f>""</f>
        <v/>
      </c>
      <c r="I2340" t="str">
        <f t="shared" si="41"/>
        <v>BCBS PAYABLE</v>
      </c>
    </row>
    <row r="2341" spans="1:9" x14ac:dyDescent="0.3">
      <c r="A2341" t="str">
        <f>""</f>
        <v/>
      </c>
      <c r="F2341" t="str">
        <f>""</f>
        <v/>
      </c>
      <c r="G2341" t="str">
        <f>""</f>
        <v/>
      </c>
      <c r="I2341" t="str">
        <f t="shared" si="41"/>
        <v>BCBS PAYABLE</v>
      </c>
    </row>
    <row r="2342" spans="1:9" x14ac:dyDescent="0.3">
      <c r="A2342" t="str">
        <f>""</f>
        <v/>
      </c>
      <c r="F2342" t="str">
        <f>""</f>
        <v/>
      </c>
      <c r="G2342" t="str">
        <f>""</f>
        <v/>
      </c>
      <c r="I2342" t="str">
        <f t="shared" si="41"/>
        <v>BCBS PAYABLE</v>
      </c>
    </row>
    <row r="2343" spans="1:9" x14ac:dyDescent="0.3">
      <c r="A2343" t="str">
        <f>""</f>
        <v/>
      </c>
      <c r="F2343" t="str">
        <f>""</f>
        <v/>
      </c>
      <c r="G2343" t="str">
        <f>""</f>
        <v/>
      </c>
      <c r="I2343" t="str">
        <f t="shared" si="41"/>
        <v>BCBS PAYABLE</v>
      </c>
    </row>
    <row r="2344" spans="1:9" x14ac:dyDescent="0.3">
      <c r="A2344" t="str">
        <f>""</f>
        <v/>
      </c>
      <c r="F2344" t="str">
        <f>""</f>
        <v/>
      </c>
      <c r="G2344" t="str">
        <f>""</f>
        <v/>
      </c>
      <c r="I2344" t="str">
        <f t="shared" si="41"/>
        <v>BCBS PAYABLE</v>
      </c>
    </row>
    <row r="2345" spans="1:9" x14ac:dyDescent="0.3">
      <c r="A2345" t="str">
        <f>""</f>
        <v/>
      </c>
      <c r="F2345" t="str">
        <f>""</f>
        <v/>
      </c>
      <c r="G2345" t="str">
        <f>""</f>
        <v/>
      </c>
      <c r="I2345" t="str">
        <f t="shared" ref="I2345:I2408" si="42">"BCBS PAYABLE"</f>
        <v>BCBS PAYABLE</v>
      </c>
    </row>
    <row r="2346" spans="1:9" x14ac:dyDescent="0.3">
      <c r="A2346" t="str">
        <f>""</f>
        <v/>
      </c>
      <c r="F2346" t="str">
        <f>""</f>
        <v/>
      </c>
      <c r="G2346" t="str">
        <f>""</f>
        <v/>
      </c>
      <c r="I2346" t="str">
        <f t="shared" si="42"/>
        <v>BCBS PAYABLE</v>
      </c>
    </row>
    <row r="2347" spans="1:9" x14ac:dyDescent="0.3">
      <c r="A2347" t="str">
        <f>""</f>
        <v/>
      </c>
      <c r="F2347" t="str">
        <f>""</f>
        <v/>
      </c>
      <c r="G2347" t="str">
        <f>""</f>
        <v/>
      </c>
      <c r="I2347" t="str">
        <f t="shared" si="42"/>
        <v>BCBS PAYABLE</v>
      </c>
    </row>
    <row r="2348" spans="1:9" x14ac:dyDescent="0.3">
      <c r="A2348" t="str">
        <f>""</f>
        <v/>
      </c>
      <c r="F2348" t="str">
        <f>""</f>
        <v/>
      </c>
      <c r="G2348" t="str">
        <f>""</f>
        <v/>
      </c>
      <c r="I2348" t="str">
        <f t="shared" si="42"/>
        <v>BCBS PAYABLE</v>
      </c>
    </row>
    <row r="2349" spans="1:9" x14ac:dyDescent="0.3">
      <c r="A2349" t="str">
        <f>""</f>
        <v/>
      </c>
      <c r="F2349" t="str">
        <f>""</f>
        <v/>
      </c>
      <c r="G2349" t="str">
        <f>""</f>
        <v/>
      </c>
      <c r="I2349" t="str">
        <f t="shared" si="42"/>
        <v>BCBS PAYABLE</v>
      </c>
    </row>
    <row r="2350" spans="1:9" x14ac:dyDescent="0.3">
      <c r="A2350" t="str">
        <f>""</f>
        <v/>
      </c>
      <c r="F2350" t="str">
        <f>""</f>
        <v/>
      </c>
      <c r="G2350" t="str">
        <f>""</f>
        <v/>
      </c>
      <c r="I2350" t="str">
        <f t="shared" si="42"/>
        <v>BCBS PAYABLE</v>
      </c>
    </row>
    <row r="2351" spans="1:9" x14ac:dyDescent="0.3">
      <c r="A2351" t="str">
        <f>""</f>
        <v/>
      </c>
      <c r="F2351" t="str">
        <f>""</f>
        <v/>
      </c>
      <c r="G2351" t="str">
        <f>""</f>
        <v/>
      </c>
      <c r="I2351" t="str">
        <f t="shared" si="42"/>
        <v>BCBS PAYABLE</v>
      </c>
    </row>
    <row r="2352" spans="1:9" x14ac:dyDescent="0.3">
      <c r="A2352" t="str">
        <f>""</f>
        <v/>
      </c>
      <c r="F2352" t="str">
        <f>""</f>
        <v/>
      </c>
      <c r="G2352" t="str">
        <f>""</f>
        <v/>
      </c>
      <c r="I2352" t="str">
        <f t="shared" si="42"/>
        <v>BCBS PAYABLE</v>
      </c>
    </row>
    <row r="2353" spans="1:9" x14ac:dyDescent="0.3">
      <c r="A2353" t="str">
        <f>""</f>
        <v/>
      </c>
      <c r="F2353" t="str">
        <f>""</f>
        <v/>
      </c>
      <c r="G2353" t="str">
        <f>""</f>
        <v/>
      </c>
      <c r="I2353" t="str">
        <f t="shared" si="42"/>
        <v>BCBS PAYABLE</v>
      </c>
    </row>
    <row r="2354" spans="1:9" x14ac:dyDescent="0.3">
      <c r="A2354" t="str">
        <f>""</f>
        <v/>
      </c>
      <c r="F2354" t="str">
        <f>""</f>
        <v/>
      </c>
      <c r="G2354" t="str">
        <f>""</f>
        <v/>
      </c>
      <c r="I2354" t="str">
        <f t="shared" si="42"/>
        <v>BCBS PAYABLE</v>
      </c>
    </row>
    <row r="2355" spans="1:9" x14ac:dyDescent="0.3">
      <c r="A2355" t="str">
        <f>""</f>
        <v/>
      </c>
      <c r="F2355" t="str">
        <f>""</f>
        <v/>
      </c>
      <c r="G2355" t="str">
        <f>""</f>
        <v/>
      </c>
      <c r="I2355" t="str">
        <f t="shared" si="42"/>
        <v>BCBS PAYABLE</v>
      </c>
    </row>
    <row r="2356" spans="1:9" x14ac:dyDescent="0.3">
      <c r="A2356" t="str">
        <f>""</f>
        <v/>
      </c>
      <c r="F2356" t="str">
        <f>""</f>
        <v/>
      </c>
      <c r="G2356" t="str">
        <f>""</f>
        <v/>
      </c>
      <c r="I2356" t="str">
        <f t="shared" si="42"/>
        <v>BCBS PAYABLE</v>
      </c>
    </row>
    <row r="2357" spans="1:9" x14ac:dyDescent="0.3">
      <c r="A2357" t="str">
        <f>""</f>
        <v/>
      </c>
      <c r="F2357" t="str">
        <f>""</f>
        <v/>
      </c>
      <c r="G2357" t="str">
        <f>""</f>
        <v/>
      </c>
      <c r="I2357" t="str">
        <f t="shared" si="42"/>
        <v>BCBS PAYABLE</v>
      </c>
    </row>
    <row r="2358" spans="1:9" x14ac:dyDescent="0.3">
      <c r="A2358" t="str">
        <f>""</f>
        <v/>
      </c>
      <c r="F2358" t="str">
        <f>""</f>
        <v/>
      </c>
      <c r="G2358" t="str">
        <f>""</f>
        <v/>
      </c>
      <c r="I2358" t="str">
        <f t="shared" si="42"/>
        <v>BCBS PAYABLE</v>
      </c>
    </row>
    <row r="2359" spans="1:9" x14ac:dyDescent="0.3">
      <c r="A2359" t="str">
        <f>""</f>
        <v/>
      </c>
      <c r="F2359" t="str">
        <f>""</f>
        <v/>
      </c>
      <c r="G2359" t="str">
        <f>""</f>
        <v/>
      </c>
      <c r="I2359" t="str">
        <f t="shared" si="42"/>
        <v>BCBS PAYABLE</v>
      </c>
    </row>
    <row r="2360" spans="1:9" x14ac:dyDescent="0.3">
      <c r="A2360" t="str">
        <f>""</f>
        <v/>
      </c>
      <c r="F2360" t="str">
        <f>""</f>
        <v/>
      </c>
      <c r="G2360" t="str">
        <f>""</f>
        <v/>
      </c>
      <c r="I2360" t="str">
        <f t="shared" si="42"/>
        <v>BCBS PAYABLE</v>
      </c>
    </row>
    <row r="2361" spans="1:9" x14ac:dyDescent="0.3">
      <c r="A2361" t="str">
        <f>""</f>
        <v/>
      </c>
      <c r="F2361" t="str">
        <f>""</f>
        <v/>
      </c>
      <c r="G2361" t="str">
        <f>""</f>
        <v/>
      </c>
      <c r="I2361" t="str">
        <f t="shared" si="42"/>
        <v>BCBS PAYABLE</v>
      </c>
    </row>
    <row r="2362" spans="1:9" x14ac:dyDescent="0.3">
      <c r="A2362" t="str">
        <f>""</f>
        <v/>
      </c>
      <c r="F2362" t="str">
        <f>""</f>
        <v/>
      </c>
      <c r="G2362" t="str">
        <f>""</f>
        <v/>
      </c>
      <c r="I2362" t="str">
        <f t="shared" si="42"/>
        <v>BCBS PAYABLE</v>
      </c>
    </row>
    <row r="2363" spans="1:9" x14ac:dyDescent="0.3">
      <c r="A2363" t="str">
        <f>""</f>
        <v/>
      </c>
      <c r="F2363" t="str">
        <f>""</f>
        <v/>
      </c>
      <c r="G2363" t="str">
        <f>""</f>
        <v/>
      </c>
      <c r="I2363" t="str">
        <f t="shared" si="42"/>
        <v>BCBS PAYABLE</v>
      </c>
    </row>
    <row r="2364" spans="1:9" x14ac:dyDescent="0.3">
      <c r="A2364" t="str">
        <f>""</f>
        <v/>
      </c>
      <c r="F2364" t="str">
        <f>""</f>
        <v/>
      </c>
      <c r="G2364" t="str">
        <f>""</f>
        <v/>
      </c>
      <c r="I2364" t="str">
        <f t="shared" si="42"/>
        <v>BCBS PAYABLE</v>
      </c>
    </row>
    <row r="2365" spans="1:9" x14ac:dyDescent="0.3">
      <c r="A2365" t="str">
        <f>""</f>
        <v/>
      </c>
      <c r="F2365" t="str">
        <f>""</f>
        <v/>
      </c>
      <c r="G2365" t="str">
        <f>""</f>
        <v/>
      </c>
      <c r="I2365" t="str">
        <f t="shared" si="42"/>
        <v>BCBS PAYABLE</v>
      </c>
    </row>
    <row r="2366" spans="1:9" x14ac:dyDescent="0.3">
      <c r="A2366" t="str">
        <f>""</f>
        <v/>
      </c>
      <c r="F2366" t="str">
        <f>""</f>
        <v/>
      </c>
      <c r="G2366" t="str">
        <f>""</f>
        <v/>
      </c>
      <c r="I2366" t="str">
        <f t="shared" si="42"/>
        <v>BCBS PAYABLE</v>
      </c>
    </row>
    <row r="2367" spans="1:9" x14ac:dyDescent="0.3">
      <c r="A2367" t="str">
        <f>""</f>
        <v/>
      </c>
      <c r="F2367" t="str">
        <f>""</f>
        <v/>
      </c>
      <c r="G2367" t="str">
        <f>""</f>
        <v/>
      </c>
      <c r="I2367" t="str">
        <f t="shared" si="42"/>
        <v>BCBS PAYABLE</v>
      </c>
    </row>
    <row r="2368" spans="1:9" x14ac:dyDescent="0.3">
      <c r="A2368" t="str">
        <f>""</f>
        <v/>
      </c>
      <c r="F2368" t="str">
        <f>""</f>
        <v/>
      </c>
      <c r="G2368" t="str">
        <f>""</f>
        <v/>
      </c>
      <c r="I2368" t="str">
        <f t="shared" si="42"/>
        <v>BCBS PAYABLE</v>
      </c>
    </row>
    <row r="2369" spans="1:9" x14ac:dyDescent="0.3">
      <c r="A2369" t="str">
        <f>""</f>
        <v/>
      </c>
      <c r="F2369" t="str">
        <f>""</f>
        <v/>
      </c>
      <c r="G2369" t="str">
        <f>""</f>
        <v/>
      </c>
      <c r="I2369" t="str">
        <f t="shared" si="42"/>
        <v>BCBS PAYABLE</v>
      </c>
    </row>
    <row r="2370" spans="1:9" x14ac:dyDescent="0.3">
      <c r="A2370" t="str">
        <f>""</f>
        <v/>
      </c>
      <c r="F2370" t="str">
        <f>""</f>
        <v/>
      </c>
      <c r="G2370" t="str">
        <f>""</f>
        <v/>
      </c>
      <c r="I2370" t="str">
        <f t="shared" si="42"/>
        <v>BCBS PAYABLE</v>
      </c>
    </row>
    <row r="2371" spans="1:9" x14ac:dyDescent="0.3">
      <c r="A2371" t="str">
        <f>""</f>
        <v/>
      </c>
      <c r="F2371" t="str">
        <f>""</f>
        <v/>
      </c>
      <c r="G2371" t="str">
        <f>""</f>
        <v/>
      </c>
      <c r="I2371" t="str">
        <f t="shared" si="42"/>
        <v>BCBS PAYABLE</v>
      </c>
    </row>
    <row r="2372" spans="1:9" x14ac:dyDescent="0.3">
      <c r="A2372" t="str">
        <f>""</f>
        <v/>
      </c>
      <c r="F2372" t="str">
        <f>""</f>
        <v/>
      </c>
      <c r="G2372" t="str">
        <f>""</f>
        <v/>
      </c>
      <c r="I2372" t="str">
        <f t="shared" si="42"/>
        <v>BCBS PAYABLE</v>
      </c>
    </row>
    <row r="2373" spans="1:9" x14ac:dyDescent="0.3">
      <c r="A2373" t="str">
        <f>""</f>
        <v/>
      </c>
      <c r="F2373" t="str">
        <f>""</f>
        <v/>
      </c>
      <c r="G2373" t="str">
        <f>""</f>
        <v/>
      </c>
      <c r="I2373" t="str">
        <f t="shared" si="42"/>
        <v>BCBS PAYABLE</v>
      </c>
    </row>
    <row r="2374" spans="1:9" x14ac:dyDescent="0.3">
      <c r="A2374" t="str">
        <f>""</f>
        <v/>
      </c>
      <c r="F2374" t="str">
        <f>""</f>
        <v/>
      </c>
      <c r="G2374" t="str">
        <f>""</f>
        <v/>
      </c>
      <c r="I2374" t="str">
        <f t="shared" si="42"/>
        <v>BCBS PAYABLE</v>
      </c>
    </row>
    <row r="2375" spans="1:9" x14ac:dyDescent="0.3">
      <c r="A2375" t="str">
        <f>""</f>
        <v/>
      </c>
      <c r="F2375" t="str">
        <f>""</f>
        <v/>
      </c>
      <c r="G2375" t="str">
        <f>""</f>
        <v/>
      </c>
      <c r="I2375" t="str">
        <f t="shared" si="42"/>
        <v>BCBS PAYABLE</v>
      </c>
    </row>
    <row r="2376" spans="1:9" x14ac:dyDescent="0.3">
      <c r="A2376" t="str">
        <f>""</f>
        <v/>
      </c>
      <c r="F2376" t="str">
        <f>""</f>
        <v/>
      </c>
      <c r="G2376" t="str">
        <f>""</f>
        <v/>
      </c>
      <c r="I2376" t="str">
        <f t="shared" si="42"/>
        <v>BCBS PAYABLE</v>
      </c>
    </row>
    <row r="2377" spans="1:9" x14ac:dyDescent="0.3">
      <c r="A2377" t="str">
        <f>""</f>
        <v/>
      </c>
      <c r="F2377" t="str">
        <f>""</f>
        <v/>
      </c>
      <c r="G2377" t="str">
        <f>""</f>
        <v/>
      </c>
      <c r="I2377" t="str">
        <f t="shared" si="42"/>
        <v>BCBS PAYABLE</v>
      </c>
    </row>
    <row r="2378" spans="1:9" x14ac:dyDescent="0.3">
      <c r="A2378" t="str">
        <f>""</f>
        <v/>
      </c>
      <c r="F2378" t="str">
        <f>""</f>
        <v/>
      </c>
      <c r="G2378" t="str">
        <f>""</f>
        <v/>
      </c>
      <c r="I2378" t="str">
        <f t="shared" si="42"/>
        <v>BCBS PAYABLE</v>
      </c>
    </row>
    <row r="2379" spans="1:9" x14ac:dyDescent="0.3">
      <c r="A2379" t="str">
        <f>""</f>
        <v/>
      </c>
      <c r="F2379" t="str">
        <f>""</f>
        <v/>
      </c>
      <c r="G2379" t="str">
        <f>""</f>
        <v/>
      </c>
      <c r="I2379" t="str">
        <f t="shared" si="42"/>
        <v>BCBS PAYABLE</v>
      </c>
    </row>
    <row r="2380" spans="1:9" x14ac:dyDescent="0.3">
      <c r="A2380" t="str">
        <f>""</f>
        <v/>
      </c>
      <c r="F2380" t="str">
        <f>""</f>
        <v/>
      </c>
      <c r="G2380" t="str">
        <f>""</f>
        <v/>
      </c>
      <c r="I2380" t="str">
        <f t="shared" si="42"/>
        <v>BCBS PAYABLE</v>
      </c>
    </row>
    <row r="2381" spans="1:9" x14ac:dyDescent="0.3">
      <c r="A2381" t="str">
        <f>""</f>
        <v/>
      </c>
      <c r="F2381" t="str">
        <f>"2ES201803079264"</f>
        <v>2ES201803079264</v>
      </c>
      <c r="G2381" t="str">
        <f>"BCBS PAYABLE"</f>
        <v>BCBS PAYABLE</v>
      </c>
      <c r="H2381">
        <v>16621.439999999999</v>
      </c>
      <c r="I2381" t="str">
        <f t="shared" si="42"/>
        <v>BCBS PAYABLE</v>
      </c>
    </row>
    <row r="2382" spans="1:9" x14ac:dyDescent="0.3">
      <c r="A2382" t="str">
        <f>""</f>
        <v/>
      </c>
      <c r="F2382" t="str">
        <f>""</f>
        <v/>
      </c>
      <c r="G2382" t="str">
        <f>""</f>
        <v/>
      </c>
      <c r="I2382" t="str">
        <f t="shared" si="42"/>
        <v>BCBS PAYABLE</v>
      </c>
    </row>
    <row r="2383" spans="1:9" x14ac:dyDescent="0.3">
      <c r="A2383" t="str">
        <f>""</f>
        <v/>
      </c>
      <c r="F2383" t="str">
        <f>""</f>
        <v/>
      </c>
      <c r="G2383" t="str">
        <f>""</f>
        <v/>
      </c>
      <c r="I2383" t="str">
        <f t="shared" si="42"/>
        <v>BCBS PAYABLE</v>
      </c>
    </row>
    <row r="2384" spans="1:9" x14ac:dyDescent="0.3">
      <c r="A2384" t="str">
        <f>""</f>
        <v/>
      </c>
      <c r="F2384" t="str">
        <f>""</f>
        <v/>
      </c>
      <c r="G2384" t="str">
        <f>""</f>
        <v/>
      </c>
      <c r="I2384" t="str">
        <f t="shared" si="42"/>
        <v>BCBS PAYABLE</v>
      </c>
    </row>
    <row r="2385" spans="1:9" x14ac:dyDescent="0.3">
      <c r="A2385" t="str">
        <f>""</f>
        <v/>
      </c>
      <c r="F2385" t="str">
        <f>""</f>
        <v/>
      </c>
      <c r="G2385" t="str">
        <f>""</f>
        <v/>
      </c>
      <c r="I2385" t="str">
        <f t="shared" si="42"/>
        <v>BCBS PAYABLE</v>
      </c>
    </row>
    <row r="2386" spans="1:9" x14ac:dyDescent="0.3">
      <c r="A2386" t="str">
        <f>""</f>
        <v/>
      </c>
      <c r="F2386" t="str">
        <f>""</f>
        <v/>
      </c>
      <c r="G2386" t="str">
        <f>""</f>
        <v/>
      </c>
      <c r="I2386" t="str">
        <f t="shared" si="42"/>
        <v>BCBS PAYABLE</v>
      </c>
    </row>
    <row r="2387" spans="1:9" x14ac:dyDescent="0.3">
      <c r="A2387" t="str">
        <f>""</f>
        <v/>
      </c>
      <c r="F2387" t="str">
        <f>""</f>
        <v/>
      </c>
      <c r="G2387" t="str">
        <f>""</f>
        <v/>
      </c>
      <c r="I2387" t="str">
        <f t="shared" si="42"/>
        <v>BCBS PAYABLE</v>
      </c>
    </row>
    <row r="2388" spans="1:9" x14ac:dyDescent="0.3">
      <c r="A2388" t="str">
        <f>""</f>
        <v/>
      </c>
      <c r="F2388" t="str">
        <f>""</f>
        <v/>
      </c>
      <c r="G2388" t="str">
        <f>""</f>
        <v/>
      </c>
      <c r="I2388" t="str">
        <f t="shared" si="42"/>
        <v>BCBS PAYABLE</v>
      </c>
    </row>
    <row r="2389" spans="1:9" x14ac:dyDescent="0.3">
      <c r="A2389" t="str">
        <f>""</f>
        <v/>
      </c>
      <c r="F2389" t="str">
        <f>""</f>
        <v/>
      </c>
      <c r="G2389" t="str">
        <f>""</f>
        <v/>
      </c>
      <c r="I2389" t="str">
        <f t="shared" si="42"/>
        <v>BCBS PAYABLE</v>
      </c>
    </row>
    <row r="2390" spans="1:9" x14ac:dyDescent="0.3">
      <c r="A2390" t="str">
        <f>""</f>
        <v/>
      </c>
      <c r="F2390" t="str">
        <f>""</f>
        <v/>
      </c>
      <c r="G2390" t="str">
        <f>""</f>
        <v/>
      </c>
      <c r="I2390" t="str">
        <f t="shared" si="42"/>
        <v>BCBS PAYABLE</v>
      </c>
    </row>
    <row r="2391" spans="1:9" x14ac:dyDescent="0.3">
      <c r="A2391" t="str">
        <f>""</f>
        <v/>
      </c>
      <c r="F2391" t="str">
        <f>""</f>
        <v/>
      </c>
      <c r="G2391" t="str">
        <f>""</f>
        <v/>
      </c>
      <c r="I2391" t="str">
        <f t="shared" si="42"/>
        <v>BCBS PAYABLE</v>
      </c>
    </row>
    <row r="2392" spans="1:9" x14ac:dyDescent="0.3">
      <c r="A2392" t="str">
        <f>""</f>
        <v/>
      </c>
      <c r="F2392" t="str">
        <f>""</f>
        <v/>
      </c>
      <c r="G2392" t="str">
        <f>""</f>
        <v/>
      </c>
      <c r="I2392" t="str">
        <f t="shared" si="42"/>
        <v>BCBS PAYABLE</v>
      </c>
    </row>
    <row r="2393" spans="1:9" x14ac:dyDescent="0.3">
      <c r="A2393" t="str">
        <f>""</f>
        <v/>
      </c>
      <c r="F2393" t="str">
        <f>""</f>
        <v/>
      </c>
      <c r="G2393" t="str">
        <f>""</f>
        <v/>
      </c>
      <c r="I2393" t="str">
        <f t="shared" si="42"/>
        <v>BCBS PAYABLE</v>
      </c>
    </row>
    <row r="2394" spans="1:9" x14ac:dyDescent="0.3">
      <c r="A2394" t="str">
        <f>""</f>
        <v/>
      </c>
      <c r="F2394" t="str">
        <f>""</f>
        <v/>
      </c>
      <c r="G2394" t="str">
        <f>""</f>
        <v/>
      </c>
      <c r="I2394" t="str">
        <f t="shared" si="42"/>
        <v>BCBS PAYABLE</v>
      </c>
    </row>
    <row r="2395" spans="1:9" x14ac:dyDescent="0.3">
      <c r="A2395" t="str">
        <f>""</f>
        <v/>
      </c>
      <c r="F2395" t="str">
        <f>""</f>
        <v/>
      </c>
      <c r="G2395" t="str">
        <f>""</f>
        <v/>
      </c>
      <c r="I2395" t="str">
        <f t="shared" si="42"/>
        <v>BCBS PAYABLE</v>
      </c>
    </row>
    <row r="2396" spans="1:9" x14ac:dyDescent="0.3">
      <c r="A2396" t="str">
        <f>""</f>
        <v/>
      </c>
      <c r="F2396" t="str">
        <f>""</f>
        <v/>
      </c>
      <c r="G2396" t="str">
        <f>""</f>
        <v/>
      </c>
      <c r="I2396" t="str">
        <f t="shared" si="42"/>
        <v>BCBS PAYABLE</v>
      </c>
    </row>
    <row r="2397" spans="1:9" x14ac:dyDescent="0.3">
      <c r="A2397" t="str">
        <f>""</f>
        <v/>
      </c>
      <c r="F2397" t="str">
        <f>""</f>
        <v/>
      </c>
      <c r="G2397" t="str">
        <f>""</f>
        <v/>
      </c>
      <c r="I2397" t="str">
        <f t="shared" si="42"/>
        <v>BCBS PAYABLE</v>
      </c>
    </row>
    <row r="2398" spans="1:9" x14ac:dyDescent="0.3">
      <c r="A2398" t="str">
        <f>""</f>
        <v/>
      </c>
      <c r="F2398" t="str">
        <f>""</f>
        <v/>
      </c>
      <c r="G2398" t="str">
        <f>""</f>
        <v/>
      </c>
      <c r="I2398" t="str">
        <f t="shared" si="42"/>
        <v>BCBS PAYABLE</v>
      </c>
    </row>
    <row r="2399" spans="1:9" x14ac:dyDescent="0.3">
      <c r="A2399" t="str">
        <f>""</f>
        <v/>
      </c>
      <c r="F2399" t="str">
        <f>"2ES201803079268"</f>
        <v>2ES201803079268</v>
      </c>
      <c r="G2399" t="str">
        <f>"BCBS PAYABLE"</f>
        <v>BCBS PAYABLE</v>
      </c>
      <c r="H2399">
        <v>519.41999999999996</v>
      </c>
      <c r="I2399" t="str">
        <f t="shared" si="42"/>
        <v>BCBS PAYABLE</v>
      </c>
    </row>
    <row r="2400" spans="1:9" x14ac:dyDescent="0.3">
      <c r="A2400" t="str">
        <f>""</f>
        <v/>
      </c>
      <c r="F2400" t="str">
        <f>""</f>
        <v/>
      </c>
      <c r="G2400" t="str">
        <f>""</f>
        <v/>
      </c>
      <c r="I2400" t="str">
        <f t="shared" si="42"/>
        <v>BCBS PAYABLE</v>
      </c>
    </row>
    <row r="2401" spans="1:9" x14ac:dyDescent="0.3">
      <c r="A2401" t="str">
        <f>""</f>
        <v/>
      </c>
      <c r="F2401" t="str">
        <f>"2ES201803219715"</f>
        <v>2ES201803219715</v>
      </c>
      <c r="G2401" t="str">
        <f>"BCBS PAYABLE"</f>
        <v>BCBS PAYABLE</v>
      </c>
      <c r="H2401">
        <v>519.41999999999996</v>
      </c>
      <c r="I2401" t="str">
        <f t="shared" si="42"/>
        <v>BCBS PAYABLE</v>
      </c>
    </row>
    <row r="2402" spans="1:9" x14ac:dyDescent="0.3">
      <c r="A2402" t="str">
        <f>""</f>
        <v/>
      </c>
      <c r="F2402" t="str">
        <f>""</f>
        <v/>
      </c>
      <c r="G2402" t="str">
        <f>""</f>
        <v/>
      </c>
      <c r="I2402" t="str">
        <f t="shared" si="42"/>
        <v>BCBS PAYABLE</v>
      </c>
    </row>
    <row r="2403" spans="1:9" x14ac:dyDescent="0.3">
      <c r="A2403" t="str">
        <f>""</f>
        <v/>
      </c>
      <c r="F2403" t="str">
        <f>"2ES201803219717"</f>
        <v>2ES201803219717</v>
      </c>
      <c r="G2403" t="str">
        <f>"BCBS PAYABLE"</f>
        <v>BCBS PAYABLE</v>
      </c>
      <c r="H2403">
        <v>16621.439999999999</v>
      </c>
      <c r="I2403" t="str">
        <f t="shared" si="42"/>
        <v>BCBS PAYABLE</v>
      </c>
    </row>
    <row r="2404" spans="1:9" x14ac:dyDescent="0.3">
      <c r="A2404" t="str">
        <f>""</f>
        <v/>
      </c>
      <c r="F2404" t="str">
        <f>""</f>
        <v/>
      </c>
      <c r="G2404" t="str">
        <f>""</f>
        <v/>
      </c>
      <c r="I2404" t="str">
        <f t="shared" si="42"/>
        <v>BCBS PAYABLE</v>
      </c>
    </row>
    <row r="2405" spans="1:9" x14ac:dyDescent="0.3">
      <c r="A2405" t="str">
        <f>""</f>
        <v/>
      </c>
      <c r="F2405" t="str">
        <f>""</f>
        <v/>
      </c>
      <c r="G2405" t="str">
        <f>""</f>
        <v/>
      </c>
      <c r="I2405" t="str">
        <f t="shared" si="42"/>
        <v>BCBS PAYABLE</v>
      </c>
    </row>
    <row r="2406" spans="1:9" x14ac:dyDescent="0.3">
      <c r="A2406" t="str">
        <f>""</f>
        <v/>
      </c>
      <c r="F2406" t="str">
        <f>""</f>
        <v/>
      </c>
      <c r="G2406" t="str">
        <f>""</f>
        <v/>
      </c>
      <c r="I2406" t="str">
        <f t="shared" si="42"/>
        <v>BCBS PAYABLE</v>
      </c>
    </row>
    <row r="2407" spans="1:9" x14ac:dyDescent="0.3">
      <c r="A2407" t="str">
        <f>""</f>
        <v/>
      </c>
      <c r="F2407" t="str">
        <f>""</f>
        <v/>
      </c>
      <c r="G2407" t="str">
        <f>""</f>
        <v/>
      </c>
      <c r="I2407" t="str">
        <f t="shared" si="42"/>
        <v>BCBS PAYABLE</v>
      </c>
    </row>
    <row r="2408" spans="1:9" x14ac:dyDescent="0.3">
      <c r="A2408" t="str">
        <f>""</f>
        <v/>
      </c>
      <c r="F2408" t="str">
        <f>""</f>
        <v/>
      </c>
      <c r="G2408" t="str">
        <f>""</f>
        <v/>
      </c>
      <c r="I2408" t="str">
        <f t="shared" si="42"/>
        <v>BCBS PAYABLE</v>
      </c>
    </row>
    <row r="2409" spans="1:9" x14ac:dyDescent="0.3">
      <c r="A2409" t="str">
        <f>""</f>
        <v/>
      </c>
      <c r="F2409" t="str">
        <f>""</f>
        <v/>
      </c>
      <c r="G2409" t="str">
        <f>""</f>
        <v/>
      </c>
      <c r="I2409" t="str">
        <f t="shared" ref="I2409:I2420" si="43">"BCBS PAYABLE"</f>
        <v>BCBS PAYABLE</v>
      </c>
    </row>
    <row r="2410" spans="1:9" x14ac:dyDescent="0.3">
      <c r="A2410" t="str">
        <f>""</f>
        <v/>
      </c>
      <c r="F2410" t="str">
        <f>""</f>
        <v/>
      </c>
      <c r="G2410" t="str">
        <f>""</f>
        <v/>
      </c>
      <c r="I2410" t="str">
        <f t="shared" si="43"/>
        <v>BCBS PAYABLE</v>
      </c>
    </row>
    <row r="2411" spans="1:9" x14ac:dyDescent="0.3">
      <c r="A2411" t="str">
        <f>""</f>
        <v/>
      </c>
      <c r="F2411" t="str">
        <f>""</f>
        <v/>
      </c>
      <c r="G2411" t="str">
        <f>""</f>
        <v/>
      </c>
      <c r="I2411" t="str">
        <f t="shared" si="43"/>
        <v>BCBS PAYABLE</v>
      </c>
    </row>
    <row r="2412" spans="1:9" x14ac:dyDescent="0.3">
      <c r="A2412" t="str">
        <f>""</f>
        <v/>
      </c>
      <c r="F2412" t="str">
        <f>""</f>
        <v/>
      </c>
      <c r="G2412" t="str">
        <f>""</f>
        <v/>
      </c>
      <c r="I2412" t="str">
        <f t="shared" si="43"/>
        <v>BCBS PAYABLE</v>
      </c>
    </row>
    <row r="2413" spans="1:9" x14ac:dyDescent="0.3">
      <c r="A2413" t="str">
        <f>""</f>
        <v/>
      </c>
      <c r="F2413" t="str">
        <f>""</f>
        <v/>
      </c>
      <c r="G2413" t="str">
        <f>""</f>
        <v/>
      </c>
      <c r="I2413" t="str">
        <f t="shared" si="43"/>
        <v>BCBS PAYABLE</v>
      </c>
    </row>
    <row r="2414" spans="1:9" x14ac:dyDescent="0.3">
      <c r="A2414" t="str">
        <f>""</f>
        <v/>
      </c>
      <c r="F2414" t="str">
        <f>""</f>
        <v/>
      </c>
      <c r="G2414" t="str">
        <f>""</f>
        <v/>
      </c>
      <c r="I2414" t="str">
        <f t="shared" si="43"/>
        <v>BCBS PAYABLE</v>
      </c>
    </row>
    <row r="2415" spans="1:9" x14ac:dyDescent="0.3">
      <c r="A2415" t="str">
        <f>""</f>
        <v/>
      </c>
      <c r="F2415" t="str">
        <f>""</f>
        <v/>
      </c>
      <c r="G2415" t="str">
        <f>""</f>
        <v/>
      </c>
      <c r="I2415" t="str">
        <f t="shared" si="43"/>
        <v>BCBS PAYABLE</v>
      </c>
    </row>
    <row r="2416" spans="1:9" x14ac:dyDescent="0.3">
      <c r="A2416" t="str">
        <f>""</f>
        <v/>
      </c>
      <c r="F2416" t="str">
        <f>""</f>
        <v/>
      </c>
      <c r="G2416" t="str">
        <f>""</f>
        <v/>
      </c>
      <c r="I2416" t="str">
        <f t="shared" si="43"/>
        <v>BCBS PAYABLE</v>
      </c>
    </row>
    <row r="2417" spans="1:9" x14ac:dyDescent="0.3">
      <c r="A2417" t="str">
        <f>""</f>
        <v/>
      </c>
      <c r="F2417" t="str">
        <f>""</f>
        <v/>
      </c>
      <c r="G2417" t="str">
        <f>""</f>
        <v/>
      </c>
      <c r="I2417" t="str">
        <f t="shared" si="43"/>
        <v>BCBS PAYABLE</v>
      </c>
    </row>
    <row r="2418" spans="1:9" x14ac:dyDescent="0.3">
      <c r="A2418" t="str">
        <f>""</f>
        <v/>
      </c>
      <c r="F2418" t="str">
        <f>""</f>
        <v/>
      </c>
      <c r="G2418" t="str">
        <f>""</f>
        <v/>
      </c>
      <c r="I2418" t="str">
        <f t="shared" si="43"/>
        <v>BCBS PAYABLE</v>
      </c>
    </row>
    <row r="2419" spans="1:9" x14ac:dyDescent="0.3">
      <c r="A2419" t="str">
        <f>""</f>
        <v/>
      </c>
      <c r="F2419" t="str">
        <f>""</f>
        <v/>
      </c>
      <c r="G2419" t="str">
        <f>""</f>
        <v/>
      </c>
      <c r="I2419" t="str">
        <f t="shared" si="43"/>
        <v>BCBS PAYABLE</v>
      </c>
    </row>
    <row r="2420" spans="1:9" x14ac:dyDescent="0.3">
      <c r="A2420" t="str">
        <f>""</f>
        <v/>
      </c>
      <c r="F2420" t="str">
        <f>""</f>
        <v/>
      </c>
      <c r="G2420" t="str">
        <f>""</f>
        <v/>
      </c>
      <c r="I2420" t="str">
        <f t="shared" si="43"/>
        <v>BCBS PAYABLE</v>
      </c>
    </row>
    <row r="2421" spans="1:9" x14ac:dyDescent="0.3">
      <c r="A2421" t="str">
        <f>"TAGO"</f>
        <v>TAGO</v>
      </c>
      <c r="B2421" t="s">
        <v>535</v>
      </c>
      <c r="C2421">
        <v>0</v>
      </c>
      <c r="D2421" s="2">
        <v>4417.3</v>
      </c>
      <c r="E2421" s="1">
        <v>43168</v>
      </c>
      <c r="F2421" t="str">
        <f>"C18201803079268"</f>
        <v>C18201803079268</v>
      </c>
      <c r="G2421" t="str">
        <f>"CAUSE# 0011635329"</f>
        <v>CAUSE# 0011635329</v>
      </c>
      <c r="H2421">
        <v>603.23</v>
      </c>
      <c r="I2421" t="str">
        <f>"CAUSE# 0011635329"</f>
        <v>CAUSE# 0011635329</v>
      </c>
    </row>
    <row r="2422" spans="1:9" x14ac:dyDescent="0.3">
      <c r="A2422" t="str">
        <f>""</f>
        <v/>
      </c>
      <c r="F2422" t="str">
        <f>"C2 201803079268"</f>
        <v>C2 201803079268</v>
      </c>
      <c r="G2422" t="str">
        <f>"0012982132CCL7445"</f>
        <v>0012982132CCL7445</v>
      </c>
      <c r="H2422">
        <v>692.31</v>
      </c>
      <c r="I2422" t="str">
        <f>"0012982132CCL7445"</f>
        <v>0012982132CCL7445</v>
      </c>
    </row>
    <row r="2423" spans="1:9" x14ac:dyDescent="0.3">
      <c r="A2423" t="str">
        <f>""</f>
        <v/>
      </c>
      <c r="F2423" t="str">
        <f>"C20201803079264"</f>
        <v>C20201803079264</v>
      </c>
      <c r="G2423" t="str">
        <f>"001003981107-12252"</f>
        <v>001003981107-12252</v>
      </c>
      <c r="H2423">
        <v>115.39</v>
      </c>
      <c r="I2423" t="str">
        <f>"001003981107-12252"</f>
        <v>001003981107-12252</v>
      </c>
    </row>
    <row r="2424" spans="1:9" x14ac:dyDescent="0.3">
      <c r="A2424" t="str">
        <f>""</f>
        <v/>
      </c>
      <c r="F2424" t="str">
        <f>"C39201803079264"</f>
        <v>C39201803079264</v>
      </c>
      <c r="G2424" t="str">
        <f>"0012352184423-1520"</f>
        <v>0012352184423-1520</v>
      </c>
      <c r="H2424">
        <v>273.23</v>
      </c>
      <c r="I2424" t="str">
        <f>"0012352184423-1520"</f>
        <v>0012352184423-1520</v>
      </c>
    </row>
    <row r="2425" spans="1:9" x14ac:dyDescent="0.3">
      <c r="A2425" t="str">
        <f>""</f>
        <v/>
      </c>
      <c r="F2425" t="str">
        <f>"C42201803079264"</f>
        <v>C42201803079264</v>
      </c>
      <c r="G2425" t="str">
        <f>"001236769211-14410"</f>
        <v>001236769211-14410</v>
      </c>
      <c r="H2425">
        <v>230.31</v>
      </c>
      <c r="I2425" t="str">
        <f>"001236769211-14410"</f>
        <v>001236769211-14410</v>
      </c>
    </row>
    <row r="2426" spans="1:9" x14ac:dyDescent="0.3">
      <c r="A2426" t="str">
        <f>""</f>
        <v/>
      </c>
      <c r="F2426" t="str">
        <f>"C46201803079264"</f>
        <v>C46201803079264</v>
      </c>
      <c r="G2426" t="str">
        <f>"CAUSE# 11-14911"</f>
        <v>CAUSE# 11-14911</v>
      </c>
      <c r="H2426">
        <v>238.62</v>
      </c>
      <c r="I2426" t="str">
        <f>"CAUSE# 11-14911"</f>
        <v>CAUSE# 11-14911</v>
      </c>
    </row>
    <row r="2427" spans="1:9" x14ac:dyDescent="0.3">
      <c r="A2427" t="str">
        <f>""</f>
        <v/>
      </c>
      <c r="F2427" t="str">
        <f>"C53201803079264"</f>
        <v>C53201803079264</v>
      </c>
      <c r="G2427" t="str">
        <f>"0012453366"</f>
        <v>0012453366</v>
      </c>
      <c r="H2427">
        <v>207.69</v>
      </c>
      <c r="I2427" t="str">
        <f>"0012453366"</f>
        <v>0012453366</v>
      </c>
    </row>
    <row r="2428" spans="1:9" x14ac:dyDescent="0.3">
      <c r="A2428" t="str">
        <f>""</f>
        <v/>
      </c>
      <c r="F2428" t="str">
        <f>"C59201803079264"</f>
        <v>C59201803079264</v>
      </c>
      <c r="G2428" t="str">
        <f>"0012936495140043"</f>
        <v>0012936495140043</v>
      </c>
      <c r="H2428">
        <v>226.15</v>
      </c>
      <c r="I2428" t="str">
        <f>"0012936495140043"</f>
        <v>0012936495140043</v>
      </c>
    </row>
    <row r="2429" spans="1:9" x14ac:dyDescent="0.3">
      <c r="A2429" t="str">
        <f>""</f>
        <v/>
      </c>
      <c r="F2429" t="str">
        <f>"C60201803079264"</f>
        <v>C60201803079264</v>
      </c>
      <c r="G2429" t="str">
        <f>"00130730762012V300"</f>
        <v>00130730762012V300</v>
      </c>
      <c r="H2429">
        <v>399.32</v>
      </c>
      <c r="I2429" t="str">
        <f>"00130730762012V300"</f>
        <v>00130730762012V300</v>
      </c>
    </row>
    <row r="2430" spans="1:9" x14ac:dyDescent="0.3">
      <c r="A2430" t="str">
        <f>""</f>
        <v/>
      </c>
      <c r="F2430" t="str">
        <f>"C61201803079264"</f>
        <v>C61201803079264</v>
      </c>
      <c r="G2430" t="str">
        <f>"001174398213713"</f>
        <v>001174398213713</v>
      </c>
      <c r="H2430">
        <v>6.42</v>
      </c>
      <c r="I2430" t="str">
        <f>"001174398213713"</f>
        <v>001174398213713</v>
      </c>
    </row>
    <row r="2431" spans="1:9" x14ac:dyDescent="0.3">
      <c r="A2431" t="str">
        <f>""</f>
        <v/>
      </c>
      <c r="F2431" t="str">
        <f>"C62201803079264"</f>
        <v>C62201803079264</v>
      </c>
      <c r="G2431" t="str">
        <f>"# 0012128865"</f>
        <v># 0012128865</v>
      </c>
      <c r="H2431">
        <v>243.23</v>
      </c>
      <c r="I2431" t="str">
        <f>"# 0012128865"</f>
        <v># 0012128865</v>
      </c>
    </row>
    <row r="2432" spans="1:9" x14ac:dyDescent="0.3">
      <c r="A2432" t="str">
        <f>""</f>
        <v/>
      </c>
      <c r="F2432" t="str">
        <f>"C65201803079264"</f>
        <v>C65201803079264</v>
      </c>
      <c r="G2432" t="str">
        <f>"12-14956"</f>
        <v>12-14956</v>
      </c>
      <c r="H2432">
        <v>351.1</v>
      </c>
      <c r="I2432" t="str">
        <f>"12-14956"</f>
        <v>12-14956</v>
      </c>
    </row>
    <row r="2433" spans="1:9" x14ac:dyDescent="0.3">
      <c r="A2433" t="str">
        <f>""</f>
        <v/>
      </c>
      <c r="F2433" t="str">
        <f>"C66201803079264"</f>
        <v>C66201803079264</v>
      </c>
      <c r="G2433" t="str">
        <f>"# 0012871801"</f>
        <v># 0012871801</v>
      </c>
      <c r="H2433">
        <v>90</v>
      </c>
      <c r="I2433" t="str">
        <f>"# 0012871801"</f>
        <v># 0012871801</v>
      </c>
    </row>
    <row r="2434" spans="1:9" x14ac:dyDescent="0.3">
      <c r="A2434" t="str">
        <f>""</f>
        <v/>
      </c>
      <c r="F2434" t="str">
        <f>"C66201803079269"</f>
        <v>C66201803079269</v>
      </c>
      <c r="G2434" t="str">
        <f>"CAUSE#D1FM13007058"</f>
        <v>CAUSE#D1FM13007058</v>
      </c>
      <c r="H2434">
        <v>138.46</v>
      </c>
      <c r="I2434" t="str">
        <f>"CAUSE#D1FM13007058"</f>
        <v>CAUSE#D1FM13007058</v>
      </c>
    </row>
    <row r="2435" spans="1:9" x14ac:dyDescent="0.3">
      <c r="A2435" t="str">
        <f>""</f>
        <v/>
      </c>
      <c r="F2435" t="str">
        <f>"C68201803079264"</f>
        <v>C68201803079264</v>
      </c>
      <c r="G2435" t="str">
        <f>"00125374142011CM2291"</f>
        <v>00125374142011CM2291</v>
      </c>
      <c r="H2435">
        <v>414.46</v>
      </c>
      <c r="I2435" t="str">
        <f>"00125374142011CM2291"</f>
        <v>00125374142011CM2291</v>
      </c>
    </row>
    <row r="2436" spans="1:9" x14ac:dyDescent="0.3">
      <c r="A2436" t="str">
        <f>""</f>
        <v/>
      </c>
      <c r="F2436" t="str">
        <f>"C69201803079264"</f>
        <v>C69201803079264</v>
      </c>
      <c r="G2436" t="str">
        <f>"0012046911423672"</f>
        <v>0012046911423672</v>
      </c>
      <c r="H2436">
        <v>187.38</v>
      </c>
      <c r="I2436" t="str">
        <f>"0012046911423672"</f>
        <v>0012046911423672</v>
      </c>
    </row>
    <row r="2437" spans="1:9" x14ac:dyDescent="0.3">
      <c r="A2437" t="str">
        <f>"TAGO"</f>
        <v>TAGO</v>
      </c>
      <c r="B2437" t="s">
        <v>535</v>
      </c>
      <c r="C2437">
        <v>0</v>
      </c>
      <c r="D2437" s="2">
        <v>4405.76</v>
      </c>
      <c r="E2437" s="1">
        <v>43182</v>
      </c>
      <c r="F2437" t="str">
        <f>"C18201803219715"</f>
        <v>C18201803219715</v>
      </c>
      <c r="G2437" t="str">
        <f>"CAUSE# 0011635329"</f>
        <v>CAUSE# 0011635329</v>
      </c>
      <c r="H2437">
        <v>603.23</v>
      </c>
      <c r="I2437" t="str">
        <f>"CAUSE# 0011635329"</f>
        <v>CAUSE# 0011635329</v>
      </c>
    </row>
    <row r="2438" spans="1:9" x14ac:dyDescent="0.3">
      <c r="A2438" t="str">
        <f>""</f>
        <v/>
      </c>
      <c r="F2438" t="str">
        <f>"C2 201803219715"</f>
        <v>C2 201803219715</v>
      </c>
      <c r="G2438" t="str">
        <f>"0012982132CCL7445"</f>
        <v>0012982132CCL7445</v>
      </c>
      <c r="H2438">
        <v>692.31</v>
      </c>
      <c r="I2438" t="str">
        <f>"0012982132CCL7445"</f>
        <v>0012982132CCL7445</v>
      </c>
    </row>
    <row r="2439" spans="1:9" x14ac:dyDescent="0.3">
      <c r="A2439" t="str">
        <f>""</f>
        <v/>
      </c>
      <c r="F2439" t="str">
        <f>"C20201803219717"</f>
        <v>C20201803219717</v>
      </c>
      <c r="G2439" t="str">
        <f>"001003981107-12252"</f>
        <v>001003981107-12252</v>
      </c>
      <c r="H2439">
        <v>115.39</v>
      </c>
      <c r="I2439" t="str">
        <f>"001003981107-12252"</f>
        <v>001003981107-12252</v>
      </c>
    </row>
    <row r="2440" spans="1:9" x14ac:dyDescent="0.3">
      <c r="A2440" t="str">
        <f>""</f>
        <v/>
      </c>
      <c r="F2440" t="str">
        <f>"C39201803219717"</f>
        <v>C39201803219717</v>
      </c>
      <c r="G2440" t="str">
        <f>"0012352184423-1520"</f>
        <v>0012352184423-1520</v>
      </c>
      <c r="H2440">
        <v>273.23</v>
      </c>
      <c r="I2440" t="str">
        <f>"0012352184423-1520"</f>
        <v>0012352184423-1520</v>
      </c>
    </row>
    <row r="2441" spans="1:9" x14ac:dyDescent="0.3">
      <c r="A2441" t="str">
        <f>""</f>
        <v/>
      </c>
      <c r="F2441" t="str">
        <f>"C42201803219717"</f>
        <v>C42201803219717</v>
      </c>
      <c r="G2441" t="str">
        <f>"001236769211-14410"</f>
        <v>001236769211-14410</v>
      </c>
      <c r="H2441">
        <v>230.31</v>
      </c>
      <c r="I2441" t="str">
        <f>"001236769211-14410"</f>
        <v>001236769211-14410</v>
      </c>
    </row>
    <row r="2442" spans="1:9" x14ac:dyDescent="0.3">
      <c r="A2442" t="str">
        <f>""</f>
        <v/>
      </c>
      <c r="F2442" t="str">
        <f>"C46201803219717"</f>
        <v>C46201803219717</v>
      </c>
      <c r="G2442" t="str">
        <f>"CAUSE# 11-14911"</f>
        <v>CAUSE# 11-14911</v>
      </c>
      <c r="H2442">
        <v>238.62</v>
      </c>
      <c r="I2442" t="str">
        <f>"CAUSE# 11-14911"</f>
        <v>CAUSE# 11-14911</v>
      </c>
    </row>
    <row r="2443" spans="1:9" x14ac:dyDescent="0.3">
      <c r="A2443" t="str">
        <f>""</f>
        <v/>
      </c>
      <c r="F2443" t="str">
        <f>"C53201803219717"</f>
        <v>C53201803219717</v>
      </c>
      <c r="G2443" t="str">
        <f>"0012453366"</f>
        <v>0012453366</v>
      </c>
      <c r="H2443">
        <v>207.69</v>
      </c>
      <c r="I2443" t="str">
        <f>"0012453366"</f>
        <v>0012453366</v>
      </c>
    </row>
    <row r="2444" spans="1:9" x14ac:dyDescent="0.3">
      <c r="A2444" t="str">
        <f>""</f>
        <v/>
      </c>
      <c r="F2444" t="str">
        <f>"C59201803219717"</f>
        <v>C59201803219717</v>
      </c>
      <c r="G2444" t="str">
        <f>"0012936495140043"</f>
        <v>0012936495140043</v>
      </c>
      <c r="H2444">
        <v>226.15</v>
      </c>
      <c r="I2444" t="str">
        <f>"0012936495140043"</f>
        <v>0012936495140043</v>
      </c>
    </row>
    <row r="2445" spans="1:9" x14ac:dyDescent="0.3">
      <c r="A2445" t="str">
        <f>""</f>
        <v/>
      </c>
      <c r="F2445" t="str">
        <f>"C60201803219717"</f>
        <v>C60201803219717</v>
      </c>
      <c r="G2445" t="str">
        <f>"00130730762012V300"</f>
        <v>00130730762012V300</v>
      </c>
      <c r="H2445">
        <v>399.32</v>
      </c>
      <c r="I2445" t="str">
        <f>"00130730762012V300"</f>
        <v>00130730762012V300</v>
      </c>
    </row>
    <row r="2446" spans="1:9" x14ac:dyDescent="0.3">
      <c r="A2446" t="str">
        <f>""</f>
        <v/>
      </c>
      <c r="F2446" t="str">
        <f>"C61201803219717"</f>
        <v>C61201803219717</v>
      </c>
      <c r="G2446" t="str">
        <f>"001174398213713"</f>
        <v>001174398213713</v>
      </c>
      <c r="H2446">
        <v>6.42</v>
      </c>
      <c r="I2446" t="str">
        <f>"001174398213713"</f>
        <v>001174398213713</v>
      </c>
    </row>
    <row r="2447" spans="1:9" x14ac:dyDescent="0.3">
      <c r="A2447" t="str">
        <f>""</f>
        <v/>
      </c>
      <c r="F2447" t="str">
        <f>"C62201803219717"</f>
        <v>C62201803219717</v>
      </c>
      <c r="G2447" t="str">
        <f>"# 0012128865"</f>
        <v># 0012128865</v>
      </c>
      <c r="H2447">
        <v>243.23</v>
      </c>
      <c r="I2447" t="str">
        <f>"# 0012128865"</f>
        <v># 0012128865</v>
      </c>
    </row>
    <row r="2448" spans="1:9" x14ac:dyDescent="0.3">
      <c r="A2448" t="str">
        <f>""</f>
        <v/>
      </c>
      <c r="F2448" t="str">
        <f>"C65201803219717"</f>
        <v>C65201803219717</v>
      </c>
      <c r="G2448" t="str">
        <f>"12-14956"</f>
        <v>12-14956</v>
      </c>
      <c r="H2448">
        <v>351.1</v>
      </c>
      <c r="I2448" t="str">
        <f>"12-14956"</f>
        <v>12-14956</v>
      </c>
    </row>
    <row r="2449" spans="1:9" x14ac:dyDescent="0.3">
      <c r="A2449" t="str">
        <f>""</f>
        <v/>
      </c>
      <c r="F2449" t="str">
        <f>"C66201803219716"</f>
        <v>C66201803219716</v>
      </c>
      <c r="G2449" t="str">
        <f>"CAUSE#D1FM13007058"</f>
        <v>CAUSE#D1FM13007058</v>
      </c>
      <c r="H2449">
        <v>138.46</v>
      </c>
      <c r="I2449" t="str">
        <f>"CAUSE#D1FM13007058"</f>
        <v>CAUSE#D1FM13007058</v>
      </c>
    </row>
    <row r="2450" spans="1:9" x14ac:dyDescent="0.3">
      <c r="A2450" t="str">
        <f>""</f>
        <v/>
      </c>
      <c r="F2450" t="str">
        <f>"C66201803219717"</f>
        <v>C66201803219717</v>
      </c>
      <c r="G2450" t="str">
        <f>"# 0012871801"</f>
        <v># 0012871801</v>
      </c>
      <c r="H2450">
        <v>90</v>
      </c>
      <c r="I2450" t="str">
        <f>"# 0012871801"</f>
        <v># 0012871801</v>
      </c>
    </row>
    <row r="2451" spans="1:9" x14ac:dyDescent="0.3">
      <c r="A2451" t="str">
        <f>""</f>
        <v/>
      </c>
      <c r="F2451" t="str">
        <f>"C68201803219717"</f>
        <v>C68201803219717</v>
      </c>
      <c r="G2451" t="str">
        <f>"00125374142011CM2291"</f>
        <v>00125374142011CM2291</v>
      </c>
      <c r="H2451">
        <v>402.92</v>
      </c>
      <c r="I2451" t="str">
        <f>"00125374142011CM2291"</f>
        <v>00125374142011CM2291</v>
      </c>
    </row>
    <row r="2452" spans="1:9" x14ac:dyDescent="0.3">
      <c r="A2452" t="str">
        <f>""</f>
        <v/>
      </c>
      <c r="F2452" t="str">
        <f>"C69201803219717"</f>
        <v>C69201803219717</v>
      </c>
      <c r="G2452" t="str">
        <f>"0012046911423672"</f>
        <v>0012046911423672</v>
      </c>
      <c r="H2452">
        <v>187.38</v>
      </c>
      <c r="I2452" t="str">
        <f>"0012046911423672"</f>
        <v>0012046911423672</v>
      </c>
    </row>
    <row r="2453" spans="1:9" x14ac:dyDescent="0.3">
      <c r="A2453" t="str">
        <f>"TCDRS"</f>
        <v>TCDRS</v>
      </c>
      <c r="B2453" t="s">
        <v>536</v>
      </c>
      <c r="C2453">
        <v>0</v>
      </c>
      <c r="D2453" s="2">
        <v>317803.65000000002</v>
      </c>
      <c r="E2453" s="1">
        <v>43182</v>
      </c>
      <c r="F2453" t="str">
        <f>"RET201803079264"</f>
        <v>RET201803079264</v>
      </c>
      <c r="G2453" t="str">
        <f>"TEXAS COUNTY &amp; DISTRICT RET"</f>
        <v>TEXAS COUNTY &amp; DISTRICT RET</v>
      </c>
      <c r="H2453">
        <v>145506.48000000001</v>
      </c>
      <c r="I2453" t="str">
        <f t="shared" ref="I2453:I2484" si="44">"TEXAS COUNTY &amp; DISTRICT RET"</f>
        <v>TEXAS COUNTY &amp; DISTRICT RET</v>
      </c>
    </row>
    <row r="2454" spans="1:9" x14ac:dyDescent="0.3">
      <c r="A2454" t="str">
        <f>""</f>
        <v/>
      </c>
      <c r="F2454" t="str">
        <f>""</f>
        <v/>
      </c>
      <c r="G2454" t="str">
        <f>""</f>
        <v/>
      </c>
      <c r="I2454" t="str">
        <f t="shared" si="44"/>
        <v>TEXAS COUNTY &amp; DISTRICT RET</v>
      </c>
    </row>
    <row r="2455" spans="1:9" x14ac:dyDescent="0.3">
      <c r="A2455" t="str">
        <f>""</f>
        <v/>
      </c>
      <c r="F2455" t="str">
        <f>""</f>
        <v/>
      </c>
      <c r="G2455" t="str">
        <f>""</f>
        <v/>
      </c>
      <c r="I2455" t="str">
        <f t="shared" si="44"/>
        <v>TEXAS COUNTY &amp; DISTRICT RET</v>
      </c>
    </row>
    <row r="2456" spans="1:9" x14ac:dyDescent="0.3">
      <c r="A2456" t="str">
        <f>""</f>
        <v/>
      </c>
      <c r="F2456" t="str">
        <f>""</f>
        <v/>
      </c>
      <c r="G2456" t="str">
        <f>""</f>
        <v/>
      </c>
      <c r="I2456" t="str">
        <f t="shared" si="44"/>
        <v>TEXAS COUNTY &amp; DISTRICT RET</v>
      </c>
    </row>
    <row r="2457" spans="1:9" x14ac:dyDescent="0.3">
      <c r="A2457" t="str">
        <f>""</f>
        <v/>
      </c>
      <c r="F2457" t="str">
        <f>""</f>
        <v/>
      </c>
      <c r="G2457" t="str">
        <f>""</f>
        <v/>
      </c>
      <c r="I2457" t="str">
        <f t="shared" si="44"/>
        <v>TEXAS COUNTY &amp; DISTRICT RET</v>
      </c>
    </row>
    <row r="2458" spans="1:9" x14ac:dyDescent="0.3">
      <c r="A2458" t="str">
        <f>""</f>
        <v/>
      </c>
      <c r="F2458" t="str">
        <f>""</f>
        <v/>
      </c>
      <c r="G2458" t="str">
        <f>""</f>
        <v/>
      </c>
      <c r="I2458" t="str">
        <f t="shared" si="44"/>
        <v>TEXAS COUNTY &amp; DISTRICT RET</v>
      </c>
    </row>
    <row r="2459" spans="1:9" x14ac:dyDescent="0.3">
      <c r="A2459" t="str">
        <f>""</f>
        <v/>
      </c>
      <c r="F2459" t="str">
        <f>""</f>
        <v/>
      </c>
      <c r="G2459" t="str">
        <f>""</f>
        <v/>
      </c>
      <c r="I2459" t="str">
        <f t="shared" si="44"/>
        <v>TEXAS COUNTY &amp; DISTRICT RET</v>
      </c>
    </row>
    <row r="2460" spans="1:9" x14ac:dyDescent="0.3">
      <c r="A2460" t="str">
        <f>""</f>
        <v/>
      </c>
      <c r="F2460" t="str">
        <f>""</f>
        <v/>
      </c>
      <c r="G2460" t="str">
        <f>""</f>
        <v/>
      </c>
      <c r="I2460" t="str">
        <f t="shared" si="44"/>
        <v>TEXAS COUNTY &amp; DISTRICT RET</v>
      </c>
    </row>
    <row r="2461" spans="1:9" x14ac:dyDescent="0.3">
      <c r="A2461" t="str">
        <f>""</f>
        <v/>
      </c>
      <c r="F2461" t="str">
        <f>""</f>
        <v/>
      </c>
      <c r="G2461" t="str">
        <f>""</f>
        <v/>
      </c>
      <c r="I2461" t="str">
        <f t="shared" si="44"/>
        <v>TEXAS COUNTY &amp; DISTRICT RET</v>
      </c>
    </row>
    <row r="2462" spans="1:9" x14ac:dyDescent="0.3">
      <c r="A2462" t="str">
        <f>""</f>
        <v/>
      </c>
      <c r="F2462" t="str">
        <f>""</f>
        <v/>
      </c>
      <c r="G2462" t="str">
        <f>""</f>
        <v/>
      </c>
      <c r="I2462" t="str">
        <f t="shared" si="44"/>
        <v>TEXAS COUNTY &amp; DISTRICT RET</v>
      </c>
    </row>
    <row r="2463" spans="1:9" x14ac:dyDescent="0.3">
      <c r="A2463" t="str">
        <f>""</f>
        <v/>
      </c>
      <c r="F2463" t="str">
        <f>""</f>
        <v/>
      </c>
      <c r="G2463" t="str">
        <f>""</f>
        <v/>
      </c>
      <c r="I2463" t="str">
        <f t="shared" si="44"/>
        <v>TEXAS COUNTY &amp; DISTRICT RET</v>
      </c>
    </row>
    <row r="2464" spans="1:9" x14ac:dyDescent="0.3">
      <c r="A2464" t="str">
        <f>""</f>
        <v/>
      </c>
      <c r="F2464" t="str">
        <f>""</f>
        <v/>
      </c>
      <c r="G2464" t="str">
        <f>""</f>
        <v/>
      </c>
      <c r="I2464" t="str">
        <f t="shared" si="44"/>
        <v>TEXAS COUNTY &amp; DISTRICT RET</v>
      </c>
    </row>
    <row r="2465" spans="1:9" x14ac:dyDescent="0.3">
      <c r="A2465" t="str">
        <f>""</f>
        <v/>
      </c>
      <c r="F2465" t="str">
        <f>""</f>
        <v/>
      </c>
      <c r="G2465" t="str">
        <f>""</f>
        <v/>
      </c>
      <c r="I2465" t="str">
        <f t="shared" si="44"/>
        <v>TEXAS COUNTY &amp; DISTRICT RET</v>
      </c>
    </row>
    <row r="2466" spans="1:9" x14ac:dyDescent="0.3">
      <c r="A2466" t="str">
        <f>""</f>
        <v/>
      </c>
      <c r="F2466" t="str">
        <f>""</f>
        <v/>
      </c>
      <c r="G2466" t="str">
        <f>""</f>
        <v/>
      </c>
      <c r="I2466" t="str">
        <f t="shared" si="44"/>
        <v>TEXAS COUNTY &amp; DISTRICT RET</v>
      </c>
    </row>
    <row r="2467" spans="1:9" x14ac:dyDescent="0.3">
      <c r="A2467" t="str">
        <f>""</f>
        <v/>
      </c>
      <c r="F2467" t="str">
        <f>""</f>
        <v/>
      </c>
      <c r="G2467" t="str">
        <f>""</f>
        <v/>
      </c>
      <c r="I2467" t="str">
        <f t="shared" si="44"/>
        <v>TEXAS COUNTY &amp; DISTRICT RET</v>
      </c>
    </row>
    <row r="2468" spans="1:9" x14ac:dyDescent="0.3">
      <c r="A2468" t="str">
        <f>""</f>
        <v/>
      </c>
      <c r="F2468" t="str">
        <f>""</f>
        <v/>
      </c>
      <c r="G2468" t="str">
        <f>""</f>
        <v/>
      </c>
      <c r="I2468" t="str">
        <f t="shared" si="44"/>
        <v>TEXAS COUNTY &amp; DISTRICT RET</v>
      </c>
    </row>
    <row r="2469" spans="1:9" x14ac:dyDescent="0.3">
      <c r="A2469" t="str">
        <f>""</f>
        <v/>
      </c>
      <c r="F2469" t="str">
        <f>""</f>
        <v/>
      </c>
      <c r="G2469" t="str">
        <f>""</f>
        <v/>
      </c>
      <c r="I2469" t="str">
        <f t="shared" si="44"/>
        <v>TEXAS COUNTY &amp; DISTRICT RET</v>
      </c>
    </row>
    <row r="2470" spans="1:9" x14ac:dyDescent="0.3">
      <c r="A2470" t="str">
        <f>""</f>
        <v/>
      </c>
      <c r="F2470" t="str">
        <f>""</f>
        <v/>
      </c>
      <c r="G2470" t="str">
        <f>""</f>
        <v/>
      </c>
      <c r="I2470" t="str">
        <f t="shared" si="44"/>
        <v>TEXAS COUNTY &amp; DISTRICT RET</v>
      </c>
    </row>
    <row r="2471" spans="1:9" x14ac:dyDescent="0.3">
      <c r="A2471" t="str">
        <f>""</f>
        <v/>
      </c>
      <c r="F2471" t="str">
        <f>""</f>
        <v/>
      </c>
      <c r="G2471" t="str">
        <f>""</f>
        <v/>
      </c>
      <c r="I2471" t="str">
        <f t="shared" si="44"/>
        <v>TEXAS COUNTY &amp; DISTRICT RET</v>
      </c>
    </row>
    <row r="2472" spans="1:9" x14ac:dyDescent="0.3">
      <c r="A2472" t="str">
        <f>""</f>
        <v/>
      </c>
      <c r="F2472" t="str">
        <f>""</f>
        <v/>
      </c>
      <c r="G2472" t="str">
        <f>""</f>
        <v/>
      </c>
      <c r="I2472" t="str">
        <f t="shared" si="44"/>
        <v>TEXAS COUNTY &amp; DISTRICT RET</v>
      </c>
    </row>
    <row r="2473" spans="1:9" x14ac:dyDescent="0.3">
      <c r="A2473" t="str">
        <f>""</f>
        <v/>
      </c>
      <c r="F2473" t="str">
        <f>""</f>
        <v/>
      </c>
      <c r="G2473" t="str">
        <f>""</f>
        <v/>
      </c>
      <c r="I2473" t="str">
        <f t="shared" si="44"/>
        <v>TEXAS COUNTY &amp; DISTRICT RET</v>
      </c>
    </row>
    <row r="2474" spans="1:9" x14ac:dyDescent="0.3">
      <c r="A2474" t="str">
        <f>""</f>
        <v/>
      </c>
      <c r="F2474" t="str">
        <f>""</f>
        <v/>
      </c>
      <c r="G2474" t="str">
        <f>""</f>
        <v/>
      </c>
      <c r="I2474" t="str">
        <f t="shared" si="44"/>
        <v>TEXAS COUNTY &amp; DISTRICT RET</v>
      </c>
    </row>
    <row r="2475" spans="1:9" x14ac:dyDescent="0.3">
      <c r="A2475" t="str">
        <f>""</f>
        <v/>
      </c>
      <c r="F2475" t="str">
        <f>""</f>
        <v/>
      </c>
      <c r="G2475" t="str">
        <f>""</f>
        <v/>
      </c>
      <c r="I2475" t="str">
        <f t="shared" si="44"/>
        <v>TEXAS COUNTY &amp; DISTRICT RET</v>
      </c>
    </row>
    <row r="2476" spans="1:9" x14ac:dyDescent="0.3">
      <c r="A2476" t="str">
        <f>""</f>
        <v/>
      </c>
      <c r="F2476" t="str">
        <f>""</f>
        <v/>
      </c>
      <c r="G2476" t="str">
        <f>""</f>
        <v/>
      </c>
      <c r="I2476" t="str">
        <f t="shared" si="44"/>
        <v>TEXAS COUNTY &amp; DISTRICT RET</v>
      </c>
    </row>
    <row r="2477" spans="1:9" x14ac:dyDescent="0.3">
      <c r="A2477" t="str">
        <f>""</f>
        <v/>
      </c>
      <c r="F2477" t="str">
        <f>""</f>
        <v/>
      </c>
      <c r="G2477" t="str">
        <f>""</f>
        <v/>
      </c>
      <c r="I2477" t="str">
        <f t="shared" si="44"/>
        <v>TEXAS COUNTY &amp; DISTRICT RET</v>
      </c>
    </row>
    <row r="2478" spans="1:9" x14ac:dyDescent="0.3">
      <c r="A2478" t="str">
        <f>""</f>
        <v/>
      </c>
      <c r="F2478" t="str">
        <f>""</f>
        <v/>
      </c>
      <c r="G2478" t="str">
        <f>""</f>
        <v/>
      </c>
      <c r="I2478" t="str">
        <f t="shared" si="44"/>
        <v>TEXAS COUNTY &amp; DISTRICT RET</v>
      </c>
    </row>
    <row r="2479" spans="1:9" x14ac:dyDescent="0.3">
      <c r="A2479" t="str">
        <f>""</f>
        <v/>
      </c>
      <c r="F2479" t="str">
        <f>""</f>
        <v/>
      </c>
      <c r="G2479" t="str">
        <f>""</f>
        <v/>
      </c>
      <c r="I2479" t="str">
        <f t="shared" si="44"/>
        <v>TEXAS COUNTY &amp; DISTRICT RET</v>
      </c>
    </row>
    <row r="2480" spans="1:9" x14ac:dyDescent="0.3">
      <c r="A2480" t="str">
        <f>""</f>
        <v/>
      </c>
      <c r="F2480" t="str">
        <f>""</f>
        <v/>
      </c>
      <c r="G2480" t="str">
        <f>""</f>
        <v/>
      </c>
      <c r="I2480" t="str">
        <f t="shared" si="44"/>
        <v>TEXAS COUNTY &amp; DISTRICT RET</v>
      </c>
    </row>
    <row r="2481" spans="1:9" x14ac:dyDescent="0.3">
      <c r="A2481" t="str">
        <f>""</f>
        <v/>
      </c>
      <c r="F2481" t="str">
        <f>""</f>
        <v/>
      </c>
      <c r="G2481" t="str">
        <f>""</f>
        <v/>
      </c>
      <c r="I2481" t="str">
        <f t="shared" si="44"/>
        <v>TEXAS COUNTY &amp; DISTRICT RET</v>
      </c>
    </row>
    <row r="2482" spans="1:9" x14ac:dyDescent="0.3">
      <c r="A2482" t="str">
        <f>""</f>
        <v/>
      </c>
      <c r="F2482" t="str">
        <f>""</f>
        <v/>
      </c>
      <c r="G2482" t="str">
        <f>""</f>
        <v/>
      </c>
      <c r="I2482" t="str">
        <f t="shared" si="44"/>
        <v>TEXAS COUNTY &amp; DISTRICT RET</v>
      </c>
    </row>
    <row r="2483" spans="1:9" x14ac:dyDescent="0.3">
      <c r="A2483" t="str">
        <f>""</f>
        <v/>
      </c>
      <c r="F2483" t="str">
        <f>""</f>
        <v/>
      </c>
      <c r="G2483" t="str">
        <f>""</f>
        <v/>
      </c>
      <c r="I2483" t="str">
        <f t="shared" si="44"/>
        <v>TEXAS COUNTY &amp; DISTRICT RET</v>
      </c>
    </row>
    <row r="2484" spans="1:9" x14ac:dyDescent="0.3">
      <c r="A2484" t="str">
        <f>""</f>
        <v/>
      </c>
      <c r="F2484" t="str">
        <f>""</f>
        <v/>
      </c>
      <c r="G2484" t="str">
        <f>""</f>
        <v/>
      </c>
      <c r="I2484" t="str">
        <f t="shared" si="44"/>
        <v>TEXAS COUNTY &amp; DISTRICT RET</v>
      </c>
    </row>
    <row r="2485" spans="1:9" x14ac:dyDescent="0.3">
      <c r="A2485" t="str">
        <f>""</f>
        <v/>
      </c>
      <c r="F2485" t="str">
        <f>""</f>
        <v/>
      </c>
      <c r="G2485" t="str">
        <f>""</f>
        <v/>
      </c>
      <c r="I2485" t="str">
        <f t="shared" ref="I2485:I2503" si="45">"TEXAS COUNTY &amp; DISTRICT RET"</f>
        <v>TEXAS COUNTY &amp; DISTRICT RET</v>
      </c>
    </row>
    <row r="2486" spans="1:9" x14ac:dyDescent="0.3">
      <c r="A2486" t="str">
        <f>""</f>
        <v/>
      </c>
      <c r="F2486" t="str">
        <f>""</f>
        <v/>
      </c>
      <c r="G2486" t="str">
        <f>""</f>
        <v/>
      </c>
      <c r="I2486" t="str">
        <f t="shared" si="45"/>
        <v>TEXAS COUNTY &amp; DISTRICT RET</v>
      </c>
    </row>
    <row r="2487" spans="1:9" x14ac:dyDescent="0.3">
      <c r="A2487" t="str">
        <f>""</f>
        <v/>
      </c>
      <c r="F2487" t="str">
        <f>""</f>
        <v/>
      </c>
      <c r="G2487" t="str">
        <f>""</f>
        <v/>
      </c>
      <c r="I2487" t="str">
        <f t="shared" si="45"/>
        <v>TEXAS COUNTY &amp; DISTRICT RET</v>
      </c>
    </row>
    <row r="2488" spans="1:9" x14ac:dyDescent="0.3">
      <c r="A2488" t="str">
        <f>""</f>
        <v/>
      </c>
      <c r="F2488" t="str">
        <f>""</f>
        <v/>
      </c>
      <c r="G2488" t="str">
        <f>""</f>
        <v/>
      </c>
      <c r="I2488" t="str">
        <f t="shared" si="45"/>
        <v>TEXAS COUNTY &amp; DISTRICT RET</v>
      </c>
    </row>
    <row r="2489" spans="1:9" x14ac:dyDescent="0.3">
      <c r="A2489" t="str">
        <f>""</f>
        <v/>
      </c>
      <c r="F2489" t="str">
        <f>""</f>
        <v/>
      </c>
      <c r="G2489" t="str">
        <f>""</f>
        <v/>
      </c>
      <c r="I2489" t="str">
        <f t="shared" si="45"/>
        <v>TEXAS COUNTY &amp; DISTRICT RET</v>
      </c>
    </row>
    <row r="2490" spans="1:9" x14ac:dyDescent="0.3">
      <c r="A2490" t="str">
        <f>""</f>
        <v/>
      </c>
      <c r="F2490" t="str">
        <f>""</f>
        <v/>
      </c>
      <c r="G2490" t="str">
        <f>""</f>
        <v/>
      </c>
      <c r="I2490" t="str">
        <f t="shared" si="45"/>
        <v>TEXAS COUNTY &amp; DISTRICT RET</v>
      </c>
    </row>
    <row r="2491" spans="1:9" x14ac:dyDescent="0.3">
      <c r="A2491" t="str">
        <f>""</f>
        <v/>
      </c>
      <c r="F2491" t="str">
        <f>""</f>
        <v/>
      </c>
      <c r="G2491" t="str">
        <f>""</f>
        <v/>
      </c>
      <c r="I2491" t="str">
        <f t="shared" si="45"/>
        <v>TEXAS COUNTY &amp; DISTRICT RET</v>
      </c>
    </row>
    <row r="2492" spans="1:9" x14ac:dyDescent="0.3">
      <c r="A2492" t="str">
        <f>""</f>
        <v/>
      </c>
      <c r="F2492" t="str">
        <f>""</f>
        <v/>
      </c>
      <c r="G2492" t="str">
        <f>""</f>
        <v/>
      </c>
      <c r="I2492" t="str">
        <f t="shared" si="45"/>
        <v>TEXAS COUNTY &amp; DISTRICT RET</v>
      </c>
    </row>
    <row r="2493" spans="1:9" x14ac:dyDescent="0.3">
      <c r="A2493" t="str">
        <f>""</f>
        <v/>
      </c>
      <c r="F2493" t="str">
        <f>""</f>
        <v/>
      </c>
      <c r="G2493" t="str">
        <f>""</f>
        <v/>
      </c>
      <c r="I2493" t="str">
        <f t="shared" si="45"/>
        <v>TEXAS COUNTY &amp; DISTRICT RET</v>
      </c>
    </row>
    <row r="2494" spans="1:9" x14ac:dyDescent="0.3">
      <c r="A2494" t="str">
        <f>""</f>
        <v/>
      </c>
      <c r="F2494" t="str">
        <f>""</f>
        <v/>
      </c>
      <c r="G2494" t="str">
        <f>""</f>
        <v/>
      </c>
      <c r="I2494" t="str">
        <f t="shared" si="45"/>
        <v>TEXAS COUNTY &amp; DISTRICT RET</v>
      </c>
    </row>
    <row r="2495" spans="1:9" x14ac:dyDescent="0.3">
      <c r="A2495" t="str">
        <f>""</f>
        <v/>
      </c>
      <c r="F2495" t="str">
        <f>""</f>
        <v/>
      </c>
      <c r="G2495" t="str">
        <f>""</f>
        <v/>
      </c>
      <c r="I2495" t="str">
        <f t="shared" si="45"/>
        <v>TEXAS COUNTY &amp; DISTRICT RET</v>
      </c>
    </row>
    <row r="2496" spans="1:9" x14ac:dyDescent="0.3">
      <c r="A2496" t="str">
        <f>""</f>
        <v/>
      </c>
      <c r="F2496" t="str">
        <f>""</f>
        <v/>
      </c>
      <c r="G2496" t="str">
        <f>""</f>
        <v/>
      </c>
      <c r="I2496" t="str">
        <f t="shared" si="45"/>
        <v>TEXAS COUNTY &amp; DISTRICT RET</v>
      </c>
    </row>
    <row r="2497" spans="1:9" x14ac:dyDescent="0.3">
      <c r="A2497" t="str">
        <f>""</f>
        <v/>
      </c>
      <c r="F2497" t="str">
        <f>""</f>
        <v/>
      </c>
      <c r="G2497" t="str">
        <f>""</f>
        <v/>
      </c>
      <c r="I2497" t="str">
        <f t="shared" si="45"/>
        <v>TEXAS COUNTY &amp; DISTRICT RET</v>
      </c>
    </row>
    <row r="2498" spans="1:9" x14ac:dyDescent="0.3">
      <c r="A2498" t="str">
        <f>""</f>
        <v/>
      </c>
      <c r="F2498" t="str">
        <f>""</f>
        <v/>
      </c>
      <c r="G2498" t="str">
        <f>""</f>
        <v/>
      </c>
      <c r="I2498" t="str">
        <f t="shared" si="45"/>
        <v>TEXAS COUNTY &amp; DISTRICT RET</v>
      </c>
    </row>
    <row r="2499" spans="1:9" x14ac:dyDescent="0.3">
      <c r="A2499" t="str">
        <f>""</f>
        <v/>
      </c>
      <c r="F2499" t="str">
        <f>""</f>
        <v/>
      </c>
      <c r="G2499" t="str">
        <f>""</f>
        <v/>
      </c>
      <c r="I2499" t="str">
        <f t="shared" si="45"/>
        <v>TEXAS COUNTY &amp; DISTRICT RET</v>
      </c>
    </row>
    <row r="2500" spans="1:9" x14ac:dyDescent="0.3">
      <c r="A2500" t="str">
        <f>""</f>
        <v/>
      </c>
      <c r="F2500" t="str">
        <f>""</f>
        <v/>
      </c>
      <c r="G2500" t="str">
        <f>""</f>
        <v/>
      </c>
      <c r="I2500" t="str">
        <f t="shared" si="45"/>
        <v>TEXAS COUNTY &amp; DISTRICT RET</v>
      </c>
    </row>
    <row r="2501" spans="1:9" x14ac:dyDescent="0.3">
      <c r="A2501" t="str">
        <f>""</f>
        <v/>
      </c>
      <c r="F2501" t="str">
        <f>""</f>
        <v/>
      </c>
      <c r="G2501" t="str">
        <f>""</f>
        <v/>
      </c>
      <c r="I2501" t="str">
        <f t="shared" si="45"/>
        <v>TEXAS COUNTY &amp; DISTRICT RET</v>
      </c>
    </row>
    <row r="2502" spans="1:9" x14ac:dyDescent="0.3">
      <c r="A2502" t="str">
        <f>""</f>
        <v/>
      </c>
      <c r="F2502" t="str">
        <f>""</f>
        <v/>
      </c>
      <c r="G2502" t="str">
        <f>""</f>
        <v/>
      </c>
      <c r="I2502" t="str">
        <f t="shared" si="45"/>
        <v>TEXAS COUNTY &amp; DISTRICT RET</v>
      </c>
    </row>
    <row r="2503" spans="1:9" x14ac:dyDescent="0.3">
      <c r="A2503" t="str">
        <f>""</f>
        <v/>
      </c>
      <c r="F2503" t="str">
        <f>""</f>
        <v/>
      </c>
      <c r="G2503" t="str">
        <f>""</f>
        <v/>
      </c>
      <c r="I2503" t="str">
        <f t="shared" si="45"/>
        <v>TEXAS COUNTY &amp; DISTRICT RET</v>
      </c>
    </row>
    <row r="2504" spans="1:9" x14ac:dyDescent="0.3">
      <c r="A2504" t="str">
        <f>""</f>
        <v/>
      </c>
      <c r="F2504" t="str">
        <f>"RET201803079268"</f>
        <v>RET201803079268</v>
      </c>
      <c r="G2504" t="str">
        <f>"TEXAS COUNTY  DISTRICT RET"</f>
        <v>TEXAS COUNTY  DISTRICT RET</v>
      </c>
      <c r="H2504">
        <v>5821.1</v>
      </c>
      <c r="I2504" t="str">
        <f>"TEXAS COUNTY  DISTRICT RET"</f>
        <v>TEXAS COUNTY  DISTRICT RET</v>
      </c>
    </row>
    <row r="2505" spans="1:9" x14ac:dyDescent="0.3">
      <c r="A2505" t="str">
        <f>""</f>
        <v/>
      </c>
      <c r="F2505" t="str">
        <f>""</f>
        <v/>
      </c>
      <c r="G2505" t="str">
        <f>""</f>
        <v/>
      </c>
      <c r="I2505" t="str">
        <f>"TEXAS COUNTY  DISTRICT RET"</f>
        <v>TEXAS COUNTY  DISTRICT RET</v>
      </c>
    </row>
    <row r="2506" spans="1:9" x14ac:dyDescent="0.3">
      <c r="A2506" t="str">
        <f>""</f>
        <v/>
      </c>
      <c r="F2506" t="str">
        <f>"RET201803079269"</f>
        <v>RET201803079269</v>
      </c>
      <c r="G2506" t="str">
        <f>"TEXAS COUNTY &amp; DISTRICT RET"</f>
        <v>TEXAS COUNTY &amp; DISTRICT RET</v>
      </c>
      <c r="H2506">
        <v>8376.4599999999991</v>
      </c>
      <c r="I2506" t="str">
        <f>"TEXAS COUNTY &amp; DISTRICT RET"</f>
        <v>TEXAS COUNTY &amp; DISTRICT RET</v>
      </c>
    </row>
    <row r="2507" spans="1:9" x14ac:dyDescent="0.3">
      <c r="A2507" t="str">
        <f>""</f>
        <v/>
      </c>
      <c r="F2507" t="str">
        <f>""</f>
        <v/>
      </c>
      <c r="G2507" t="str">
        <f>""</f>
        <v/>
      </c>
      <c r="I2507" t="str">
        <f>"TEXAS COUNTY &amp; DISTRICT RET"</f>
        <v>TEXAS COUNTY &amp; DISTRICT RET</v>
      </c>
    </row>
    <row r="2508" spans="1:9" x14ac:dyDescent="0.3">
      <c r="A2508" t="str">
        <f>""</f>
        <v/>
      </c>
      <c r="F2508" t="str">
        <f>"RET201803219715"</f>
        <v>RET201803219715</v>
      </c>
      <c r="G2508" t="str">
        <f>"TEXAS COUNTY  DISTRICT RET"</f>
        <v>TEXAS COUNTY  DISTRICT RET</v>
      </c>
      <c r="H2508">
        <v>5889.56</v>
      </c>
      <c r="I2508" t="str">
        <f>"TEXAS COUNTY  DISTRICT RET"</f>
        <v>TEXAS COUNTY  DISTRICT RET</v>
      </c>
    </row>
    <row r="2509" spans="1:9" x14ac:dyDescent="0.3">
      <c r="A2509" t="str">
        <f>""</f>
        <v/>
      </c>
      <c r="F2509" t="str">
        <f>""</f>
        <v/>
      </c>
      <c r="G2509" t="str">
        <f>""</f>
        <v/>
      </c>
      <c r="I2509" t="str">
        <f>"TEXAS COUNTY  DISTRICT RET"</f>
        <v>TEXAS COUNTY  DISTRICT RET</v>
      </c>
    </row>
    <row r="2510" spans="1:9" x14ac:dyDescent="0.3">
      <c r="A2510" t="str">
        <f>""</f>
        <v/>
      </c>
      <c r="F2510" t="str">
        <f>"RET201803219716"</f>
        <v>RET201803219716</v>
      </c>
      <c r="G2510" t="str">
        <f>"TEXAS COUNTY &amp; DISTRICT RET"</f>
        <v>TEXAS COUNTY &amp; DISTRICT RET</v>
      </c>
      <c r="H2510">
        <v>8180.71</v>
      </c>
      <c r="I2510" t="str">
        <f t="shared" ref="I2510:I2541" si="46">"TEXAS COUNTY &amp; DISTRICT RET"</f>
        <v>TEXAS COUNTY &amp; DISTRICT RET</v>
      </c>
    </row>
    <row r="2511" spans="1:9" x14ac:dyDescent="0.3">
      <c r="A2511" t="str">
        <f>""</f>
        <v/>
      </c>
      <c r="F2511" t="str">
        <f>""</f>
        <v/>
      </c>
      <c r="G2511" t="str">
        <f>""</f>
        <v/>
      </c>
      <c r="I2511" t="str">
        <f t="shared" si="46"/>
        <v>TEXAS COUNTY &amp; DISTRICT RET</v>
      </c>
    </row>
    <row r="2512" spans="1:9" x14ac:dyDescent="0.3">
      <c r="A2512" t="str">
        <f>""</f>
        <v/>
      </c>
      <c r="F2512" t="str">
        <f>"RET201803219717"</f>
        <v>RET201803219717</v>
      </c>
      <c r="G2512" t="str">
        <f>"TEXAS COUNTY &amp; DISTRICT RET"</f>
        <v>TEXAS COUNTY &amp; DISTRICT RET</v>
      </c>
      <c r="H2512">
        <v>144029.34</v>
      </c>
      <c r="I2512" t="str">
        <f t="shared" si="46"/>
        <v>TEXAS COUNTY &amp; DISTRICT RET</v>
      </c>
    </row>
    <row r="2513" spans="1:9" x14ac:dyDescent="0.3">
      <c r="A2513" t="str">
        <f>""</f>
        <v/>
      </c>
      <c r="F2513" t="str">
        <f>""</f>
        <v/>
      </c>
      <c r="G2513" t="str">
        <f>""</f>
        <v/>
      </c>
      <c r="I2513" t="str">
        <f t="shared" si="46"/>
        <v>TEXAS COUNTY &amp; DISTRICT RET</v>
      </c>
    </row>
    <row r="2514" spans="1:9" x14ac:dyDescent="0.3">
      <c r="A2514" t="str">
        <f>""</f>
        <v/>
      </c>
      <c r="F2514" t="str">
        <f>""</f>
        <v/>
      </c>
      <c r="G2514" t="str">
        <f>""</f>
        <v/>
      </c>
      <c r="I2514" t="str">
        <f t="shared" si="46"/>
        <v>TEXAS COUNTY &amp; DISTRICT RET</v>
      </c>
    </row>
    <row r="2515" spans="1:9" x14ac:dyDescent="0.3">
      <c r="A2515" t="str">
        <f>""</f>
        <v/>
      </c>
      <c r="F2515" t="str">
        <f>""</f>
        <v/>
      </c>
      <c r="G2515" t="str">
        <f>""</f>
        <v/>
      </c>
      <c r="I2515" t="str">
        <f t="shared" si="46"/>
        <v>TEXAS COUNTY &amp; DISTRICT RET</v>
      </c>
    </row>
    <row r="2516" spans="1:9" x14ac:dyDescent="0.3">
      <c r="A2516" t="str">
        <f>""</f>
        <v/>
      </c>
      <c r="F2516" t="str">
        <f>""</f>
        <v/>
      </c>
      <c r="G2516" t="str">
        <f>""</f>
        <v/>
      </c>
      <c r="I2516" t="str">
        <f t="shared" si="46"/>
        <v>TEXAS COUNTY &amp; DISTRICT RET</v>
      </c>
    </row>
    <row r="2517" spans="1:9" x14ac:dyDescent="0.3">
      <c r="A2517" t="str">
        <f>""</f>
        <v/>
      </c>
      <c r="F2517" t="str">
        <f>""</f>
        <v/>
      </c>
      <c r="G2517" t="str">
        <f>""</f>
        <v/>
      </c>
      <c r="I2517" t="str">
        <f t="shared" si="46"/>
        <v>TEXAS COUNTY &amp; DISTRICT RET</v>
      </c>
    </row>
    <row r="2518" spans="1:9" x14ac:dyDescent="0.3">
      <c r="A2518" t="str">
        <f>""</f>
        <v/>
      </c>
      <c r="F2518" t="str">
        <f>""</f>
        <v/>
      </c>
      <c r="G2518" t="str">
        <f>""</f>
        <v/>
      </c>
      <c r="I2518" t="str">
        <f t="shared" si="46"/>
        <v>TEXAS COUNTY &amp; DISTRICT RET</v>
      </c>
    </row>
    <row r="2519" spans="1:9" x14ac:dyDescent="0.3">
      <c r="A2519" t="str">
        <f>""</f>
        <v/>
      </c>
      <c r="F2519" t="str">
        <f>""</f>
        <v/>
      </c>
      <c r="G2519" t="str">
        <f>""</f>
        <v/>
      </c>
      <c r="I2519" t="str">
        <f t="shared" si="46"/>
        <v>TEXAS COUNTY &amp; DISTRICT RET</v>
      </c>
    </row>
    <row r="2520" spans="1:9" x14ac:dyDescent="0.3">
      <c r="A2520" t="str">
        <f>""</f>
        <v/>
      </c>
      <c r="F2520" t="str">
        <f>""</f>
        <v/>
      </c>
      <c r="G2520" t="str">
        <f>""</f>
        <v/>
      </c>
      <c r="I2520" t="str">
        <f t="shared" si="46"/>
        <v>TEXAS COUNTY &amp; DISTRICT RET</v>
      </c>
    </row>
    <row r="2521" spans="1:9" x14ac:dyDescent="0.3">
      <c r="A2521" t="str">
        <f>""</f>
        <v/>
      </c>
      <c r="F2521" t="str">
        <f>""</f>
        <v/>
      </c>
      <c r="G2521" t="str">
        <f>""</f>
        <v/>
      </c>
      <c r="I2521" t="str">
        <f t="shared" si="46"/>
        <v>TEXAS COUNTY &amp; DISTRICT RET</v>
      </c>
    </row>
    <row r="2522" spans="1:9" x14ac:dyDescent="0.3">
      <c r="A2522" t="str">
        <f>""</f>
        <v/>
      </c>
      <c r="F2522" t="str">
        <f>""</f>
        <v/>
      </c>
      <c r="G2522" t="str">
        <f>""</f>
        <v/>
      </c>
      <c r="I2522" t="str">
        <f t="shared" si="46"/>
        <v>TEXAS COUNTY &amp; DISTRICT RET</v>
      </c>
    </row>
    <row r="2523" spans="1:9" x14ac:dyDescent="0.3">
      <c r="A2523" t="str">
        <f>""</f>
        <v/>
      </c>
      <c r="F2523" t="str">
        <f>""</f>
        <v/>
      </c>
      <c r="G2523" t="str">
        <f>""</f>
        <v/>
      </c>
      <c r="I2523" t="str">
        <f t="shared" si="46"/>
        <v>TEXAS COUNTY &amp; DISTRICT RET</v>
      </c>
    </row>
    <row r="2524" spans="1:9" x14ac:dyDescent="0.3">
      <c r="A2524" t="str">
        <f>""</f>
        <v/>
      </c>
      <c r="F2524" t="str">
        <f>""</f>
        <v/>
      </c>
      <c r="G2524" t="str">
        <f>""</f>
        <v/>
      </c>
      <c r="I2524" t="str">
        <f t="shared" si="46"/>
        <v>TEXAS COUNTY &amp; DISTRICT RET</v>
      </c>
    </row>
    <row r="2525" spans="1:9" x14ac:dyDescent="0.3">
      <c r="A2525" t="str">
        <f>""</f>
        <v/>
      </c>
      <c r="F2525" t="str">
        <f>""</f>
        <v/>
      </c>
      <c r="G2525" t="str">
        <f>""</f>
        <v/>
      </c>
      <c r="I2525" t="str">
        <f t="shared" si="46"/>
        <v>TEXAS COUNTY &amp; DISTRICT RET</v>
      </c>
    </row>
    <row r="2526" spans="1:9" x14ac:dyDescent="0.3">
      <c r="A2526" t="str">
        <f>""</f>
        <v/>
      </c>
      <c r="F2526" t="str">
        <f>""</f>
        <v/>
      </c>
      <c r="G2526" t="str">
        <f>""</f>
        <v/>
      </c>
      <c r="I2526" t="str">
        <f t="shared" si="46"/>
        <v>TEXAS COUNTY &amp; DISTRICT RET</v>
      </c>
    </row>
    <row r="2527" spans="1:9" x14ac:dyDescent="0.3">
      <c r="A2527" t="str">
        <f>""</f>
        <v/>
      </c>
      <c r="F2527" t="str">
        <f>""</f>
        <v/>
      </c>
      <c r="G2527" t="str">
        <f>""</f>
        <v/>
      </c>
      <c r="I2527" t="str">
        <f t="shared" si="46"/>
        <v>TEXAS COUNTY &amp; DISTRICT RET</v>
      </c>
    </row>
    <row r="2528" spans="1:9" x14ac:dyDescent="0.3">
      <c r="A2528" t="str">
        <f>""</f>
        <v/>
      </c>
      <c r="F2528" t="str">
        <f>""</f>
        <v/>
      </c>
      <c r="G2528" t="str">
        <f>""</f>
        <v/>
      </c>
      <c r="I2528" t="str">
        <f t="shared" si="46"/>
        <v>TEXAS COUNTY &amp; DISTRICT RET</v>
      </c>
    </row>
    <row r="2529" spans="1:9" x14ac:dyDescent="0.3">
      <c r="A2529" t="str">
        <f>""</f>
        <v/>
      </c>
      <c r="F2529" t="str">
        <f>""</f>
        <v/>
      </c>
      <c r="G2529" t="str">
        <f>""</f>
        <v/>
      </c>
      <c r="I2529" t="str">
        <f t="shared" si="46"/>
        <v>TEXAS COUNTY &amp; DISTRICT RET</v>
      </c>
    </row>
    <row r="2530" spans="1:9" x14ac:dyDescent="0.3">
      <c r="A2530" t="str">
        <f>""</f>
        <v/>
      </c>
      <c r="F2530" t="str">
        <f>""</f>
        <v/>
      </c>
      <c r="G2530" t="str">
        <f>""</f>
        <v/>
      </c>
      <c r="I2530" t="str">
        <f t="shared" si="46"/>
        <v>TEXAS COUNTY &amp; DISTRICT RET</v>
      </c>
    </row>
    <row r="2531" spans="1:9" x14ac:dyDescent="0.3">
      <c r="A2531" t="str">
        <f>""</f>
        <v/>
      </c>
      <c r="F2531" t="str">
        <f>""</f>
        <v/>
      </c>
      <c r="G2531" t="str">
        <f>""</f>
        <v/>
      </c>
      <c r="I2531" t="str">
        <f t="shared" si="46"/>
        <v>TEXAS COUNTY &amp; DISTRICT RET</v>
      </c>
    </row>
    <row r="2532" spans="1:9" x14ac:dyDescent="0.3">
      <c r="A2532" t="str">
        <f>""</f>
        <v/>
      </c>
      <c r="F2532" t="str">
        <f>""</f>
        <v/>
      </c>
      <c r="G2532" t="str">
        <f>""</f>
        <v/>
      </c>
      <c r="I2532" t="str">
        <f t="shared" si="46"/>
        <v>TEXAS COUNTY &amp; DISTRICT RET</v>
      </c>
    </row>
    <row r="2533" spans="1:9" x14ac:dyDescent="0.3">
      <c r="A2533" t="str">
        <f>""</f>
        <v/>
      </c>
      <c r="F2533" t="str">
        <f>""</f>
        <v/>
      </c>
      <c r="G2533" t="str">
        <f>""</f>
        <v/>
      </c>
      <c r="I2533" t="str">
        <f t="shared" si="46"/>
        <v>TEXAS COUNTY &amp; DISTRICT RET</v>
      </c>
    </row>
    <row r="2534" spans="1:9" x14ac:dyDescent="0.3">
      <c r="A2534" t="str">
        <f>""</f>
        <v/>
      </c>
      <c r="F2534" t="str">
        <f>""</f>
        <v/>
      </c>
      <c r="G2534" t="str">
        <f>""</f>
        <v/>
      </c>
      <c r="I2534" t="str">
        <f t="shared" si="46"/>
        <v>TEXAS COUNTY &amp; DISTRICT RET</v>
      </c>
    </row>
    <row r="2535" spans="1:9" x14ac:dyDescent="0.3">
      <c r="A2535" t="str">
        <f>""</f>
        <v/>
      </c>
      <c r="F2535" t="str">
        <f>""</f>
        <v/>
      </c>
      <c r="G2535" t="str">
        <f>""</f>
        <v/>
      </c>
      <c r="I2535" t="str">
        <f t="shared" si="46"/>
        <v>TEXAS COUNTY &amp; DISTRICT RET</v>
      </c>
    </row>
    <row r="2536" spans="1:9" x14ac:dyDescent="0.3">
      <c r="A2536" t="str">
        <f>""</f>
        <v/>
      </c>
      <c r="F2536" t="str">
        <f>""</f>
        <v/>
      </c>
      <c r="G2536" t="str">
        <f>""</f>
        <v/>
      </c>
      <c r="I2536" t="str">
        <f t="shared" si="46"/>
        <v>TEXAS COUNTY &amp; DISTRICT RET</v>
      </c>
    </row>
    <row r="2537" spans="1:9" x14ac:dyDescent="0.3">
      <c r="A2537" t="str">
        <f>""</f>
        <v/>
      </c>
      <c r="F2537" t="str">
        <f>""</f>
        <v/>
      </c>
      <c r="G2537" t="str">
        <f>""</f>
        <v/>
      </c>
      <c r="I2537" t="str">
        <f t="shared" si="46"/>
        <v>TEXAS COUNTY &amp; DISTRICT RET</v>
      </c>
    </row>
    <row r="2538" spans="1:9" x14ac:dyDescent="0.3">
      <c r="A2538" t="str">
        <f>""</f>
        <v/>
      </c>
      <c r="F2538" t="str">
        <f>""</f>
        <v/>
      </c>
      <c r="G2538" t="str">
        <f>""</f>
        <v/>
      </c>
      <c r="I2538" t="str">
        <f t="shared" si="46"/>
        <v>TEXAS COUNTY &amp; DISTRICT RET</v>
      </c>
    </row>
    <row r="2539" spans="1:9" x14ac:dyDescent="0.3">
      <c r="A2539" t="str">
        <f>""</f>
        <v/>
      </c>
      <c r="F2539" t="str">
        <f>""</f>
        <v/>
      </c>
      <c r="G2539" t="str">
        <f>""</f>
        <v/>
      </c>
      <c r="I2539" t="str">
        <f t="shared" si="46"/>
        <v>TEXAS COUNTY &amp; DISTRICT RET</v>
      </c>
    </row>
    <row r="2540" spans="1:9" x14ac:dyDescent="0.3">
      <c r="A2540" t="str">
        <f>""</f>
        <v/>
      </c>
      <c r="F2540" t="str">
        <f>""</f>
        <v/>
      </c>
      <c r="G2540" t="str">
        <f>""</f>
        <v/>
      </c>
      <c r="I2540" t="str">
        <f t="shared" si="46"/>
        <v>TEXAS COUNTY &amp; DISTRICT RET</v>
      </c>
    </row>
    <row r="2541" spans="1:9" x14ac:dyDescent="0.3">
      <c r="A2541" t="str">
        <f>""</f>
        <v/>
      </c>
      <c r="F2541" t="str">
        <f>""</f>
        <v/>
      </c>
      <c r="G2541" t="str">
        <f>""</f>
        <v/>
      </c>
      <c r="I2541" t="str">
        <f t="shared" si="46"/>
        <v>TEXAS COUNTY &amp; DISTRICT RET</v>
      </c>
    </row>
    <row r="2542" spans="1:9" x14ac:dyDescent="0.3">
      <c r="A2542" t="str">
        <f>""</f>
        <v/>
      </c>
      <c r="F2542" t="str">
        <f>""</f>
        <v/>
      </c>
      <c r="G2542" t="str">
        <f>""</f>
        <v/>
      </c>
      <c r="I2542" t="str">
        <f t="shared" ref="I2542:I2562" si="47">"TEXAS COUNTY &amp; DISTRICT RET"</f>
        <v>TEXAS COUNTY &amp; DISTRICT RET</v>
      </c>
    </row>
    <row r="2543" spans="1:9" x14ac:dyDescent="0.3">
      <c r="A2543" t="str">
        <f>""</f>
        <v/>
      </c>
      <c r="F2543" t="str">
        <f>""</f>
        <v/>
      </c>
      <c r="G2543" t="str">
        <f>""</f>
        <v/>
      </c>
      <c r="I2543" t="str">
        <f t="shared" si="47"/>
        <v>TEXAS COUNTY &amp; DISTRICT RET</v>
      </c>
    </row>
    <row r="2544" spans="1:9" x14ac:dyDescent="0.3">
      <c r="A2544" t="str">
        <f>""</f>
        <v/>
      </c>
      <c r="F2544" t="str">
        <f>""</f>
        <v/>
      </c>
      <c r="G2544" t="str">
        <f>""</f>
        <v/>
      </c>
      <c r="I2544" t="str">
        <f t="shared" si="47"/>
        <v>TEXAS COUNTY &amp; DISTRICT RET</v>
      </c>
    </row>
    <row r="2545" spans="1:9" x14ac:dyDescent="0.3">
      <c r="A2545" t="str">
        <f>""</f>
        <v/>
      </c>
      <c r="F2545" t="str">
        <f>""</f>
        <v/>
      </c>
      <c r="G2545" t="str">
        <f>""</f>
        <v/>
      </c>
      <c r="I2545" t="str">
        <f t="shared" si="47"/>
        <v>TEXAS COUNTY &amp; DISTRICT RET</v>
      </c>
    </row>
    <row r="2546" spans="1:9" x14ac:dyDescent="0.3">
      <c r="A2546" t="str">
        <f>""</f>
        <v/>
      </c>
      <c r="F2546" t="str">
        <f>""</f>
        <v/>
      </c>
      <c r="G2546" t="str">
        <f>""</f>
        <v/>
      </c>
      <c r="I2546" t="str">
        <f t="shared" si="47"/>
        <v>TEXAS COUNTY &amp; DISTRICT RET</v>
      </c>
    </row>
    <row r="2547" spans="1:9" x14ac:dyDescent="0.3">
      <c r="A2547" t="str">
        <f>""</f>
        <v/>
      </c>
      <c r="F2547" t="str">
        <f>""</f>
        <v/>
      </c>
      <c r="G2547" t="str">
        <f>""</f>
        <v/>
      </c>
      <c r="I2547" t="str">
        <f t="shared" si="47"/>
        <v>TEXAS COUNTY &amp; DISTRICT RET</v>
      </c>
    </row>
    <row r="2548" spans="1:9" x14ac:dyDescent="0.3">
      <c r="A2548" t="str">
        <f>""</f>
        <v/>
      </c>
      <c r="F2548" t="str">
        <f>""</f>
        <v/>
      </c>
      <c r="G2548" t="str">
        <f>""</f>
        <v/>
      </c>
      <c r="I2548" t="str">
        <f t="shared" si="47"/>
        <v>TEXAS COUNTY &amp; DISTRICT RET</v>
      </c>
    </row>
    <row r="2549" spans="1:9" x14ac:dyDescent="0.3">
      <c r="A2549" t="str">
        <f>""</f>
        <v/>
      </c>
      <c r="F2549" t="str">
        <f>""</f>
        <v/>
      </c>
      <c r="G2549" t="str">
        <f>""</f>
        <v/>
      </c>
      <c r="I2549" t="str">
        <f t="shared" si="47"/>
        <v>TEXAS COUNTY &amp; DISTRICT RET</v>
      </c>
    </row>
    <row r="2550" spans="1:9" x14ac:dyDescent="0.3">
      <c r="A2550" t="str">
        <f>""</f>
        <v/>
      </c>
      <c r="F2550" t="str">
        <f>""</f>
        <v/>
      </c>
      <c r="G2550" t="str">
        <f>""</f>
        <v/>
      </c>
      <c r="I2550" t="str">
        <f t="shared" si="47"/>
        <v>TEXAS COUNTY &amp; DISTRICT RET</v>
      </c>
    </row>
    <row r="2551" spans="1:9" x14ac:dyDescent="0.3">
      <c r="A2551" t="str">
        <f>""</f>
        <v/>
      </c>
      <c r="F2551" t="str">
        <f>""</f>
        <v/>
      </c>
      <c r="G2551" t="str">
        <f>""</f>
        <v/>
      </c>
      <c r="I2551" t="str">
        <f t="shared" si="47"/>
        <v>TEXAS COUNTY &amp; DISTRICT RET</v>
      </c>
    </row>
    <row r="2552" spans="1:9" x14ac:dyDescent="0.3">
      <c r="A2552" t="str">
        <f>""</f>
        <v/>
      </c>
      <c r="F2552" t="str">
        <f>""</f>
        <v/>
      </c>
      <c r="G2552" t="str">
        <f>""</f>
        <v/>
      </c>
      <c r="I2552" t="str">
        <f t="shared" si="47"/>
        <v>TEXAS COUNTY &amp; DISTRICT RET</v>
      </c>
    </row>
    <row r="2553" spans="1:9" x14ac:dyDescent="0.3">
      <c r="A2553" t="str">
        <f>""</f>
        <v/>
      </c>
      <c r="F2553" t="str">
        <f>""</f>
        <v/>
      </c>
      <c r="G2553" t="str">
        <f>""</f>
        <v/>
      </c>
      <c r="I2553" t="str">
        <f t="shared" si="47"/>
        <v>TEXAS COUNTY &amp; DISTRICT RET</v>
      </c>
    </row>
    <row r="2554" spans="1:9" x14ac:dyDescent="0.3">
      <c r="A2554" t="str">
        <f>""</f>
        <v/>
      </c>
      <c r="F2554" t="str">
        <f>""</f>
        <v/>
      </c>
      <c r="G2554" t="str">
        <f>""</f>
        <v/>
      </c>
      <c r="I2554" t="str">
        <f t="shared" si="47"/>
        <v>TEXAS COUNTY &amp; DISTRICT RET</v>
      </c>
    </row>
    <row r="2555" spans="1:9" x14ac:dyDescent="0.3">
      <c r="A2555" t="str">
        <f>""</f>
        <v/>
      </c>
      <c r="F2555" t="str">
        <f>""</f>
        <v/>
      </c>
      <c r="G2555" t="str">
        <f>""</f>
        <v/>
      </c>
      <c r="I2555" t="str">
        <f t="shared" si="47"/>
        <v>TEXAS COUNTY &amp; DISTRICT RET</v>
      </c>
    </row>
    <row r="2556" spans="1:9" x14ac:dyDescent="0.3">
      <c r="A2556" t="str">
        <f>""</f>
        <v/>
      </c>
      <c r="F2556" t="str">
        <f>""</f>
        <v/>
      </c>
      <c r="G2556" t="str">
        <f>""</f>
        <v/>
      </c>
      <c r="I2556" t="str">
        <f t="shared" si="47"/>
        <v>TEXAS COUNTY &amp; DISTRICT RET</v>
      </c>
    </row>
    <row r="2557" spans="1:9" x14ac:dyDescent="0.3">
      <c r="A2557" t="str">
        <f>""</f>
        <v/>
      </c>
      <c r="F2557" t="str">
        <f>""</f>
        <v/>
      </c>
      <c r="G2557" t="str">
        <f>""</f>
        <v/>
      </c>
      <c r="I2557" t="str">
        <f t="shared" si="47"/>
        <v>TEXAS COUNTY &amp; DISTRICT RET</v>
      </c>
    </row>
    <row r="2558" spans="1:9" x14ac:dyDescent="0.3">
      <c r="A2558" t="str">
        <f>""</f>
        <v/>
      </c>
      <c r="F2558" t="str">
        <f>""</f>
        <v/>
      </c>
      <c r="G2558" t="str">
        <f>""</f>
        <v/>
      </c>
      <c r="I2558" t="str">
        <f t="shared" si="47"/>
        <v>TEXAS COUNTY &amp; DISTRICT RET</v>
      </c>
    </row>
    <row r="2559" spans="1:9" x14ac:dyDescent="0.3">
      <c r="A2559" t="str">
        <f>""</f>
        <v/>
      </c>
      <c r="F2559" t="str">
        <f>""</f>
        <v/>
      </c>
      <c r="G2559" t="str">
        <f>""</f>
        <v/>
      </c>
      <c r="I2559" t="str">
        <f t="shared" si="47"/>
        <v>TEXAS COUNTY &amp; DISTRICT RET</v>
      </c>
    </row>
    <row r="2560" spans="1:9" x14ac:dyDescent="0.3">
      <c r="A2560" t="str">
        <f>""</f>
        <v/>
      </c>
      <c r="F2560" t="str">
        <f>""</f>
        <v/>
      </c>
      <c r="G2560" t="str">
        <f>""</f>
        <v/>
      </c>
      <c r="I2560" t="str">
        <f t="shared" si="47"/>
        <v>TEXAS COUNTY &amp; DISTRICT RET</v>
      </c>
    </row>
    <row r="2561" spans="1:9" x14ac:dyDescent="0.3">
      <c r="A2561" t="str">
        <f>""</f>
        <v/>
      </c>
      <c r="F2561" t="str">
        <f>""</f>
        <v/>
      </c>
      <c r="G2561" t="str">
        <f>""</f>
        <v/>
      </c>
      <c r="I2561" t="str">
        <f t="shared" si="47"/>
        <v>TEXAS COUNTY &amp; DISTRICT RET</v>
      </c>
    </row>
    <row r="2562" spans="1:9" x14ac:dyDescent="0.3">
      <c r="A2562" t="str">
        <f>""</f>
        <v/>
      </c>
      <c r="F2562" t="str">
        <f>""</f>
        <v/>
      </c>
      <c r="G2562" t="str">
        <f>""</f>
        <v/>
      </c>
      <c r="I2562" t="str">
        <f t="shared" si="47"/>
        <v>TEXAS COUNTY &amp; DISTRICT RET</v>
      </c>
    </row>
    <row r="2563" spans="1:9" x14ac:dyDescent="0.3">
      <c r="A2563" t="str">
        <f>"002457"</f>
        <v>002457</v>
      </c>
      <c r="B2563" t="s">
        <v>537</v>
      </c>
      <c r="C2563">
        <v>46240</v>
      </c>
      <c r="D2563" s="2">
        <v>1080</v>
      </c>
      <c r="E2563" s="1">
        <v>43185</v>
      </c>
      <c r="F2563" t="str">
        <f>"LEG201803079264"</f>
        <v>LEG201803079264</v>
      </c>
      <c r="G2563" t="str">
        <f>"TEXAS LEGAL PROTECTION PLAN"</f>
        <v>TEXAS LEGAL PROTECTION PLAN</v>
      </c>
      <c r="H2563">
        <v>540</v>
      </c>
      <c r="I2563" t="str">
        <f>"TEXAS LEGAL PROTECTION PLAN"</f>
        <v>TEXAS LEGAL PROTECTION PLAN</v>
      </c>
    </row>
    <row r="2564" spans="1:9" x14ac:dyDescent="0.3">
      <c r="A2564" t="str">
        <f>""</f>
        <v/>
      </c>
      <c r="F2564" t="str">
        <f>"LEG201803219717"</f>
        <v>LEG201803219717</v>
      </c>
      <c r="G2564" t="str">
        <f>"TEXAS LEGAL PROTECTION PLAN"</f>
        <v>TEXAS LEGAL PROTECTION PLAN</v>
      </c>
      <c r="H2564">
        <v>540</v>
      </c>
      <c r="I2564" t="str">
        <f>"TEXAS LEGAL PROTECTION PLAN"</f>
        <v>TEXAS LEGAL PROTECTION PLAN</v>
      </c>
    </row>
    <row r="2565" spans="1:9" x14ac:dyDescent="0.3">
      <c r="A2565" t="str">
        <f>"T14362"</f>
        <v>T14362</v>
      </c>
      <c r="B2565" t="s">
        <v>538</v>
      </c>
      <c r="C2565">
        <v>46201</v>
      </c>
      <c r="D2565" s="2">
        <v>186</v>
      </c>
      <c r="E2565" s="1">
        <v>43168</v>
      </c>
      <c r="F2565" t="str">
        <f>"SL6201803079264"</f>
        <v>SL6201803079264</v>
      </c>
      <c r="G2565" t="str">
        <f>"TG STUDENT LOAN - P CROUCH"</f>
        <v>TG STUDENT LOAN - P CROUCH</v>
      </c>
      <c r="H2565">
        <v>186</v>
      </c>
      <c r="I2565" t="str">
        <f>"TG STUDENT LOAN - P CROUCH"</f>
        <v>TG STUDENT LOAN - P CROUCH</v>
      </c>
    </row>
    <row r="2566" spans="1:9" x14ac:dyDescent="0.3">
      <c r="A2566" t="str">
        <f>"T14362"</f>
        <v>T14362</v>
      </c>
      <c r="B2566" t="s">
        <v>538</v>
      </c>
      <c r="C2566">
        <v>46238</v>
      </c>
      <c r="D2566" s="2">
        <v>186</v>
      </c>
      <c r="E2566" s="1">
        <v>43182</v>
      </c>
      <c r="F2566" t="str">
        <f>"SL6201803219717"</f>
        <v>SL6201803219717</v>
      </c>
      <c r="G2566" t="str">
        <f>"TG STUDENT LOAN - P CROUCH"</f>
        <v>TG STUDENT LOAN - P CROUCH</v>
      </c>
      <c r="H2566">
        <v>186</v>
      </c>
      <c r="I2566" t="str">
        <f>"TG STUDENT LOAN - P CROUCH"</f>
        <v>TG STUDENT LOAN - P CROUCH</v>
      </c>
    </row>
    <row r="2567" spans="1:9" x14ac:dyDescent="0.3">
      <c r="A2567" t="str">
        <f>"T10887"</f>
        <v>T10887</v>
      </c>
      <c r="B2567" t="s">
        <v>539</v>
      </c>
      <c r="C2567">
        <v>46200</v>
      </c>
      <c r="D2567" s="2">
        <v>378.02</v>
      </c>
      <c r="E2567" s="1">
        <v>43168</v>
      </c>
      <c r="F2567" t="str">
        <f>"S10201803079264"</f>
        <v>S10201803079264</v>
      </c>
      <c r="G2567" t="str">
        <f>"STUDENT LOAN"</f>
        <v>STUDENT LOAN</v>
      </c>
      <c r="H2567">
        <v>165.37</v>
      </c>
      <c r="I2567" t="str">
        <f>"STUDENT LOAN"</f>
        <v>STUDENT LOAN</v>
      </c>
    </row>
    <row r="2568" spans="1:9" x14ac:dyDescent="0.3">
      <c r="A2568" t="str">
        <f>""</f>
        <v/>
      </c>
      <c r="F2568" t="str">
        <f>"SL9201803079264"</f>
        <v>SL9201803079264</v>
      </c>
      <c r="G2568" t="str">
        <f>"STUDENT LOAN"</f>
        <v>STUDENT LOAN</v>
      </c>
      <c r="H2568">
        <v>212.65</v>
      </c>
      <c r="I2568" t="str">
        <f>"STUDENT LOAN"</f>
        <v>STUDENT LOAN</v>
      </c>
    </row>
    <row r="2569" spans="1:9" x14ac:dyDescent="0.3">
      <c r="A2569" t="str">
        <f>"T10887"</f>
        <v>T10887</v>
      </c>
      <c r="B2569" t="s">
        <v>539</v>
      </c>
      <c r="C2569">
        <v>46237</v>
      </c>
      <c r="D2569" s="2">
        <v>378.02</v>
      </c>
      <c r="E2569" s="1">
        <v>43182</v>
      </c>
      <c r="F2569" t="str">
        <f>"S10201803219717"</f>
        <v>S10201803219717</v>
      </c>
      <c r="G2569" t="str">
        <f>"STUDENT LOAN"</f>
        <v>STUDENT LOAN</v>
      </c>
      <c r="H2569">
        <v>165.37</v>
      </c>
      <c r="I2569" t="str">
        <f>"STUDENT LOAN"</f>
        <v>STUDENT LOAN</v>
      </c>
    </row>
    <row r="2570" spans="1:9" x14ac:dyDescent="0.3">
      <c r="A2570" t="str">
        <f>""</f>
        <v/>
      </c>
      <c r="F2570" t="str">
        <f>"SL9201803219717"</f>
        <v>SL9201803219717</v>
      </c>
      <c r="G2570" t="str">
        <f>"STUDENT LOAN"</f>
        <v>STUDENT LOAN</v>
      </c>
      <c r="H2570">
        <v>212.65</v>
      </c>
      <c r="I2570" t="str">
        <f>"STUDENT LOAN"</f>
        <v>STUDENT LOAN</v>
      </c>
    </row>
    <row r="2571" spans="1:9" x14ac:dyDescent="0.3">
      <c r="A2571" t="str">
        <f>"004767"</f>
        <v>004767</v>
      </c>
      <c r="B2571" t="s">
        <v>491</v>
      </c>
      <c r="C2571">
        <v>0</v>
      </c>
      <c r="D2571" s="2">
        <v>12840.72</v>
      </c>
      <c r="E2571" s="1">
        <v>43168</v>
      </c>
      <c r="F2571" t="str">
        <f>"FSA201803079264"</f>
        <v>FSA201803079264</v>
      </c>
      <c r="G2571" t="str">
        <f>"WAGE WORKS"</f>
        <v>WAGE WORKS</v>
      </c>
      <c r="H2571">
        <v>8614.31</v>
      </c>
      <c r="I2571" t="str">
        <f>"WAGE WORKS"</f>
        <v>WAGE WORKS</v>
      </c>
    </row>
    <row r="2572" spans="1:9" x14ac:dyDescent="0.3">
      <c r="A2572" t="str">
        <f>""</f>
        <v/>
      </c>
      <c r="F2572" t="str">
        <f>"FSA201803079268"</f>
        <v>FSA201803079268</v>
      </c>
      <c r="G2572" t="str">
        <f>"WAGE WORKS"</f>
        <v>WAGE WORKS</v>
      </c>
      <c r="H2572">
        <v>574</v>
      </c>
      <c r="I2572" t="str">
        <f>"WAGE WORKS"</f>
        <v>WAGE WORKS</v>
      </c>
    </row>
    <row r="2573" spans="1:9" x14ac:dyDescent="0.3">
      <c r="A2573" t="str">
        <f>""</f>
        <v/>
      </c>
      <c r="F2573" t="str">
        <f>"FSC201803079264"</f>
        <v>FSC201803079264</v>
      </c>
      <c r="G2573" t="str">
        <f>"WAGE WORKS"</f>
        <v>WAGE WORKS</v>
      </c>
      <c r="H2573">
        <v>913.95</v>
      </c>
      <c r="I2573" t="str">
        <f>"WAGE WORKS"</f>
        <v>WAGE WORKS</v>
      </c>
    </row>
    <row r="2574" spans="1:9" x14ac:dyDescent="0.3">
      <c r="A2574" t="str">
        <f>""</f>
        <v/>
      </c>
      <c r="F2574" t="str">
        <f>"FSF201803079264"</f>
        <v>FSF201803079264</v>
      </c>
      <c r="G2574" t="str">
        <f>"WAGE WORKS - FSA &amp; HRA FEES"</f>
        <v>WAGE WORKS - FSA &amp; HRA FEES</v>
      </c>
      <c r="H2574">
        <v>549.08000000000004</v>
      </c>
      <c r="I2574" t="str">
        <f t="shared" ref="I2574:I2613" si="48">"WAGE WORKS - FSA &amp; HRA FEES"</f>
        <v>WAGE WORKS - FSA &amp; HRA FEES</v>
      </c>
    </row>
    <row r="2575" spans="1:9" x14ac:dyDescent="0.3">
      <c r="A2575" t="str">
        <f>""</f>
        <v/>
      </c>
      <c r="F2575" t="str">
        <f>""</f>
        <v/>
      </c>
      <c r="G2575" t="str">
        <f>""</f>
        <v/>
      </c>
      <c r="I2575" t="str">
        <f t="shared" si="48"/>
        <v>WAGE WORKS - FSA &amp; HRA FEES</v>
      </c>
    </row>
    <row r="2576" spans="1:9" x14ac:dyDescent="0.3">
      <c r="A2576" t="str">
        <f>""</f>
        <v/>
      </c>
      <c r="F2576" t="str">
        <f>""</f>
        <v/>
      </c>
      <c r="G2576" t="str">
        <f>""</f>
        <v/>
      </c>
      <c r="I2576" t="str">
        <f t="shared" si="48"/>
        <v>WAGE WORKS - FSA &amp; HRA FEES</v>
      </c>
    </row>
    <row r="2577" spans="1:9" x14ac:dyDescent="0.3">
      <c r="A2577" t="str">
        <f>""</f>
        <v/>
      </c>
      <c r="F2577" t="str">
        <f>""</f>
        <v/>
      </c>
      <c r="G2577" t="str">
        <f>""</f>
        <v/>
      </c>
      <c r="I2577" t="str">
        <f t="shared" si="48"/>
        <v>WAGE WORKS - FSA &amp; HRA FEES</v>
      </c>
    </row>
    <row r="2578" spans="1:9" x14ac:dyDescent="0.3">
      <c r="A2578" t="str">
        <f>""</f>
        <v/>
      </c>
      <c r="F2578" t="str">
        <f>""</f>
        <v/>
      </c>
      <c r="G2578" t="str">
        <f>""</f>
        <v/>
      </c>
      <c r="I2578" t="str">
        <f t="shared" si="48"/>
        <v>WAGE WORKS - FSA &amp; HRA FEES</v>
      </c>
    </row>
    <row r="2579" spans="1:9" x14ac:dyDescent="0.3">
      <c r="A2579" t="str">
        <f>""</f>
        <v/>
      </c>
      <c r="F2579" t="str">
        <f>""</f>
        <v/>
      </c>
      <c r="G2579" t="str">
        <f>""</f>
        <v/>
      </c>
      <c r="I2579" t="str">
        <f t="shared" si="48"/>
        <v>WAGE WORKS - FSA &amp; HRA FEES</v>
      </c>
    </row>
    <row r="2580" spans="1:9" x14ac:dyDescent="0.3">
      <c r="A2580" t="str">
        <f>""</f>
        <v/>
      </c>
      <c r="F2580" t="str">
        <f>""</f>
        <v/>
      </c>
      <c r="G2580" t="str">
        <f>""</f>
        <v/>
      </c>
      <c r="I2580" t="str">
        <f t="shared" si="48"/>
        <v>WAGE WORKS - FSA &amp; HRA FEES</v>
      </c>
    </row>
    <row r="2581" spans="1:9" x14ac:dyDescent="0.3">
      <c r="A2581" t="str">
        <f>""</f>
        <v/>
      </c>
      <c r="F2581" t="str">
        <f>""</f>
        <v/>
      </c>
      <c r="G2581" t="str">
        <f>""</f>
        <v/>
      </c>
      <c r="I2581" t="str">
        <f t="shared" si="48"/>
        <v>WAGE WORKS - FSA &amp; HRA FEES</v>
      </c>
    </row>
    <row r="2582" spans="1:9" x14ac:dyDescent="0.3">
      <c r="A2582" t="str">
        <f>""</f>
        <v/>
      </c>
      <c r="F2582" t="str">
        <f>""</f>
        <v/>
      </c>
      <c r="G2582" t="str">
        <f>""</f>
        <v/>
      </c>
      <c r="I2582" t="str">
        <f t="shared" si="48"/>
        <v>WAGE WORKS - FSA &amp; HRA FEES</v>
      </c>
    </row>
    <row r="2583" spans="1:9" x14ac:dyDescent="0.3">
      <c r="A2583" t="str">
        <f>""</f>
        <v/>
      </c>
      <c r="F2583" t="str">
        <f>""</f>
        <v/>
      </c>
      <c r="G2583" t="str">
        <f>""</f>
        <v/>
      </c>
      <c r="I2583" t="str">
        <f t="shared" si="48"/>
        <v>WAGE WORKS - FSA &amp; HRA FEES</v>
      </c>
    </row>
    <row r="2584" spans="1:9" x14ac:dyDescent="0.3">
      <c r="A2584" t="str">
        <f>""</f>
        <v/>
      </c>
      <c r="F2584" t="str">
        <f>""</f>
        <v/>
      </c>
      <c r="G2584" t="str">
        <f>""</f>
        <v/>
      </c>
      <c r="I2584" t="str">
        <f t="shared" si="48"/>
        <v>WAGE WORKS - FSA &amp; HRA FEES</v>
      </c>
    </row>
    <row r="2585" spans="1:9" x14ac:dyDescent="0.3">
      <c r="A2585" t="str">
        <f>""</f>
        <v/>
      </c>
      <c r="F2585" t="str">
        <f>""</f>
        <v/>
      </c>
      <c r="G2585" t="str">
        <f>""</f>
        <v/>
      </c>
      <c r="I2585" t="str">
        <f t="shared" si="48"/>
        <v>WAGE WORKS - FSA &amp; HRA FEES</v>
      </c>
    </row>
    <row r="2586" spans="1:9" x14ac:dyDescent="0.3">
      <c r="A2586" t="str">
        <f>""</f>
        <v/>
      </c>
      <c r="F2586" t="str">
        <f>""</f>
        <v/>
      </c>
      <c r="G2586" t="str">
        <f>""</f>
        <v/>
      </c>
      <c r="I2586" t="str">
        <f t="shared" si="48"/>
        <v>WAGE WORKS - FSA &amp; HRA FEES</v>
      </c>
    </row>
    <row r="2587" spans="1:9" x14ac:dyDescent="0.3">
      <c r="A2587" t="str">
        <f>""</f>
        <v/>
      </c>
      <c r="F2587" t="str">
        <f>""</f>
        <v/>
      </c>
      <c r="G2587" t="str">
        <f>""</f>
        <v/>
      </c>
      <c r="I2587" t="str">
        <f t="shared" si="48"/>
        <v>WAGE WORKS - FSA &amp; HRA FEES</v>
      </c>
    </row>
    <row r="2588" spans="1:9" x14ac:dyDescent="0.3">
      <c r="A2588" t="str">
        <f>""</f>
        <v/>
      </c>
      <c r="F2588" t="str">
        <f>""</f>
        <v/>
      </c>
      <c r="G2588" t="str">
        <f>""</f>
        <v/>
      </c>
      <c r="I2588" t="str">
        <f t="shared" si="48"/>
        <v>WAGE WORKS - FSA &amp; HRA FEES</v>
      </c>
    </row>
    <row r="2589" spans="1:9" x14ac:dyDescent="0.3">
      <c r="A2589" t="str">
        <f>""</f>
        <v/>
      </c>
      <c r="F2589" t="str">
        <f>""</f>
        <v/>
      </c>
      <c r="G2589" t="str">
        <f>""</f>
        <v/>
      </c>
      <c r="I2589" t="str">
        <f t="shared" si="48"/>
        <v>WAGE WORKS - FSA &amp; HRA FEES</v>
      </c>
    </row>
    <row r="2590" spans="1:9" x14ac:dyDescent="0.3">
      <c r="A2590" t="str">
        <f>""</f>
        <v/>
      </c>
      <c r="F2590" t="str">
        <f>""</f>
        <v/>
      </c>
      <c r="G2590" t="str">
        <f>""</f>
        <v/>
      </c>
      <c r="I2590" t="str">
        <f t="shared" si="48"/>
        <v>WAGE WORKS - FSA &amp; HRA FEES</v>
      </c>
    </row>
    <row r="2591" spans="1:9" x14ac:dyDescent="0.3">
      <c r="A2591" t="str">
        <f>""</f>
        <v/>
      </c>
      <c r="F2591" t="str">
        <f>""</f>
        <v/>
      </c>
      <c r="G2591" t="str">
        <f>""</f>
        <v/>
      </c>
      <c r="I2591" t="str">
        <f t="shared" si="48"/>
        <v>WAGE WORKS - FSA &amp; HRA FEES</v>
      </c>
    </row>
    <row r="2592" spans="1:9" x14ac:dyDescent="0.3">
      <c r="A2592" t="str">
        <f>""</f>
        <v/>
      </c>
      <c r="F2592" t="str">
        <f>""</f>
        <v/>
      </c>
      <c r="G2592" t="str">
        <f>""</f>
        <v/>
      </c>
      <c r="I2592" t="str">
        <f t="shared" si="48"/>
        <v>WAGE WORKS - FSA &amp; HRA FEES</v>
      </c>
    </row>
    <row r="2593" spans="1:9" x14ac:dyDescent="0.3">
      <c r="A2593" t="str">
        <f>""</f>
        <v/>
      </c>
      <c r="F2593" t="str">
        <f>""</f>
        <v/>
      </c>
      <c r="G2593" t="str">
        <f>""</f>
        <v/>
      </c>
      <c r="I2593" t="str">
        <f t="shared" si="48"/>
        <v>WAGE WORKS - FSA &amp; HRA FEES</v>
      </c>
    </row>
    <row r="2594" spans="1:9" x14ac:dyDescent="0.3">
      <c r="A2594" t="str">
        <f>""</f>
        <v/>
      </c>
      <c r="F2594" t="str">
        <f>""</f>
        <v/>
      </c>
      <c r="G2594" t="str">
        <f>""</f>
        <v/>
      </c>
      <c r="I2594" t="str">
        <f t="shared" si="48"/>
        <v>WAGE WORKS - FSA &amp; HRA FEES</v>
      </c>
    </row>
    <row r="2595" spans="1:9" x14ac:dyDescent="0.3">
      <c r="A2595" t="str">
        <f>""</f>
        <v/>
      </c>
      <c r="F2595" t="str">
        <f>""</f>
        <v/>
      </c>
      <c r="G2595" t="str">
        <f>""</f>
        <v/>
      </c>
      <c r="I2595" t="str">
        <f t="shared" si="48"/>
        <v>WAGE WORKS - FSA &amp; HRA FEES</v>
      </c>
    </row>
    <row r="2596" spans="1:9" x14ac:dyDescent="0.3">
      <c r="A2596" t="str">
        <f>""</f>
        <v/>
      </c>
      <c r="F2596" t="str">
        <f>""</f>
        <v/>
      </c>
      <c r="G2596" t="str">
        <f>""</f>
        <v/>
      </c>
      <c r="I2596" t="str">
        <f t="shared" si="48"/>
        <v>WAGE WORKS - FSA &amp; HRA FEES</v>
      </c>
    </row>
    <row r="2597" spans="1:9" x14ac:dyDescent="0.3">
      <c r="A2597" t="str">
        <f>""</f>
        <v/>
      </c>
      <c r="F2597" t="str">
        <f>""</f>
        <v/>
      </c>
      <c r="G2597" t="str">
        <f>""</f>
        <v/>
      </c>
      <c r="I2597" t="str">
        <f t="shared" si="48"/>
        <v>WAGE WORKS - FSA &amp; HRA FEES</v>
      </c>
    </row>
    <row r="2598" spans="1:9" x14ac:dyDescent="0.3">
      <c r="A2598" t="str">
        <f>""</f>
        <v/>
      </c>
      <c r="F2598" t="str">
        <f>""</f>
        <v/>
      </c>
      <c r="G2598" t="str">
        <f>""</f>
        <v/>
      </c>
      <c r="I2598" t="str">
        <f t="shared" si="48"/>
        <v>WAGE WORKS - FSA &amp; HRA FEES</v>
      </c>
    </row>
    <row r="2599" spans="1:9" x14ac:dyDescent="0.3">
      <c r="A2599" t="str">
        <f>""</f>
        <v/>
      </c>
      <c r="F2599" t="str">
        <f>""</f>
        <v/>
      </c>
      <c r="G2599" t="str">
        <f>""</f>
        <v/>
      </c>
      <c r="I2599" t="str">
        <f t="shared" si="48"/>
        <v>WAGE WORKS - FSA &amp; HRA FEES</v>
      </c>
    </row>
    <row r="2600" spans="1:9" x14ac:dyDescent="0.3">
      <c r="A2600" t="str">
        <f>""</f>
        <v/>
      </c>
      <c r="F2600" t="str">
        <f>""</f>
        <v/>
      </c>
      <c r="G2600" t="str">
        <f>""</f>
        <v/>
      </c>
      <c r="I2600" t="str">
        <f t="shared" si="48"/>
        <v>WAGE WORKS - FSA &amp; HRA FEES</v>
      </c>
    </row>
    <row r="2601" spans="1:9" x14ac:dyDescent="0.3">
      <c r="A2601" t="str">
        <f>""</f>
        <v/>
      </c>
      <c r="F2601" t="str">
        <f>""</f>
        <v/>
      </c>
      <c r="G2601" t="str">
        <f>""</f>
        <v/>
      </c>
      <c r="I2601" t="str">
        <f t="shared" si="48"/>
        <v>WAGE WORKS - FSA &amp; HRA FEES</v>
      </c>
    </row>
    <row r="2602" spans="1:9" x14ac:dyDescent="0.3">
      <c r="A2602" t="str">
        <f>""</f>
        <v/>
      </c>
      <c r="F2602" t="str">
        <f>""</f>
        <v/>
      </c>
      <c r="G2602" t="str">
        <f>""</f>
        <v/>
      </c>
      <c r="I2602" t="str">
        <f t="shared" si="48"/>
        <v>WAGE WORKS - FSA &amp; HRA FEES</v>
      </c>
    </row>
    <row r="2603" spans="1:9" x14ac:dyDescent="0.3">
      <c r="A2603" t="str">
        <f>""</f>
        <v/>
      </c>
      <c r="F2603" t="str">
        <f>""</f>
        <v/>
      </c>
      <c r="G2603" t="str">
        <f>""</f>
        <v/>
      </c>
      <c r="I2603" t="str">
        <f t="shared" si="48"/>
        <v>WAGE WORKS - FSA &amp; HRA FEES</v>
      </c>
    </row>
    <row r="2604" spans="1:9" x14ac:dyDescent="0.3">
      <c r="A2604" t="str">
        <f>""</f>
        <v/>
      </c>
      <c r="F2604" t="str">
        <f>""</f>
        <v/>
      </c>
      <c r="G2604" t="str">
        <f>""</f>
        <v/>
      </c>
      <c r="I2604" t="str">
        <f t="shared" si="48"/>
        <v>WAGE WORKS - FSA &amp; HRA FEES</v>
      </c>
    </row>
    <row r="2605" spans="1:9" x14ac:dyDescent="0.3">
      <c r="A2605" t="str">
        <f>""</f>
        <v/>
      </c>
      <c r="F2605" t="str">
        <f>""</f>
        <v/>
      </c>
      <c r="G2605" t="str">
        <f>""</f>
        <v/>
      </c>
      <c r="I2605" t="str">
        <f t="shared" si="48"/>
        <v>WAGE WORKS - FSA &amp; HRA FEES</v>
      </c>
    </row>
    <row r="2606" spans="1:9" x14ac:dyDescent="0.3">
      <c r="A2606" t="str">
        <f>""</f>
        <v/>
      </c>
      <c r="F2606" t="str">
        <f>""</f>
        <v/>
      </c>
      <c r="G2606" t="str">
        <f>""</f>
        <v/>
      </c>
      <c r="I2606" t="str">
        <f t="shared" si="48"/>
        <v>WAGE WORKS - FSA &amp; HRA FEES</v>
      </c>
    </row>
    <row r="2607" spans="1:9" x14ac:dyDescent="0.3">
      <c r="A2607" t="str">
        <f>""</f>
        <v/>
      </c>
      <c r="F2607" t="str">
        <f>""</f>
        <v/>
      </c>
      <c r="G2607" t="str">
        <f>""</f>
        <v/>
      </c>
      <c r="I2607" t="str">
        <f t="shared" si="48"/>
        <v>WAGE WORKS - FSA &amp; HRA FEES</v>
      </c>
    </row>
    <row r="2608" spans="1:9" x14ac:dyDescent="0.3">
      <c r="A2608" t="str">
        <f>""</f>
        <v/>
      </c>
      <c r="F2608" t="str">
        <f>""</f>
        <v/>
      </c>
      <c r="G2608" t="str">
        <f>""</f>
        <v/>
      </c>
      <c r="I2608" t="str">
        <f t="shared" si="48"/>
        <v>WAGE WORKS - FSA &amp; HRA FEES</v>
      </c>
    </row>
    <row r="2609" spans="1:9" x14ac:dyDescent="0.3">
      <c r="A2609" t="str">
        <f>""</f>
        <v/>
      </c>
      <c r="F2609" t="str">
        <f>""</f>
        <v/>
      </c>
      <c r="G2609" t="str">
        <f>""</f>
        <v/>
      </c>
      <c r="I2609" t="str">
        <f t="shared" si="48"/>
        <v>WAGE WORKS - FSA &amp; HRA FEES</v>
      </c>
    </row>
    <row r="2610" spans="1:9" x14ac:dyDescent="0.3">
      <c r="A2610" t="str">
        <f>""</f>
        <v/>
      </c>
      <c r="F2610" t="str">
        <f>""</f>
        <v/>
      </c>
      <c r="G2610" t="str">
        <f>""</f>
        <v/>
      </c>
      <c r="I2610" t="str">
        <f t="shared" si="48"/>
        <v>WAGE WORKS - FSA &amp; HRA FEES</v>
      </c>
    </row>
    <row r="2611" spans="1:9" x14ac:dyDescent="0.3">
      <c r="A2611" t="str">
        <f>""</f>
        <v/>
      </c>
      <c r="F2611" t="str">
        <f>""</f>
        <v/>
      </c>
      <c r="G2611" t="str">
        <f>""</f>
        <v/>
      </c>
      <c r="I2611" t="str">
        <f t="shared" si="48"/>
        <v>WAGE WORKS - FSA &amp; HRA FEES</v>
      </c>
    </row>
    <row r="2612" spans="1:9" x14ac:dyDescent="0.3">
      <c r="A2612" t="str">
        <f>""</f>
        <v/>
      </c>
      <c r="F2612" t="str">
        <f>""</f>
        <v/>
      </c>
      <c r="G2612" t="str">
        <f>""</f>
        <v/>
      </c>
      <c r="I2612" t="str">
        <f t="shared" si="48"/>
        <v>WAGE WORKS - FSA &amp; HRA FEES</v>
      </c>
    </row>
    <row r="2613" spans="1:9" x14ac:dyDescent="0.3">
      <c r="A2613" t="str">
        <f>""</f>
        <v/>
      </c>
      <c r="F2613" t="str">
        <f>"FSF201803079268"</f>
        <v>FSF201803079268</v>
      </c>
      <c r="G2613" t="str">
        <f>"WAGE WORKS - FSA &amp; HRA FEES"</f>
        <v>WAGE WORKS - FSA &amp; HRA FEES</v>
      </c>
      <c r="H2613">
        <v>25.97</v>
      </c>
      <c r="I2613" t="str">
        <f t="shared" si="48"/>
        <v>WAGE WORKS - FSA &amp; HRA FEES</v>
      </c>
    </row>
    <row r="2614" spans="1:9" x14ac:dyDescent="0.3">
      <c r="A2614" t="str">
        <f>""</f>
        <v/>
      </c>
      <c r="F2614" t="str">
        <f>"FSO201803079264"</f>
        <v>FSO201803079264</v>
      </c>
      <c r="G2614" t="str">
        <f>"WAGE WORKS - FSA FEES"</f>
        <v>WAGE WORKS - FSA FEES</v>
      </c>
      <c r="H2614">
        <v>13.02</v>
      </c>
      <c r="I2614" t="str">
        <f t="shared" ref="I2614:I2622" si="49">"WAGE WORKS - FSA FEES"</f>
        <v>WAGE WORKS - FSA FEES</v>
      </c>
    </row>
    <row r="2615" spans="1:9" x14ac:dyDescent="0.3">
      <c r="A2615" t="str">
        <f>""</f>
        <v/>
      </c>
      <c r="F2615" t="str">
        <f>""</f>
        <v/>
      </c>
      <c r="G2615" t="str">
        <f>""</f>
        <v/>
      </c>
      <c r="I2615" t="str">
        <f t="shared" si="49"/>
        <v>WAGE WORKS - FSA FEES</v>
      </c>
    </row>
    <row r="2616" spans="1:9" x14ac:dyDescent="0.3">
      <c r="A2616" t="str">
        <f>""</f>
        <v/>
      </c>
      <c r="F2616" t="str">
        <f>""</f>
        <v/>
      </c>
      <c r="G2616" t="str">
        <f>""</f>
        <v/>
      </c>
      <c r="I2616" t="str">
        <f t="shared" si="49"/>
        <v>WAGE WORKS - FSA FEES</v>
      </c>
    </row>
    <row r="2617" spans="1:9" x14ac:dyDescent="0.3">
      <c r="A2617" t="str">
        <f>""</f>
        <v/>
      </c>
      <c r="F2617" t="str">
        <f>""</f>
        <v/>
      </c>
      <c r="G2617" t="str">
        <f>""</f>
        <v/>
      </c>
      <c r="I2617" t="str">
        <f t="shared" si="49"/>
        <v>WAGE WORKS - FSA FEES</v>
      </c>
    </row>
    <row r="2618" spans="1:9" x14ac:dyDescent="0.3">
      <c r="A2618" t="str">
        <f>""</f>
        <v/>
      </c>
      <c r="F2618" t="str">
        <f>""</f>
        <v/>
      </c>
      <c r="G2618" t="str">
        <f>""</f>
        <v/>
      </c>
      <c r="I2618" t="str">
        <f t="shared" si="49"/>
        <v>WAGE WORKS - FSA FEES</v>
      </c>
    </row>
    <row r="2619" spans="1:9" x14ac:dyDescent="0.3">
      <c r="A2619" t="str">
        <f>""</f>
        <v/>
      </c>
      <c r="F2619" t="str">
        <f>""</f>
        <v/>
      </c>
      <c r="G2619" t="str">
        <f>""</f>
        <v/>
      </c>
      <c r="I2619" t="str">
        <f t="shared" si="49"/>
        <v>WAGE WORKS - FSA FEES</v>
      </c>
    </row>
    <row r="2620" spans="1:9" x14ac:dyDescent="0.3">
      <c r="A2620" t="str">
        <f>""</f>
        <v/>
      </c>
      <c r="F2620" t="str">
        <f>""</f>
        <v/>
      </c>
      <c r="G2620" t="str">
        <f>""</f>
        <v/>
      </c>
      <c r="I2620" t="str">
        <f t="shared" si="49"/>
        <v>WAGE WORKS - FSA FEES</v>
      </c>
    </row>
    <row r="2621" spans="1:9" x14ac:dyDescent="0.3">
      <c r="A2621" t="str">
        <f>""</f>
        <v/>
      </c>
      <c r="F2621" t="str">
        <f>""</f>
        <v/>
      </c>
      <c r="G2621" t="str">
        <f>""</f>
        <v/>
      </c>
      <c r="I2621" t="str">
        <f t="shared" si="49"/>
        <v>WAGE WORKS - FSA FEES</v>
      </c>
    </row>
    <row r="2622" spans="1:9" x14ac:dyDescent="0.3">
      <c r="A2622" t="str">
        <f>""</f>
        <v/>
      </c>
      <c r="F2622" t="str">
        <f>"FSO201803079268"</f>
        <v>FSO201803079268</v>
      </c>
      <c r="G2622" t="str">
        <f>"WAGE WORKS - FSA FEES"</f>
        <v>WAGE WORKS - FSA FEES</v>
      </c>
      <c r="H2622">
        <v>1.86</v>
      </c>
      <c r="I2622" t="str">
        <f t="shared" si="49"/>
        <v>WAGE WORKS - FSA FEES</v>
      </c>
    </row>
    <row r="2623" spans="1:9" x14ac:dyDescent="0.3">
      <c r="A2623" t="str">
        <f>""</f>
        <v/>
      </c>
      <c r="F2623" t="str">
        <f>"HRA201803079264"</f>
        <v>HRA201803079264</v>
      </c>
      <c r="G2623" t="str">
        <f>"WAGE WORKS"</f>
        <v>WAGE WORKS</v>
      </c>
      <c r="H2623">
        <v>1633.31</v>
      </c>
      <c r="I2623" t="str">
        <f>"WAGE WORKS"</f>
        <v>WAGE WORKS</v>
      </c>
    </row>
    <row r="2624" spans="1:9" x14ac:dyDescent="0.3">
      <c r="A2624" t="str">
        <f>""</f>
        <v/>
      </c>
      <c r="F2624" t="str">
        <f>""</f>
        <v/>
      </c>
      <c r="G2624" t="str">
        <f>""</f>
        <v/>
      </c>
      <c r="I2624" t="str">
        <f>"WAGE WORKS"</f>
        <v>WAGE WORKS</v>
      </c>
    </row>
    <row r="2625" spans="1:9" x14ac:dyDescent="0.3">
      <c r="A2625" t="str">
        <f>""</f>
        <v/>
      </c>
      <c r="F2625" t="str">
        <f>""</f>
        <v/>
      </c>
      <c r="G2625" t="str">
        <f>""</f>
        <v/>
      </c>
      <c r="I2625" t="str">
        <f>"WAGE WORKS"</f>
        <v>WAGE WORKS</v>
      </c>
    </row>
    <row r="2626" spans="1:9" x14ac:dyDescent="0.3">
      <c r="A2626" t="str">
        <f>""</f>
        <v/>
      </c>
      <c r="F2626" t="str">
        <f>""</f>
        <v/>
      </c>
      <c r="G2626" t="str">
        <f>""</f>
        <v/>
      </c>
      <c r="I2626" t="str">
        <f>"WAGE WORKS"</f>
        <v>WAGE WORKS</v>
      </c>
    </row>
    <row r="2627" spans="1:9" x14ac:dyDescent="0.3">
      <c r="A2627" t="str">
        <f>""</f>
        <v/>
      </c>
      <c r="F2627" t="str">
        <f>"HRF201803079264"</f>
        <v>HRF201803079264</v>
      </c>
      <c r="G2627" t="str">
        <f>"WAGE WORKS - HRA FEES"</f>
        <v>WAGE WORKS - HRA FEES</v>
      </c>
      <c r="H2627">
        <v>498.48</v>
      </c>
      <c r="I2627" t="str">
        <f t="shared" ref="I2627:I2666" si="50">"WAGE WORKS - HRA FEES"</f>
        <v>WAGE WORKS - HRA FEES</v>
      </c>
    </row>
    <row r="2628" spans="1:9" x14ac:dyDescent="0.3">
      <c r="A2628" t="str">
        <f>""</f>
        <v/>
      </c>
      <c r="F2628" t="str">
        <f>""</f>
        <v/>
      </c>
      <c r="G2628" t="str">
        <f>""</f>
        <v/>
      </c>
      <c r="I2628" t="str">
        <f t="shared" si="50"/>
        <v>WAGE WORKS - HRA FEES</v>
      </c>
    </row>
    <row r="2629" spans="1:9" x14ac:dyDescent="0.3">
      <c r="A2629" t="str">
        <f>""</f>
        <v/>
      </c>
      <c r="F2629" t="str">
        <f>""</f>
        <v/>
      </c>
      <c r="G2629" t="str">
        <f>""</f>
        <v/>
      </c>
      <c r="I2629" t="str">
        <f t="shared" si="50"/>
        <v>WAGE WORKS - HRA FEES</v>
      </c>
    </row>
    <row r="2630" spans="1:9" x14ac:dyDescent="0.3">
      <c r="A2630" t="str">
        <f>""</f>
        <v/>
      </c>
      <c r="F2630" t="str">
        <f>""</f>
        <v/>
      </c>
      <c r="G2630" t="str">
        <f>""</f>
        <v/>
      </c>
      <c r="I2630" t="str">
        <f t="shared" si="50"/>
        <v>WAGE WORKS - HRA FEES</v>
      </c>
    </row>
    <row r="2631" spans="1:9" x14ac:dyDescent="0.3">
      <c r="A2631" t="str">
        <f>""</f>
        <v/>
      </c>
      <c r="F2631" t="str">
        <f>""</f>
        <v/>
      </c>
      <c r="G2631" t="str">
        <f>""</f>
        <v/>
      </c>
      <c r="I2631" t="str">
        <f t="shared" si="50"/>
        <v>WAGE WORKS - HRA FEES</v>
      </c>
    </row>
    <row r="2632" spans="1:9" x14ac:dyDescent="0.3">
      <c r="A2632" t="str">
        <f>""</f>
        <v/>
      </c>
      <c r="F2632" t="str">
        <f>""</f>
        <v/>
      </c>
      <c r="G2632" t="str">
        <f>""</f>
        <v/>
      </c>
      <c r="I2632" t="str">
        <f t="shared" si="50"/>
        <v>WAGE WORKS - HRA FEES</v>
      </c>
    </row>
    <row r="2633" spans="1:9" x14ac:dyDescent="0.3">
      <c r="A2633" t="str">
        <f>""</f>
        <v/>
      </c>
      <c r="F2633" t="str">
        <f>""</f>
        <v/>
      </c>
      <c r="G2633" t="str">
        <f>""</f>
        <v/>
      </c>
      <c r="I2633" t="str">
        <f t="shared" si="50"/>
        <v>WAGE WORKS - HRA FEES</v>
      </c>
    </row>
    <row r="2634" spans="1:9" x14ac:dyDescent="0.3">
      <c r="A2634" t="str">
        <f>""</f>
        <v/>
      </c>
      <c r="F2634" t="str">
        <f>""</f>
        <v/>
      </c>
      <c r="G2634" t="str">
        <f>""</f>
        <v/>
      </c>
      <c r="I2634" t="str">
        <f t="shared" si="50"/>
        <v>WAGE WORKS - HRA FEES</v>
      </c>
    </row>
    <row r="2635" spans="1:9" x14ac:dyDescent="0.3">
      <c r="A2635" t="str">
        <f>""</f>
        <v/>
      </c>
      <c r="F2635" t="str">
        <f>""</f>
        <v/>
      </c>
      <c r="G2635" t="str">
        <f>""</f>
        <v/>
      </c>
      <c r="I2635" t="str">
        <f t="shared" si="50"/>
        <v>WAGE WORKS - HRA FEES</v>
      </c>
    </row>
    <row r="2636" spans="1:9" x14ac:dyDescent="0.3">
      <c r="A2636" t="str">
        <f>""</f>
        <v/>
      </c>
      <c r="F2636" t="str">
        <f>""</f>
        <v/>
      </c>
      <c r="G2636" t="str">
        <f>""</f>
        <v/>
      </c>
      <c r="I2636" t="str">
        <f t="shared" si="50"/>
        <v>WAGE WORKS - HRA FEES</v>
      </c>
    </row>
    <row r="2637" spans="1:9" x14ac:dyDescent="0.3">
      <c r="A2637" t="str">
        <f>""</f>
        <v/>
      </c>
      <c r="F2637" t="str">
        <f>""</f>
        <v/>
      </c>
      <c r="G2637" t="str">
        <f>""</f>
        <v/>
      </c>
      <c r="I2637" t="str">
        <f t="shared" si="50"/>
        <v>WAGE WORKS - HRA FEES</v>
      </c>
    </row>
    <row r="2638" spans="1:9" x14ac:dyDescent="0.3">
      <c r="A2638" t="str">
        <f>""</f>
        <v/>
      </c>
      <c r="F2638" t="str">
        <f>""</f>
        <v/>
      </c>
      <c r="G2638" t="str">
        <f>""</f>
        <v/>
      </c>
      <c r="I2638" t="str">
        <f t="shared" si="50"/>
        <v>WAGE WORKS - HRA FEES</v>
      </c>
    </row>
    <row r="2639" spans="1:9" x14ac:dyDescent="0.3">
      <c r="A2639" t="str">
        <f>""</f>
        <v/>
      </c>
      <c r="F2639" t="str">
        <f>""</f>
        <v/>
      </c>
      <c r="G2639" t="str">
        <f>""</f>
        <v/>
      </c>
      <c r="I2639" t="str">
        <f t="shared" si="50"/>
        <v>WAGE WORKS - HRA FEES</v>
      </c>
    </row>
    <row r="2640" spans="1:9" x14ac:dyDescent="0.3">
      <c r="A2640" t="str">
        <f>""</f>
        <v/>
      </c>
      <c r="F2640" t="str">
        <f>""</f>
        <v/>
      </c>
      <c r="G2640" t="str">
        <f>""</f>
        <v/>
      </c>
      <c r="I2640" t="str">
        <f t="shared" si="50"/>
        <v>WAGE WORKS - HRA FEES</v>
      </c>
    </row>
    <row r="2641" spans="1:9" x14ac:dyDescent="0.3">
      <c r="A2641" t="str">
        <f>""</f>
        <v/>
      </c>
      <c r="F2641" t="str">
        <f>""</f>
        <v/>
      </c>
      <c r="G2641" t="str">
        <f>""</f>
        <v/>
      </c>
      <c r="I2641" t="str">
        <f t="shared" si="50"/>
        <v>WAGE WORKS - HRA FEES</v>
      </c>
    </row>
    <row r="2642" spans="1:9" x14ac:dyDescent="0.3">
      <c r="A2642" t="str">
        <f>""</f>
        <v/>
      </c>
      <c r="F2642" t="str">
        <f>""</f>
        <v/>
      </c>
      <c r="G2642" t="str">
        <f>""</f>
        <v/>
      </c>
      <c r="I2642" t="str">
        <f t="shared" si="50"/>
        <v>WAGE WORKS - HRA FEES</v>
      </c>
    </row>
    <row r="2643" spans="1:9" x14ac:dyDescent="0.3">
      <c r="A2643" t="str">
        <f>""</f>
        <v/>
      </c>
      <c r="F2643" t="str">
        <f>""</f>
        <v/>
      </c>
      <c r="G2643" t="str">
        <f>""</f>
        <v/>
      </c>
      <c r="I2643" t="str">
        <f t="shared" si="50"/>
        <v>WAGE WORKS - HRA FEES</v>
      </c>
    </row>
    <row r="2644" spans="1:9" x14ac:dyDescent="0.3">
      <c r="A2644" t="str">
        <f>""</f>
        <v/>
      </c>
      <c r="F2644" t="str">
        <f>""</f>
        <v/>
      </c>
      <c r="G2644" t="str">
        <f>""</f>
        <v/>
      </c>
      <c r="I2644" t="str">
        <f t="shared" si="50"/>
        <v>WAGE WORKS - HRA FEES</v>
      </c>
    </row>
    <row r="2645" spans="1:9" x14ac:dyDescent="0.3">
      <c r="A2645" t="str">
        <f>""</f>
        <v/>
      </c>
      <c r="F2645" t="str">
        <f>""</f>
        <v/>
      </c>
      <c r="G2645" t="str">
        <f>""</f>
        <v/>
      </c>
      <c r="I2645" t="str">
        <f t="shared" si="50"/>
        <v>WAGE WORKS - HRA FEES</v>
      </c>
    </row>
    <row r="2646" spans="1:9" x14ac:dyDescent="0.3">
      <c r="A2646" t="str">
        <f>""</f>
        <v/>
      </c>
      <c r="F2646" t="str">
        <f>""</f>
        <v/>
      </c>
      <c r="G2646" t="str">
        <f>""</f>
        <v/>
      </c>
      <c r="I2646" t="str">
        <f t="shared" si="50"/>
        <v>WAGE WORKS - HRA FEES</v>
      </c>
    </row>
    <row r="2647" spans="1:9" x14ac:dyDescent="0.3">
      <c r="A2647" t="str">
        <f>""</f>
        <v/>
      </c>
      <c r="F2647" t="str">
        <f>""</f>
        <v/>
      </c>
      <c r="G2647" t="str">
        <f>""</f>
        <v/>
      </c>
      <c r="I2647" t="str">
        <f t="shared" si="50"/>
        <v>WAGE WORKS - HRA FEES</v>
      </c>
    </row>
    <row r="2648" spans="1:9" x14ac:dyDescent="0.3">
      <c r="A2648" t="str">
        <f>""</f>
        <v/>
      </c>
      <c r="F2648" t="str">
        <f>""</f>
        <v/>
      </c>
      <c r="G2648" t="str">
        <f>""</f>
        <v/>
      </c>
      <c r="I2648" t="str">
        <f t="shared" si="50"/>
        <v>WAGE WORKS - HRA FEES</v>
      </c>
    </row>
    <row r="2649" spans="1:9" x14ac:dyDescent="0.3">
      <c r="A2649" t="str">
        <f>""</f>
        <v/>
      </c>
      <c r="F2649" t="str">
        <f>""</f>
        <v/>
      </c>
      <c r="G2649" t="str">
        <f>""</f>
        <v/>
      </c>
      <c r="I2649" t="str">
        <f t="shared" si="50"/>
        <v>WAGE WORKS - HRA FEES</v>
      </c>
    </row>
    <row r="2650" spans="1:9" x14ac:dyDescent="0.3">
      <c r="A2650" t="str">
        <f>""</f>
        <v/>
      </c>
      <c r="F2650" t="str">
        <f>""</f>
        <v/>
      </c>
      <c r="G2650" t="str">
        <f>""</f>
        <v/>
      </c>
      <c r="I2650" t="str">
        <f t="shared" si="50"/>
        <v>WAGE WORKS - HRA FEES</v>
      </c>
    </row>
    <row r="2651" spans="1:9" x14ac:dyDescent="0.3">
      <c r="A2651" t="str">
        <f>""</f>
        <v/>
      </c>
      <c r="F2651" t="str">
        <f>""</f>
        <v/>
      </c>
      <c r="G2651" t="str">
        <f>""</f>
        <v/>
      </c>
      <c r="I2651" t="str">
        <f t="shared" si="50"/>
        <v>WAGE WORKS - HRA FEES</v>
      </c>
    </row>
    <row r="2652" spans="1:9" x14ac:dyDescent="0.3">
      <c r="A2652" t="str">
        <f>""</f>
        <v/>
      </c>
      <c r="F2652" t="str">
        <f>""</f>
        <v/>
      </c>
      <c r="G2652" t="str">
        <f>""</f>
        <v/>
      </c>
      <c r="I2652" t="str">
        <f t="shared" si="50"/>
        <v>WAGE WORKS - HRA FEES</v>
      </c>
    </row>
    <row r="2653" spans="1:9" x14ac:dyDescent="0.3">
      <c r="A2653" t="str">
        <f>""</f>
        <v/>
      </c>
      <c r="F2653" t="str">
        <f>""</f>
        <v/>
      </c>
      <c r="G2653" t="str">
        <f>""</f>
        <v/>
      </c>
      <c r="I2653" t="str">
        <f t="shared" si="50"/>
        <v>WAGE WORKS - HRA FEES</v>
      </c>
    </row>
    <row r="2654" spans="1:9" x14ac:dyDescent="0.3">
      <c r="A2654" t="str">
        <f>""</f>
        <v/>
      </c>
      <c r="F2654" t="str">
        <f>""</f>
        <v/>
      </c>
      <c r="G2654" t="str">
        <f>""</f>
        <v/>
      </c>
      <c r="I2654" t="str">
        <f t="shared" si="50"/>
        <v>WAGE WORKS - HRA FEES</v>
      </c>
    </row>
    <row r="2655" spans="1:9" x14ac:dyDescent="0.3">
      <c r="A2655" t="str">
        <f>""</f>
        <v/>
      </c>
      <c r="F2655" t="str">
        <f>""</f>
        <v/>
      </c>
      <c r="G2655" t="str">
        <f>""</f>
        <v/>
      </c>
      <c r="I2655" t="str">
        <f t="shared" si="50"/>
        <v>WAGE WORKS - HRA FEES</v>
      </c>
    </row>
    <row r="2656" spans="1:9" x14ac:dyDescent="0.3">
      <c r="A2656" t="str">
        <f>""</f>
        <v/>
      </c>
      <c r="F2656" t="str">
        <f>""</f>
        <v/>
      </c>
      <c r="G2656" t="str">
        <f>""</f>
        <v/>
      </c>
      <c r="I2656" t="str">
        <f t="shared" si="50"/>
        <v>WAGE WORKS - HRA FEES</v>
      </c>
    </row>
    <row r="2657" spans="1:9" x14ac:dyDescent="0.3">
      <c r="A2657" t="str">
        <f>""</f>
        <v/>
      </c>
      <c r="F2657" t="str">
        <f>""</f>
        <v/>
      </c>
      <c r="G2657" t="str">
        <f>""</f>
        <v/>
      </c>
      <c r="I2657" t="str">
        <f t="shared" si="50"/>
        <v>WAGE WORKS - HRA FEES</v>
      </c>
    </row>
    <row r="2658" spans="1:9" x14ac:dyDescent="0.3">
      <c r="A2658" t="str">
        <f>""</f>
        <v/>
      </c>
      <c r="F2658" t="str">
        <f>""</f>
        <v/>
      </c>
      <c r="G2658" t="str">
        <f>""</f>
        <v/>
      </c>
      <c r="I2658" t="str">
        <f t="shared" si="50"/>
        <v>WAGE WORKS - HRA FEES</v>
      </c>
    </row>
    <row r="2659" spans="1:9" x14ac:dyDescent="0.3">
      <c r="A2659" t="str">
        <f>""</f>
        <v/>
      </c>
      <c r="F2659" t="str">
        <f>""</f>
        <v/>
      </c>
      <c r="G2659" t="str">
        <f>""</f>
        <v/>
      </c>
      <c r="I2659" t="str">
        <f t="shared" si="50"/>
        <v>WAGE WORKS - HRA FEES</v>
      </c>
    </row>
    <row r="2660" spans="1:9" x14ac:dyDescent="0.3">
      <c r="A2660" t="str">
        <f>""</f>
        <v/>
      </c>
      <c r="F2660" t="str">
        <f>""</f>
        <v/>
      </c>
      <c r="G2660" t="str">
        <f>""</f>
        <v/>
      </c>
      <c r="I2660" t="str">
        <f t="shared" si="50"/>
        <v>WAGE WORKS - HRA FEES</v>
      </c>
    </row>
    <row r="2661" spans="1:9" x14ac:dyDescent="0.3">
      <c r="A2661" t="str">
        <f>""</f>
        <v/>
      </c>
      <c r="F2661" t="str">
        <f>""</f>
        <v/>
      </c>
      <c r="G2661" t="str">
        <f>""</f>
        <v/>
      </c>
      <c r="I2661" t="str">
        <f t="shared" si="50"/>
        <v>WAGE WORKS - HRA FEES</v>
      </c>
    </row>
    <row r="2662" spans="1:9" x14ac:dyDescent="0.3">
      <c r="A2662" t="str">
        <f>""</f>
        <v/>
      </c>
      <c r="F2662" t="str">
        <f>""</f>
        <v/>
      </c>
      <c r="G2662" t="str">
        <f>""</f>
        <v/>
      </c>
      <c r="I2662" t="str">
        <f t="shared" si="50"/>
        <v>WAGE WORKS - HRA FEES</v>
      </c>
    </row>
    <row r="2663" spans="1:9" x14ac:dyDescent="0.3">
      <c r="A2663" t="str">
        <f>""</f>
        <v/>
      </c>
      <c r="F2663" t="str">
        <f>""</f>
        <v/>
      </c>
      <c r="G2663" t="str">
        <f>""</f>
        <v/>
      </c>
      <c r="I2663" t="str">
        <f t="shared" si="50"/>
        <v>WAGE WORKS - HRA FEES</v>
      </c>
    </row>
    <row r="2664" spans="1:9" x14ac:dyDescent="0.3">
      <c r="A2664" t="str">
        <f>""</f>
        <v/>
      </c>
      <c r="F2664" t="str">
        <f>""</f>
        <v/>
      </c>
      <c r="G2664" t="str">
        <f>""</f>
        <v/>
      </c>
      <c r="I2664" t="str">
        <f t="shared" si="50"/>
        <v>WAGE WORKS - HRA FEES</v>
      </c>
    </row>
    <row r="2665" spans="1:9" x14ac:dyDescent="0.3">
      <c r="A2665" t="str">
        <f>""</f>
        <v/>
      </c>
      <c r="F2665" t="str">
        <f>""</f>
        <v/>
      </c>
      <c r="G2665" t="str">
        <f>""</f>
        <v/>
      </c>
      <c r="I2665" t="str">
        <f t="shared" si="50"/>
        <v>WAGE WORKS - HRA FEES</v>
      </c>
    </row>
    <row r="2666" spans="1:9" x14ac:dyDescent="0.3">
      <c r="A2666" t="str">
        <f>""</f>
        <v/>
      </c>
      <c r="F2666" t="str">
        <f>"HRF201803079268"</f>
        <v>HRF201803079268</v>
      </c>
      <c r="G2666" t="str">
        <f>"WAGE WORKS - HRA FEES"</f>
        <v>WAGE WORKS - HRA FEES</v>
      </c>
      <c r="H2666">
        <v>16.739999999999998</v>
      </c>
      <c r="I2666" t="str">
        <f t="shared" si="50"/>
        <v>WAGE WORKS - HRA FEES</v>
      </c>
    </row>
    <row r="2667" spans="1:9" x14ac:dyDescent="0.3">
      <c r="A2667" t="str">
        <f>"004767"</f>
        <v>004767</v>
      </c>
      <c r="B2667" t="s">
        <v>491</v>
      </c>
      <c r="C2667">
        <v>0</v>
      </c>
      <c r="D2667" s="2">
        <v>11198.11</v>
      </c>
      <c r="E2667" s="1">
        <v>43182</v>
      </c>
      <c r="F2667" t="str">
        <f>"FSA201803219715"</f>
        <v>FSA201803219715</v>
      </c>
      <c r="G2667" t="str">
        <f>"WAGE WORKS"</f>
        <v>WAGE WORKS</v>
      </c>
      <c r="H2667">
        <v>574</v>
      </c>
      <c r="I2667" t="str">
        <f>"WAGE WORKS"</f>
        <v>WAGE WORKS</v>
      </c>
    </row>
    <row r="2668" spans="1:9" x14ac:dyDescent="0.3">
      <c r="A2668" t="str">
        <f>""</f>
        <v/>
      </c>
      <c r="F2668" t="str">
        <f>"FSA201803219717"</f>
        <v>FSA201803219717</v>
      </c>
      <c r="G2668" t="str">
        <f>"WAGE WORKS"</f>
        <v>WAGE WORKS</v>
      </c>
      <c r="H2668">
        <v>8614.31</v>
      </c>
      <c r="I2668" t="str">
        <f>"WAGE WORKS"</f>
        <v>WAGE WORKS</v>
      </c>
    </row>
    <row r="2669" spans="1:9" x14ac:dyDescent="0.3">
      <c r="A2669" t="str">
        <f>""</f>
        <v/>
      </c>
      <c r="F2669" t="str">
        <f>"FSC201803219717"</f>
        <v>FSC201803219717</v>
      </c>
      <c r="G2669" t="str">
        <f>"WAGE WORKS"</f>
        <v>WAGE WORKS</v>
      </c>
      <c r="H2669">
        <v>913.95</v>
      </c>
      <c r="I2669" t="str">
        <f>"WAGE WORKS"</f>
        <v>WAGE WORKS</v>
      </c>
    </row>
    <row r="2670" spans="1:9" x14ac:dyDescent="0.3">
      <c r="A2670" t="str">
        <f>""</f>
        <v/>
      </c>
      <c r="F2670" t="str">
        <f>"FSF201803219715"</f>
        <v>FSF201803219715</v>
      </c>
      <c r="G2670" t="str">
        <f>"WAGE WORKS - FSA &amp; HRA FEES"</f>
        <v>WAGE WORKS - FSA &amp; HRA FEES</v>
      </c>
      <c r="H2670">
        <v>25.97</v>
      </c>
      <c r="I2670" t="str">
        <f t="shared" ref="I2670:I2709" si="51">"WAGE WORKS - FSA &amp; HRA FEES"</f>
        <v>WAGE WORKS - FSA &amp; HRA FEES</v>
      </c>
    </row>
    <row r="2671" spans="1:9" x14ac:dyDescent="0.3">
      <c r="A2671" t="str">
        <f>""</f>
        <v/>
      </c>
      <c r="F2671" t="str">
        <f>"FSF201803219717"</f>
        <v>FSF201803219717</v>
      </c>
      <c r="G2671" t="str">
        <f>"WAGE WORKS - FSA &amp; HRA FEES"</f>
        <v>WAGE WORKS - FSA &amp; HRA FEES</v>
      </c>
      <c r="H2671">
        <v>549.08000000000004</v>
      </c>
      <c r="I2671" t="str">
        <f t="shared" si="51"/>
        <v>WAGE WORKS - FSA &amp; HRA FEES</v>
      </c>
    </row>
    <row r="2672" spans="1:9" x14ac:dyDescent="0.3">
      <c r="A2672" t="str">
        <f>""</f>
        <v/>
      </c>
      <c r="F2672" t="str">
        <f>""</f>
        <v/>
      </c>
      <c r="G2672" t="str">
        <f>""</f>
        <v/>
      </c>
      <c r="I2672" t="str">
        <f t="shared" si="51"/>
        <v>WAGE WORKS - FSA &amp; HRA FEES</v>
      </c>
    </row>
    <row r="2673" spans="1:9" x14ac:dyDescent="0.3">
      <c r="A2673" t="str">
        <f>""</f>
        <v/>
      </c>
      <c r="F2673" t="str">
        <f>""</f>
        <v/>
      </c>
      <c r="G2673" t="str">
        <f>""</f>
        <v/>
      </c>
      <c r="I2673" t="str">
        <f t="shared" si="51"/>
        <v>WAGE WORKS - FSA &amp; HRA FEES</v>
      </c>
    </row>
    <row r="2674" spans="1:9" x14ac:dyDescent="0.3">
      <c r="A2674" t="str">
        <f>""</f>
        <v/>
      </c>
      <c r="F2674" t="str">
        <f>""</f>
        <v/>
      </c>
      <c r="G2674" t="str">
        <f>""</f>
        <v/>
      </c>
      <c r="I2674" t="str">
        <f t="shared" si="51"/>
        <v>WAGE WORKS - FSA &amp; HRA FEES</v>
      </c>
    </row>
    <row r="2675" spans="1:9" x14ac:dyDescent="0.3">
      <c r="A2675" t="str">
        <f>""</f>
        <v/>
      </c>
      <c r="F2675" t="str">
        <f>""</f>
        <v/>
      </c>
      <c r="G2675" t="str">
        <f>""</f>
        <v/>
      </c>
      <c r="I2675" t="str">
        <f t="shared" si="51"/>
        <v>WAGE WORKS - FSA &amp; HRA FEES</v>
      </c>
    </row>
    <row r="2676" spans="1:9" x14ac:dyDescent="0.3">
      <c r="A2676" t="str">
        <f>""</f>
        <v/>
      </c>
      <c r="F2676" t="str">
        <f>""</f>
        <v/>
      </c>
      <c r="G2676" t="str">
        <f>""</f>
        <v/>
      </c>
      <c r="I2676" t="str">
        <f t="shared" si="51"/>
        <v>WAGE WORKS - FSA &amp; HRA FEES</v>
      </c>
    </row>
    <row r="2677" spans="1:9" x14ac:dyDescent="0.3">
      <c r="A2677" t="str">
        <f>""</f>
        <v/>
      </c>
      <c r="F2677" t="str">
        <f>""</f>
        <v/>
      </c>
      <c r="G2677" t="str">
        <f>""</f>
        <v/>
      </c>
      <c r="I2677" t="str">
        <f t="shared" si="51"/>
        <v>WAGE WORKS - FSA &amp; HRA FEES</v>
      </c>
    </row>
    <row r="2678" spans="1:9" x14ac:dyDescent="0.3">
      <c r="A2678" t="str">
        <f>""</f>
        <v/>
      </c>
      <c r="F2678" t="str">
        <f>""</f>
        <v/>
      </c>
      <c r="G2678" t="str">
        <f>""</f>
        <v/>
      </c>
      <c r="I2678" t="str">
        <f t="shared" si="51"/>
        <v>WAGE WORKS - FSA &amp; HRA FEES</v>
      </c>
    </row>
    <row r="2679" spans="1:9" x14ac:dyDescent="0.3">
      <c r="A2679" t="str">
        <f>""</f>
        <v/>
      </c>
      <c r="F2679" t="str">
        <f>""</f>
        <v/>
      </c>
      <c r="G2679" t="str">
        <f>""</f>
        <v/>
      </c>
      <c r="I2679" t="str">
        <f t="shared" si="51"/>
        <v>WAGE WORKS - FSA &amp; HRA FEES</v>
      </c>
    </row>
    <row r="2680" spans="1:9" x14ac:dyDescent="0.3">
      <c r="A2680" t="str">
        <f>""</f>
        <v/>
      </c>
      <c r="F2680" t="str">
        <f>""</f>
        <v/>
      </c>
      <c r="G2680" t="str">
        <f>""</f>
        <v/>
      </c>
      <c r="I2680" t="str">
        <f t="shared" si="51"/>
        <v>WAGE WORKS - FSA &amp; HRA FEES</v>
      </c>
    </row>
    <row r="2681" spans="1:9" x14ac:dyDescent="0.3">
      <c r="A2681" t="str">
        <f>""</f>
        <v/>
      </c>
      <c r="F2681" t="str">
        <f>""</f>
        <v/>
      </c>
      <c r="G2681" t="str">
        <f>""</f>
        <v/>
      </c>
      <c r="I2681" t="str">
        <f t="shared" si="51"/>
        <v>WAGE WORKS - FSA &amp; HRA FEES</v>
      </c>
    </row>
    <row r="2682" spans="1:9" x14ac:dyDescent="0.3">
      <c r="A2682" t="str">
        <f>""</f>
        <v/>
      </c>
      <c r="F2682" t="str">
        <f>""</f>
        <v/>
      </c>
      <c r="G2682" t="str">
        <f>""</f>
        <v/>
      </c>
      <c r="I2682" t="str">
        <f t="shared" si="51"/>
        <v>WAGE WORKS - FSA &amp; HRA FEES</v>
      </c>
    </row>
    <row r="2683" spans="1:9" x14ac:dyDescent="0.3">
      <c r="A2683" t="str">
        <f>""</f>
        <v/>
      </c>
      <c r="F2683" t="str">
        <f>""</f>
        <v/>
      </c>
      <c r="G2683" t="str">
        <f>""</f>
        <v/>
      </c>
      <c r="I2683" t="str">
        <f t="shared" si="51"/>
        <v>WAGE WORKS - FSA &amp; HRA FEES</v>
      </c>
    </row>
    <row r="2684" spans="1:9" x14ac:dyDescent="0.3">
      <c r="A2684" t="str">
        <f>""</f>
        <v/>
      </c>
      <c r="F2684" t="str">
        <f>""</f>
        <v/>
      </c>
      <c r="G2684" t="str">
        <f>""</f>
        <v/>
      </c>
      <c r="I2684" t="str">
        <f t="shared" si="51"/>
        <v>WAGE WORKS - FSA &amp; HRA FEES</v>
      </c>
    </row>
    <row r="2685" spans="1:9" x14ac:dyDescent="0.3">
      <c r="A2685" t="str">
        <f>""</f>
        <v/>
      </c>
      <c r="F2685" t="str">
        <f>""</f>
        <v/>
      </c>
      <c r="G2685" t="str">
        <f>""</f>
        <v/>
      </c>
      <c r="I2685" t="str">
        <f t="shared" si="51"/>
        <v>WAGE WORKS - FSA &amp; HRA FEES</v>
      </c>
    </row>
    <row r="2686" spans="1:9" x14ac:dyDescent="0.3">
      <c r="A2686" t="str">
        <f>""</f>
        <v/>
      </c>
      <c r="F2686" t="str">
        <f>""</f>
        <v/>
      </c>
      <c r="G2686" t="str">
        <f>""</f>
        <v/>
      </c>
      <c r="I2686" t="str">
        <f t="shared" si="51"/>
        <v>WAGE WORKS - FSA &amp; HRA FEES</v>
      </c>
    </row>
    <row r="2687" spans="1:9" x14ac:dyDescent="0.3">
      <c r="A2687" t="str">
        <f>""</f>
        <v/>
      </c>
      <c r="F2687" t="str">
        <f>""</f>
        <v/>
      </c>
      <c r="G2687" t="str">
        <f>""</f>
        <v/>
      </c>
      <c r="I2687" t="str">
        <f t="shared" si="51"/>
        <v>WAGE WORKS - FSA &amp; HRA FEES</v>
      </c>
    </row>
    <row r="2688" spans="1:9" x14ac:dyDescent="0.3">
      <c r="A2688" t="str">
        <f>""</f>
        <v/>
      </c>
      <c r="F2688" t="str">
        <f>""</f>
        <v/>
      </c>
      <c r="G2688" t="str">
        <f>""</f>
        <v/>
      </c>
      <c r="I2688" t="str">
        <f t="shared" si="51"/>
        <v>WAGE WORKS - FSA &amp; HRA FEES</v>
      </c>
    </row>
    <row r="2689" spans="1:9" x14ac:dyDescent="0.3">
      <c r="A2689" t="str">
        <f>""</f>
        <v/>
      </c>
      <c r="F2689" t="str">
        <f>""</f>
        <v/>
      </c>
      <c r="G2689" t="str">
        <f>""</f>
        <v/>
      </c>
      <c r="I2689" t="str">
        <f t="shared" si="51"/>
        <v>WAGE WORKS - FSA &amp; HRA FEES</v>
      </c>
    </row>
    <row r="2690" spans="1:9" x14ac:dyDescent="0.3">
      <c r="A2690" t="str">
        <f>""</f>
        <v/>
      </c>
      <c r="F2690" t="str">
        <f>""</f>
        <v/>
      </c>
      <c r="G2690" t="str">
        <f>""</f>
        <v/>
      </c>
      <c r="I2690" t="str">
        <f t="shared" si="51"/>
        <v>WAGE WORKS - FSA &amp; HRA FEES</v>
      </c>
    </row>
    <row r="2691" spans="1:9" x14ac:dyDescent="0.3">
      <c r="A2691" t="str">
        <f>""</f>
        <v/>
      </c>
      <c r="F2691" t="str">
        <f>""</f>
        <v/>
      </c>
      <c r="G2691" t="str">
        <f>""</f>
        <v/>
      </c>
      <c r="I2691" t="str">
        <f t="shared" si="51"/>
        <v>WAGE WORKS - FSA &amp; HRA FEES</v>
      </c>
    </row>
    <row r="2692" spans="1:9" x14ac:dyDescent="0.3">
      <c r="A2692" t="str">
        <f>""</f>
        <v/>
      </c>
      <c r="F2692" t="str">
        <f>""</f>
        <v/>
      </c>
      <c r="G2692" t="str">
        <f>""</f>
        <v/>
      </c>
      <c r="I2692" t="str">
        <f t="shared" si="51"/>
        <v>WAGE WORKS - FSA &amp; HRA FEES</v>
      </c>
    </row>
    <row r="2693" spans="1:9" x14ac:dyDescent="0.3">
      <c r="A2693" t="str">
        <f>""</f>
        <v/>
      </c>
      <c r="F2693" t="str">
        <f>""</f>
        <v/>
      </c>
      <c r="G2693" t="str">
        <f>""</f>
        <v/>
      </c>
      <c r="I2693" t="str">
        <f t="shared" si="51"/>
        <v>WAGE WORKS - FSA &amp; HRA FEES</v>
      </c>
    </row>
    <row r="2694" spans="1:9" x14ac:dyDescent="0.3">
      <c r="A2694" t="str">
        <f>""</f>
        <v/>
      </c>
      <c r="F2694" t="str">
        <f>""</f>
        <v/>
      </c>
      <c r="G2694" t="str">
        <f>""</f>
        <v/>
      </c>
      <c r="I2694" t="str">
        <f t="shared" si="51"/>
        <v>WAGE WORKS - FSA &amp; HRA FEES</v>
      </c>
    </row>
    <row r="2695" spans="1:9" x14ac:dyDescent="0.3">
      <c r="A2695" t="str">
        <f>""</f>
        <v/>
      </c>
      <c r="F2695" t="str">
        <f>""</f>
        <v/>
      </c>
      <c r="G2695" t="str">
        <f>""</f>
        <v/>
      </c>
      <c r="I2695" t="str">
        <f t="shared" si="51"/>
        <v>WAGE WORKS - FSA &amp; HRA FEES</v>
      </c>
    </row>
    <row r="2696" spans="1:9" x14ac:dyDescent="0.3">
      <c r="A2696" t="str">
        <f>""</f>
        <v/>
      </c>
      <c r="F2696" t="str">
        <f>""</f>
        <v/>
      </c>
      <c r="G2696" t="str">
        <f>""</f>
        <v/>
      </c>
      <c r="I2696" t="str">
        <f t="shared" si="51"/>
        <v>WAGE WORKS - FSA &amp; HRA FEES</v>
      </c>
    </row>
    <row r="2697" spans="1:9" x14ac:dyDescent="0.3">
      <c r="A2697" t="str">
        <f>""</f>
        <v/>
      </c>
      <c r="F2697" t="str">
        <f>""</f>
        <v/>
      </c>
      <c r="G2697" t="str">
        <f>""</f>
        <v/>
      </c>
      <c r="I2697" t="str">
        <f t="shared" si="51"/>
        <v>WAGE WORKS - FSA &amp; HRA FEES</v>
      </c>
    </row>
    <row r="2698" spans="1:9" x14ac:dyDescent="0.3">
      <c r="A2698" t="str">
        <f>""</f>
        <v/>
      </c>
      <c r="F2698" t="str">
        <f>""</f>
        <v/>
      </c>
      <c r="G2698" t="str">
        <f>""</f>
        <v/>
      </c>
      <c r="I2698" t="str">
        <f t="shared" si="51"/>
        <v>WAGE WORKS - FSA &amp; HRA FEES</v>
      </c>
    </row>
    <row r="2699" spans="1:9" x14ac:dyDescent="0.3">
      <c r="A2699" t="str">
        <f>""</f>
        <v/>
      </c>
      <c r="F2699" t="str">
        <f>""</f>
        <v/>
      </c>
      <c r="G2699" t="str">
        <f>""</f>
        <v/>
      </c>
      <c r="I2699" t="str">
        <f t="shared" si="51"/>
        <v>WAGE WORKS - FSA &amp; HRA FEES</v>
      </c>
    </row>
    <row r="2700" spans="1:9" x14ac:dyDescent="0.3">
      <c r="A2700" t="str">
        <f>""</f>
        <v/>
      </c>
      <c r="F2700" t="str">
        <f>""</f>
        <v/>
      </c>
      <c r="G2700" t="str">
        <f>""</f>
        <v/>
      </c>
      <c r="I2700" t="str">
        <f t="shared" si="51"/>
        <v>WAGE WORKS - FSA &amp; HRA FEES</v>
      </c>
    </row>
    <row r="2701" spans="1:9" x14ac:dyDescent="0.3">
      <c r="A2701" t="str">
        <f>""</f>
        <v/>
      </c>
      <c r="F2701" t="str">
        <f>""</f>
        <v/>
      </c>
      <c r="G2701" t="str">
        <f>""</f>
        <v/>
      </c>
      <c r="I2701" t="str">
        <f t="shared" si="51"/>
        <v>WAGE WORKS - FSA &amp; HRA FEES</v>
      </c>
    </row>
    <row r="2702" spans="1:9" x14ac:dyDescent="0.3">
      <c r="A2702" t="str">
        <f>""</f>
        <v/>
      </c>
      <c r="F2702" t="str">
        <f>""</f>
        <v/>
      </c>
      <c r="G2702" t="str">
        <f>""</f>
        <v/>
      </c>
      <c r="I2702" t="str">
        <f t="shared" si="51"/>
        <v>WAGE WORKS - FSA &amp; HRA FEES</v>
      </c>
    </row>
    <row r="2703" spans="1:9" x14ac:dyDescent="0.3">
      <c r="A2703" t="str">
        <f>""</f>
        <v/>
      </c>
      <c r="F2703" t="str">
        <f>""</f>
        <v/>
      </c>
      <c r="G2703" t="str">
        <f>""</f>
        <v/>
      </c>
      <c r="I2703" t="str">
        <f t="shared" si="51"/>
        <v>WAGE WORKS - FSA &amp; HRA FEES</v>
      </c>
    </row>
    <row r="2704" spans="1:9" x14ac:dyDescent="0.3">
      <c r="A2704" t="str">
        <f>""</f>
        <v/>
      </c>
      <c r="F2704" t="str">
        <f>""</f>
        <v/>
      </c>
      <c r="G2704" t="str">
        <f>""</f>
        <v/>
      </c>
      <c r="I2704" t="str">
        <f t="shared" si="51"/>
        <v>WAGE WORKS - FSA &amp; HRA FEES</v>
      </c>
    </row>
    <row r="2705" spans="1:9" x14ac:dyDescent="0.3">
      <c r="A2705" t="str">
        <f>""</f>
        <v/>
      </c>
      <c r="F2705" t="str">
        <f>""</f>
        <v/>
      </c>
      <c r="G2705" t="str">
        <f>""</f>
        <v/>
      </c>
      <c r="I2705" t="str">
        <f t="shared" si="51"/>
        <v>WAGE WORKS - FSA &amp; HRA FEES</v>
      </c>
    </row>
    <row r="2706" spans="1:9" x14ac:dyDescent="0.3">
      <c r="A2706" t="str">
        <f>""</f>
        <v/>
      </c>
      <c r="F2706" t="str">
        <f>""</f>
        <v/>
      </c>
      <c r="G2706" t="str">
        <f>""</f>
        <v/>
      </c>
      <c r="I2706" t="str">
        <f t="shared" si="51"/>
        <v>WAGE WORKS - FSA &amp; HRA FEES</v>
      </c>
    </row>
    <row r="2707" spans="1:9" x14ac:dyDescent="0.3">
      <c r="A2707" t="str">
        <f>""</f>
        <v/>
      </c>
      <c r="F2707" t="str">
        <f>""</f>
        <v/>
      </c>
      <c r="G2707" t="str">
        <f>""</f>
        <v/>
      </c>
      <c r="I2707" t="str">
        <f t="shared" si="51"/>
        <v>WAGE WORKS - FSA &amp; HRA FEES</v>
      </c>
    </row>
    <row r="2708" spans="1:9" x14ac:dyDescent="0.3">
      <c r="A2708" t="str">
        <f>""</f>
        <v/>
      </c>
      <c r="F2708" t="str">
        <f>""</f>
        <v/>
      </c>
      <c r="G2708" t="str">
        <f>""</f>
        <v/>
      </c>
      <c r="I2708" t="str">
        <f t="shared" si="51"/>
        <v>WAGE WORKS - FSA &amp; HRA FEES</v>
      </c>
    </row>
    <row r="2709" spans="1:9" x14ac:dyDescent="0.3">
      <c r="A2709" t="str">
        <f>""</f>
        <v/>
      </c>
      <c r="F2709" t="str">
        <f>""</f>
        <v/>
      </c>
      <c r="G2709" t="str">
        <f>""</f>
        <v/>
      </c>
      <c r="I2709" t="str">
        <f t="shared" si="51"/>
        <v>WAGE WORKS - FSA &amp; HRA FEES</v>
      </c>
    </row>
    <row r="2710" spans="1:9" x14ac:dyDescent="0.3">
      <c r="A2710" t="str">
        <f>""</f>
        <v/>
      </c>
      <c r="F2710" t="str">
        <f>"FSO201803219715"</f>
        <v>FSO201803219715</v>
      </c>
      <c r="G2710" t="str">
        <f>"WAGE WORKS - FSA FEES"</f>
        <v>WAGE WORKS - FSA FEES</v>
      </c>
      <c r="H2710">
        <v>1.86</v>
      </c>
      <c r="I2710" t="str">
        <f t="shared" ref="I2710:I2718" si="52">"WAGE WORKS - FSA FEES"</f>
        <v>WAGE WORKS - FSA FEES</v>
      </c>
    </row>
    <row r="2711" spans="1:9" x14ac:dyDescent="0.3">
      <c r="A2711" t="str">
        <f>""</f>
        <v/>
      </c>
      <c r="F2711" t="str">
        <f>"FSO201803219717"</f>
        <v>FSO201803219717</v>
      </c>
      <c r="G2711" t="str">
        <f>"WAGE WORKS - FSA FEES"</f>
        <v>WAGE WORKS - FSA FEES</v>
      </c>
      <c r="H2711">
        <v>13.02</v>
      </c>
      <c r="I2711" t="str">
        <f t="shared" si="52"/>
        <v>WAGE WORKS - FSA FEES</v>
      </c>
    </row>
    <row r="2712" spans="1:9" x14ac:dyDescent="0.3">
      <c r="A2712" t="str">
        <f>""</f>
        <v/>
      </c>
      <c r="F2712" t="str">
        <f>""</f>
        <v/>
      </c>
      <c r="G2712" t="str">
        <f>""</f>
        <v/>
      </c>
      <c r="I2712" t="str">
        <f t="shared" si="52"/>
        <v>WAGE WORKS - FSA FEES</v>
      </c>
    </row>
    <row r="2713" spans="1:9" x14ac:dyDescent="0.3">
      <c r="A2713" t="str">
        <f>""</f>
        <v/>
      </c>
      <c r="F2713" t="str">
        <f>""</f>
        <v/>
      </c>
      <c r="G2713" t="str">
        <f>""</f>
        <v/>
      </c>
      <c r="I2713" t="str">
        <f t="shared" si="52"/>
        <v>WAGE WORKS - FSA FEES</v>
      </c>
    </row>
    <row r="2714" spans="1:9" x14ac:dyDescent="0.3">
      <c r="A2714" t="str">
        <f>""</f>
        <v/>
      </c>
      <c r="F2714" t="str">
        <f>""</f>
        <v/>
      </c>
      <c r="G2714" t="str">
        <f>""</f>
        <v/>
      </c>
      <c r="I2714" t="str">
        <f t="shared" si="52"/>
        <v>WAGE WORKS - FSA FEES</v>
      </c>
    </row>
    <row r="2715" spans="1:9" x14ac:dyDescent="0.3">
      <c r="A2715" t="str">
        <f>""</f>
        <v/>
      </c>
      <c r="F2715" t="str">
        <f>""</f>
        <v/>
      </c>
      <c r="G2715" t="str">
        <f>""</f>
        <v/>
      </c>
      <c r="I2715" t="str">
        <f t="shared" si="52"/>
        <v>WAGE WORKS - FSA FEES</v>
      </c>
    </row>
    <row r="2716" spans="1:9" x14ac:dyDescent="0.3">
      <c r="A2716" t="str">
        <f>""</f>
        <v/>
      </c>
      <c r="F2716" t="str">
        <f>""</f>
        <v/>
      </c>
      <c r="G2716" t="str">
        <f>""</f>
        <v/>
      </c>
      <c r="I2716" t="str">
        <f t="shared" si="52"/>
        <v>WAGE WORKS - FSA FEES</v>
      </c>
    </row>
    <row r="2717" spans="1:9" x14ac:dyDescent="0.3">
      <c r="A2717" t="str">
        <f>""</f>
        <v/>
      </c>
      <c r="F2717" t="str">
        <f>""</f>
        <v/>
      </c>
      <c r="G2717" t="str">
        <f>""</f>
        <v/>
      </c>
      <c r="I2717" t="str">
        <f t="shared" si="52"/>
        <v>WAGE WORKS - FSA FEES</v>
      </c>
    </row>
    <row r="2718" spans="1:9" x14ac:dyDescent="0.3">
      <c r="A2718" t="str">
        <f>""</f>
        <v/>
      </c>
      <c r="F2718" t="str">
        <f>""</f>
        <v/>
      </c>
      <c r="G2718" t="str">
        <f>""</f>
        <v/>
      </c>
      <c r="I2718" t="str">
        <f t="shared" si="52"/>
        <v>WAGE WORKS - FSA FEES</v>
      </c>
    </row>
    <row r="2719" spans="1:9" x14ac:dyDescent="0.3">
      <c r="A2719" t="str">
        <f>""</f>
        <v/>
      </c>
      <c r="F2719" t="str">
        <f>"HRF201803219715"</f>
        <v>HRF201803219715</v>
      </c>
      <c r="G2719" t="str">
        <f>"WAGE WORKS - HRA FEES"</f>
        <v>WAGE WORKS - HRA FEES</v>
      </c>
      <c r="H2719">
        <v>16.739999999999998</v>
      </c>
      <c r="I2719" t="str">
        <f t="shared" ref="I2719:I2758" si="53">"WAGE WORKS - HRA FEES"</f>
        <v>WAGE WORKS - HRA FEES</v>
      </c>
    </row>
    <row r="2720" spans="1:9" x14ac:dyDescent="0.3">
      <c r="A2720" t="str">
        <f>""</f>
        <v/>
      </c>
      <c r="F2720" t="str">
        <f>"HRF201803219717"</f>
        <v>HRF201803219717</v>
      </c>
      <c r="G2720" t="str">
        <f>"WAGE WORKS - HRA FEES"</f>
        <v>WAGE WORKS - HRA FEES</v>
      </c>
      <c r="H2720">
        <v>489.18</v>
      </c>
      <c r="I2720" t="str">
        <f t="shared" si="53"/>
        <v>WAGE WORKS - HRA FEES</v>
      </c>
    </row>
    <row r="2721" spans="1:9" x14ac:dyDescent="0.3">
      <c r="A2721" t="str">
        <f>""</f>
        <v/>
      </c>
      <c r="F2721" t="str">
        <f>""</f>
        <v/>
      </c>
      <c r="G2721" t="str">
        <f>""</f>
        <v/>
      </c>
      <c r="I2721" t="str">
        <f t="shared" si="53"/>
        <v>WAGE WORKS - HRA FEES</v>
      </c>
    </row>
    <row r="2722" spans="1:9" x14ac:dyDescent="0.3">
      <c r="A2722" t="str">
        <f>""</f>
        <v/>
      </c>
      <c r="F2722" t="str">
        <f>""</f>
        <v/>
      </c>
      <c r="G2722" t="str">
        <f>""</f>
        <v/>
      </c>
      <c r="I2722" t="str">
        <f t="shared" si="53"/>
        <v>WAGE WORKS - HRA FEES</v>
      </c>
    </row>
    <row r="2723" spans="1:9" x14ac:dyDescent="0.3">
      <c r="A2723" t="str">
        <f>""</f>
        <v/>
      </c>
      <c r="F2723" t="str">
        <f>""</f>
        <v/>
      </c>
      <c r="G2723" t="str">
        <f>""</f>
        <v/>
      </c>
      <c r="I2723" t="str">
        <f t="shared" si="53"/>
        <v>WAGE WORKS - HRA FEES</v>
      </c>
    </row>
    <row r="2724" spans="1:9" x14ac:dyDescent="0.3">
      <c r="A2724" t="str">
        <f>""</f>
        <v/>
      </c>
      <c r="F2724" t="str">
        <f>""</f>
        <v/>
      </c>
      <c r="G2724" t="str">
        <f>""</f>
        <v/>
      </c>
      <c r="I2724" t="str">
        <f t="shared" si="53"/>
        <v>WAGE WORKS - HRA FEES</v>
      </c>
    </row>
    <row r="2725" spans="1:9" x14ac:dyDescent="0.3">
      <c r="A2725" t="str">
        <f>""</f>
        <v/>
      </c>
      <c r="F2725" t="str">
        <f>""</f>
        <v/>
      </c>
      <c r="G2725" t="str">
        <f>""</f>
        <v/>
      </c>
      <c r="I2725" t="str">
        <f t="shared" si="53"/>
        <v>WAGE WORKS - HRA FEES</v>
      </c>
    </row>
    <row r="2726" spans="1:9" x14ac:dyDescent="0.3">
      <c r="A2726" t="str">
        <f>""</f>
        <v/>
      </c>
      <c r="F2726" t="str">
        <f>""</f>
        <v/>
      </c>
      <c r="G2726" t="str">
        <f>""</f>
        <v/>
      </c>
      <c r="I2726" t="str">
        <f t="shared" si="53"/>
        <v>WAGE WORKS - HRA FEES</v>
      </c>
    </row>
    <row r="2727" spans="1:9" x14ac:dyDescent="0.3">
      <c r="A2727" t="str">
        <f>""</f>
        <v/>
      </c>
      <c r="F2727" t="str">
        <f>""</f>
        <v/>
      </c>
      <c r="G2727" t="str">
        <f>""</f>
        <v/>
      </c>
      <c r="I2727" t="str">
        <f t="shared" si="53"/>
        <v>WAGE WORKS - HRA FEES</v>
      </c>
    </row>
    <row r="2728" spans="1:9" x14ac:dyDescent="0.3">
      <c r="A2728" t="str">
        <f>""</f>
        <v/>
      </c>
      <c r="F2728" t="str">
        <f>""</f>
        <v/>
      </c>
      <c r="G2728" t="str">
        <f>""</f>
        <v/>
      </c>
      <c r="I2728" t="str">
        <f t="shared" si="53"/>
        <v>WAGE WORKS - HRA FEES</v>
      </c>
    </row>
    <row r="2729" spans="1:9" x14ac:dyDescent="0.3">
      <c r="A2729" t="str">
        <f>""</f>
        <v/>
      </c>
      <c r="F2729" t="str">
        <f>""</f>
        <v/>
      </c>
      <c r="G2729" t="str">
        <f>""</f>
        <v/>
      </c>
      <c r="I2729" t="str">
        <f t="shared" si="53"/>
        <v>WAGE WORKS - HRA FEES</v>
      </c>
    </row>
    <row r="2730" spans="1:9" x14ac:dyDescent="0.3">
      <c r="A2730" t="str">
        <f>""</f>
        <v/>
      </c>
      <c r="F2730" t="str">
        <f>""</f>
        <v/>
      </c>
      <c r="G2730" t="str">
        <f>""</f>
        <v/>
      </c>
      <c r="I2730" t="str">
        <f t="shared" si="53"/>
        <v>WAGE WORKS - HRA FEES</v>
      </c>
    </row>
    <row r="2731" spans="1:9" x14ac:dyDescent="0.3">
      <c r="A2731" t="str">
        <f>""</f>
        <v/>
      </c>
      <c r="F2731" t="str">
        <f>""</f>
        <v/>
      </c>
      <c r="G2731" t="str">
        <f>""</f>
        <v/>
      </c>
      <c r="I2731" t="str">
        <f t="shared" si="53"/>
        <v>WAGE WORKS - HRA FEES</v>
      </c>
    </row>
    <row r="2732" spans="1:9" x14ac:dyDescent="0.3">
      <c r="A2732" t="str">
        <f>""</f>
        <v/>
      </c>
      <c r="F2732" t="str">
        <f>""</f>
        <v/>
      </c>
      <c r="G2732" t="str">
        <f>""</f>
        <v/>
      </c>
      <c r="I2732" t="str">
        <f t="shared" si="53"/>
        <v>WAGE WORKS - HRA FEES</v>
      </c>
    </row>
    <row r="2733" spans="1:9" x14ac:dyDescent="0.3">
      <c r="A2733" t="str">
        <f>""</f>
        <v/>
      </c>
      <c r="F2733" t="str">
        <f>""</f>
        <v/>
      </c>
      <c r="G2733" t="str">
        <f>""</f>
        <v/>
      </c>
      <c r="I2733" t="str">
        <f t="shared" si="53"/>
        <v>WAGE WORKS - HRA FEES</v>
      </c>
    </row>
    <row r="2734" spans="1:9" x14ac:dyDescent="0.3">
      <c r="A2734" t="str">
        <f>""</f>
        <v/>
      </c>
      <c r="F2734" t="str">
        <f>""</f>
        <v/>
      </c>
      <c r="G2734" t="str">
        <f>""</f>
        <v/>
      </c>
      <c r="I2734" t="str">
        <f t="shared" si="53"/>
        <v>WAGE WORKS - HRA FEES</v>
      </c>
    </row>
    <row r="2735" spans="1:9" x14ac:dyDescent="0.3">
      <c r="A2735" t="str">
        <f>""</f>
        <v/>
      </c>
      <c r="F2735" t="str">
        <f>""</f>
        <v/>
      </c>
      <c r="G2735" t="str">
        <f>""</f>
        <v/>
      </c>
      <c r="I2735" t="str">
        <f t="shared" si="53"/>
        <v>WAGE WORKS - HRA FEES</v>
      </c>
    </row>
    <row r="2736" spans="1:9" x14ac:dyDescent="0.3">
      <c r="A2736" t="str">
        <f>""</f>
        <v/>
      </c>
      <c r="F2736" t="str">
        <f>""</f>
        <v/>
      </c>
      <c r="G2736" t="str">
        <f>""</f>
        <v/>
      </c>
      <c r="I2736" t="str">
        <f t="shared" si="53"/>
        <v>WAGE WORKS - HRA FEES</v>
      </c>
    </row>
    <row r="2737" spans="1:9" x14ac:dyDescent="0.3">
      <c r="A2737" t="str">
        <f>""</f>
        <v/>
      </c>
      <c r="F2737" t="str">
        <f>""</f>
        <v/>
      </c>
      <c r="G2737" t="str">
        <f>""</f>
        <v/>
      </c>
      <c r="I2737" t="str">
        <f t="shared" si="53"/>
        <v>WAGE WORKS - HRA FEES</v>
      </c>
    </row>
    <row r="2738" spans="1:9" x14ac:dyDescent="0.3">
      <c r="A2738" t="str">
        <f>""</f>
        <v/>
      </c>
      <c r="F2738" t="str">
        <f>""</f>
        <v/>
      </c>
      <c r="G2738" t="str">
        <f>""</f>
        <v/>
      </c>
      <c r="I2738" t="str">
        <f t="shared" si="53"/>
        <v>WAGE WORKS - HRA FEES</v>
      </c>
    </row>
    <row r="2739" spans="1:9" x14ac:dyDescent="0.3">
      <c r="A2739" t="str">
        <f>""</f>
        <v/>
      </c>
      <c r="F2739" t="str">
        <f>""</f>
        <v/>
      </c>
      <c r="G2739" t="str">
        <f>""</f>
        <v/>
      </c>
      <c r="I2739" t="str">
        <f t="shared" si="53"/>
        <v>WAGE WORKS - HRA FEES</v>
      </c>
    </row>
    <row r="2740" spans="1:9" x14ac:dyDescent="0.3">
      <c r="A2740" t="str">
        <f>""</f>
        <v/>
      </c>
      <c r="F2740" t="str">
        <f>""</f>
        <v/>
      </c>
      <c r="G2740" t="str">
        <f>""</f>
        <v/>
      </c>
      <c r="I2740" t="str">
        <f t="shared" si="53"/>
        <v>WAGE WORKS - HRA FEES</v>
      </c>
    </row>
    <row r="2741" spans="1:9" x14ac:dyDescent="0.3">
      <c r="A2741" t="str">
        <f>""</f>
        <v/>
      </c>
      <c r="F2741" t="str">
        <f>""</f>
        <v/>
      </c>
      <c r="G2741" t="str">
        <f>""</f>
        <v/>
      </c>
      <c r="I2741" t="str">
        <f t="shared" si="53"/>
        <v>WAGE WORKS - HRA FEES</v>
      </c>
    </row>
    <row r="2742" spans="1:9" x14ac:dyDescent="0.3">
      <c r="A2742" t="str">
        <f>""</f>
        <v/>
      </c>
      <c r="F2742" t="str">
        <f>""</f>
        <v/>
      </c>
      <c r="G2742" t="str">
        <f>""</f>
        <v/>
      </c>
      <c r="I2742" t="str">
        <f t="shared" si="53"/>
        <v>WAGE WORKS - HRA FEES</v>
      </c>
    </row>
    <row r="2743" spans="1:9" x14ac:dyDescent="0.3">
      <c r="A2743" t="str">
        <f>""</f>
        <v/>
      </c>
      <c r="F2743" t="str">
        <f>""</f>
        <v/>
      </c>
      <c r="G2743" t="str">
        <f>""</f>
        <v/>
      </c>
      <c r="I2743" t="str">
        <f t="shared" si="53"/>
        <v>WAGE WORKS - HRA FEES</v>
      </c>
    </row>
    <row r="2744" spans="1:9" x14ac:dyDescent="0.3">
      <c r="A2744" t="str">
        <f>""</f>
        <v/>
      </c>
      <c r="F2744" t="str">
        <f>""</f>
        <v/>
      </c>
      <c r="G2744" t="str">
        <f>""</f>
        <v/>
      </c>
      <c r="I2744" t="str">
        <f t="shared" si="53"/>
        <v>WAGE WORKS - HRA FEES</v>
      </c>
    </row>
    <row r="2745" spans="1:9" x14ac:dyDescent="0.3">
      <c r="A2745" t="str">
        <f>""</f>
        <v/>
      </c>
      <c r="F2745" t="str">
        <f>""</f>
        <v/>
      </c>
      <c r="G2745" t="str">
        <f>""</f>
        <v/>
      </c>
      <c r="I2745" t="str">
        <f t="shared" si="53"/>
        <v>WAGE WORKS - HRA FEES</v>
      </c>
    </row>
    <row r="2746" spans="1:9" x14ac:dyDescent="0.3">
      <c r="A2746" t="str">
        <f>""</f>
        <v/>
      </c>
      <c r="F2746" t="str">
        <f>""</f>
        <v/>
      </c>
      <c r="G2746" t="str">
        <f>""</f>
        <v/>
      </c>
      <c r="I2746" t="str">
        <f t="shared" si="53"/>
        <v>WAGE WORKS - HRA FEES</v>
      </c>
    </row>
    <row r="2747" spans="1:9" x14ac:dyDescent="0.3">
      <c r="A2747" t="str">
        <f>""</f>
        <v/>
      </c>
      <c r="F2747" t="str">
        <f>""</f>
        <v/>
      </c>
      <c r="G2747" t="str">
        <f>""</f>
        <v/>
      </c>
      <c r="I2747" t="str">
        <f t="shared" si="53"/>
        <v>WAGE WORKS - HRA FEES</v>
      </c>
    </row>
    <row r="2748" spans="1:9" x14ac:dyDescent="0.3">
      <c r="A2748" t="str">
        <f>""</f>
        <v/>
      </c>
      <c r="F2748" t="str">
        <f>""</f>
        <v/>
      </c>
      <c r="G2748" t="str">
        <f>""</f>
        <v/>
      </c>
      <c r="I2748" t="str">
        <f t="shared" si="53"/>
        <v>WAGE WORKS - HRA FEES</v>
      </c>
    </row>
    <row r="2749" spans="1:9" x14ac:dyDescent="0.3">
      <c r="A2749" t="str">
        <f>""</f>
        <v/>
      </c>
      <c r="F2749" t="str">
        <f>""</f>
        <v/>
      </c>
      <c r="G2749" t="str">
        <f>""</f>
        <v/>
      </c>
      <c r="I2749" t="str">
        <f t="shared" si="53"/>
        <v>WAGE WORKS - HRA FEES</v>
      </c>
    </row>
    <row r="2750" spans="1:9" x14ac:dyDescent="0.3">
      <c r="A2750" t="str">
        <f>""</f>
        <v/>
      </c>
      <c r="F2750" t="str">
        <f>""</f>
        <v/>
      </c>
      <c r="G2750" t="str">
        <f>""</f>
        <v/>
      </c>
      <c r="I2750" t="str">
        <f t="shared" si="53"/>
        <v>WAGE WORKS - HRA FEES</v>
      </c>
    </row>
    <row r="2751" spans="1:9" x14ac:dyDescent="0.3">
      <c r="A2751" t="str">
        <f>""</f>
        <v/>
      </c>
      <c r="F2751" t="str">
        <f>""</f>
        <v/>
      </c>
      <c r="G2751" t="str">
        <f>""</f>
        <v/>
      </c>
      <c r="I2751" t="str">
        <f t="shared" si="53"/>
        <v>WAGE WORKS - HRA FEES</v>
      </c>
    </row>
    <row r="2752" spans="1:9" x14ac:dyDescent="0.3">
      <c r="A2752" t="str">
        <f>""</f>
        <v/>
      </c>
      <c r="F2752" t="str">
        <f>""</f>
        <v/>
      </c>
      <c r="G2752" t="str">
        <f>""</f>
        <v/>
      </c>
      <c r="I2752" t="str">
        <f t="shared" si="53"/>
        <v>WAGE WORKS - HRA FEES</v>
      </c>
    </row>
    <row r="2753" spans="1:9" x14ac:dyDescent="0.3">
      <c r="A2753" t="str">
        <f>""</f>
        <v/>
      </c>
      <c r="F2753" t="str">
        <f>""</f>
        <v/>
      </c>
      <c r="G2753" t="str">
        <f>""</f>
        <v/>
      </c>
      <c r="I2753" t="str">
        <f t="shared" si="53"/>
        <v>WAGE WORKS - HRA FEES</v>
      </c>
    </row>
    <row r="2754" spans="1:9" x14ac:dyDescent="0.3">
      <c r="A2754" t="str">
        <f>""</f>
        <v/>
      </c>
      <c r="F2754" t="str">
        <f>""</f>
        <v/>
      </c>
      <c r="G2754" t="str">
        <f>""</f>
        <v/>
      </c>
      <c r="I2754" t="str">
        <f t="shared" si="53"/>
        <v>WAGE WORKS - HRA FEES</v>
      </c>
    </row>
    <row r="2755" spans="1:9" x14ac:dyDescent="0.3">
      <c r="A2755" t="str">
        <f>""</f>
        <v/>
      </c>
      <c r="F2755" t="str">
        <f>""</f>
        <v/>
      </c>
      <c r="G2755" t="str">
        <f>""</f>
        <v/>
      </c>
      <c r="I2755" t="str">
        <f t="shared" si="53"/>
        <v>WAGE WORKS - HRA FEES</v>
      </c>
    </row>
    <row r="2756" spans="1:9" x14ac:dyDescent="0.3">
      <c r="A2756" t="str">
        <f>""</f>
        <v/>
      </c>
      <c r="F2756" t="str">
        <f>""</f>
        <v/>
      </c>
      <c r="G2756" t="str">
        <f>""</f>
        <v/>
      </c>
      <c r="I2756" t="str">
        <f t="shared" si="53"/>
        <v>WAGE WORKS - HRA FEES</v>
      </c>
    </row>
    <row r="2757" spans="1:9" x14ac:dyDescent="0.3">
      <c r="A2757" t="str">
        <f>""</f>
        <v/>
      </c>
      <c r="F2757" t="str">
        <f>""</f>
        <v/>
      </c>
      <c r="G2757" t="str">
        <f>""</f>
        <v/>
      </c>
      <c r="I2757" t="str">
        <f t="shared" si="53"/>
        <v>WAGE WORKS - HRA FEES</v>
      </c>
    </row>
    <row r="2758" spans="1:9" x14ac:dyDescent="0.3">
      <c r="A2758" t="str">
        <f>""</f>
        <v/>
      </c>
      <c r="C2758" s="3" t="s">
        <v>540</v>
      </c>
      <c r="D2758" s="2">
        <f>SUM(D2:D2757)</f>
        <v>3444385.1900000013</v>
      </c>
      <c r="F2758" t="str">
        <f>""</f>
        <v/>
      </c>
      <c r="G2758" t="str">
        <f>""</f>
        <v/>
      </c>
      <c r="I2758" t="str">
        <f t="shared" si="53"/>
        <v>WAGE WORKS - HRA FEES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AP-CHK-RPT-20180702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Ingram, Laurie</cp:lastModifiedBy>
  <dcterms:created xsi:type="dcterms:W3CDTF">2018-07-02T15:11:13Z</dcterms:created>
  <dcterms:modified xsi:type="dcterms:W3CDTF">2018-07-02T15:12:21Z</dcterms:modified>
</cp:coreProperties>
</file>